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vmlDrawing1.vml" ContentType="application/vnd.openxmlformats-officedocument.vmlDrawing"/>
  <Override PartName="/xl/comments1.xml" ContentType="application/vnd.openxmlformats-officedocument.spreadsheetml.comments+xml"/>
  <Override PartName="/xl/worksheets/sheet2.xml" ContentType="application/vnd.openxmlformats-officedocument.spreadsheetml.worksheet+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worksheets/sheet3.xml" ContentType="application/vnd.openxmlformats-officedocument.spreadsheetml.worksheet+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drawings/vmlDrawing6.vml" ContentType="application/vnd.openxmlformats-officedocument.vmlDrawing"/>
  <Override PartName="/xl/comments6.xml" ContentType="application/vnd.openxmlformats-officedocument.spreadsheetml.comments+xml"/>
  <Override PartName="/xl/worksheets/sheet7.xml" ContentType="application/vnd.openxmlformats-officedocument.spreadsheetml.worksheet+xml"/>
  <Override PartName="/xl/worksheets/sheet8.xml" ContentType="application/vnd.openxmlformats-officedocument.spreadsheetml.worksheet+xml"/>
  <Override PartName="/xl/drawings/vmlDrawing8.vml" ContentType="application/vnd.openxmlformats-officedocument.vmlDrawing"/>
  <Override PartName="/xl/comments8.xml" ContentType="application/vnd.openxmlformats-officedocument.spreadsheetml.comments+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7" lowestEdited="5" rupBuild="24332"/>
  <workbookPr defaultThemeVersion="153222"/>
  <bookViews>
    <workbookView xWindow="-109" yWindow="-109" windowWidth="23452" windowHeight="12561" activeTab="0" tabRatio="924"/>
  </bookViews>
  <sheets>
    <sheet name="人物卡" sheetId="1" r:id="rId1"/>
    <sheet name="审卡" sheetId="2" r:id="rId2"/>
    <sheet name="审卡后台" sheetId="3" r:id="rId3" state="hidden"/>
    <sheet name="简化卡 骰娘导入" sheetId="4" r:id="rId4"/>
    <sheet name="职业列表" sheetId="5" r:id="rId5"/>
    <sheet name="成长表（测试）" sheetId="6" r:id="rId6" state="hidden"/>
    <sheet name="本职技能" sheetId="7" r:id="rId7" state="hidden"/>
    <sheet name="附表" sheetId="8" r:id="rId8" state="hidden"/>
    <sheet name="技能注释" sheetId="9" r:id="rId9"/>
    <sheet name="属性注释" sheetId="10" r:id="rId10"/>
    <sheet name="资产及物价参考" sheetId="11" r:id="rId11"/>
    <sheet name="武器列表 战斗" sheetId="12" r:id="rId12"/>
    <sheet name="防具表 载具表" sheetId="13" r:id="rId13"/>
    <sheet name="疯狂表" sheetId="14" r:id="rId14"/>
    <sheet name="更新说明" sheetId="15" r:id="rId15"/>
  </sheets>
  <definedNames>
    <definedName name="_xlnm._FilterDatabase" localSheetId="0" hidden="1">人物卡!$AU$38:$BR$145</definedName>
    <definedName name="APP">人物卡!$AA$5</definedName>
    <definedName name="CON">人物卡!$U$5</definedName>
    <definedName name="DEX">人物卡!$AA$3</definedName>
    <definedName name="EDU">人物卡!$AG$5</definedName>
    <definedName name="INT">人物卡!$AA$7</definedName>
    <definedName name="Luck">人物卡!$AG$7</definedName>
    <definedName name="MP">人物卡!$W$10</definedName>
    <definedName name="POW">人物卡!$AG$3</definedName>
    <definedName name="SIZ">人物卡!$U$7</definedName>
    <definedName name="STR">人物卡!$U$3</definedName>
    <definedName name="_xlnm._FilterDatabase" localSheetId="2" hidden="1">审卡后台!$AG$41:$AH$107</definedName>
  </definedNames>
  <calcPr calcId="191029"/>
</workbook>
</file>

<file path=xl/comments1.xml><?xml version="1.0" encoding="utf-8"?>
<comments xmlns="http://schemas.openxmlformats.org/spreadsheetml/2006/main">
  <authors>
    <author>Redmi K20 Pro</author>
  </authors>
  <commentList>
    <comment ref="AU24" authorId="0">
      <text>
        <r>
          <rPr>
            <sz val="11"/>
            <rFont val="宋体"/>
            <family val="3"/>
            <charset val="134"/>
          </rPr>
          <t xml:space="preserve">输入名称和基础值，再在相关技能后填写此名称，人物卡就可以显示基础值</t>
        </r>
      </text>
    </comment>
    <comment ref="BC26" authorId="0">
      <text>
        <r>
          <rPr>
            <sz val="11"/>
            <rFont val="宋体"/>
            <family val="3"/>
            <charset val="134"/>
          </rPr>
          <t xml:space="preserve">如果你选经历包，一定把这里补充完整</t>
        </r>
      </text>
    </comment>
  </commentList>
</comments>
</file>

<file path=xl/comments6.xml><?xml version="1.0" encoding="utf-8"?>
<comments xmlns="http://schemas.openxmlformats.org/spreadsheetml/2006/main">
  <authors>
    <author>丛雨</author>
  </authors>
  <commentList>
    <comment ref="E13" authorId="0">
      <text>
        <r>
          <rPr>
            <b/>
            <sz val="9"/>
            <color indexed="81"/>
            <rFont val="宋体"/>
            <family val="3"/>
            <charset val="134"/>
          </rPr>
          <t xml:space="preserve">经历了XXX事件
[一段描述ing]</t>
        </r>
      </text>
    </comment>
  </commentList>
</comments>
</file>

<file path=xl/comments8.xml><?xml version="1.0" encoding="utf-8"?>
<comments xmlns="http://schemas.openxmlformats.org/spreadsheetml/2006/main">
  <authors>
    <author>Windows10</author>
  </authors>
  <commentList>
    <comment ref="S219" authorId="0">
      <text>
        <r>
          <rPr>
            <b/>
            <sz val="9"/>
            <rFont val="宋体"/>
            <family val="3"/>
            <charset val="134"/>
          </rPr>
          <t xml:space="preserve">Aerocraft （01%）</t>
        </r>
        <r>
          <rPr>
            <sz val="9"/>
            <rFont val="宋体"/>
            <family val="3"/>
            <charset val="134"/>
          </rPr>
          <t xml:space="preserve">
- 理解以及足以操作飞行器类的载具。
- 当进行任何的降落时，即使是在最好的环境下，也必须进行一个驾驶检定。
- 如果在一个平整的，有着绿草覆盖的地方进行降落，且是一个风平浪静的夏季日子，那么在飞机降落上检定的失败也许只是意味着导致了一次颠簸不稳的降落，可能会让一些心灵脆弱的乘客不敢再次乘坐飞机。
- 在极端情况下，在一个暴风雨的天气里在冰川上进行降落的失败检定可能会导致飞机的坠毁并且里面所有人都受伤或者死亡。
- 失败的检定通常意味着对飞行器造成了损伤，并且在下次起飞前必须先进行修复。
- 如果检定的结果为 100，那么将会导致一起令人难忘的灾难性事件。
- 每种不同的飞行器的技能都需要独立计算，并且分开罗列，或者依照 KP 觉得合适的方式来做。
- 1920年代：仅有驾驶热气球/飞船/民用螺旋桨飞机。
- 现代：驾驶民用螺旋桨飞机，驾驶民用喷气飞机，驾驶客机，驾驶喷气战斗机，驾驶直升飞机。
- 对于一件飞行器的驾驶技能可以被转而用于一个别的形式的飞行
器，但是难度等级可能会提升。</t>
        </r>
      </text>
    </comment>
    <comment ref="M221" authorId="0">
      <text>
        <r>
          <rPr>
            <b/>
            <sz val="9"/>
            <rFont val="宋体"/>
            <family val="3"/>
            <charset val="134"/>
          </rPr>
          <t xml:space="preserve">Photography (05%)</t>
        </r>
        <r>
          <rPr>
            <sz val="9"/>
            <rFont val="宋体"/>
            <family val="3"/>
            <charset val="134"/>
          </rPr>
          <t xml:space="preserve">
同时包括静止以及运动摄影。
这项技能允许某人拍摄清晰的照片，恰当地修饰照片，并且强化半掩的细节。
在 1920 年代，使用者可以准备必须的化学用品来制作闪光粉。
在现代，这个技能拓展到包括摄影机，视频播放设备，数码摄影以及数码编辑，使用者熟练于对数字图像的操作修改。
可以从原始的资源中创造出完全不同的版本，例如改变照片中一个人所处的地点，和谁
在一起，以及在做什么。
这些专家也可能可以发现一张图像什么时候被修改过了。
正常的快拍不需要技能检定。
当想要进行有效的偷拍，或者进行细节捕捉—特别是远距离，快速，以
及低光，时将会被要求进行这个检定。这项技能也允许调查员判断一张照片是否被篡改或者捏造，以及进行这张照片拍摄的角度和位置。</t>
        </r>
      </text>
    </comment>
  </commentList>
</comments>
</file>

<file path=xl/sharedStrings.xml><?xml version="1.0" encoding="utf-8"?>
<sst xmlns="http://schemas.openxmlformats.org/spreadsheetml/2006/main" uniqueCount="6239" count="6239">
  <si>
    <t>调查员信息</t>
  </si>
  <si>
    <t>年龄补正：</t>
  </si>
  <si>
    <t>属性</t>
  </si>
  <si>
    <t>已用点数:</t>
  </si>
  <si>
    <t>您的角色可能（只是可能！）</t>
  </si>
  <si>
    <t>姓名</t>
  </si>
  <si>
    <t>力量
STR</t>
  </si>
  <si>
    <t>敏捷
DEX</t>
  </si>
  <si>
    <t>意志
POW</t>
  </si>
  <si>
    <t>玩家</t>
  </si>
  <si>
    <t>时代</t>
  </si>
  <si>
    <t>1920s</t>
  </si>
  <si>
    <t>职业</t>
  </si>
  <si>
    <t>职业序号</t>
  </si>
  <si>
    <t>体质
CON</t>
  </si>
  <si>
    <t>外貌
APP</t>
  </si>
  <si>
    <t>教育
知识</t>
  </si>
  <si>
    <t>年龄</t>
  </si>
  <si>
    <t>性别</t>
  </si>
  <si>
    <t>住地</t>
  </si>
  <si>
    <t>故乡</t>
  </si>
  <si>
    <t>体型
SIZ</t>
  </si>
  <si>
    <t>智力
灵感</t>
  </si>
  <si>
    <t>幸运
Luck</t>
  </si>
  <si>
    <t>现时间</t>
  </si>
  <si>
    <t>公元</t>
  </si>
  <si>
    <t>1日</t>
  </si>
  <si>
    <t>0：00</t>
  </si>
  <si>
    <t>生命值
Hit  Points</t>
  </si>
  <si>
    <t>状态:</t>
  </si>
  <si>
    <t>理智
Sanity</t>
  </si>
  <si>
    <t>每h恢复</t>
  </si>
  <si>
    <t>移动力
MOV</t>
  </si>
  <si>
    <t>调整值</t>
  </si>
  <si>
    <t>护甲       Armor</t>
  </si>
  <si>
    <t>覆盖部位</t>
  </si>
  <si>
    <t>健康</t>
  </si>
  <si>
    <t>清醒</t>
  </si>
  <si>
    <t>重伤值:</t>
  </si>
  <si>
    <t>临时生命值：</t>
  </si>
  <si>
    <t>今日损失 :</t>
  </si>
  <si>
    <t>剩余：</t>
  </si>
  <si>
    <t>移动方式</t>
  </si>
  <si>
    <t>步式</t>
  </si>
  <si>
    <t>护甲减值</t>
  </si>
  <si>
    <t>关</t>
  </si>
  <si>
    <t>护甲类型 :</t>
  </si>
  <si>
    <t>请看【防具表】</t>
  </si>
  <si>
    <t>技能表</t>
  </si>
  <si>
    <t>成功标</t>
  </si>
  <si>
    <t>本职</t>
  </si>
  <si>
    <t>技能名称</t>
  </si>
  <si>
    <t>初始</t>
  </si>
  <si>
    <t>成长</t>
  </si>
  <si>
    <t>兴趣</t>
  </si>
  <si>
    <t>成功率 普通/困难/极难</t>
  </si>
  <si>
    <t>☐</t>
  </si>
  <si>
    <t>会计</t>
  </si>
  <si>
    <t>法律</t>
  </si>
  <si>
    <t>人类学</t>
  </si>
  <si>
    <t>图书馆使用</t>
  </si>
  <si>
    <t>你现在有这么多</t>
  </si>
  <si>
    <t>那么你分配到了哪里?</t>
  </si>
  <si>
    <t>估价</t>
  </si>
  <si>
    <t>聆听</t>
  </si>
  <si>
    <t>任意特长</t>
  </si>
  <si>
    <t>考古学</t>
  </si>
  <si>
    <t>锁匠</t>
  </si>
  <si>
    <t>技艺①</t>
  </si>
  <si>
    <t>机械维修</t>
  </si>
  <si>
    <t>技艺②</t>
  </si>
  <si>
    <t>医学</t>
  </si>
  <si>
    <t>技艺③</t>
  </si>
  <si>
    <t>博物学</t>
  </si>
  <si>
    <t>取悦</t>
  </si>
  <si>
    <t>导航</t>
  </si>
  <si>
    <t>请将你选择的任意特长写在上方栏内，这样既方便你写卡又方便KP审卡</t>
  </si>
  <si>
    <t>攀爬</t>
  </si>
  <si>
    <t>神秘学</t>
  </si>
  <si>
    <t>自定义子技能</t>
  </si>
  <si>
    <t>自定义经历包</t>
  </si>
  <si>
    <t>自定义状态</t>
  </si>
  <si>
    <t>计算机使用 Ω</t>
  </si>
  <si>
    <t>操作重型机械</t>
  </si>
  <si>
    <t>技艺技能名称</t>
  </si>
  <si>
    <t>基础值</t>
  </si>
  <si>
    <t>经历包名称</t>
  </si>
  <si>
    <t>状态名称(例:生病、精神分裂)</t>
  </si>
  <si>
    <t>——</t>
  </si>
  <si>
    <t>★</t>
  </si>
  <si>
    <t>信用评级</t>
  </si>
  <si>
    <t>说服</t>
  </si>
  <si>
    <t>克苏鲁神话</t>
  </si>
  <si>
    <t>驾驶：</t>
  </si>
  <si>
    <t>格斗技能名称</t>
  </si>
  <si>
    <t>san值减少</t>
  </si>
  <si>
    <t>技能增长</t>
  </si>
  <si>
    <t>身体状态</t>
  </si>
  <si>
    <t>精神状态</t>
  </si>
  <si>
    <t>乔装</t>
  </si>
  <si>
    <t>精神分析</t>
  </si>
  <si>
    <t>闪避</t>
  </si>
  <si>
    <t>心理学</t>
  </si>
  <si>
    <t>射击技能名称</t>
  </si>
  <si>
    <t>备注</t>
  </si>
  <si>
    <t>汽车驾驶</t>
  </si>
  <si>
    <t>骑术</t>
  </si>
  <si>
    <t>电气维修</t>
  </si>
  <si>
    <t>科学①</t>
  </si>
  <si>
    <t>驾驶技能名称</t>
  </si>
  <si>
    <t>电子学 Ω</t>
  </si>
  <si>
    <t>科学②</t>
  </si>
  <si>
    <t>话术</t>
  </si>
  <si>
    <t>科学③</t>
  </si>
  <si>
    <t>科学技能名称</t>
  </si>
  <si>
    <t>格斗：</t>
  </si>
  <si>
    <t>斗殴</t>
  </si>
  <si>
    <t>妙手</t>
  </si>
  <si>
    <t>格斗①</t>
  </si>
  <si>
    <t>侦查</t>
  </si>
  <si>
    <t>自定义年龄补正</t>
  </si>
  <si>
    <t>自定义货币</t>
  </si>
  <si>
    <t>格斗②</t>
  </si>
  <si>
    <t>潜行</t>
  </si>
  <si>
    <t>年龄补正</t>
  </si>
  <si>
    <t>货币名称</t>
  </si>
  <si>
    <t>与美元的汇率</t>
  </si>
  <si>
    <t>格斗③</t>
  </si>
  <si>
    <t>生存：</t>
  </si>
  <si>
    <t>射击：</t>
  </si>
  <si>
    <t>手枪</t>
  </si>
  <si>
    <t>游泳</t>
  </si>
  <si>
    <t>推
荐
关
系
人</t>
  </si>
  <si>
    <t>射击①</t>
  </si>
  <si>
    <t>投掷</t>
  </si>
  <si>
    <t>射击②</t>
  </si>
  <si>
    <t>追踪</t>
  </si>
  <si>
    <t>射击③</t>
  </si>
  <si>
    <t>驯兽</t>
  </si>
  <si>
    <t>急救</t>
  </si>
  <si>
    <t>潜水</t>
  </si>
  <si>
    <t>历史</t>
  </si>
  <si>
    <t>爆破</t>
  </si>
  <si>
    <t>职业介绍</t>
  </si>
  <si>
    <t>恐吓</t>
  </si>
  <si>
    <t>读唇</t>
  </si>
  <si>
    <t>跳跃</t>
  </si>
  <si>
    <t>催眠</t>
  </si>
  <si>
    <t>外语①</t>
  </si>
  <si>
    <t>炮术</t>
  </si>
  <si>
    <t>外语②</t>
  </si>
  <si>
    <t>学识：</t>
  </si>
  <si>
    <t>外语③</t>
  </si>
  <si>
    <t>自定义技能</t>
  </si>
  <si>
    <t>母语</t>
  </si>
  <si>
    <t>武器表</t>
  </si>
  <si>
    <t>格斗</t>
  </si>
  <si>
    <t>武器名称</t>
  </si>
  <si>
    <t>类型</t>
  </si>
  <si>
    <t>使用技能</t>
  </si>
  <si>
    <t>成功率</t>
  </si>
  <si>
    <t>伤害</t>
  </si>
  <si>
    <t>基础射程</t>
  </si>
  <si>
    <t>贯穿</t>
  </si>
  <si>
    <t>次数</t>
  </si>
  <si>
    <t>装弹量</t>
  </si>
  <si>
    <t>故障值</t>
  </si>
  <si>
    <t>伤害加值
Damage Bonus</t>
  </si>
  <si>
    <t>无</t>
  </si>
  <si>
    <t>肉搏</t>
  </si>
  <si>
    <t>1D3+DB</t>
  </si>
  <si>
    <t>×</t>
  </si>
  <si>
    <t>体格
Build</t>
  </si>
  <si>
    <t>闪避
Dodge</t>
  </si>
  <si>
    <t>资产</t>
  </si>
  <si>
    <t>背景故事</t>
  </si>
  <si>
    <t>生活水平</t>
  </si>
  <si>
    <t>消费水平</t>
  </si>
  <si>
    <t>其他资产</t>
  </si>
  <si>
    <t>当前现金($)</t>
  </si>
  <si>
    <t>单位</t>
  </si>
  <si>
    <t>形象描述</t>
  </si>
  <si>
    <t>美元</t>
  </si>
  <si>
    <t>请在这里详述你的资产</t>
  </si>
  <si>
    <t>思想与信念</t>
  </si>
  <si>
    <t>年代</t>
  </si>
  <si>
    <t>国际重大历史进程</t>
  </si>
  <si>
    <t>中国重大历史进程</t>
  </si>
  <si>
    <t>重要之人</t>
  </si>
  <si>
    <t>意义非凡之地</t>
  </si>
  <si>
    <t>新闻</t>
  </si>
  <si>
    <t>其他资产表</t>
  </si>
  <si>
    <t>交通工具</t>
  </si>
  <si>
    <t>住所</t>
  </si>
  <si>
    <t>奢侈品</t>
  </si>
  <si>
    <t>股票/证券等</t>
  </si>
  <si>
    <t>其他</t>
  </si>
  <si>
    <t>宝贵之物</t>
  </si>
  <si>
    <t>特质</t>
  </si>
  <si>
    <t>伤口和疤痕</t>
  </si>
  <si>
    <t>恐惧症和躁狂症</t>
  </si>
  <si>
    <t xml:space="preserve">                                      随身物品（使用右侧栏位需要背包）</t>
  </si>
  <si>
    <t>状态</t>
  </si>
  <si>
    <t>部位</t>
  </si>
  <si>
    <t>物品名称</t>
  </si>
  <si>
    <t>背包格↓</t>
  </si>
  <si>
    <t xml:space="preserve"> </t>
  </si>
  <si>
    <t>调查员经历</t>
  </si>
  <si>
    <t>神话相关</t>
  </si>
  <si>
    <t>经历模组</t>
  </si>
  <si>
    <t>人物变化描述</t>
  </si>
  <si>
    <t>第三类接触（古籍、咒文、神话知识等）</t>
  </si>
  <si>
    <t>例：【毒汤】</t>
  </si>
  <si>
    <t>SAN-6,HP-2,侦查+2</t>
  </si>
  <si>
    <t>遇到了</t>
  </si>
  <si>
    <t>获得的结果</t>
  </si>
  <si>
    <t>累计</t>
  </si>
  <si>
    <t>例：如果此处空间不够</t>
  </si>
  <si>
    <t>可以前去【成长表】进行填写</t>
  </si>
  <si>
    <t>例：米-戈</t>
  </si>
  <si>
    <t>第一次神话疯狂，相信者规则激活</t>
  </si>
  <si>
    <t>例：修格斯</t>
  </si>
  <si>
    <t>克苏鲁+7，克苏鲁(疯)+1，SAN-5</t>
  </si>
  <si>
    <t>第二次神话疯狂</t>
  </si>
  <si>
    <t>杂项</t>
  </si>
  <si>
    <t>法术一览</t>
  </si>
  <si>
    <t>有故事的调查员经历包：</t>
  </si>
  <si>
    <t>编号</t>
  </si>
  <si>
    <t>法术名称</t>
  </si>
  <si>
    <t>使用代价</t>
  </si>
  <si>
    <t>作用</t>
  </si>
  <si>
    <t>例：1</t>
  </si>
  <si>
    <t>灰色束缚</t>
  </si>
  <si>
    <t>8mp 1d6san 1h</t>
  </si>
  <si>
    <t>可以控制死去的人，直到腐烂为止</t>
  </si>
  <si>
    <t>快速参考规则</t>
  </si>
  <si>
    <t>技能和属性检定
成功等级</t>
  </si>
  <si>
    <t>大失败</t>
  </si>
  <si>
    <t>失败</t>
  </si>
  <si>
    <t>成功</t>
  </si>
  <si>
    <t>困难</t>
  </si>
  <si>
    <t>极难</t>
  </si>
  <si>
    <t>大成功</t>
  </si>
  <si>
    <t>技能成功率≥50为100
否则为96-100</t>
  </si>
  <si>
    <t>&gt;技能</t>
  </si>
  <si>
    <t>≤技能</t>
  </si>
  <si>
    <t>1/2值</t>
  </si>
  <si>
    <t>1/5值</t>
  </si>
  <si>
    <t>孤注一掷：使用孤注一掷来重投上一次检定结果，需要合理的解释重掷原因，战斗和理智检定不能执行孤注一掷。</t>
  </si>
  <si>
    <t>[急救]回复1点体力</t>
  </si>
  <si>
    <t>[医学]回复1D3点体力</t>
  </si>
  <si>
    <t>重伤</t>
  </si>
  <si>
    <t>一次受到最大生命值一半的伤害</t>
  </si>
  <si>
    <t>昏迷</t>
  </si>
  <si>
    <t>HP=0但并未[重伤]</t>
  </si>
  <si>
    <t>濒死</t>
  </si>
  <si>
    <t>HP=0且受到[重伤]。需要用[急救]摆脱濒死状态，并用[医学]进行后续治疗。</t>
  </si>
  <si>
    <t>调查员伙伴</t>
  </si>
  <si>
    <t>发明/发现/概念</t>
  </si>
  <si>
    <t>无重伤下每天自然回复1点体力</t>
  </si>
  <si>
    <t>重伤时每周做1次恢复检定</t>
  </si>
  <si>
    <t>注释</t>
  </si>
  <si>
    <t>造成改变</t>
  </si>
  <si>
    <t>相遇模组</t>
  </si>
  <si>
    <t>显示类型：</t>
  </si>
  <si>
    <t>查找年份发明</t>
  </si>
  <si>
    <t>理智参考规则</t>
  </si>
  <si>
    <t>例：丛雨</t>
  </si>
  <si>
    <t>一起出生入死的医生小姐</t>
  </si>
  <si>
    <t>卡森德拉...</t>
  </si>
  <si>
    <t>如果在需要SC的时候</t>
  </si>
  <si>
    <t>理智值≥50为100
否则为96-100</t>
  </si>
  <si>
    <t>＞当前san值</t>
  </si>
  <si>
    <t>≤当前san值</t>
  </si>
  <si>
    <t>造成的结果</t>
  </si>
  <si>
    <t>减少可能出现的最大数值</t>
  </si>
  <si>
    <t>失败者减面数
较多的san值</t>
  </si>
  <si>
    <t>成功者减面数
较少的san值</t>
  </si>
  <si>
    <t>临时疯狂</t>
  </si>
  <si>
    <t>一次损失5点以上的san值，并且智力检定成功</t>
  </si>
  <si>
    <t>不定性疯狂</t>
  </si>
  <si>
    <t>一天内损失现有san值的五分之一</t>
  </si>
  <si>
    <t>永久疯狂</t>
  </si>
  <si>
    <t>san值为0</t>
  </si>
  <si>
    <t>临时性疯狂</t>
  </si>
  <si>
    <t>出目：</t>
  </si>
  <si>
    <t>1D10症状
持续时间1D10轮
与1d10小时的潜在疯狂</t>
  </si>
  <si>
    <t>1D10症状
持续时间1D10轮
之后掉san就进入疯狂</t>
  </si>
  <si>
    <t>这张卡将交给
KP永久控制</t>
  </si>
  <si>
    <t>疯狂发作  即时症状</t>
  </si>
  <si>
    <t>报社/报纸</t>
  </si>
  <si>
    <t>博物馆/大学</t>
  </si>
  <si>
    <t>通讯社</t>
  </si>
  <si>
    <t>（可选）精神固化：当现有 SAN值 低于 [克苏鲁神话] 时，san值 损失永久减半</t>
  </si>
  <si>
    <t>打开下拉栏查看</t>
  </si>
  <si>
    <t>原卡由秋叶EXODUS制作</t>
  </si>
  <si>
    <t>骰娘快捷输入见【简化卡】</t>
  </si>
  <si>
    <t>如果你发现了难以理解的翻译、不完整的显示、或是其他各种问题请联系作者（在更新说明页有联系方式）</t>
  </si>
  <si>
    <t>使用ctrl+滚轮上下调整大小，手机就直接用手指啦</t>
  </si>
  <si>
    <t>使用alt+enter换行</t>
  </si>
  <si>
    <t>最好使用最新版excel打开本卡</t>
  </si>
  <si>
    <t>技能</t>
  </si>
  <si>
    <t>当前时间</t>
  </si>
  <si>
    <t>STR</t>
  </si>
  <si>
    <t>DEX</t>
  </si>
  <si>
    <t>POW</t>
  </si>
  <si>
    <t>INT</t>
  </si>
  <si>
    <t>CON</t>
  </si>
  <si>
    <t>APP</t>
  </si>
  <si>
    <t>EDU</t>
  </si>
  <si>
    <t>SIZ</t>
  </si>
  <si>
    <t>HP</t>
  </si>
  <si>
    <t>SAN</t>
  </si>
  <si>
    <t>MP</t>
  </si>
  <si>
    <t>Armor</t>
  </si>
  <si>
    <t>DB</t>
  </si>
  <si>
    <t>Build</t>
  </si>
  <si>
    <t>LUCK</t>
  </si>
  <si>
    <t>MOV</t>
  </si>
  <si>
    <t>随身物品</t>
  </si>
  <si>
    <t>累计消耗</t>
  </si>
  <si>
    <t>描述</t>
  </si>
  <si>
    <t>关键</t>
  </si>
  <si>
    <t>信仰</t>
  </si>
  <si>
    <t>重要人</t>
  </si>
  <si>
    <t>重要地</t>
  </si>
  <si>
    <t>宝物</t>
  </si>
  <si>
    <t>母语：</t>
  </si>
  <si>
    <t>电脑请先将快捷输入复制到下面的框中，再复制框中内容到QQ</t>
  </si>
  <si>
    <t>下面就是快捷输入了，手机一般轻点两下就可以复制啦，电脑请先复制到右边的本文框</t>
  </si>
  <si>
    <t>不知道用什么导入看导入框右侧的说明～</t>
  </si>
  <si>
    <t>电脑本文输入框</t>
  </si>
  <si>
    <t>请“复制”下格，就可以导出文本，放进QQ发送给骰子娘啦</t>
  </si>
  <si>
    <t>→</t>
  </si>
  <si>
    <t>如果不能使用，请复制到txt文档，然后再复制到QQ</t>
  </si>
  <si>
    <t>技能名的改变</t>
  </si>
  <si>
    <t>原技能名称：</t>
  </si>
  <si>
    <t>简化</t>
  </si>
  <si>
    <t>别名</t>
  </si>
  <si>
    <t>力量</t>
  </si>
  <si>
    <t>体力</t>
  </si>
  <si>
    <t>hp</t>
  </si>
  <si>
    <t>汽车</t>
  </si>
  <si>
    <t>驾驶</t>
  </si>
  <si>
    <t>敏捷</t>
  </si>
  <si>
    <t>理智</t>
  </si>
  <si>
    <t>san</t>
  </si>
  <si>
    <t>san值，理智值</t>
  </si>
  <si>
    <t>电子学</t>
  </si>
  <si>
    <t>体质</t>
  </si>
  <si>
    <t>魔法</t>
  </si>
  <si>
    <t>mp</t>
  </si>
  <si>
    <t>步枪/霰弹枪</t>
  </si>
  <si>
    <t>步枪</t>
  </si>
  <si>
    <t>霰弹枪，步霰</t>
  </si>
  <si>
    <t>体型</t>
  </si>
  <si>
    <t>图书馆</t>
  </si>
  <si>
    <t>外貌</t>
  </si>
  <si>
    <t>开锁</t>
  </si>
  <si>
    <t>智力</t>
  </si>
  <si>
    <t>灵感</t>
  </si>
  <si>
    <t>自然学</t>
  </si>
  <si>
    <t>意志</t>
  </si>
  <si>
    <t>计算机</t>
  </si>
  <si>
    <t>计算机使用，电脑</t>
  </si>
  <si>
    <t>领航</t>
  </si>
  <si>
    <t>教育</t>
  </si>
  <si>
    <t>信用</t>
  </si>
  <si>
    <t>信誉</t>
  </si>
  <si>
    <t>重型操作</t>
  </si>
  <si>
    <t>重型机械，重型，重型机械操作</t>
  </si>
  <si>
    <t>幸运</t>
  </si>
  <si>
    <t>运气</t>
  </si>
  <si>
    <t>克苏鲁</t>
  </si>
  <si>
    <t>cm</t>
  </si>
  <si>
    <t>生存</t>
  </si>
  <si>
    <t>红字代表不能使用该名称roll（没有录入，主要因为其特殊的标点符号）</t>
  </si>
  <si>
    <t>可选规则：有故事的调查员</t>
  </si>
  <si>
    <t>SAN值减少</t>
  </si>
  <si>
    <t>战场经历包</t>
  </si>
  <si>
    <t>1D10+5</t>
  </si>
  <si>
    <t>对目击尸体和重伤员造成的理智损失免疫;根据战争的年份和模组发生时的年份调整年龄；背景增加一项：战争相关的伤疤 / 疤痕或恐惧症 / 躁狂症</t>
  </si>
  <si>
    <t>警务经历包</t>
  </si>
  <si>
    <t>1D10</t>
  </si>
  <si>
    <t>对目击尸体造成的理智损失免疫;初始年龄不能低于 25 岁;背景增加一项：警察工作相关的伤疤 / 疤痕或恐惧症 / 躁狂症；</t>
  </si>
  <si>
    <t>罪犯经历包</t>
  </si>
  <si>
    <t>对目击尸体、目击或亲自谋杀、目击对人类的暴力残害造成的理智损失免疫;初始年龄不能低于 20 岁；背景增加一项：犯罪历史相关的伤疤 / 疤痕或恐惧症 / 躁狂症</t>
  </si>
  <si>
    <t>医务经历包</t>
  </si>
  <si>
    <t>对目击尸体和重伤员造成的理智损失免疫;初始年龄不能低于 30 岁；背景增加一项：个人背景相关的伤疤 / 疤痕或恐惧症 / 躁狂症；</t>
  </si>
  <si>
    <t>神话经历包</t>
  </si>
  <si>
    <t>如果是"相信者"，减少和克苏鲁神话相同的san值</t>
  </si>
  <si>
    <t>按 KP 允许的数值增加「克苏鲁神话」技能;背景增加两项：与神话经历相关的伤疤 /疤痕、恐惧症 / 躁狂症、遭遇的怪异存在</t>
  </si>
  <si>
    <t>序号</t>
  </si>
  <si>
    <t>职业属性</t>
  </si>
  <si>
    <t>技能点</t>
  </si>
  <si>
    <t>本职技能</t>
  </si>
  <si>
    <t>推荐关系人</t>
  </si>
  <si>
    <t>右侧下拉框选择自定义职业技能与属性
（excel2007及以下不适用）</t>
  </si>
  <si>
    <t>自定义职业本职技能</t>
  </si>
  <si>
    <t>列出一些角色在职业工作中可能接触的个人或组织,它们也可以为调查员的个人背景提供灵感。</t>
  </si>
  <si>
    <t>不多于7个本职技能。
在职业属性中输入第二职业属性的名字（如外貌、意志、教育、敏捷、力量、体质、体型，留空则视为EDU）并自行设置起始信誉。使用自定义职业前，请先咨询你的KP</t>
  </si>
  <si>
    <t>会计师</t>
  </si>
  <si>
    <t>30-70</t>
  </si>
  <si>
    <r>
      <rPr>
        <charset val="134"/>
        <sz val="11"/>
        <color rgb="FF000000"/>
        <rFont val="微软雅黑 Light"/>
      </rPr>
      <t>教育×</t>
    </r>
    <r>
      <rPr>
        <charset val="134"/>
        <sz val="11"/>
        <color indexed="8"/>
        <rFont val="微软雅黑 Light"/>
      </rPr>
      <t>4</t>
    </r>
  </si>
  <si>
    <t>会计，法律，图书馆，聆听，说服，侦查，任意其他两项个人或时代特长。</t>
  </si>
  <si>
    <t>生意伙伴，法律界，金融业界(银行，其他会计师)。</t>
  </si>
  <si>
    <t>会计师可能在企业工作或作为自由会计师，为个体经营者和企业客户担任顾问。
他们是优秀的研究者，既勤奋又关注细节，能够通过仔细分析个人和企业事务历史记录、财务报表和其他记录支持其他调查员。</t>
  </si>
  <si>
    <t>杂技演员</t>
  </si>
  <si>
    <t>9-20</t>
  </si>
  <si>
    <r>
      <rPr>
        <charset val="134"/>
        <sz val="11"/>
        <color rgb="FF000000"/>
        <rFont val="微软雅黑 Light"/>
      </rPr>
      <t>教育×</t>
    </r>
    <r>
      <rPr>
        <charset val="134"/>
        <sz val="11"/>
        <color rgb="FF000000"/>
        <rFont val="微软雅黑 Light"/>
      </rPr>
      <t>2＋敏捷×2</t>
    </r>
  </si>
  <si>
    <t>攀爬，闪避，跳跃，投掷，侦查，游泳，任意两项其他个人或时代特长。</t>
  </si>
  <si>
    <t>业余运动员圈，体育专栏作家，马戏团，嘉年华管理者。</t>
  </si>
  <si>
    <t>杂技演员可能是参加各级比赛(甚至奥运会)的业余运动员，也可能是专业的演员，在马戏团、嘉年华、歌舞团之类的地方作为娱乐业从业者工作。</t>
  </si>
  <si>
    <t>演员-戏剧演员</t>
  </si>
  <si>
    <t>9-40</t>
  </si>
  <si>
    <t>教育×2＋外貌×2</t>
  </si>
  <si>
    <t>技艺（表演），乔装，格斗，历史，两项社交技能（取悦、话术、恐吓、说服），心理学，任意一项其他个人或时代特长。</t>
  </si>
  <si>
    <t>戏剧产业，报刊艺术批评家，演员公会。</t>
  </si>
  <si>
    <t>一般指舞台剧演员和电影演员。许多演员有相当深厚的文化素养，认为自己才是“正统”的，倾向于轻视电影业的商业活动。直到20 世纪后期电影业的地位提高，电影演员的薪酬增加，这种情况才发生改变。
电影业和电影明星一直是世界人民关注的焦点。许多明星一夜成名，在媒体的聚光灯下过着光鲜亮丽的生活。
在1920 年代，虽然全国都有大型剧院，美国的戏剧中心仍然是纽约城。英国的情况与之相近，戏剧的中心在伦敦，其他的剧团则在各郡作巡回演出。巡回剧团乘火车旅行，演出内容既包括新编剧目，也包括莎士比亚和其他人的传统剧目。有些剧团也会花时间去国外采风，通常是去加拿大、夏威夷、澳大利亚和欧洲大陆。
20 年代后期出现了有声电影，不少默片时代的明星难以适应有声电影的冲击，挥舞手臂的夸张扮演从此让位给了细致入微的角色特写。这段时间前期的明星包括约翰·加菲尔德和弗兰西斯·布什曼，后期则是贾莱·库珀和琼·克劳馥。</t>
  </si>
  <si>
    <t>演员-电影演员</t>
  </si>
  <si>
    <t>20-90</t>
  </si>
  <si>
    <t>技艺（表演），乔装，汽车驾驶，两项社交技能（取悦、话术、恐吓、说服），心理学，任意两项其他个人或时代特长（如骑乘或格斗）。</t>
  </si>
  <si>
    <t>电影工作室，媒体评论员，作家。</t>
  </si>
  <si>
    <t>事务所侦探、保安</t>
  </si>
  <si>
    <t>20-45</t>
  </si>
  <si>
    <t>教育×2＋力量或敏捷×2</t>
  </si>
  <si>
    <t>一项社交技能（取悦、话术、恐吓、说服），格斗（斗殴），射击，法律，图书馆，心理学，潜行，追踪。</t>
  </si>
  <si>
    <t>本地执法机构，客户。</t>
  </si>
  <si>
    <t>世界上有许多著名的侦探机构，其中最著名的是平克顿和伯恩斯调查局(后来合并成一家公司)。这样的公司一般有两类工作人员：安保人员和调查人员。
企业或个人雇用安保人员来保护自己的资产和人员免受盗贼、刺客和绑匪的威胁。这些安保人员角色使用巡警的职业模板。调查人员则是便衣侦探，负责为公司客户解决各种异常事件、阻止谋杀事件、寻找失踪的人员等等。</t>
  </si>
  <si>
    <t>精神病医生（古典）</t>
  </si>
  <si>
    <t>10-60</t>
  </si>
  <si>
    <t>教育×4</t>
  </si>
  <si>
    <t>法律，聆听，医学，外语，精神分析，心理学，科学（生物学，化学）。</t>
  </si>
  <si>
    <t>其他精神疾病研究者，医生，有时还有执法机构的侦探。</t>
  </si>
  <si>
    <t>在1920 年代，“精神病医生”这个词专用来称呼治疗精神失常的医生(也就是早期的精神科医生)。精神分析在当时的美国鲜为人知，而且它的基本内容都是性生活和如厕训练之类令大众不齿的东西。精神病学，一种正规的从行为主义发展来的医学理论则要普及得多。精神病医生、精神科医生和神经科医生还经常爆发激烈的论战。</t>
  </si>
  <si>
    <t>动物训练师</t>
  </si>
  <si>
    <t>10-40</t>
  </si>
  <si>
    <t>教育×2＋外貌或意志×2</t>
  </si>
  <si>
    <t>跳跃，聆听，自然，心理学，科学（动物学），潜行，追踪，任意一项其他个人或时代特长。</t>
  </si>
  <si>
    <t>动物园，马戏团，赞助人，演员。</t>
  </si>
  <si>
    <t>动物训练师可能在电影工作室、巡回马戏团、马厩工作或自由工作。不管是训练导盲犬、狮子钻火圈，他们工作时基本要独自一人长时间近距离地照看这些动物。动物训练师可以像对人一样对动物使用「心理学」技能。</t>
  </si>
  <si>
    <t>文物学家（原作向）</t>
  </si>
  <si>
    <t>估价，技艺（任一），历史，图书馆，外语，一项社交技能（取悦、话术、恐吓、说服），侦查，任意一项其他个人或时代特长。</t>
  </si>
  <si>
    <t>书商，古董收藏者，历史研究学会。</t>
  </si>
  <si>
    <t>文物学家也许是调查员可以从事的最具有洛夫克拉夫特风格的职业：那些历久弥新的的卓越作品、湮没在古代传说中的神奇力量，总能使他们乐在其中。独立的收入使文物学家能够研究古旧晦涩的文物，或者根据自己的兴趣爱好集中探寻特别的种类。他们通常有着欣赏的眼光、敏锐的头脑，和讽刺无知、自大、贪婪者的愚蠢时尖酸刻薄的幽默。</t>
  </si>
  <si>
    <t>古董商</t>
  </si>
  <si>
    <t>30-50</t>
  </si>
  <si>
    <t>会计，估价，汽车驾驶，两项社交技能（取悦、话术、恐吓、说服），历史，图书馆，导航。</t>
  </si>
  <si>
    <t>本地的历史学家，其他古董商，可能还包括赝造师。</t>
  </si>
  <si>
    <t>古董商通常自己开店，从自己所在的地方转卖物品，或继续扩展业务范围，通过倒卖物品到城市商店赚取利润。</t>
  </si>
  <si>
    <t>考古学家（原作向）</t>
  </si>
  <si>
    <t>估价，考古，历史，外语，图书馆，侦查，机械维修，导航或科学（任一：如化学、物理、地理等）。</t>
  </si>
  <si>
    <t>自定义职业属性</t>
  </si>
  <si>
    <t>赞助人，博物馆，大学。</t>
  </si>
  <si>
    <t>考古学家研究探索历史的痕迹。主要来说，是对人类历史相关的物质数据进行各种鉴识、检查、分析。这项工作包含辛苦细致的研究，更不必提情愿亲自下斗铲土的决心。
在1920 年代，成功的考古学家会被当成著名冒险家与探险家，名利双收。有人运用科学方法考古，不过更多的人对付老祖宗的秘密时喜好暴力破解的办法，甚至祭出炸药，这种碉堡了的办法现代人可是很难看得惯的。</t>
  </si>
  <si>
    <t>建筑师</t>
  </si>
  <si>
    <t>会计，技艺（技术制图），法律，母语，计算机或图书馆，说服，心理学，科学（数学）。</t>
  </si>
  <si>
    <t>属性名称</t>
  </si>
  <si>
    <t>是否使用</t>
  </si>
  <si>
    <t>使用倍数</t>
  </si>
  <si>
    <t>本地建设和城市规划部门，建筑公司。</t>
  </si>
  <si>
    <t>建筑师掌握设计和营造建筑的知识，不论是个人房屋的改造还是造价数百万美元的地标工程。建筑师与项目经理紧密合作，负责监督施工全程。建筑师必须了解当地的规划法律，健康和安全法规，和基础的公众安全原则。他们既可以在大公司工作，也可以自由工作，这在很大程度上取决于信誉。
在1920 年代，许多人尝试在自家或小办公室单干。不过他们苦心创造的宏伟设计很少能卖得出去。
建筑师也可能专擅某一学科，比如军事建筑或景观工程等。</t>
  </si>
  <si>
    <t>艺术家</t>
  </si>
  <si>
    <t>9-50</t>
  </si>
  <si>
    <t>教育×2＋敏捷或意志×2</t>
  </si>
  <si>
    <t>技艺（任一），历史或自然，一项社交技能（取悦、话术、恐吓、说服），外语，心理学，侦查，任意两项其他个人或时代特长。</t>
  </si>
  <si>
    <t>美术馆，美术批评家，富有的赞助人，广告业者。</t>
  </si>
  <si>
    <t>艺术家在这里可以是画家，雕塑家等等。他们有时沈浸于自己虚幻的想象当中，有时又沐浴在激发热情和理解的灵感之下。不论是否天资优秀，艺术家的内心必须足够强大，这样才能战胜生涯起步时的障碍和挑剔的眼光，并且在自己小有名气以后继续努力。有些艺术家对物质生活是否丰富并不在乎，而有些则有着强烈的创业倾向。</t>
  </si>
  <si>
    <t>精神病院看护</t>
  </si>
  <si>
    <t>8-20</t>
  </si>
  <si>
    <t>闪避，格斗（斗殴），急救，两项社交技能（取悦、话术、恐吓、说服），聆听，心理学，潜行。</t>
  </si>
  <si>
    <t>医护人员，患者和患者家属。允许接触医疗记录、药品或其他医疗用品。</t>
  </si>
  <si>
    <t>尽管少数富有的人会选择私人疗养院，大多精神病患者最终会被安置到州县设置的定点医院。这些地方除了医生护士以外，还会有一支看护队伍。选聘看护的时候，力量和体格往往比医学知识更被看重。</t>
  </si>
  <si>
    <t>运动员</t>
  </si>
  <si>
    <t>9-70</t>
  </si>
  <si>
    <t>攀爬，跳跃，格斗（斗殴），骑乘，一项社交技能（取悦、话术、恐吓、说服），游泳，投掷，任意一项其他个人或时代特长。</t>
  </si>
  <si>
    <t>体育界，体育专栏作家，其他明星。</t>
  </si>
  <si>
    <t>运动员可能效力于职业的棒球、足球、板球或者篮球队伍。这支队伍也许是大联盟队伍，有着稳定工资，参加的比赛万人瞩目；或者是众多小联盟队伍之一，尤其是在1920 年代的棒球界。这些队伍往往寄于大联盟队伍篱下，各方面都受其管理，工资更是刚够运动员糊口又不至于让他们跳槽的水平。
成功的运动员在自己的专业领域会拥有相当的声誉——现今尤其如此，在世界各地都能看到体育明星和电影明星并肩站在红地毯上的场景。</t>
  </si>
  <si>
    <t>作家（原作向）</t>
  </si>
  <si>
    <t>9-30</t>
  </si>
  <si>
    <t>技艺（文学），历史，图书馆，自然或神秘学，外语，母语，心理学，任意一项其他个人或时代特长。</t>
  </si>
  <si>
    <t>出版社，文学评论家，历史学家等。</t>
  </si>
  <si>
    <t>作家不同于记者，他们用文字定义和探讨人们的社会生活，尤其是人们的情感变化。他们的劳动通常孤立而又自我中心：虽然以前写作是个能稳拿工资的行当，但如今只靠写作发大财的人屈指可数。
作家的工作习惯相差极大。通常作家们会花费数月乃至数年的时间调查取材，为新书的创作做准备；然后闭门谢客，投入紧张的创作。</t>
  </si>
  <si>
    <t>酒保</t>
  </si>
  <si>
    <t>8-25</t>
  </si>
  <si>
    <t>会计，两项社交技能（取悦、话术、恐吓、说服），格斗（斗殴），聆听，心理学，侦查，任意一项其他个人或时代特长。</t>
  </si>
  <si>
    <t>常客，可能有犯罪组织。</t>
  </si>
  <si>
    <t>酒保虽然不一定是酒吧的掌柜，却一定是所有客人的朋友。对客人们的好声气，一部分来说是出于他们的职业或者业务，而更多的来说则是达到目的的一种手段。
1920 年代，由于禁酒令的存在，酒保变成了非法的职业；但是遍地开花的黑酒吧又不能没有酒保，结果就是酒保仍然不愁找不到活干。</t>
  </si>
  <si>
    <t>猎人</t>
  </si>
  <si>
    <t>20-50</t>
  </si>
  <si>
    <t>射击，聆听或侦查，自然，导航，外语或生存（任一），科学（生物学或植物学），潜行，追踪。</t>
  </si>
  <si>
    <t>外国政府官员，狩猎监管人员，前客户(大多很有钱)，黑市商人与黑社会，动物园主。</t>
  </si>
  <si>
    <t>猎人是优秀的追踪者和狩猎者，通常靠为富裕的客户捕猎为生。绝大多数猎人会对地球上某一个部分的情况烂熟于心，比如加拿大森林、非洲草原等等。有些人可能从事盗猎活动，例如为私人收藏家捕捉珍稀动物，或者贩卖受保护的动物和违反道德的动物制品，如兽皮、象牙之类——虽然1920 年代大多数国家这些活动都不算违法。
尽管“王牌猎人”是最典型的类型，不过在加拿大育空的深山老林里打驼鹿和熊为生的土著人也可以算是猎人。</t>
  </si>
  <si>
    <t>书商</t>
  </si>
  <si>
    <t>20-40</t>
  </si>
  <si>
    <t>会计，估价，汽车驾驶，历史，图书馆，母语，外语，一项社交技能（取悦、话术、恐吓、说服）。</t>
  </si>
  <si>
    <t>√</t>
  </si>
  <si>
    <t>目录学家、其他书商、图书馆和大学、客户。</t>
  </si>
  <si>
    <t>书商可能拥有自己的店面或者利基(小众)邮购服务，也可能辗转全国甚至海外专门经销书籍。许多人拥有富有的，能提供利润丰厚又稀罕的工作的固定客户。</t>
  </si>
  <si>
    <t>赏金猎人</t>
  </si>
  <si>
    <t>汽车驾驶，电子学或电气维修，格斗或射击，一项社交技能（取悦、话术、恐吓、说服），法律，心理学，追踪，潜行。</t>
  </si>
  <si>
    <t>保释业者，本地警察，线人。</t>
  </si>
  <si>
    <t>赏金猎人捉拿罪犯并将他们交给正义去审判。最常见的情况是受保释人的委托去缉捕逃狱者。赏金猎人们为了自己的猎物可以不择手段，几乎不会考虑其他人的正当权益之类细枝末节的东西。
非法闯入、威胁、肢体暴力，都是赏金猎人屡试不爽的秘技。现在这些秘技还包括了电话窃听、黑客操作和其他的秘密监控。
(译注：所谓保释业者。向法院交纳保释金，可以在审判之前免受收押；若被保释者按时接受审判，法院会退还保释金。保释金数额较大，故有保释业者以提供保释金收取手续费为业。)</t>
  </si>
  <si>
    <t>拳击手、摔跤手</t>
  </si>
  <si>
    <t>9-60</t>
  </si>
  <si>
    <t>教育×2＋力量×2</t>
  </si>
  <si>
    <t>闪避，格斗（斗殴），恐吓，跳跃，心理学，侦查，任意两项其他个人或时代特长。</t>
  </si>
  <si>
    <t>运动会主办者，记者，犯罪组织，专业训练人员。</t>
  </si>
  <si>
    <t>拳击手和摔跤手各分为职业和业余两种。
职业拳击手和职业摔角手的活动由外部利益支持的贸助人安排，并有合同约束。他们还要进行全日制的工作和训练。
业余拳击的竞赛种类非常丰富，同时它也是那些想成为职业拳手的人的训练场。不过也有业余和准职业的选手靠参加黑市拳击赛谋生，举办这些比赛的通常是本地的黑社会或者是从中渔利的庄家。</t>
  </si>
  <si>
    <t>管家、男仆、女仆</t>
  </si>
  <si>
    <t>会计或估价，技艺（任一：如烹饪、裁缝、理发），急救，聆听，外语，心理学，侦查，任意一项其他个人或时代特长。</t>
  </si>
  <si>
    <t>计算方式</t>
  </si>
  <si>
    <t>神职人员</t>
  </si>
  <si>
    <t>会计，历史，图书馆，聆听，外语，一项社交技能（取悦、话术、恐吓、说服），心理学，任意一项其他技能。</t>
  </si>
  <si>
    <t>所有属性的点数相加</t>
  </si>
  <si>
    <t>教会高层、地方教会、小区领导。</t>
  </si>
  <si>
    <t>神职人员通常担任一个教区的牧师，或是经过分配外出传教，尤其是去国外(见传教士)。
不同的教会工作的侧重点和组织结构各不相同，如天主教会的牧师可能上升到主教、大主教和红衣主教，而一个卫理公会的牧师则会升职到教区主管和主教。
许多神职人员都接受忏悔(不仅仅是天主教)。虽然不能透露忏悔的内容，但是要怎样利用它们就全凭他们自己了。
有些教职人员在教堂接受医生、律师、学者的专业培训。这样的调查员应该选择最符合自己工作的职业模板。</t>
  </si>
  <si>
    <t>程序员、电子工程师（现代）</t>
  </si>
  <si>
    <t>10-70</t>
  </si>
  <si>
    <t>计算机，电气维修，电子学、图书馆，科学（数学），侦查，任意两项其他个人或时代特长。</t>
  </si>
  <si>
    <t>其他IT 工作者，同事和上司，专业网络小区。</t>
  </si>
  <si>
    <t>计算器程序员通常是设计、编写、测试、调试和维护计算器程序源代码的职业。他们精通从形式逻辑到系统平台(程序运行环境)的各种知识，可能是自由工作者，也可能供职于软件开发部门。
计算器技术人员负责计算器系统和网络的开发和维护工作，经常与其他人员(如项目经理)合作来保证系统的完整稳定和正常提供所需功能。类似的职业还包括数据库管理员、系统管理员、网络管理员、多媒体开发人员、软件工程师、网络管理员等。</t>
  </si>
  <si>
    <t>黑客/骇客（现代）</t>
  </si>
  <si>
    <t>计算机，电气维修，电子学，图书馆，侦查，一项社交技能（取悦、话术、恐吓、说服），任意两项其他技能。</t>
  </si>
  <si>
    <t>其他IT 工作者，专业网络小区，政治团体，犯罪组织。</t>
  </si>
  <si>
    <t>计算器黑客利用计算器和计算器网络为手段，进行干扰或破坏以达成政治目的(有时被称为“政治黑客”)或获取非法利益。达成目标的手段主要是非法入侵计算器和其他用户帐户，目的则可能包括篡改网页、人肉搜索、盗取身份信息、垃圾邮件炸弹、拒绝服务攻击等等。</t>
  </si>
  <si>
    <t>牛仔</t>
  </si>
  <si>
    <t>闪避，格斗或射击，急救或自然，跳跃，骑乘，生存（任一），投掷，追踪。</t>
  </si>
  <si>
    <t>本地企业家，州农业部门，牛仔比赛主办者，艺人。</t>
  </si>
  <si>
    <t>牛仔在西部的牧区和牧场工作。有些人拥有自己的牧场，更多的则是在各处打工为生。想赚大钱的牛仔会去冒着丢胳膊少腿乃至送命的危险参加牛仔巡回赛，通过旅行获取名誉。
在1920 年代，一些牛仔能在好莱坞找到西部片替身演员和群众演员的工作，例如怀特·厄普就曾为西部电影担任顾问。在现代，有些牧场也对想要体验一把牛仔生活的游客开放。</t>
  </si>
  <si>
    <t>工匠</t>
  </si>
  <si>
    <t>教育×2＋敏捷×2</t>
  </si>
  <si>
    <t>会计，技艺（任二），机械维修，自然，侦查，任意两项其他个人或时代特长。</t>
  </si>
  <si>
    <t>本地商人，其他工匠和艺术家。</t>
  </si>
  <si>
    <t>工匠也可能被人叫做师傅或大师，是擅长对各种材料进行手工加工的人。通常都是才能出众的人，有的凭借自己的艺术作品出名，有的则会服务于自己的小区。
可能的行当包括：家具、珠宝、钟表、陶艺、锻造、纺织、书法、裁缝、木工、书籍装裱、玩具制造、彩色玻璃吹制等等。</t>
  </si>
  <si>
    <t>罪犯-刺客</t>
  </si>
  <si>
    <t>30-60</t>
  </si>
  <si>
    <t>乔装，电气维修，格斗，射击，锁匠，机械维修，潜行，心理学。</t>
  </si>
  <si>
    <t>很少，大都是黑社会的人，人们尽量避免和他们交情过深。</t>
  </si>
  <si>
    <t>杀手是地下世界的冷血夺命者。这是一项严谨的活计，他们从外地受雇杀人，接近目标，果断下手，又迅速离开。杀手通常很难融入社会，因为很多杀手行为总是很刻板，其他人很容易以为他们不近人情。但是另一方面，他们也会结婚生子，在其他方面和普通人没有什么不同。</t>
  </si>
  <si>
    <t>罪犯-银行劫匪</t>
  </si>
  <si>
    <t>5-75</t>
  </si>
  <si>
    <r>
      <rPr>
        <charset val="134"/>
        <sz val="11"/>
        <color rgb="FF000000"/>
        <rFont val="微软雅黑 Light"/>
      </rPr>
      <t>教育×</t>
    </r>
    <r>
      <rPr>
        <charset val="134"/>
        <sz val="11"/>
        <color indexed="8"/>
        <rFont val="微软雅黑 Light"/>
      </rPr>
      <t>2＋力量或敏捷×2</t>
    </r>
  </si>
  <si>
    <t>汽车驾驶，电气维修或机械维修，格斗，射击，恐吓，锁匠，操作重型机械，任意一项其他个人或时代特长。</t>
  </si>
  <si>
    <t>同伙(不论是现在还是以前的)，独行罪犯，犯罪组织。</t>
  </si>
  <si>
    <t>罪犯的体格和相貌形形色色，有些是纯粹碰运气伺机行事，比如扒手和暴徒；有些则组成分工明确，会详细调查并制定计划的犯罪组织。后者包括银行劫匪、飞贼、赝造者和诈骗者。
罪犯可能为别人工作，后者通常是“匪帮”或罪犯家族；也可能单打独斗，如果成功的报酬值得去费力冒险，才会和别人搭伙。自由犯罪者则往往被称为抢劫犯、响马贼和江洋大盗。</t>
  </si>
  <si>
    <t>罪犯-打手、暴徒</t>
  </si>
  <si>
    <t>5-30</t>
  </si>
  <si>
    <r>
      <rPr>
        <charset val="134"/>
        <sz val="11"/>
        <color rgb="FF000000"/>
        <rFont val="微软雅黑 Light"/>
      </rPr>
      <t>教育×</t>
    </r>
    <r>
      <rPr>
        <charset val="134"/>
        <sz val="11"/>
        <color rgb="FF000000"/>
        <rFont val="微软雅黑 Light"/>
      </rPr>
      <t>2＋力量×2</t>
    </r>
  </si>
  <si>
    <t>汽车驾驶，格斗，射击，两项社交技能（取悦、话术、恐吓、说服），心理学，潜行，侦查。</t>
  </si>
  <si>
    <t>犯罪组织，本地执法机构，本地企业。</t>
  </si>
  <si>
    <t>打手、暴徒都是犯罪组织的兵卒。他们被犯罪组织豢养，不过团伙上层出事的时候，倒霉的往往是他们这些喽啰。对于他们来说，嘴紧和忠心属于职业道德。</t>
  </si>
  <si>
    <t>罪犯-窃贼</t>
  </si>
  <si>
    <t>5-40</t>
  </si>
  <si>
    <r>
      <rPr>
        <charset val="134"/>
        <sz val="11"/>
        <color rgb="FF000000"/>
        <rFont val="微软雅黑 Light"/>
      </rPr>
      <t>教育×</t>
    </r>
    <r>
      <rPr>
        <charset val="134"/>
        <sz val="11"/>
        <color indexed="8"/>
        <rFont val="微软雅黑 Light"/>
      </rPr>
      <t>2＋敏捷×2</t>
    </r>
  </si>
  <si>
    <t>估价，攀爬，电气维修或机械维修，聆听，锁匠，妙手，潜行，侦查。</t>
  </si>
  <si>
    <t>赃物贩子，其他的盗贼。</t>
  </si>
  <si>
    <t>罪犯-欺诈师</t>
  </si>
  <si>
    <t>10-65</t>
  </si>
  <si>
    <r>
      <rPr>
        <charset val="134"/>
        <sz val="11"/>
        <color rgb="FF000000"/>
        <rFont val="微软雅黑 Light"/>
      </rPr>
      <t>教育×</t>
    </r>
    <r>
      <rPr>
        <charset val="134"/>
        <sz val="11"/>
        <color indexed="8"/>
        <rFont val="微软雅黑 Light"/>
      </rPr>
      <t>2＋外貌×2</t>
    </r>
  </si>
  <si>
    <t>估价，技艺（表演），法律或外语，聆听，两项社交技能（取悦、话术、恐吓、说服），心理学，妙手。</t>
  </si>
  <si>
    <t>其他的诈骗师，独行罪犯。</t>
  </si>
  <si>
    <t>欺诈师通常都是油嘴滑舌的人物。他们或单独或集体出没在富裕的人家和小区周边，诈取他们来之不易的钱财。许多骗局覆杂精妙，诈骗团伙会倾巢出动乃至租用建筑；有些则不需要这么麻烦，只要一个骗子几分钟就能搞定。</t>
  </si>
  <si>
    <t>罪犯-独行罪犯</t>
  </si>
  <si>
    <t>5-65</t>
  </si>
  <si>
    <r>
      <rPr>
        <charset val="134"/>
        <sz val="11"/>
        <color rgb="FF000000"/>
        <rFont val="微软雅黑 Light"/>
      </rPr>
      <t>教育×</t>
    </r>
    <r>
      <rPr>
        <charset val="134"/>
        <sz val="11"/>
        <color rgb="FF000000"/>
        <rFont val="微软雅黑 Light"/>
      </rPr>
      <t>2＋敏捷或外貌×2</t>
    </r>
  </si>
  <si>
    <t>技艺（表演）或乔装，估价，一项社交技能（取悦、话术、恐吓、说服），格斗或射击，锁匠或机械维修，潜行，心理学，侦查。</t>
  </si>
  <si>
    <t>轻罪罪犯，本地执法机构。</t>
  </si>
  <si>
    <t>罪犯-女飞贼（古典）</t>
  </si>
  <si>
    <t>10-80</t>
  </si>
  <si>
    <t>技艺（任意），两项社交技能（取悦、话术、恐吓、说服），格斗（斗殴）或射击（手枪），汽车驾驶，聆听，潜行，任意一项其他个人或时代特长。</t>
  </si>
  <si>
    <t>黑帮，执法机构，本地企业</t>
  </si>
  <si>
    <t>女飞贼是名为专业大盗的女人。大部分都是独立行动，也有对自己的男伴言听计从的时候。
不过这也不一定，实际上情况可能完全相反，她完全可以在干了某一票以后就卷走所有现金和皮草溜之大吉。</t>
  </si>
  <si>
    <t>罪犯-赃物贩子</t>
  </si>
  <si>
    <t>会计，估价，技艺（伪造），历史，一项社交技能（取悦、话术、恐吓、说服），图书馆，侦查，任意一项其他技能。</t>
  </si>
  <si>
    <t>犯罪组织，贸易伙伴，黑市和和守法的买主。</t>
  </si>
  <si>
    <t>赃物贩子，顾名思义是买卖偷抢来的财产，通常是收购赃物并转手卖给其他罪犯或(无意中)守法的顾客。主要来说，他们是小偷和买家的中间人，有时也会从交易中收取提成；不过更常见的还是以极低的价格直接收购赃物。</t>
  </si>
  <si>
    <t>罪犯-赝造者</t>
  </si>
  <si>
    <t>20-60</t>
  </si>
  <si>
    <t>犯罪组织，商人。</t>
  </si>
  <si>
    <t>赝造者是地下世界的艺术家，专门从事伪造官方文件、契约、转让书，并提供伪造的签名。初学者只能做做小贼的假身份证，而顶级的赝造者连印假币的铸模都能做。</t>
  </si>
  <si>
    <t>罪犯-走私者</t>
  </si>
  <si>
    <r>
      <rPr>
        <charset val="134"/>
        <sz val="11"/>
        <color rgb="FF000000"/>
        <rFont val="微软雅黑 Light"/>
      </rPr>
      <t>教育×</t>
    </r>
    <r>
      <rPr>
        <charset val="134"/>
        <sz val="11"/>
        <color rgb="FF000000"/>
        <rFont val="微软雅黑 Light"/>
      </rPr>
      <t>2＋外貌或敏捷×2</t>
    </r>
  </si>
  <si>
    <t>射击，聆听，导航，一项社交技能（取悦、话术、恐吓、说服），汽车驾驶或驾驶（飞行器或船），心理学，妙手，侦查。</t>
  </si>
  <si>
    <t>犯罪组织，海岸卫队，海关官员。</t>
  </si>
  <si>
    <t>走私一直是一个有利可图的高风险行当。走私者往往有一个合法的表面职业，比如船长、飞行员或商人，以掩盖他们非法运输的行为。</t>
  </si>
  <si>
    <t>罪犯-混混</t>
  </si>
  <si>
    <t>3-10</t>
  </si>
  <si>
    <t>攀爬，一项社交技能（取悦、话术、恐吓、说服），格斗，射击，跳跃，妙手，潜行，投掷。</t>
  </si>
  <si>
    <t>其他轻罪罪犯，其他混混，本地的赃物贩子，黑帮，当然还有警察。</t>
  </si>
  <si>
    <t>街头混混一般都是些小年轻，弄不好还在寻觅加入真正黑帮的契机。不过他们的本事也就限于偷车，盗窃商店货物，抢钱或者夜盗。</t>
  </si>
  <si>
    <t>教团首领</t>
  </si>
  <si>
    <t>会计，两项社交技能（取悦、话术、恐吓、说服），神秘学，心理学，侦查，任意其他两项其他个人特长。</t>
  </si>
  <si>
    <t>主要的信徒都是普通人。不过首领的魅力越高，信徒当中有电影明星或者富有的寡妇之类名人的可能性就越大。</t>
  </si>
  <si>
    <t>美国的新兴宗教层出不穷。直到现在，也还有从新英格兰超验主义到“天父的儿女”等等许多种类。教团首领有的创立了严格的教条并且对信徒推行，另一些则仅仅是垂涎于信徒的金钱和权势。
在1920 年代，各种诱惑性的新兴宗教团体纷纷涌现。有些采取基督教的形式，有些则混杂了东方的神秘主义和神秘学的仪式。美国西海岸的人对这些教团屡见不鲜，不过其他形式的教团全国各地都存在。在美国南部的“圣经带”，就有许多巡回帐篷演出圣歌、舞蹈，推行信仰覆兴。其他国家也是一样，只要有需要信仰的人，就会有新兴宗教团体。</t>
  </si>
  <si>
    <t>除魅师（现代）</t>
  </si>
  <si>
    <t>本地和国家的执法机构，罪犯，宗教团体。</t>
  </si>
  <si>
    <t>除魅师的工作是说服(或者强迫)一个人放弃自己的信仰或是对宗教团体、社会团体的忠心。他们一般受雇于深陷教团之类组织的人的亲属，任务就是解救对方(通常靠绑架)，并通过心理学手段使他们割断与原来教团的联系(“控制”)。
也有不那么激烈的除魅师，他们的工作对象则是那些自愿离开教团的人，为他们完全地退出教团进行有效的指导。</t>
  </si>
  <si>
    <t>设计师</t>
  </si>
  <si>
    <t>会计，技艺（摄影），技艺（任一），计算机或图书馆，机械维修，心理学，侦查，任意一项其他个人特长。</t>
  </si>
  <si>
    <t>广告业，媒体，家具业，建筑业，其他。</t>
  </si>
  <si>
    <t>设计师的工作包括许多方面，从时装到家具或是其他任何东西。他们自由工作，为设计工作室和企业设计产品、流程、法律、游戏、图像等等。
调查员特定的设计方向也会影响他们对专业技能的选择，如果需要的话要进行调整。</t>
  </si>
  <si>
    <t>业余艺术爱好者（原作向）</t>
  </si>
  <si>
    <t>50-99</t>
  </si>
  <si>
    <t>技艺（任一），射击，外语，骑乘，一项社交技能（取悦、话术、恐吓、说服），任意三项其他个人或时代特长。</t>
  </si>
  <si>
    <t>多种多样，但通常是背景和趣味相近的人。同好会组织、波希米亚主义者、上流社会。</t>
  </si>
  <si>
    <t>业余艺术爱好者靠经济自立、遗产继承、信托基金或者其他各种来源保障自己的生活开支，没有必要自己工作。如果经济条件足够好，他们甚至可以雇佣专业的经济顾问来打理自己的产业。他们可能有很高的学历，但不一定是真才实学；优越的经济条件使得他们性情古怪，口无遮拦。
在1920 年代，这些人可能会被时人称为“摩登女郎”或者“公子哥儿”，当然想当一个社交“名流”其实并不要求他有多有钱。换作现代，“时髦”则是恰如其分的形容词。
业余艺术爱好者有着大把的时间考虑如何变得潇洒世故，不过花这些时间去做别的事可是违背他们的天性和兴致。</t>
  </si>
  <si>
    <t>潜水员</t>
  </si>
  <si>
    <t>潜水，急救，机械维修，驾驶（船），科学（生物），侦查，游泳，任意一项其他个人或时代特长。</t>
  </si>
  <si>
    <t>海岸警卫队，船长，军队，执法机构，走私者。</t>
  </si>
  <si>
    <t>潜水员可能在军队、执法机构或海绵采集、海上救援、环境保护甚至水下寻宝的民间机构工作。</t>
  </si>
  <si>
    <t>医生（原作向）</t>
  </si>
  <si>
    <t>30-80</t>
  </si>
  <si>
    <t>急救、医学、外语（拉丁文）、心理学、科学（生物学，制药），任两种其他学术或个人特长。</t>
  </si>
  <si>
    <t>其他医生，医护工作者，病人和前病人。</t>
  </si>
  <si>
    <t>医生这里可能是指全科医生、外科医生、其他专科医生或者独立医学研究员。除去个人的目标以外，救死扶伤、获得财富和荣誉、提升公众的理性意识和科学素养也常常是医生的理想。
农村和小城镇的卫生院是全科医生的舞台，而大城市的各大医院则是高手如云，集聚了众多专攻病理学、毒理学、整形外科、脑外科等领域的专家。有些医生也可能担任全职或兼职的法医，进行尸检，并为市、县、州级执法机构出具检验报告。
在美国，行医资格由各州认证，大多要求最少两年的正规医学院校学习经历。不过这个规定还是比较晚近的，在1920 年代很多年长的医生尽管没受过任何正规专业教育，仍然可以获得医师执照。</t>
  </si>
  <si>
    <t>流浪者</t>
  </si>
  <si>
    <t>0-5</t>
  </si>
  <si>
    <t>教育×2＋外貌或敏捷或力量×2</t>
  </si>
  <si>
    <t>攀爬，跳跃，聆听，导航，一项社交技能（取悦、话术、恐吓、说服），潜行，任意两项其他个人或时代特长。</t>
  </si>
  <si>
    <t>其他流浪者，少数友善的铁路工人，城镇里众多的好心人。</t>
  </si>
  <si>
    <t>相对于那些因贫困而苦恼的人，流浪者选择四处漂泊的生活，可能是出于社会、哲学、经济的原因，或只是渴望摆脱社会的约束。
流浪汉需要工作，有时几天或几个月，但他们应对问题时往往选择流动和孤立，而不是舒适和亲近。在美国，这种情况尤其常见，只要旅行本身没有什么危险，就会有人选择漂泊为生。</t>
  </si>
  <si>
    <t>司机-私人司机</t>
  </si>
  <si>
    <t>汽车驾驶，两项社交技能（取悦、话术、恐吓、说服），聆听，机械维修，导航，侦查，任意一项其他个人或时代特长。</t>
  </si>
  <si>
    <t>成功商界人士(包括罪犯)，政要。</t>
  </si>
  <si>
    <t>私人司机是直接受雇于个人或企业，或者是专门提供连人带车的私人司机业务的中介机构。</t>
  </si>
  <si>
    <t>司机-司机</t>
  </si>
  <si>
    <t>会计，汽车驾驶，聆听，一项社交技能（取悦、话术、恐吓、说服），机械维修，导航，心理学，任意一项其他个人或时代特长。</t>
  </si>
  <si>
    <t>顾客，企业，执法机构和街头路人。</t>
  </si>
  <si>
    <t>专职司机可能为企业、个人工作，也可能拥有自己的出租车或货车。通常司机还要通过警方的背景调查，获得特殊的驾驶许可证。</t>
  </si>
  <si>
    <t>司机-出租车司机</t>
  </si>
  <si>
    <t>会计，汽车驾驶，电气维修，话术，机械维修，导航，侦查，任意一项其他个人或时代特长。</t>
  </si>
  <si>
    <t>街头路人，偶尔有一些有名的顾客。</t>
  </si>
  <si>
    <t>出租车司机可能属于大大小小的出租车公司，也可能靠自己的车和证件运营(在美国，需要出租车牌照)。出租车公司负责为出租车司机登记车辆并分配调度，方便司机自由揽客。出租车上必须统一安装计价器，并由出租车协会进行定期检查。</t>
  </si>
  <si>
    <t>编辑</t>
  </si>
  <si>
    <t>10-30</t>
  </si>
  <si>
    <t>会计，历史，母语，两项社交技能（取悦、话术、恐吓、说服），心理学，侦查，任意一项其他个人或时代特长。</t>
  </si>
  <si>
    <t>新闻业界，地方政府，专业人士(如时装设计师、运动员、商人)，出版社。</t>
  </si>
  <si>
    <t>编辑的工作包括审核记者的稿件，撰写报刊社论，应对各种突发事件、到了截稿时间要催稿，编辑工作只好偶尔为之啦。大型报社的编辑数量众多，包括比起新闻编辑更多参与业务运营的主编。其他编辑专门负责时尚、体育或者其他板块。许多小报可能就只有一个编辑，他甚至有可能就是报社的业主或者唯一的全职员工。</t>
  </si>
  <si>
    <t>政府官员</t>
  </si>
  <si>
    <t>50-90</t>
  </si>
  <si>
    <t>取悦，历史，恐吓，话术，聆听，母语，说服，心理学。</t>
  </si>
  <si>
    <t>公务员，政府，新闻媒体，企业，外国政府，可能有犯罪组织。</t>
  </si>
  <si>
    <t>以民选方式选举出来的政府官员享有与他们的职位相符的声望。小城市的市长和城镇的镇长之类，他们的影响力基本出不了城镇的范围，而且这样的职务基本上是兼职的，报酬也很少。大城市的市长，工资就相当可观了，而且还能把自己的城市管理得像小王国一样，影响力和权力比所在州的州长还要大。
州议会的众参两院议员是相当有面子的职位，尤其是在商界和本州岛的其他业界。
州长负责全州的事务，是联系各州和国家的纽带。
联邦政府拥有最高等级的影响力。众议院议员由各州按本州岛人口所占比重选派的共400 余名议员组成，任期为两年。参议院则是不论各州大小，每州选派两名议员到花生屯任职。任期长达六年，人数不超过一百，所以参议员更是权倾一方，许多年长的议员能够享受总统级的待遇。
在英国，下议院议员由选举产生，任期四到五年；上议院议员则不由选举产生，是世袭制或由君主指任。</t>
  </si>
  <si>
    <t>工程师</t>
  </si>
  <si>
    <t>技艺（技术制图），电气维修，图书馆，机械维修，操作重型机械，科学（工程学，物理），任意一项其他个人或时代特长。</t>
  </si>
  <si>
    <t>生意伙伴或部队同事，地方政府，建筑师。</t>
  </si>
  <si>
    <t>工程师精通机械和电气设备，可能在民间或军工企业工作，也可能是个发明家。他们擅长应用科学、数学知识和丰富的创造思维，解决各种技术问题。</t>
  </si>
  <si>
    <t>艺人</t>
  </si>
  <si>
    <t>技艺（表演类，如表演、演唱、喜剧等），乔装，两项社交技能（取悦、话术、恐吓、说服），聆听，心理学，任意两项其他个人或时代特长。</t>
  </si>
  <si>
    <t>歌舞杂技团，剧院，电影工作室，娱乐评论家，犯罪组织，电视台(现代)。</t>
  </si>
  <si>
    <t>艺人包括小丑、歌手、舞蹈演员、喜剧演员、杂耍艺人、魔术师，各种以在人前表演谋生的人。他们乐于向更多的人表现自己的能力，并期待观众回报的掌声。
在1920 年代，这一职业并不受人尊重。不过1920 年代好莱坞明星的高薪彻底改变了很多人的想法，现在这个职业背景已经通常被视作是优势了。</t>
  </si>
  <si>
    <t>探险家（古典）</t>
  </si>
  <si>
    <t>55-80</t>
  </si>
  <si>
    <t>攀爬或游泳，射击，历史，跳跃，自然，导航，外语，生存。</t>
  </si>
  <si>
    <t>大图书馆，大学，博物馆，富有的赞助者，其他探险家，出版社，外国政府官员，本地土著。</t>
  </si>
  <si>
    <t>在20 世纪早期，这世界还有许多地区尚未有人涉足，而探索这些地方正是探险家的工作。这种令人兴奋不已的生活方式，其经济来源则是科学界的赞助、私人的捐赠、博物馆的委托和报纸杂志图书电影的版权等等。
黑非洲的大部分仍然不为人知，同样的地方还包括了南美的马托格罗索高原，澳大利亚的大沙沙漠，撒哈拉和阿拉伯沙漠，和亚洲的茫茫戈壁。尽管南北极点已经被探险家征服了，但周围很大部分的地区仍然是未知的。</t>
  </si>
  <si>
    <t>农民</t>
  </si>
  <si>
    <t>技艺（耕作），汽车驾驶（或运货马车），一项社交技能（取悦、话术、恐吓、说服），机械维修，自然，操作重型机械，追踪，任意一项其他个人或时代特长</t>
  </si>
  <si>
    <t>地方银行，地方政治家，各州农业部门。</t>
  </si>
  <si>
    <t>农民可能自己拥有土地，自己从事农牧业，也可能是受雇在农场工作。农业劳动繁重而枯燥，特别适合那些喜欢户外体力劳动的人。
1920 年代是美国城镇人口超过农村人口的首个十年。从这时起一直到现在，自耕农民都在受到规模化农业企业和剧烈波动的农产品市场的双重冲击。</t>
  </si>
  <si>
    <t>联邦探员</t>
  </si>
  <si>
    <t>汽车驾驶，格斗（斗殴），射击，法律，说服，潜行，侦查，任意一项其他个人或时代特长。</t>
  </si>
  <si>
    <t>联邦司法机构，执法机构，犯罪组织。</t>
  </si>
  <si>
    <t>联邦执法机构和特工种类各异。有些身着制服，比如美国司法部的人员；另外一些则穿便服，工作内容也类似警探，比如联邦调查局的人员。</t>
  </si>
  <si>
    <t>消防员</t>
  </si>
  <si>
    <t>攀爬，闪避，汽车驾驶，急救，跳跃，机械维修，操作重型机械，投掷。</t>
  </si>
  <si>
    <t>市政工人，医务人员，执法机构。</t>
  </si>
  <si>
    <t>消防员是公职人员，通常为所管辖的小区服务。他们夜以继日地工作，或者连续几天的倒班工作，吃住包括娱乐活动都要局限在消防局里。消防员的管理结构类似军队，职位包括中尉、上尉和局长等等。</t>
  </si>
  <si>
    <t>驻外记者</t>
  </si>
  <si>
    <t>历史，外语，母语，聆听，两项社交技能（取悦、话术、恐吓、说服），心理学，任意一项其他个人或时代特长。</t>
  </si>
  <si>
    <t>国内外新闻界，外国政府，军队。</t>
  </si>
  <si>
    <t>驻外记者是新闻界的精英人才。他们拿着固定工资,靠报销单环游全世界。在 1920 年代,驻外记者通常供职于大型报社、广播电台、或者国家级通讯社。当代的驻外记者也可能自由撰稿或 者为电视台、网络通讯社和国际新闻通讯社工作。
这个职业的工作内容五花八门,经常能激动人心。不过博物学灾害、政治动荡和战争也会成为驻外记者报导的主要内容,工作也不总是一帆风 顺。</t>
  </si>
  <si>
    <t>法医</t>
  </si>
  <si>
    <t>40-60</t>
  </si>
  <si>
    <t>外语（拉丁文），图书馆，医学，说服，科学（生物学，药学，司法科学），侦查。</t>
  </si>
  <si>
    <t>实验室工作人员，执法机构，医护人员。</t>
  </si>
  <si>
    <t>法医是一个高度专门化的职业,大多数法医为市、县或州执法机构工作。工作内容包括尸体解剖,推定死因,并为公诉人提供建议。法医也常常会在刑事审判中出庭提供证言。</t>
  </si>
  <si>
    <t>赌徒</t>
  </si>
  <si>
    <t>8-50</t>
  </si>
  <si>
    <r>
      <rPr>
        <charset val="134"/>
        <sz val="11"/>
        <color rgb="FF000000"/>
        <rFont val="微软雅黑 Light"/>
      </rPr>
      <t>教育×</t>
    </r>
    <r>
      <rPr>
        <charset val="134"/>
        <sz val="11"/>
        <color indexed="8"/>
        <rFont val="微软雅黑 Light"/>
      </rPr>
      <t>2＋外貌或敏捷×2</t>
    </r>
  </si>
  <si>
    <t>会计，技艺（表演），两项社交技能（取悦、话术、恐吓、说服），聆听，心理学，妙手，侦查。</t>
  </si>
  <si>
    <t>其他赌徒，犯罪组织，街头路人。</t>
  </si>
  <si>
    <t>赌徒是罪犯世界里最花哨的一群人。他们衣 着光鲜,不论朴实还是华丽都魅力四射。不论是靠赛马、纸牌游戏还是其他赌博方式,他们总是要凭自己的运气过活。
老练的赌徒会频繁地光顾犯罪组织开设的地 下赌场。少数赌场高手可能经常参加漫长而又一掷千金的豪赌,甚至可能有外部利益集团作为后台。
低级的赌徒则出入于狭窄的小巷,在骰子房 耍弄灌铅的骰子,或者是挤坐在阴暗的台球室里。</t>
  </si>
  <si>
    <t>黑帮-黑帮老大</t>
  </si>
  <si>
    <t>60-95</t>
  </si>
  <si>
    <t>格斗，射击，法律，聆听，两项社交技能（取悦、话术、恐吓、说服），心理学，侦查。</t>
  </si>
  <si>
    <t>犯罪组织，街头罪犯，警察，地方政府，政治家，法官，工会，律师，同民族的代表。</t>
  </si>
  <si>
    <t>黑帮可能是整个城市、一部分城市的大佬, 也可能只是给这些大佬打工的马仔。马仔们通常 有自己的保护范围,比如监管非法运输和收取保 护费等等。老板总管业务,负责交易,并要就各 种各样的问题给马仔们拿主意。更重要的是,老 板可以各种高人一等,只要能找到马仔或者小弟 去干的事,他基本是不肯污了自己的手去做的。
黑社会在 1920 年代上升为突出的社会问题。本来仅限于在本地收收保护费和管管赌场的外国 裔黑帮,不约而同地发现了贩卖私酒带来的巨大 利润。没过多久,他们就掌控了城市的大片区域, 并在街上和其他黑帮火并。虽然大部分黑帮是按 来源的民族划分——如爱尔兰裔、意大利裔、非 洲裔和犹太裔,黑帮的成员仍然可能是任何民族。
如今,贩毒则取代其他,成为多数黑帮中来 钱最快的犯罪门路。和 1920 年代前辈的工作方法 类似,现在的黑帮老大也需要大量的小弟来负责 保卫、推广、在街道里推行自己的业务。
除去贩私酒和贩毒以外,卖淫、保护、赌博、 腐败等等都是这些犯罪组织的业务范围。</t>
  </si>
  <si>
    <t>黑帮-马仔</t>
  </si>
  <si>
    <t>汽车驾驶，格斗，射击，两项社交技能（取悦、话术、恐吓、说服），心理学，任意两项其他个人或时代特长。</t>
  </si>
  <si>
    <t>街头罪犯，警察，企业，同民族的代表。</t>
  </si>
  <si>
    <t>绅士、淑女</t>
  </si>
  <si>
    <t>40-90</t>
  </si>
  <si>
    <t>技艺（任一），两项社交技能（取悦、话术、恐吓、说服），射击（步枪/霰弹枪），历史，外语（任一），导航，骑乘。</t>
  </si>
  <si>
    <t>上流社会和乡绅，政治家，仆人和农民。</t>
  </si>
  <si>
    <t>绅士淑女指的是有良好的教养品行、举止彬彬有礼的人。通常用来称呼上流社会(通过继承 或津贴)拥有相当财富的人。
在上世纪 20 年代,这样的人至少要有一个仆 人(管家、男仆、女仆、私人司机),还要有城 市或乡村的宅第。家庭的富有并不重要,因为家庭的社会地位往往比财产更被上流社会所看重。</t>
  </si>
  <si>
    <t>游民</t>
  </si>
  <si>
    <t>教育×2＋外貌或敏捷×2</t>
  </si>
  <si>
    <t>技艺（任一），攀爬，跳跃，聆听，锁匠或妙手，导航，潜行，任意一项其他个人或时代特长。</t>
  </si>
  <si>
    <t>其他游民，少数友好的铁路员工，许多城镇里的好心人。</t>
  </si>
  <si>
    <t>游民只有少数的人愿意去当,虽然失业的人、 醉倒在阴沟里的醉鬼到处都是。和流浪者只会在 必需时才工作不同,游民的工作本身就是流浪。
他们不断地坐火车旅行,从一个城市辗转到 另一个城市,他们是身无分文的诗人、漂泊者, 铁路上的探索者、冒险者和盗贼。但是铁路上的生活一样充满危险。且不说穷困潦倒、无家可归, 还要面对来自警察、周围居民和铁路员工的敌意。另外在深夜中跳车并不是一件容易的事,在跳车的时候被车厢夹断过手脚的人可是不可胜数。</t>
  </si>
  <si>
    <t>勤杂护工</t>
  </si>
  <si>
    <t>6-15</t>
  </si>
  <si>
    <r>
      <rPr>
        <charset val="134"/>
        <sz val="11"/>
        <color rgb="FF000000"/>
        <rFont val="微软雅黑 Light"/>
      </rPr>
      <t>教育×</t>
    </r>
    <r>
      <rPr>
        <charset val="134"/>
        <sz val="11"/>
        <color indexed="8"/>
        <rFont val="微软雅黑 Light"/>
      </rPr>
      <t>2＋力量×2</t>
    </r>
  </si>
  <si>
    <t>电气维修，一项社交技能（取悦、话术、恐吓、说服），格斗（斗殴），急救，聆听，机械维修，心理学，潜行。</t>
  </si>
  <si>
    <t>其他医疗人员，病人。允许接触医疗记录、药品等等。</t>
  </si>
  <si>
    <t>勤杂护工在医院的工作包括倒垃圾、打扫房间、运送病人,还有一些其他乱七八糟的工作。总之对他们的要求不比对看门人多多少。</t>
  </si>
  <si>
    <t>记者(原作向)-调查记者</t>
  </si>
  <si>
    <t>技艺（艺术或摄影），一项社交技能（取悦、话术、恐吓、说服），历史，图书馆，母语，心理学，任意两项其他个人或时代特长。</t>
  </si>
  <si>
    <t>新闻界，政治家，街头罪犯和执法机构。</t>
  </si>
  <si>
    <t>记者用文字对当天的新闻事件进行报导与评 论,一天之内就要完成一个作家一周的工作量。他们通常为报纸、杂志、广播电台、电视台或者新闻网站撰稿。
优秀的调查记者在报导事件的同时,即使面对丑恶,也能保持自身的清廉正直。恶心的记者则被现实所压倒,最终丧失自己的节操,肆意操纵文字歪曲真相。</t>
  </si>
  <si>
    <t>记者(原作向)-通讯记者</t>
  </si>
  <si>
    <t>技艺（表演），历史，聆听，母语，一项社交技能（取悦、话术、恐吓、说服），心理学，潜行，侦查。</t>
  </si>
  <si>
    <t>新闻媒体，政治团体与政府，商界，执法机构，街头罪犯，上流社会。</t>
  </si>
  <si>
    <t>通讯记者则是新闻传媒行业大军中的一员, 不管是自由撰稿或是在报社、杂志社、新闻网站、 通讯社工作。大部分记者从事实地工作,包括走 访见证人、查看记录、收集叙述。有些记者被安 排专门追踪警界、体育界或商界的热点新闻,其他人则是负责社会事件乃至园艺俱乐部之类的事情。
通讯记者都会携带记者证,不过记者证除了 各通讯社(主要是报社)用来识别自己的雇员以 外没有太大的作用。实际上记者的工作内容更像 私家侦探,有时为了获得第一手消息也难免使点嘴上花招。</t>
  </si>
  <si>
    <t>法官</t>
  </si>
  <si>
    <t>50-80</t>
  </si>
  <si>
    <t>历史，恐吓，法律，图书馆，聆听，母语，说服，心理学。</t>
  </si>
  <si>
    <t>法律界，可能有犯罪组织。</t>
  </si>
  <si>
    <t>法官是主持审判全过程的人,可能单独工作或是和同事组成合议庭。一般是推选或任命制, 工作年限也分定期和终身。有的人是初出茅庐就当了法官,而其余的绝大多数,不论是在联邦最高法院还是遥远西部小镇的法官,其实至少都是经过注册的律师。</t>
  </si>
  <si>
    <t>实验室助理</t>
  </si>
  <si>
    <t>计算机或图书馆，电气维修，外语，科学（化学和任意两项），侦查，任意一项其他个人特长。</t>
  </si>
  <si>
    <t>大学，科学家，图书馆。</t>
  </si>
  <si>
    <t>实验室助理在科研环境中工作,在首席科学家的监督下进行实验和行政工作。
研究内容可能依首席科学家的研究学科而变 化。但基本都包括取样、测试、记录和分析数据、 调整和进行实验、制备标本和样品、管理实验室的日常工作,和保护工作人员的健康与安全。</t>
  </si>
  <si>
    <t>工人-非熟练工人</t>
  </si>
  <si>
    <t>汽车驾驶，电气维修，格斗，急救，机械维修，操作重型机械，投掷，任意一项其他个人或时代特长。</t>
  </si>
  <si>
    <t>其他工人和行业主管</t>
  </si>
  <si>
    <t>工人这一大类职业包括工厂工人、纺织工人、 码头工人、养路工人、矿工、建筑工人等等。工人分为两种类型:熟练工和非熟练工。普通的工人虽然技术不熟练,但是仍然长于使用电动工具、 起重机和其他工厂设备。</t>
  </si>
  <si>
    <t>工人-伐木工</t>
  </si>
  <si>
    <t>攀爬，闪避，格斗（链锯），急救，跳跃，机械维修，自然或科学（生物学或植物学），投掷。</t>
  </si>
  <si>
    <t>林业工人，野外向导和环境保护者。</t>
  </si>
  <si>
    <t>工人-矿工</t>
  </si>
  <si>
    <t>攀爬，科学（地质），跳跃，机械维修，操作重型机械，潜行，侦查，任意一项其他个人或时代特长。</t>
  </si>
  <si>
    <t>工会干部，政治团体。</t>
  </si>
  <si>
    <t>律师</t>
  </si>
  <si>
    <t>会计，法律，图书馆，两项社交技能（取悦、话术、恐吓、说服），心理学，两项其他技能。</t>
  </si>
  <si>
    <t>犯罪组织，资本家，检察官和法官。</t>
  </si>
  <si>
    <t>律师或法律顾问精通他们所在地区的法律，擅长把抽象的法学理论知识联系起来，为客户解决法律方面的疑难，担任辩护代理、法律顾问的工作，为客户提供解决办法。可能受托处理个人案件、接受法院指定，也可能专门为某个富裕客户或公司服务。
在美国，“律师”一词一般只指辩护律师。在英国，“律师”一词则包括高级律师、初级律师还有一些执法机构。
假如碰上好客户的话，律师自己也可以一战成名，少数律师还能以自己在政治经济方面的获益吸引媒体的关注。</t>
  </si>
  <si>
    <t>图书馆管理员（原作向）</t>
  </si>
  <si>
    <t>9-35</t>
  </si>
  <si>
    <t>会计，图书馆，外语，母语，任意四项其他个人特长或专业书籍主题。</t>
  </si>
  <si>
    <t xml:space="preserve">书商，社会团体，专业研究人员。
</t>
  </si>
  <si>
    <t>图书馆管理员在公共机构和图书馆工作，负责管理图书目录和书库，并处理图书借阅等。在现代，图书馆管理员还要负责管理视听数据、电子书库。
一些大公司可能聘用图书馆管理员管理书库，偶尔还会有富有的图书藏家招收他们管理自己的私人藏书。</t>
  </si>
  <si>
    <t>技师</t>
  </si>
  <si>
    <t>技艺（木工、焊接、管道工等），攀爬，汽车驾驶，电气维修，机械维修，操作重型机械，任意两项其他个人或时代或技术特长。</t>
  </si>
  <si>
    <t>工会成员，其他专业技术人员。</t>
  </si>
  <si>
    <t>技师包括所有需要专业训练和作为学徒或实习生工作经验的职业，例如木工、石工、管道工、电气维修、设备安装工人、机修工人等等这些需要技术资质的职业。通常这些工人有自己的工会组织，会和承包人和雇主争取自己的权益。</t>
  </si>
  <si>
    <t>军官</t>
  </si>
  <si>
    <t>20-70</t>
  </si>
  <si>
    <t>会计，射击，导航，急救，两项社交技能（取悦、话术、恐吓、说服），心理学，任意一项其他个人或时代特长。</t>
  </si>
  <si>
    <t>部队，联邦政府。</t>
  </si>
  <si>
    <t>军官有严格的等级，许多等级还需要高等教育学历。各国武装部队都建立了人才培养系统，其中包括大学教育。在美国，许多大学开设军校生训练项目，可以让学员同时接受文化教育和军事训练。毕业的学员可以授以陆军或海军少尉军衔，并分派到各驻地。他们通常会为国家服役四年，之后可以退役覆员。许多人有专门的任命，作为医生、律师和工程师工作。
寻求军旅生涯的人会为进入西点军校和美国海军军官学校这样的著名军校而努力，拥有这些名校学历很容易得到其他军官的尊敬。离开学校以后，许多军官也会选择接受飞行训练等特殊训练。
富有经验，特别值得提升的士兵会被破例提拔为一级准尉。虽然在名义上位列最末，获得这一军衔所需要的时间和经验意味着他们远比普通的初中级军官更受尊敬。绝大多数军衔是终身荣誉，退役多年的军官仍然可以自称上尉或者将军。</t>
  </si>
  <si>
    <t>传教士</t>
  </si>
  <si>
    <t>0-30</t>
  </si>
  <si>
    <t>技艺（任一），急救，机械维修，医学，自然，一项社交技能（取悦、话术、恐吓、说服），任意两项其他个人或时代特长。</t>
  </si>
  <si>
    <t>教会阶层，外国官员。</t>
  </si>
  <si>
    <t>传教士云游到世界的各个角落，传播神的旨意，在文明的地方拯救“不幸的原始人”和“迷途的灵魂”。他们可能属于天主教、新教、伊斯兰教或者其他信仰系统，比如后期圣徒教会(摩门教)在欧美就有专门的传道所。
有的传教士只凭自己的意志独立行动，有的则可能有教会以外的组织支持。
基督教、伊斯兰教的传教者，佛教、印度教的法师，在全世界各个时代都能遇到。</t>
  </si>
  <si>
    <t>登山家</t>
  </si>
  <si>
    <t>攀爬，急救，跳跃，聆听，导航，外语，生存（阿尔卑斯或类似），追踪。</t>
  </si>
  <si>
    <t>其他登山者，环境保护者，赞助人，担保人，本地救援队或执法机构，护林员，运动俱乐部。</t>
  </si>
  <si>
    <t>登山家一般都是利用业余时间和假期的运动员，只有少数攀登著名高山的人才会去寻找财力和设备的赞助。
19 世纪登山运动开始兴起，到了1920 年代，所有美洲和阿尔卑斯地区的主要山峰都被一一征服。经过与西藏人的冗长谈判之后，外国登山队终于获准进入喜马拉雅山的高峰地区。作为世界上最后未被征服的高峰，对珠峰的进军经常被电台和报纸报道。不过1921、1922、1924 年的三次远征都没能达到峰顶，还造成了13 人死亡。
到了现代，登山可以是休闲运动或职业选择。如果是后者，则工作内容包括教练、向导、运动员或救生员等。
(译注：1920 年代的登山队都是取道中国境内的北坡，故正是与西藏地方政府进行的商谈。)</t>
  </si>
  <si>
    <t>博物馆管理员</t>
  </si>
  <si>
    <t>会计，估价，考古，历史，图书馆，神秘学，外语，侦查。</t>
  </si>
  <si>
    <t>本地的大学和学者，出版社，博物馆赞助者。</t>
  </si>
  <si>
    <t>博物馆管理员可能负责大学或其他公共机构的大型设施，也可能负责小一些的博物馆，往往对本地的地质或者其他的内容颇有研究。</t>
  </si>
  <si>
    <t>音乐家</t>
  </si>
  <si>
    <t>教育×2＋意志或敏捷×2</t>
  </si>
  <si>
    <t>技艺（乐器），一项社交技能（取悦、话术、恐吓、说服），聆听，心理学，四项其他技能。</t>
  </si>
  <si>
    <t>俱乐部老板，音乐家协会，犯罪组织，街头罪犯。</t>
  </si>
  <si>
    <t>音乐家可能加入乐团、乐队或者独奏，演奏的乐器则可以是任何你能想象的种类。音乐家想出人头地十分困难，签约发布唱片就更难了。所以绝大多数音乐家都贫穷又无人关注，只靠街头卖艺勉强维持生计。少数幸运儿可以找到固定工作，比如在酒吧、宾馆或者市交响乐团弹钢琴。对更少的人来说，在正确的时间出现在正确的地点，再加上一点点天赋，就能获得巨大的成功和可观的财富。
1920 年代是爵士乐的年代，众多的音乐家在美国各地的大中城市、城镇里的爵士乐队和交响乐队工作。少数音乐家住在芝加哥和纽约之类的大城市并在那里打拼，而大部分的人靠巴士、汽车或者火车过着旅行生活。</t>
  </si>
  <si>
    <t>护士</t>
  </si>
  <si>
    <t>急救，聆听，医学，一项社交技能（取悦、话术、恐吓、说服），心理学，科学（生物学，化学），侦查。</t>
  </si>
  <si>
    <t>护工，医生，小区工作人员。</t>
  </si>
  <si>
    <t>护士是专业的医疗助理，通常在医院和疗养院之类的地方工作，或者和全科医生一起合作。一般来说，护士会协助健康人或病人进行保健或康复活动(或者临终关怀)，虽然其他人若是有足够的力量、意志或者知识，完全不需要护士帮助的康复也是可能的。</t>
  </si>
  <si>
    <t>神秘学家</t>
  </si>
  <si>
    <t>9-65</t>
  </si>
  <si>
    <t>人类学，历史，图书馆，一项社交技能（取悦、话术、恐吓、说服），神秘学，外语，科学（天文），任意一项其他个人或时代特长 ※经KP允许 可以包含克苏鲁神话</t>
  </si>
  <si>
    <t>图书馆员，神秘学学会或者同好会，其他神秘学家。</t>
  </si>
  <si>
    <t>神秘学家是钻研深奥秘密和神秘魔法的人。他们对超博物学能力深信不疑，并竭尽所能靠他们的能力去了解这些东西。许多人对不同神秘哲学和魔法理论的知识面都相当广泛，有些甚至相信自己专注研究三十年真的成为了魔法师——到底是真是假就交由KP 来决断了。
需要指出的是，神秘学家熟知的基本上是“表面的魔法”——克苏鲁神话魔法的秘密对他们仍然是未知的，或者不过是古书上描述那些诱人的线索而已。</t>
  </si>
  <si>
    <t>旅行家</t>
  </si>
  <si>
    <t>5-20</t>
  </si>
  <si>
    <t>射击，急救，聆听，自然，导航，侦查，生存（任一），追踪。</t>
  </si>
  <si>
    <t>本地居民，土著，贸易商。</t>
  </si>
  <si>
    <t>旅行家爱好户外，他们一年中大部分时间都呆在户外，并且一出门就是相当长的时间；通常有相当的捕鱼和狩猎技术，能在最恶劣的环境之中幸存下来。擅长的技术可能包括登山、捕鱼、滑雪、皮划艇、攀登和露营。
旅行家可能在国家公园或素质拓展中心做野外向导和护林员，也可能是有其他经济来源能让他们不用工作就能以这种方式生活，说不定还可能是一个隐士，只有在需要的时候才会回到文明社会。</t>
  </si>
  <si>
    <t>超心理学家</t>
  </si>
  <si>
    <t>人类学，技艺（摄影），历史，图书馆，神秘学，外语，心理学，任意一项其他个人或时代特长。</t>
  </si>
  <si>
    <t>大学，超心理学刊物。</t>
  </si>
  <si>
    <t>超心理学家从不打算欣赏超常现象。相反，他们试图去观察，记录并研究这些实例。被叫做“捉鬼人”的他们利用技术手段来获取某人或某地点的超博物学活动的证据，当然比起收集到实在的证据，更多的时候他们是在揭穿假冒和误认的超常现象。
一些超心理学家专门研究特定的现象，例如超感官、心灵致动、闹鬼等等。
名牌大学是没有超心理学学位的。这个领域成就的评判标准完全是基于个人声誉，所以一般有相近学科学历比如物理学、心理学和医学的人会比较有说服力。
选择研究这个的人往往对不可视的神秘力量抱有相当的同情态度，并希望其他的科学家也能满意地点头肯定。这就表现出了一种既相信又怀疑的奇异的迭加态——恐怕超心理学家自己也难解决这个问题。一个对观察实验证明不感兴趣的人是个神秘学家而不是个科学家。</t>
  </si>
  <si>
    <t>药剂师</t>
  </si>
  <si>
    <t>35-75</t>
  </si>
  <si>
    <t>会计，急救，外语（拉丁文），图书馆，一项社交技能（取悦、话术、恐吓、说服），心理学，科学（制药，化学）。</t>
  </si>
  <si>
    <t>本地小区，本地医生，医院和病人。能获得各种药品和化学品。</t>
  </si>
  <si>
    <t>药剂师的管理一直以来都比医生更严格。所有的药剂师都要在各州注册，注册的条件则是高中毕业并至少在药学院学习三年。他们可能在医院或者药房工作，也可能自己开药房。</t>
  </si>
  <si>
    <t>摄影师-摄影师</t>
  </si>
  <si>
    <t>技艺（摄影），一项社交技能（取悦、话术、恐吓、说服），心理学，科学（化学），潜行，侦查，任意两项其他个人或时代特长。</t>
  </si>
  <si>
    <t>广告业，本地客户(包括政治团体和报纸)。</t>
  </si>
  <si>
    <t>摄影师大部分是自由工作者，可能制作广告电影或者在照相馆做肖像拍摄。其他一些摄像师则在报纸、电视和电影产业工作。
摄影作为一种艺术形式已经产生相当长的时间了，精英的摄影师可以从艺术、新闻报道、野生动物保护等多种角度出发创作他们的作品。不管是哪种立意，他们都能获得名誉和报酬。
摄影记者本质上就是拿照相机，为拍摄的照片写配文的记者。在1920 年代，新闻短片走上历史舞台。笨重的35mm 摄像装备走遍全球各地，搜寻有价值的新闻轶事、体育赛事和泳装选美比赛。新闻片制作人员一般分为三类：一类是画面中的记者，另两个人则负责摄像和灯光等等。新闻中的声音则是在新闻稿完成以后在录音棚中录入完成的。</t>
  </si>
  <si>
    <t>摄影师-摄影记者</t>
  </si>
  <si>
    <t>技艺（摄影），攀爬，一项社交技能（取悦、话术、恐吓、说服），外语，心理学，科学（化学），任意两项其他个人或时代特长。</t>
  </si>
  <si>
    <t>新闻业，电影工作室(1920 年代)，外国政府和官方。</t>
  </si>
  <si>
    <t>飞行员-飞行员</t>
  </si>
  <si>
    <t>电气维修，机械维修，导航，操作重型机械，驾驶（飞行器），科学（天文），任意两项其他个人或时代特长。</t>
  </si>
  <si>
    <t>前部队关系人，乘务员，机械师，机场地勤人员，嘉年华主办者。</t>
  </si>
  <si>
    <t>飞行员可以在美国邮政这样的企业工作，也可以在大大小小的民航公司做飞行人员。
美国1926 年之前没有对飞行员的职业要求，1926 年航空商业法案通过之后才要求有执照。这个时代的多数飞行员从事嘉年华表演、特技飞行表演、乘飞机游玩或是小机场的空中的士等服务。
也有飞行员在部队服现役。许多特技飞行员是在服役期间学会的驾驶飞机，有时仍然会被军队委派任务。</t>
  </si>
  <si>
    <t>飞行员-特技飞行员（古典）</t>
  </si>
  <si>
    <t>会计，电气维修，聆听，机械维修，导航，驾驶（飞行器），侦查，任意一项其他个人或时代特长。</t>
  </si>
  <si>
    <t>前部队关系人，其他飞行员，机场地勤技术人员，商人。</t>
  </si>
  <si>
    <t>特技飞行员在嘉年华工作或者为大胆的消费者进行休闲飞行服务。参加有组织的飞行表演赛，不论是固定路线还是越野赛，往往都可以增加自己的知名度。在1920 年代，好莱坞常常使用特技飞行员，飞机制造商也会录用一些飞行员为新机作测试。许多特技飞行员是在一次大战中掌握的飞行技术，所以许多人仍然在陆海空军或海岸警卫队服役；年轻的飞行员则基本上是在和平时期接受的训练或是自学成才。
参加过一战的王牌飞行员“现在”还活跃在公众视野中的包括：埃迪·里肯巴克，现在在克赖斯勒公司工作；汤米·希区柯克，“现在”是马球赛场的明星；里德·兰迪斯，美国职棒大联盟执行长凯纳索·蒙顿·兰迪斯的儿子。</t>
  </si>
  <si>
    <t>警方(原作向)-警探</t>
  </si>
  <si>
    <t>技艺（表演）或乔装，射击，法律，聆听，一项社交技能（取悦、话术、恐吓、说服），心理学，侦查，一项其他技能。</t>
  </si>
  <si>
    <t>执法机构，街头罪犯，尸检部门，司法部门，犯罪组织。</t>
  </si>
  <si>
    <t>便衣警察的工作是检查犯罪现场、收集证据、询问证人以解决凶杀、盗窃等重大案件。他们在现场办案中往往与穿制服的巡警密切合作。
警探可能指挥他的下属进行详尽的调查，但是很难有机会集中精力对付单独一个事件，在美国他们很可能要同时处理数十乃至上百的案件。警探工作最关键的部分是通过梳理证词、重建现场情况，摒弃伪证，从而收集足够逮捕嫌疑人的证据，进而促成成功的刑事审判。警探和检察官的职责是分开的，这样可以保证证据在审判之前被独立地对待。
尽管现在警探通常会参加警察学校课程并获得学位、参加特殊训练或公务员培训，他们最主要的经验还是来源于担任基层警官或者普通巡警时的工作经历。</t>
  </si>
  <si>
    <t>警方(原作向)-巡警</t>
  </si>
  <si>
    <t>格斗（斗殴），射击，急救，一项社交技能（取悦、话术、恐吓、说服），法律，心理学，侦查和下面的一种个人特长：汽车驾驶或骑乘。</t>
  </si>
  <si>
    <t>执法机构，本地企业与居民，街头罪犯，犯罪组织。</t>
  </si>
  <si>
    <t>巡警属于市、城镇、县治安部门或州、地区的警察机关。他们工作时可能步行、驾驶巡逻车，或者干脆坐办公室。</t>
  </si>
  <si>
    <t>私家侦探</t>
  </si>
  <si>
    <t>技艺（摄影），乔装，法律，图书馆，一项社交技能（取悦、话术、恐吓、说服），心理学，侦查，一项其他个人或时代特长（如计算机、锁匠、格斗、射击）。</t>
  </si>
  <si>
    <t>执法机构，客户。</t>
  </si>
  <si>
    <t>私家侦探通常在警察不出手的地方活跃，包括收集证据为客户准备民事诉讼，追查跑路的配偶或生意伙伴，或者代理刑事案件的私人辩护。他们和任何专业人员一样，私家侦探从不顾及自己的私人情感，只要付钱，不管是有罪还是无罪的一方的委托他们都乐得接受。
私家侦探过去可能在警察队伍里工作，利用以前的业务关系为现在工作谋求优势；然而事实并非总是如此。在许多地方私家侦探必须持证上岗，假如被发现有违法行为，就会撤销执照——侦探生涯也就到此为止。</t>
  </si>
  <si>
    <t>教授（原作向）</t>
  </si>
  <si>
    <t>图书馆，外语，母语，心理学，任意四项其他学术、时代或个人特长。</t>
  </si>
  <si>
    <t>学者，大学，图书馆。</t>
  </si>
  <si>
    <t>教授是受聘于高等院校的学者。大公司也可 能聘请他们以开展学术研究与产品开发。独立的学者也靠开办业余课程作为经济来源。
最重要的一点,这一职业代表了 PhD(博士) 的荣誉称号,意味着可以在世界各地的大学任终身教职。教授的专长是教学和专业研究,往往在自己的专业领域内有着可圈可点的学术成就。</t>
  </si>
  <si>
    <t>淘金客</t>
  </si>
  <si>
    <t>0-10</t>
  </si>
  <si>
    <t>攀爬、急救、历史、机械维修、导航、科学（地质），侦查，任意一项其他个人或时代特长。</t>
  </si>
  <si>
    <t>本地企业和居民。</t>
  </si>
  <si>
    <t>淘金客一直是美国西部的特色,即便在加利福尼亚淘金热和内华达康姆斯塔克发现金银矿的日子早已经过去的现在。他们无休止地在山间漫游,寻找能使自己一夜暴富的矿脉。而且现在发现石油和发现金子一样给力。</t>
  </si>
  <si>
    <t>性工作者</t>
  </si>
  <si>
    <t>5-50</t>
  </si>
  <si>
    <t>技艺（任一），两项社交技能（取悦、话术、恐吓、说服），闪避，心理学，妙手，潜行，任意一项其他个人或时代特长。</t>
  </si>
  <si>
    <t>街头路人，警察，可能有犯罪组织，私人客户。</t>
  </si>
  <si>
    <t>性工作者根据场合、背景和教养,从超级值钱的应召小姐到牛郎再到站街女都有可能。往往入这一行都是权宜之计,许多人梦想有朝一日能够脱身。少数人能够自己接客,不过绝大多数人 基本都是被只认钱不认人的老鸨和皮条客逼迫着 工作。</t>
  </si>
  <si>
    <t>精神病学家</t>
  </si>
  <si>
    <t>外语，聆听，医学，说服，精神分析，心理学，科学（生物学，化学）。</t>
  </si>
  <si>
    <t>其他精神疾病领域的专家，医生，可能有法律人士。</t>
  </si>
  <si>
    <t>精神病学家是在现代专门从事精神失常诊断和治疗的医生。精神病学家掌握着精神药理学的 治疗方法,使用精神类药物的资质,还能整理脑电图并对其进行计算器分析。
在十九二十世纪之交,精神分析理论刚刚产 生,试图解释一些现在认为实际上是生物学范畴的现象。所以,精神分析学家们努力寻求获得自 己的医疗证书。与此同时,各种不同的精神失常诊断与治疗理论开始起步。到 1930 年代,任何一个医生都可以以精神病学家的身份进入美国医学协会名录中了。</t>
  </si>
  <si>
    <t>心理学家、精神分析学家</t>
  </si>
  <si>
    <t>会计，图书馆，聆听，说服，精神分析，心理学，任意两项其他学术、个人或时代特长。</t>
  </si>
  <si>
    <t>心理学家团体，病人。</t>
  </si>
  <si>
    <t>心理学家虽然也经常被叫做心理治疗师和心理咨询师,不过这些工作都只是心理学的分支。其他的还有为企业和政府提供顾问的组织管理心 理学家,进行研究并在学校教授心理学的学术型心理学家等等。
临床心理学家可能实际接触病人,并且运用各种可能的心理治疗方法。注意心理学家和专业的精神病学家的区别,后者本质上还是医生。
在1920 年代,对人类行为的研究还是一个新兴的领域,主要的理论还是弗洛伊德心理学。</t>
  </si>
  <si>
    <t>研究员</t>
  </si>
  <si>
    <t>历史，图书馆，一项社交技能（取悦、话术、恐吓、说服），外语，侦查，任意三项其他学术领域。</t>
  </si>
  <si>
    <t>学者和其他学术界人士，大型企业，外国政府和个人。</t>
  </si>
  <si>
    <t>学术界的研究课题不计其数,尤其是在天文 学、物理学和其他理论领域。私人或企业也雇用 了成千上万的研究员,重点在化学、制药和工程 领域。石油公司则会聘用专业的地质学家,不一 而足。研究员大部分的时间都在室内工作和写作, 不过有的则会经常外出考察。
考察研究员通常经验丰富,思想独立又足智 多谋,可能受雇于私人或者为大学进行学术研究。
石油公司会派出地质学家探索潜在的油田, 人类学家则是调查地球被人遗忘角落的原始部落, 考古学家则竭数年之力挖掘沙漠丛林之中的宝藏, 还要和工人与地方政府打交道。</t>
  </si>
  <si>
    <t>海员-军舰海员</t>
  </si>
  <si>
    <t>教育×2＋敏捷或力量×2</t>
  </si>
  <si>
    <t>电工或机械维修，格斗，射击，急救，导航，驾驶（船），生存（海上），游泳。</t>
  </si>
  <si>
    <t>军队，退伍军人协会。</t>
  </si>
  <si>
    <t>新入伍的海员像陆军的同行一样,开始时需 要接受基本的训练。这之后他们获得军衔,并被 分配到各镇守府。虽然很多海员担任像水手长副手和司炉工(管理引擎)这样的传统角色,但是也有很多经过专门训练的机械师、无线电操作员、通风管理员之类。海员们最高的军衔是士官长, 达到了这个军衔连高级将领都要礼让三分。在美国,海员通常要服四年的现役和后两年的后备役, 即在国家发布动员令时有应召服役的义务。</t>
  </si>
  <si>
    <t>海员-民船海员</t>
  </si>
  <si>
    <t>急救，机械维修，自然，导航，一项社交技能（取悦、话术、恐吓、说服），驾驶（船），侦查，游泳。</t>
  </si>
  <si>
    <t>海岸警卫队，走私者，犯罪组织。</t>
  </si>
  <si>
    <t>民用船海员可能在渔船、客船,或运输原油或商品的运输船上工作。在美国,客船活跃在东西海岸和五大湖,运送渔民和游客。目前佛罗里达州在墨西哥湾和大西洋海岸拥有最多数量的客 船。
在禁酒令期间,许多客船船长发现把急切想 喝酒的顾客运到 3 海里外,外国船只允许卖酒的地方是一桩赚钱的买卖。当然走私酒也报酬丰厚, 但是危险就高多了。</t>
  </si>
  <si>
    <t>推销员</t>
  </si>
  <si>
    <t>会计，两项社交技能（取悦、话术、恐吓、说服），汽车驾驶，聆听，心理学，潜行或妙手，一项其他技能。</t>
  </si>
  <si>
    <t>同行企业，感兴趣的顾客。</t>
  </si>
  <si>
    <t>推销员是商务工作的必需一环,他们的工作就是推广和销售公司的产品或服务。大部分推销员的时间要用来旅行、开会、和客户应酬(在报销限额之内)。有些则主要坐办公室用电话联系 潜在客户,还有的会在各小区巡回,挨家挨户上门推销。
1920 年代是企业家的年代,旅行推销成了一种日常生活方式。这些人有些直接现货交易,有些通过托销交易,当然不管黑猫白猫,拿到订单的才是好猫,推销员要用强烈的销售策略才能说得客户,至于价钱就不是他们考虑的范围了。有些推销员在固定的地区工作,有些则可以自由漫 游,寻找任何地方可能出现的商机。如果是上门推销,那商品可能就是刷子、吸尘器或者百科全书之类的各种对象了。</t>
  </si>
  <si>
    <t>科学家</t>
  </si>
  <si>
    <t>任意三项科学专业领域，计算机或图书馆，外语，母语，一项社交技能（取悦、话术、恐吓、说服），侦查。</t>
  </si>
  <si>
    <t>其他科学家和学术界人士，大学，所在企业和前员工。</t>
  </si>
  <si>
    <t>科学家是在追求知识的过程中挖掘真理的人。如果想要利用科学知识制造有用的物品,需要的 是工程师;而如果想要扩展“可能”这个概念的范围,那就是科学家的工作了。
科学家们通常在企业和大学工作,以进行他们的研究。
虽然主攻一个科学领域,但是真正称职的科 学家一般也能达到通晓其他数个科学领域的水平。他们对自己的母语也能使用自如,学历也相当高, 甚至拥有博士学位。</t>
  </si>
  <si>
    <t>秘书</t>
  </si>
  <si>
    <r>
      <rPr>
        <charset val="134"/>
        <sz val="11"/>
        <color rgb="FF000000"/>
        <rFont val="微软雅黑 Light"/>
      </rPr>
      <t>教育×</t>
    </r>
    <r>
      <rPr>
        <charset val="134"/>
        <sz val="11"/>
        <color indexed="8"/>
        <rFont val="微软雅黑 Light"/>
      </rPr>
      <t>2＋敏捷或外貌×2</t>
    </r>
  </si>
  <si>
    <t>会计，技艺（打字或速记），两项社交技能（取悦、话术、恐吓、说服），母语，图书馆或计算机，心理学，任意一项其他个人或时代特长。</t>
  </si>
  <si>
    <t>其他办公室人员，客户公司的高管。</t>
  </si>
  <si>
    <t>秘书的范围是从高薪的私人管理助理到普通的打字员。这份工作的重点在于以自己各种沟通 协调能力,支持主管和经理人员。
因为身处企业流程的中心,许多秘书比老板对企业的内部运作和经营还要熟悉。
在 1920 年代,秘书工作主要是通信工作,例如听写打印信件,整理文文件系统,并为老板安排 会议时间。有的情况下,秘书还会负责老板的生活, 比如安排假期、为老板和家人置办礼物,还有保 护老板的安全。</t>
  </si>
  <si>
    <t>店老板</t>
  </si>
  <si>
    <t>会计，两项社交技能（取悦、话术、恐吓、说服），电气维修，聆听，机械维修，心理学，侦查。</t>
  </si>
  <si>
    <t>本地的居民企业，本地警察，地方政府，顾客。</t>
  </si>
  <si>
    <t>店老板经营小店、市场摊位或者是小饭馆。这种店往往都是小本自营,不过也有为其他东家照顾生意的。不少店是家族式管理,工作人员大 部分都有亲属关系,其他的雇员即便有也很少。
在 1920 年代,还有不少的老板娘开起了自己的理发店和帽店。</t>
  </si>
  <si>
    <t>士兵、海军陆战队士兵</t>
  </si>
  <si>
    <t>攀爬或游泳，闪避，格斗，射击，潜行，生存，下面任选两项：急救、机械维修、外语。</t>
  </si>
  <si>
    <t>士兵指的是从列兵到士官长(美国军衔制) 的统称。尽管名义上比起最新的次级少尉还低, 即便高级军官也往往对他们给予尊重。在美国, 标准的服役期限是六年,包括四年现役和两年后 备役。
所有应征人员首先要在“训练营(新兵连)” 接受基本训练,在训练营中新兵将学习如何行军、 射击和敬礼。结束训练营的训练后,大部分的新兵会分配到步兵营,虽然也有分配到炮兵营和坦 克营的。少部分会接受非战斗的训练,例如通风 系统、机械装备、文职甚至军官接待。海军陆战队名义上属于海军,但是和陆军士兵在背景、训练方式和技能方面都很相近。</t>
  </si>
  <si>
    <t>间谍</t>
  </si>
  <si>
    <t>技艺（表演）或乔装，射击，聆听，外语，一项社交技能（取悦、话术、恐吓、说服），心理学，妙手，潜行。</t>
  </si>
  <si>
    <t>一般只有自己的上线，可能还有其他的秘密关系人。</t>
  </si>
  <si>
    <t>间谍为国家和组织的情报部门卖命。他们能以从大使到厨房清洁工的任何职业身份作为掩饰,刺探他们所需的情报。有些间谍数年如一日的持续着卧底工作,另一些穿个马甲就换一个身份。
在本国委任的间谍通常会去往外国工作。间谍除了情报收集和反情报收集的主要工作, 也会被委派其他任务,例如招募新间谍和国家批 准的暗杀等。</t>
  </si>
  <si>
    <t>学生、实习生</t>
  </si>
  <si>
    <t>5-10</t>
  </si>
  <si>
    <t>语言（母语或外语），图书馆，聆听，三个学习的专业，任意两项其他个人或时代特长。</t>
  </si>
  <si>
    <t>学院、其他学生，实习生也可能有商人等。</t>
  </si>
  <si>
    <t>学生可能在大学或学院学习,实习生则是正在接受宝贵的入职培训,获得最低报酬的公司员 工。</t>
  </si>
  <si>
    <t>替身演员</t>
  </si>
  <si>
    <t>10-50</t>
  </si>
  <si>
    <t>攀爬，闪避，电气维修或机械维修，格斗，急救，跳跃，游泳，下面任选一项：潜水、汽车驾驶、驾驶（任一），骑乘。</t>
  </si>
  <si>
    <t>电影和电视剧工作室，爆炸品和烟花生产企业，演员和导演。</t>
  </si>
  <si>
    <t>替身演员在电影和电视剧工业中活跃,专门 模拟坠楼、车祸等灾难场景。他们通常会接受格 斗技巧和舞台格斗的训练。任何的替身特技表演 都是有风险的,所以健康和安全是这个工作的核心元素。
在现代,替身演员基本都是工会的成员,想要加入工会,他们必须有证明自己能力的证书(例 如高级驾驶执照,潜水执照等等)。而且,所有 的特技场景还要有特技总监负责指导动作。但是在 1920 年代,这些演员组织、行业规范根本就没有成型,所以事故率和死亡率居高不下。</t>
  </si>
  <si>
    <t>部落成员</t>
  </si>
  <si>
    <t>0-15</t>
  </si>
  <si>
    <t>攀爬，格斗或投掷，聆听，自然，神秘学，侦查，游泳，生存（任一）。</t>
  </si>
  <si>
    <t>其他部落成员。</t>
  </si>
  <si>
    <t>至少,从家族忠诚来说,部落文化无处不在。在部落中,亲属关系和传统习俗的首䙳地位是不言而喻的。一个部落通常来说是一个相对较小的群体。相比起法律和个人权利,部落更加依据个人荣耀而裁定行为。崇拜、复仇、嘉奖以及荣耀－－所有的一切都是部落成员个人所有的,而如果领袖或是仇敌被视为有荣耀的人,那么他们个人也必然在某种程度上十分有名。在这样的环境下, 放逐是有着实际的效用在的。</t>
  </si>
  <si>
    <t>殡葬师</t>
  </si>
  <si>
    <t>会计，汽车驾驶，一项社交技能（取悦、话术、恐吓、说服），历史，神秘学，心理学，科学（生物学，化学）。</t>
  </si>
  <si>
    <t>没有什么关系。</t>
  </si>
  <si>
    <t>殡葬师又叫殡葬业者或葬礼主持人,是负责运行丧葬仪式的职业。工作也包含土葬和火化等内容。在葬礼上,殡葬师要进行防腐、裹衣、入殓、 遗体美容等等工作。
殡葬师的执照由各州发放。他们可能自己拥有殡仪馆,或者在别人的殡仪馆工作。</t>
  </si>
  <si>
    <t>工会活动家</t>
  </si>
  <si>
    <t>会计，两项社交技能（取悦、话术、恐吓、说服），格斗（斗殴），法律，聆听，操作重型机械，心理学。</t>
  </si>
  <si>
    <t>其他劳动领袖,政治伙伴，可能有犯罪组织。在 1920 年代，还有社会主义者、 共产主义者、无政府主义者。</t>
  </si>
  <si>
    <t>工会活动家是组织者、领导者,有时也是空 想者或者别有用心的抗议者,通常是工人的伙伴、 老板的对头。各行各业都有工会,不论是码头工人、 建筑工人、矿工还是演员。
在 20 世纪早期,工会活动家所在的工会面临着诸多危险。大企业想要毁掉它,政治家在支持它和谴责它之间摇摆不定,社会主义者和共产主义者试图影响它,还有犯罪组织试图夺取它。</t>
  </si>
  <si>
    <t>服务生</t>
  </si>
  <si>
    <t>会计，技艺（任一），闪避，聆听，两项社交技能（取悦、话术、恐吓、说服），心理学，任意一项其他个人或时代特长。</t>
  </si>
  <si>
    <t>顾客，犯罪组织。</t>
  </si>
  <si>
    <t>服务生在酒店、酒吧或者其他餐饮业场所服务顾客。通常薪酬很低,不过通过对顾客良好服务, 可以得到他们给的小费。
在禁酒令时期,售酒场所的服务员是非法职业。不过犯罪组织把控的地下酒吧中仍然存在许多工作机会。</t>
  </si>
  <si>
    <t>白领工人-职员、主管</t>
  </si>
  <si>
    <t>会计，语言，法律，图书馆或计算机，聆听，一项社交技能（取悦、话术、恐吓、说服），任意两项其他个人或时代特长。</t>
  </si>
  <si>
    <t>其他办公室职员。</t>
  </si>
  <si>
    <t>白领工人可能是从最低等级的白领职员到中层或高层的管理人员。所属单位则可能从小型中型的本地企业直到大型的国家级甚至跨国公司。
职员被扣工资是家常便饭,工作也往往单调乏味。不过如果在工作中展现出了天分,那也会被看上,将来会得到提拔。</t>
  </si>
  <si>
    <t>白领工人-中高层管理人员</t>
  </si>
  <si>
    <t>20-80</t>
  </si>
  <si>
    <t>会计，外语，法律，两项社交技能（取悦、话术、恐吓、说服），心理学，任意两项其他个人或时代特长。</t>
  </si>
  <si>
    <t>旧时大学同学，共济会和其他兄弟会组织，地方和联邦政府，媒体和销售人员。</t>
  </si>
  <si>
    <t>白领工人可能是从最低等级的白领职员到中层或高层的管理人员。所属单位则可能从小型中型的本地企业直到大型的国家级甚至跨国公司。
中高层管理人员的工 资比较高,当然责任也比较重,要负责管理公司的日常事务。虽然未婚的白领并不少见,但很多管理人员还是很顾家,家里一般会有配偶和孩子——家庭通常是他们的期望。</t>
  </si>
  <si>
    <t>狂热者</t>
  </si>
  <si>
    <t>历史，两项社交技能（取悦、话术、恐吓、说服），心理学，潜行，任意三项其他个人或时代特长。</t>
  </si>
  <si>
    <t>宗教或兄弟会团体，新闻媒体。</t>
  </si>
  <si>
    <t>热情而有动力、鄙视安逸的生活,狂热者们为人类更好的生活或者为人类中最精华部分的利益而躁动不安。一些狂热者通过暴力推进他们的信仰,但是并不能说采取和平方式的就比他们好说话,他们每个人都梦想着为自己的理想辩护。</t>
  </si>
  <si>
    <t>饲养员</t>
  </si>
  <si>
    <t>驯兽，会计，闪避，急救，自然，医学，科学（制药，动物学）。</t>
  </si>
  <si>
    <t>科学家，环保主义者。</t>
  </si>
  <si>
    <t>饲养员负责动物的喂养和看护,场地管理员和服务员管理其他杂务。通常饲养员会专门照看某一种动物,可以对动物使用「医学」技能。</t>
  </si>
  <si>
    <t>大使</t>
  </si>
  <si>
    <t>取悦，历史，恐吓，话术，聆听，母语，说服，心理学。(用一到两种外语取代前面两种技能)</t>
  </si>
  <si>
    <t>《克苏鲁的呼唤调查员伴侣》
职业</t>
  </si>
  <si>
    <t>联邦政府，新闻媒体，外国政府</t>
  </si>
  <si>
    <r>
      <rPr>
        <charset val="134"/>
        <sz val="11"/>
        <color rgb="FF000000"/>
        <rFont val="微软雅黑 Light"/>
      </rPr>
      <t>《克苏鲁的呼唤调查员伴侣》职业，</t>
    </r>
    <r>
      <rPr>
        <b/>
        <charset val="134"/>
        <sz val="11"/>
        <color rgb="FFFF0000"/>
        <rFont val="微软雅黑 Light"/>
      </rPr>
      <t>使用前请征得KP同意。</t>
    </r>
  </si>
  <si>
    <t>运动员（游泳/潜水）</t>
  </si>
  <si>
    <t>攀爬，跳跃，格斗（斗殴），外语，一项社交技能（取悦、话术、恐吓、说服），游泳，投掷，任意一项其他个人或时代特长。</t>
  </si>
  <si>
    <t>运动员（高尔夫）</t>
  </si>
  <si>
    <t>50-70</t>
  </si>
  <si>
    <t>攀爬，跳跃，格斗（斗殴），骑术，一项社交技能（取悦、话术、恐吓、说服），游泳，投掷，任意一项其他个人或时代特长。</t>
  </si>
  <si>
    <t>其他高尔夫球手，体育专栏作家，俱乐部同好。</t>
  </si>
  <si>
    <r>
      <rPr>
        <charset val="134"/>
        <sz val="11"/>
        <color rgb="FF000000"/>
        <rFont val="微软雅黑 Light"/>
      </rPr>
      <t>《克苏鲁的呼唤调查员伴侣》职业，</t>
    </r>
    <r>
      <rPr>
        <b/>
        <charset val="134"/>
        <sz val="11"/>
        <color indexed="10"/>
        <rFont val="微软雅黑 Light"/>
      </rPr>
      <t>使用前请征得KP同意。</t>
    </r>
  </si>
  <si>
    <t>运动员（网球）</t>
  </si>
  <si>
    <t>跳跃，格斗（斗殴），闪避，一项社交技能（取悦、话术、恐吓、说服），心理学，侦察，投掷，任意一项其他个人或时代特长。</t>
  </si>
  <si>
    <t>其他网球选手，体育专栏作家，俱乐部同好。</t>
  </si>
  <si>
    <t>运动员（田径）</t>
  </si>
  <si>
    <t>攀爬，跳跃，格斗（斗殴），外语，一项社交技能（取悦、话术、恐吓、说服），闪避，投掷，任意一项其他个人或时代特长。</t>
  </si>
  <si>
    <t>其他田径选手，体育专栏作家。</t>
  </si>
  <si>
    <t>发言人</t>
  </si>
  <si>
    <t>乔装，闪避，三项社交技能（取悦、话术、恐吓、说服），心理学，外语，任意一项其他个人或时代特长。</t>
  </si>
  <si>
    <t>政府官员，企业家，可能的犯罪组织</t>
  </si>
  <si>
    <t>保释担保人</t>
  </si>
  <si>
    <t>会计，两项社交技能（取悦、话术、恐吓、说服），法律，图书馆，心理学，任意两项其他个人或时代特长。</t>
  </si>
  <si>
    <t>使用前请征得KP同意。</t>
  </si>
  <si>
    <t>警察，法庭，街头路人，犯罪组织，赏金猎人。</t>
  </si>
  <si>
    <t>神职人员(天主教牧师)</t>
  </si>
  <si>
    <t>会计，母语，外语(拉丁文)，图书馆，神秘学，一项社交技能（取悦、话术、恐吓、说服），心理学，任意一项其他技能。</t>
  </si>
  <si>
    <t>仅限1920年代使用</t>
  </si>
  <si>
    <t>神职人员(新教牧师)</t>
  </si>
  <si>
    <t>神职人员(犹太教拉比)</t>
  </si>
  <si>
    <t>母语，外语（希伯来语），历史，图书馆，神秘学，一项社交技能（取悦、话术、恐吓、说服），心理学，任意一项其他技能。</t>
  </si>
  <si>
    <t>犹太学者，地方犹太人团体</t>
  </si>
  <si>
    <t>专栏作家</t>
  </si>
  <si>
    <t>乔装，一项社交技能（取悦、话术、恐吓、说服），历史或图书馆，母语，外语，心理学，潜行。</t>
  </si>
  <si>
    <t>世界传媒业，外国政府，军队或者其他。</t>
  </si>
  <si>
    <t>社会主义者/激进主义者</t>
  </si>
  <si>
    <t>格斗（斗殴），两项社交技能（取悦、话术、恐吓、说服），射击（手枪），外语，心理学，任意两项其他个人或时代特长。</t>
  </si>
  <si>
    <t>其他激进分子，艺术家和作家，工会。</t>
  </si>
  <si>
    <t>撰稿人</t>
  </si>
  <si>
    <t>母语，艺术（文学），两项社交技能（取悦、话术、恐吓、说服），历史，图书馆，聆听，心理学。</t>
  </si>
  <si>
    <t>地方新闻业，记者和特别的编辑。</t>
  </si>
  <si>
    <t>罪犯（赌博庄家）</t>
  </si>
  <si>
    <t>会计,两项社交技能（取悦、话术、恐吓、说服）,心理学，侦察，妙手，任意一项其他个人或时代特长。</t>
  </si>
  <si>
    <t>犯罪组织，赌徒，警察，体育界</t>
  </si>
  <si>
    <t>罪犯（放高利贷者）</t>
  </si>
  <si>
    <t>会计，估价，两项社交技能（取悦、话术、恐吓、说服）,心理学，侦察，任意两项其他个人或时代特长。</t>
  </si>
  <si>
    <t>犯罪组织，赌徒，警察，欠自己债的人。</t>
  </si>
  <si>
    <t>罪犯（扒手）</t>
  </si>
  <si>
    <t>乔装，一项社交技能（取悦、话术、恐吓、说服）,潜行，聆听，心理学，侦察，妙手，任意一项其他个人或时代特长。</t>
  </si>
  <si>
    <t>路人，也有一些从前打过交道的警察。</t>
  </si>
  <si>
    <t>罪犯（地下钱庄）</t>
  </si>
  <si>
    <t>会计，法律，图书馆，聆听，说服，侦察，任意其他两项个人或时代特长。</t>
  </si>
  <si>
    <t>犯罪组织，金融业界，地方检察官和法官。</t>
  </si>
  <si>
    <t>罪犯（黑律师）</t>
  </si>
  <si>
    <t>牙医</t>
  </si>
  <si>
    <t>外科医生/内科医生</t>
  </si>
  <si>
    <t>整形医生</t>
  </si>
  <si>
    <t>医疗专家，好莱坞，可能有罪犯。</t>
  </si>
  <si>
    <t>司机-公交司机</t>
  </si>
  <si>
    <t>会计，汽车驾驶，电气维修，机械维修，导航，一项社交技能（取悦、话术、恐吓、说服），心理学，任意一项其他个人或时代特长。</t>
  </si>
  <si>
    <t>很少。</t>
  </si>
  <si>
    <t>实地调研员</t>
  </si>
  <si>
    <t>会计，攀爬或跳跃，急救，图书馆，外语，一项社交技能（取悦、话术、恐吓、说服），两项研究领域相关技能。</t>
  </si>
  <si>
    <t>学界的其他学者，研究基金会，新闻媒体，外国政府官员。</t>
  </si>
  <si>
    <t>电影摄制人员</t>
  </si>
  <si>
    <t>艺术/工艺(任一,如摄影)，攀爬，汽车驾驶，电气维修，机械维修，一项社交技能（取悦、话术、恐吓、说服），任意两项其他个人或时代特长。</t>
  </si>
  <si>
    <t>电影业，相关公会。</t>
  </si>
  <si>
    <t>司法科学家</t>
  </si>
  <si>
    <t>艺术（摄影），医学，法律，科学（化学，司法科学，药学），侦察，任意一项其他个人或时代特长。</t>
  </si>
  <si>
    <t>执法部门，地方实验室和化学品供应商</t>
  </si>
  <si>
    <t>运动经理</t>
  </si>
  <si>
    <t>会计，格斗（斗殴），闪避，两项社交技能（取悦、话术、恐吓、说服），急救，心理学，任意一项其他个人或时代特长。</t>
  </si>
  <si>
    <t>体育界，体育专栏作家，运动员时期的朋友。</t>
  </si>
  <si>
    <t>商船队船员</t>
  </si>
  <si>
    <t>20-30</t>
  </si>
  <si>
    <t>人类学，攀爬，电气维修或机械维修，跳跃，操作重型机械，外语，生存（海上），任意一项其他个人或时代特长。</t>
  </si>
  <si>
    <t>海员公会，走私者。</t>
  </si>
  <si>
    <t>古典音乐家</t>
  </si>
  <si>
    <t>会计，技艺（乐器），一项社交技能（取悦、话术、恐吓、说服），聆听，心理学，三项其他技能。</t>
  </si>
  <si>
    <t>其他音乐家，音乐家公会，赞助人。</t>
  </si>
  <si>
    <t>赛车手/ 赛艇手</t>
  </si>
  <si>
    <t>汽车驾驶，电气维修，机械维修，驾驶（船），心理学，侦察，任意两项其他个人或时代特长。</t>
  </si>
  <si>
    <t>汽车业/ 船舶业，电影行业。</t>
  </si>
  <si>
    <t>电台播音员</t>
  </si>
  <si>
    <t>艺术（表演），母语，取悦，话术，说服，心理学，任意两项其他个人或时代特长。</t>
  </si>
  <si>
    <t>广播新闻界，可能有好莱坞，根据广播节目的内容决定。</t>
  </si>
  <si>
    <t>推销员（圣经推销员）</t>
  </si>
  <si>
    <t>信教顾客。</t>
  </si>
  <si>
    <t>推销员（旅行推销员）</t>
  </si>
  <si>
    <t>会计，两项社交技能（取悦、话术、恐吓、说服），汽车驾驶，导航，聆听，心理学，一项其他技能。</t>
  </si>
  <si>
    <t>小企业家</t>
  </si>
  <si>
    <t>会计，两项社交技能（取悦、话术、恐吓、说服），心理学，四项经营业务相关技能。</t>
  </si>
  <si>
    <t>业务相关人士：银行家，供货商，顾客，等等。</t>
  </si>
  <si>
    <t>舞台工作人员</t>
  </si>
  <si>
    <t>艺术/ 工艺（任一），母语，两项社交技能（取悦、话术、恐吓、说服），乔装，心理学，任意两项其他个人或时代特长。</t>
  </si>
  <si>
    <t>演剧业，演员公会。</t>
  </si>
  <si>
    <t>证券经纪人</t>
  </si>
  <si>
    <t>60-90</t>
  </si>
  <si>
    <t>会计，估价，母语，两项社交技能（取悦、话术、恐吓、说服），心理学，任意两项其他个人或时代特长。</t>
  </si>
  <si>
    <t>商界，饥渴的投资人。</t>
  </si>
  <si>
    <t>勘测员</t>
  </si>
  <si>
    <t>会计，艺术（摄影），图书馆，博物学，导航，生存（任一），侦察，任意一项其他个人或时代特长。</t>
  </si>
  <si>
    <t>州和地方档案局。</t>
  </si>
  <si>
    <t>电话接线员</t>
  </si>
  <si>
    <t>母语，外语，两项社交技能（取悦、话术、恐吓、说服），聆听，心理学，任意两项其他个人或时代特长。</t>
  </si>
  <si>
    <t>同事，不过他们可以听到对话的内容，从而掌握公司的情报。</t>
  </si>
  <si>
    <t>星探</t>
  </si>
  <si>
    <t>会计，两项社交技能（取悦、话术、恐吓、说服），法律，心理学，侦察，任意两项其他个人或时代特长。</t>
  </si>
  <si>
    <t>出版业，电影业等等。</t>
  </si>
  <si>
    <t>医疗技术员</t>
  </si>
  <si>
    <t>艺术（摄影），电气维修，图书馆，机械维修，医学，科学（生物，化学，药学）。</t>
  </si>
  <si>
    <t xml:space="preserve">医院和医疗机构实验室器械、药品、化学品。
</t>
  </si>
  <si>
    <t>队医</t>
  </si>
  <si>
    <t>两项社交技能（取悦、话术、恐吓、说服），急救，医学，科学（药学），心理学，侦察，任意一项其他个人或时代特长。</t>
  </si>
  <si>
    <t>体育界。</t>
  </si>
  <si>
    <t>武术流派</t>
  </si>
  <si>
    <t>对应技能</t>
  </si>
  <si>
    <t>寻宝猎人</t>
  </si>
  <si>
    <t>估价，攀爬，汽车驾驶或驾驶（飞行器或船），电气维修或机械维修，历史，跳跃，一项社交技能（取悦、话术、恐吓、说服），侦察。</t>
  </si>
  <si>
    <t>投资者，寻宝猎人伙伴，地方政府，外国政府，海岸卫队，地方执法部门。</t>
  </si>
  <si>
    <t>合气道</t>
  </si>
  <si>
    <t>格斗（斗殴）</t>
  </si>
  <si>
    <t>西部治安官</t>
  </si>
  <si>
    <t>汽车驾驶，射击（任一），格斗（斗殴，鞭），法律，说服或心理学，骑术，追踪。</t>
  </si>
  <si>
    <t>《日本秘史》
职业</t>
  </si>
  <si>
    <t>地方官员，本地居民，本地罪犯。</t>
  </si>
  <si>
    <r>
      <rPr>
        <charset val="134"/>
        <sz val="11"/>
        <color rgb="FF000000"/>
        <rFont val="微软雅黑 Light"/>
      </rPr>
      <t>《日本秘史》职业，</t>
    </r>
    <r>
      <rPr>
        <b/>
        <charset val="134"/>
        <sz val="11"/>
        <color indexed="10"/>
        <rFont val="微软雅黑 Light"/>
      </rPr>
      <t>使用前请征得KP同意。</t>
    </r>
  </si>
  <si>
    <t>居合</t>
  </si>
  <si>
    <t>格斗（日本刀）</t>
  </si>
  <si>
    <t>暴走族</t>
  </si>
  <si>
    <t>格斗（斗殴），汽车驾驶，机械维修，话术，恐吓，任意三项其他个人或时代特长。</t>
  </si>
  <si>
    <t>黑帮，其他暴走族和警察。</t>
  </si>
  <si>
    <t>柔道</t>
  </si>
  <si>
    <t>神职人员(和尚,尼姑)</t>
  </si>
  <si>
    <t>5-60</t>
  </si>
  <si>
    <t>艺术（书法），历史或图书馆，外语（汉语或梵语），学识（佛教），一项社交技能（取悦、话术、恐吓、说服），心理学，聆听，任意一项其他个人或时代特长。</t>
  </si>
  <si>
    <t>社区领袖，殡葬业者等。</t>
  </si>
  <si>
    <t>空手道</t>
  </si>
  <si>
    <t>神职人员(神官,巫女)</t>
  </si>
  <si>
    <t>艺术（书法，另任一），图书馆，神秘学，学识（神道教），一项社交技能（取悦、话术、恐吓、说服），心理学，任意一项其他个人或时代特长。</t>
  </si>
  <si>
    <t>弓道</t>
  </si>
  <si>
    <t>射击（弓术）</t>
  </si>
  <si>
    <t>风水师</t>
  </si>
  <si>
    <t>艺术（任一），图书馆，神秘学，学识（道教），一项社交技能（取悦、话术、恐吓、说服），科学（天文，地质），任意一项其他个人或时代特长。</t>
  </si>
  <si>
    <t>薙刀</t>
  </si>
  <si>
    <t>家传降妖人</t>
  </si>
  <si>
    <t>格斗（斗殴），博物学，神秘学，学识（佛教或神道教），心理学，潜行，任意两项其他个人或时代特长。</t>
  </si>
  <si>
    <t>忍术</t>
  </si>
  <si>
    <t>格斗（矛）</t>
  </si>
  <si>
    <t>高中生(教育60以下)</t>
  </si>
  <si>
    <t>攀爬、潜行、跳跃、图书馆、格斗（任一）、母语、科学（任一）或历史、外语（英语或其他）。</t>
  </si>
  <si>
    <t>其他学生，教师。</t>
  </si>
  <si>
    <t>相扑</t>
  </si>
  <si>
    <t>市子（盲人）</t>
  </si>
  <si>
    <t>艺术（表演），聆听，学识（神道教），神秘学，历史，话术或说服，心理学，任意一项特长。※经KP同意，可以用「灵媒」技能代替一项自选技能。</t>
  </si>
  <si>
    <t>武术流派的使用方法：为自己的格斗或射击技能选择一个武术流派。若不选择，则意味着使用外国格斗术或普通酒吧斗殴</t>
  </si>
  <si>
    <t>言灵师/阴阳师</t>
  </si>
  <si>
    <t>艺术（书法，另任一），历史或图书馆，母语，学识（阴阳道），科学（天文），神秘学，任意一项其他个人或时代特长。</t>
  </si>
  <si>
    <t>炼丹师</t>
  </si>
  <si>
    <t>图书馆，医学，神秘学，科学（化学），博物学，学识（道教），外语（汉语），急救或精神分析。</t>
  </si>
  <si>
    <t>外语教师</t>
  </si>
  <si>
    <t>历史，聆听，母语，心理学，两项社交技能（取悦、话术、恐吓、说服），任意两项其他个人或时代特长。</t>
  </si>
  <si>
    <t>语言学校，学生和其他教育者。</t>
  </si>
  <si>
    <t>格斗（日本刀）：初始值等于格斗(剑)，两者不能通用</t>
  </si>
  <si>
    <t>非法移民</t>
  </si>
  <si>
    <t>乔装，话术，聆听，侦察，潜行，妙手，心理学，任意一项其他个人或时代特长。</t>
  </si>
  <si>
    <t>其他非法移民，蛇头。</t>
  </si>
  <si>
    <t>相扑力士(SIZ&gt;80,STR&gt;70)</t>
  </si>
  <si>
    <t>闪避，格斗（斗殴），恐吓，跳跃，心理学，侦察，任意两项其他个人或时代特长。(你的体型可以超过99)</t>
  </si>
  <si>
    <t>忍术流派：忍者职业自动取得，其他人不能取得。该流派可以保密</t>
  </si>
  <si>
    <t>渔民</t>
  </si>
  <si>
    <t>机械维修，操作重型机械，游泳，驾驶（船），科学（天文），导航，博物学，侦察。</t>
  </si>
  <si>
    <t>日系特定规则
《克苏鲁2010》
《克苏鲁与帝国》
《克苏鲁2015》
职业</t>
  </si>
  <si>
    <t>地方渔业部门，海警，养殖业者，潜水员。</t>
  </si>
  <si>
    <r>
      <rPr>
        <charset val="134"/>
        <sz val="11"/>
        <color rgb="FF000000"/>
        <rFont val="微软雅黑 Light"/>
      </rPr>
      <t>日系特定规则《克苏鲁2010》职业，</t>
    </r>
    <r>
      <rPr>
        <b/>
        <charset val="134"/>
        <sz val="11"/>
        <color indexed="10"/>
        <rFont val="微软雅黑 Light"/>
      </rPr>
      <t>使用前请征得KP同意。</t>
    </r>
  </si>
  <si>
    <t>心理治疗师</t>
  </si>
  <si>
    <t>艺术（任一），两项社交技能（取悦、话术、恐吓、说服），法律，外语，心理学，精神分析，任意一项其他个人或时代特长。</t>
  </si>
  <si>
    <t>精神病学家，心理学家，患者和咨询顾客，企业与学校等。</t>
  </si>
  <si>
    <t>女学生</t>
  </si>
  <si>
    <t>一项社交技能（取悦、话术、恐吓、说服），自行车驾驶，急救，聆听，艺术/ 工艺（任一），图书馆，格斗（矛）或射击（弓术），外语（任一）。</t>
  </si>
  <si>
    <r>
      <rPr>
        <charset val="134"/>
        <sz val="11"/>
        <color rgb="FF000000"/>
        <rFont val="微软雅黑 Light"/>
      </rPr>
      <t>日系特定规则《克苏鲁与帝国》职业，</t>
    </r>
    <r>
      <rPr>
        <b/>
        <charset val="134"/>
        <sz val="11"/>
        <color indexed="10"/>
        <rFont val="微软雅黑 Light"/>
      </rPr>
      <t>使用前请征得KP同意。</t>
    </r>
  </si>
  <si>
    <t>寄居学生</t>
  </si>
  <si>
    <t>急救，会计，手艺（木匠），说服，图书馆，外语（任一），任意两项其他个人或时代特长。</t>
  </si>
  <si>
    <t>寄宿家庭，赞助人，同乡会等。</t>
  </si>
  <si>
    <t>动物辅助治疗师</t>
  </si>
  <si>
    <t>聆听，心理学，精神分析，科学（动物学），跳跃，追踪，博物学，任意一项其他个人或时代特长。
跳跃，追踪，博物学，任意一项其他个人或时代特长。</t>
  </si>
  <si>
    <r>
      <rPr>
        <charset val="134"/>
        <sz val="11"/>
        <color rgb="FF000000"/>
        <rFont val="微软雅黑 Light"/>
      </rPr>
      <t>日系特定规则《克苏鲁2015》职业，</t>
    </r>
    <r>
      <rPr>
        <b/>
        <charset val="134"/>
        <sz val="11"/>
        <color indexed="10"/>
        <rFont val="微软雅黑 Light"/>
      </rPr>
      <t>使用前请征得KP同意。</t>
    </r>
  </si>
  <si>
    <t>小学生调查员的转换：
建议潜行的初始值仍为40，原躲藏技能的初始值和随年龄增长的变化均忽略。</t>
  </si>
  <si>
    <t>急诊医生/救援队员</t>
  </si>
  <si>
    <t>医学，急救，科学（化学），锁匠，机械维修，电气维修，攀爬，跳跃。</t>
  </si>
  <si>
    <t>密医</t>
  </si>
  <si>
    <t>医学，急救，会计，一项社交技能（取悦、话术、恐吓、说服），法律，科学（药学），外语，任意一项其他个人或时代特长。</t>
  </si>
  <si>
    <t>科学搜查研究员</t>
  </si>
  <si>
    <t>山岳救援队员</t>
  </si>
  <si>
    <t>急救，聆听，跳跃，追踪，攀爬，导航，生存（山地），外语。</t>
  </si>
  <si>
    <t>172（女学生）,173（寄居学生）号职业
仅限1920年代使用</t>
  </si>
  <si>
    <t>舞者</t>
  </si>
  <si>
    <t>服装设计师</t>
  </si>
  <si>
    <t xml:space="preserve">会计，技艺（摄影），技艺（任一），计算机或图书馆，乔装，心理学，侦察，任意一项其他个人特长。※可以通过成功的「侦察」检定，从对方的服饰判定其地位和收入等。
</t>
  </si>
  <si>
    <t>海上自卫队员</t>
  </si>
  <si>
    <t>电气维修或机械维修，格斗，射击，急救，导航，驾驶（船），生存（海上），游泳。</t>
  </si>
  <si>
    <t>海警</t>
  </si>
  <si>
    <t>急救，机械维修，博物学，导航，一项社交技能（取悦、话术、恐吓、说服），驾驶（船），侦察，游泳。</t>
  </si>
  <si>
    <t>陆上自卫队员</t>
  </si>
  <si>
    <t>私人军事公司成员</t>
  </si>
  <si>
    <t>冒险家教授</t>
  </si>
  <si>
    <t>攀爬或游泳，射击，历史，跳跃，博物学，导航，外语，生存。</t>
  </si>
  <si>
    <t>评论家</t>
  </si>
  <si>
    <t>偶像</t>
  </si>
  <si>
    <t>技艺（表演,歌唱,舞蹈），乔装，两项社交技能（取悦、话术、恐吓、说服），聆听，心理学，任意两项其他个人或时代特长。</t>
  </si>
  <si>
    <t>歌手</t>
  </si>
  <si>
    <t>技艺（歌唱,舞蹈,乐器），乔装，两项社交技能（取悦、话术、恐吓、说服），聆听，心理学，任意两项其他个人或时代特长。</t>
  </si>
  <si>
    <t>搞笑艺人</t>
  </si>
  <si>
    <t>技艺（表演,杂技,喜剧），乔装，两项社交技能（取悦、话术、恐吓、说服），聆听，心理学，任意两项其他个人或时代特长。</t>
  </si>
  <si>
    <t>运动员艺人</t>
  </si>
  <si>
    <t>攀爬，闪避，跳跃，投掷，侦察，游泳，任意两项其他个人或时代特长。</t>
  </si>
  <si>
    <t>播音员</t>
  </si>
  <si>
    <t>主持人</t>
  </si>
  <si>
    <t>电视解说员</t>
  </si>
  <si>
    <t>网络明星</t>
  </si>
  <si>
    <t>技艺（表演，歌唱，喜剧），乔装，两项社交技能（取悦、话术、恐吓、说服），聆听，心理学，计算机，电气维修。</t>
  </si>
  <si>
    <t>经纪人</t>
  </si>
  <si>
    <t>汽车驾驶、两项社交技能（取悦、话术、恐吓、说服），潜行，聆听，法律，任意两项其他个人或时代特长。</t>
  </si>
  <si>
    <t>捉鬼人</t>
  </si>
  <si>
    <t>神秘学，科学（物理，化学，生物），机械维修，艺术（摄影），电气维修，一项社交技能（取悦、话术、恐吓、说服）。</t>
  </si>
  <si>
    <t>占卜师、灵媒师</t>
  </si>
  <si>
    <t>教育×2＋教育或外貌×2</t>
  </si>
  <si>
    <t>艺术（表演），历史，图书馆，两项社交技能（取悦、话术、恐吓、说服），神秘学，心理学，任意一项其他个人或时代特长。</t>
  </si>
  <si>
    <t>机械师</t>
  </si>
  <si>
    <t>厨师</t>
  </si>
  <si>
    <t>手艺（烹饪），科学（生物，化学），格斗（斗殴），博物学，侦察，外语，任意一项其他个人或时代特长。</t>
  </si>
  <si>
    <t>网络犯罪者</t>
  </si>
  <si>
    <t>计算机，电气维修，电子学，图书馆，侦察，一项社交技能（取悦、话术、恐吓、说服），任意两项其他技能。</t>
  </si>
  <si>
    <t>佣兵</t>
  </si>
  <si>
    <t>自宅警备员</t>
  </si>
  <si>
    <t>1-10</t>
  </si>
  <si>
    <t xml:space="preserve">计算机，聆听，潜行，图书馆，母语，任意三项符合尼特族形象的特长。
</t>
  </si>
  <si>
    <t>壮汉保镖</t>
  </si>
  <si>
    <t>格斗（斗殴），射击，急救，一项社交技能（取悦、话术、恐吓、说服），法律，心理学，侦察和下面的一种个人特长：汽车驾驶或骑术。</t>
  </si>
  <si>
    <t>游戏测试员</t>
  </si>
  <si>
    <t>手艺（游戏），计算机，电气维修，电子学，聆听，一项社交技能（取悦、话术、恐吓、说服），任意两项其他个人或时代特长。</t>
  </si>
  <si>
    <t>交际花</t>
  </si>
  <si>
    <t>艺术（任意），估价，潜行，一项社交技能（取悦、话术、恐吓、说服），急救，其他语言（欧洲），心理学，骑术，（乔装、钳工）中的一种，任意一项其他个人或时代特长</t>
  </si>
  <si>
    <t>《克苏鲁煤气灯》
职业</t>
  </si>
  <si>
    <r>
      <rPr>
        <charset val="134"/>
        <sz val="11"/>
        <color rgb="FF000000"/>
        <rFont val="微软雅黑 Light"/>
      </rPr>
      <t>《克苏鲁煤气灯》1980s职业，</t>
    </r>
    <r>
      <rPr>
        <b/>
        <charset val="134"/>
        <sz val="11"/>
        <color rgb="FFFF0000"/>
        <rFont val="微软雅黑 Light"/>
      </rPr>
      <t>使用前请征得KP同意。</t>
    </r>
  </si>
  <si>
    <t>考古学家</t>
  </si>
  <si>
    <t>会计，艺术（任意），估价，历史，图书馆，其他语言（欧洲），一项社交技能（取悦、话术、恐吓、说服），心理学，侦查，任意两项其他个人或时代特长</t>
  </si>
  <si>
    <t>贵族</t>
  </si>
  <si>
    <t>70-99</t>
  </si>
  <si>
    <t>拉丁语，法律，其他语言（欧洲），一项社交技能（取悦、话术、恐吓、说服），骑术，射击（霰弹枪），任意三项其他个人或时代特长</t>
  </si>
  <si>
    <t>艺术及手艺（任意多种），估价，历史，图书馆，其他语言（欧洲），侦查，任意两项其他个人或时代特长</t>
  </si>
  <si>
    <t>作家</t>
  </si>
  <si>
    <t>艺术（写作），历史，图书馆，其他语言（欧洲），母语，一项社交技能（取悦、话术、恐吓、说服），心理学，任意两项其他个人或时代特长</t>
  </si>
  <si>
    <t>马车夫</t>
  </si>
  <si>
    <t>闪避，马车驾驶，跳跃，聆听，机械维修，博物学，导航，一项社交技能（取悦、话术、恐吓、说服），侦查，格斗（鞭），任意一项其他个人或时代特长</t>
  </si>
  <si>
    <t>牧师</t>
  </si>
  <si>
    <t>20-65</t>
  </si>
  <si>
    <t>历史，拉丁语，图书馆，一项社交技能（取悦、话术、恐吓、说服），心理学，任意两项其他个人或时代特长</t>
  </si>
  <si>
    <t>咨询侦探</t>
  </si>
  <si>
    <t>人类学，估价，科学（化学），急救，历史，法律，图书馆，聆听，心理学，其他语言（任意），侦查，追踪，任意两项其他个人或时代特长</t>
  </si>
  <si>
    <t>仅限维多利亚时代使用</t>
  </si>
  <si>
    <t>会计，估价，手艺（任意多种），机械维修，一项社交技能（取悦、话术、恐吓、说服），侦查，任意一项其他个人或时代特长</t>
  </si>
  <si>
    <t>罪犯</t>
  </si>
  <si>
    <t>估价，乔装，一项社交技能（取悦、话术、恐吓、说服），潜行，锁匠，格斗（任意两项），任意一项其他个人或时代特长</t>
  </si>
  <si>
    <t>业余艺术爱好者</t>
  </si>
  <si>
    <t>任意六项个人或时代特长</t>
  </si>
  <si>
    <t>艺术（任意多种），乔装，闪避，两项社交技能（取悦、话术、恐吓、说服），聆听，母语，心理学，任意三项其他个人或时代特长</t>
  </si>
  <si>
    <t>退役军官</t>
  </si>
  <si>
    <t>40-75</t>
  </si>
  <si>
    <t>潜行，急救，射击（手枪、来复枪）,导航，其他语言（任意）,一项社交技能（取悦、话术、恐吓、说服）,心理学，骑术,格斗（剑），侦查，（攀爬、游泳）中的一种</t>
  </si>
  <si>
    <t>探险家</t>
  </si>
  <si>
    <t>45-70</t>
  </si>
  <si>
    <t>人类学，考古学，估价，科学（生物学），攀爬，急救，射击（手枪、来复枪），格斗（斗殴），博物学，导航，其他语言（任意），驾驶（小艇，船，热气球），骑术，潜行，侦查，游泳，追踪</t>
  </si>
  <si>
    <t>会计，两项社交技能（取悦、话术、恐吓、说服），法律，图书馆，聆听，锁匠，艺术及手艺（摄影），侦查，任意一项其他个人或时代特长</t>
  </si>
  <si>
    <t>记者</t>
  </si>
  <si>
    <t>估价，闪避，两项社交技能（取悦、话术、恐吓、说服），图书馆，聆听，其他语言（欧洲），母语，艺术及手艺（摄影），心理学，侦查。</t>
  </si>
  <si>
    <t>劳工</t>
  </si>
  <si>
    <t>估价，一项社交技能（取悦、话术、恐吓、说服），闪避，急救，机械维修，重型机械操作，任意一项其他个人或时代特长，以及从以下任选两种：（攀爬，斗殴，手艺（任意），马车驾驶，驾驶：船）</t>
  </si>
  <si>
    <t>会计，估价，两项社交技能（取悦、话术、恐吓、说服），历史，拉丁语，法律，图书馆，聆听，心理学，任意两项其他个人或时代特长</t>
  </si>
  <si>
    <t>医生</t>
  </si>
  <si>
    <t>科学（生物学、药剂学），急救，拉丁语，图书馆，医学，心理学，任意两项其他个人或时代特长</t>
  </si>
  <si>
    <t>警察</t>
  </si>
  <si>
    <t>格斗（斗殴），闪避，一项社交技能（取悦、话术、恐吓、说服），急救，射击（手枪），法律，聆听，心理学，潜行，侦查</t>
  </si>
  <si>
    <t>教授/学者</t>
  </si>
  <si>
    <t>图书馆，其他语言（欧洲），一项社交技能（取悦、话术、恐吓、说服），心理学，至多六种额外的学识技巧作为个人专长</t>
  </si>
  <si>
    <t>手艺（任意），历史，图书馆，机械维修，一项社交技能（取悦、话术、恐吓、说服），侦查，至多六种其他学识技巧作为个人专长</t>
  </si>
  <si>
    <t>佣人</t>
  </si>
  <si>
    <t>手艺（任意），闪避，聆听，潜行，任意一项其他个人或时代特长，以及从以下中最多选取三个：（会计，估价，马车驾驶，礼仪，急救，其他语言（欧洲），说服）</t>
  </si>
  <si>
    <t>店主</t>
  </si>
  <si>
    <t>会计，估价，手艺（任意），聆听，一项社交技能（取悦、话术、恐吓、说服），心理学，侦查，任意一项其他个人或时代特长</t>
  </si>
  <si>
    <t>士兵</t>
  </si>
  <si>
    <t>闪避，急救，潜行，聆听，机械维修，射击（来复枪），潜行，侦查，任意两项其他个人或时代特长</t>
  </si>
  <si>
    <t>密探</t>
  </si>
  <si>
    <t>乔装，一项社交技能（取悦、话术、恐吓、说服），潜行，历史，图书馆，聆听，锁匠，导航，其他语言（欧洲），心理学，侦查，格斗（任意）</t>
  </si>
  <si>
    <t>技能成长表</t>
  </si>
  <si>
    <t>模组2</t>
  </si>
  <si>
    <t>模组3</t>
  </si>
  <si>
    <t>模组4</t>
  </si>
  <si>
    <t>模组5</t>
  </si>
  <si>
    <t>模组6</t>
  </si>
  <si>
    <t>模组7</t>
  </si>
  <si>
    <t>模组8</t>
  </si>
  <si>
    <t>模组9</t>
  </si>
  <si>
    <t>模组10</t>
  </si>
  <si>
    <t>模组11</t>
  </si>
  <si>
    <t>模组12</t>
  </si>
  <si>
    <t>模组13</t>
  </si>
  <si>
    <t>模组14</t>
  </si>
  <si>
    <t>模组15</t>
  </si>
  <si>
    <t>模组16</t>
  </si>
  <si>
    <t>模组17</t>
  </si>
  <si>
    <t>模组18</t>
  </si>
  <si>
    <t>模组19</t>
  </si>
  <si>
    <t>模组20</t>
  </si>
  <si>
    <t>模组21</t>
  </si>
  <si>
    <t>模组22</t>
  </si>
  <si>
    <t>模组23</t>
  </si>
  <si>
    <t>模组24</t>
  </si>
  <si>
    <t>模组25</t>
  </si>
  <si>
    <t>模组26</t>
  </si>
  <si>
    <t>模组27</t>
  </si>
  <si>
    <t>模组28</t>
  </si>
  <si>
    <t>模组29</t>
  </si>
  <si>
    <t>模组30</t>
  </si>
  <si>
    <t>模组31</t>
  </si>
  <si>
    <t>模组32</t>
  </si>
  <si>
    <t>模组33</t>
  </si>
  <si>
    <t>模组34</t>
  </si>
  <si>
    <t>模组35</t>
  </si>
  <si>
    <t>模组36</t>
  </si>
  <si>
    <t>模组37</t>
  </si>
  <si>
    <t>模组38</t>
  </si>
  <si>
    <t>模组39</t>
  </si>
  <si>
    <t>模组40</t>
  </si>
  <si>
    <t>模组41</t>
  </si>
  <si>
    <t>模组42</t>
  </si>
  <si>
    <t>模组43</t>
  </si>
  <si>
    <t>模组44</t>
  </si>
  <si>
    <t>模组45</t>
  </si>
  <si>
    <t>模组46</t>
  </si>
  <si>
    <t>模组47</t>
  </si>
  <si>
    <t>模组48</t>
  </si>
  <si>
    <t>模组49</t>
  </si>
  <si>
    <t>模组50</t>
  </si>
  <si>
    <t>模组51</t>
  </si>
  <si>
    <t>模组52</t>
  </si>
  <si>
    <t>模组53</t>
  </si>
  <si>
    <t>模组54</t>
  </si>
  <si>
    <t>模组55</t>
  </si>
  <si>
    <t>模组56</t>
  </si>
  <si>
    <t>模组57</t>
  </si>
  <si>
    <t>模组58</t>
  </si>
  <si>
    <t>模组59</t>
  </si>
  <si>
    <t>模组60</t>
  </si>
  <si>
    <t>模组61</t>
  </si>
  <si>
    <t>模组62</t>
  </si>
  <si>
    <t>模组63</t>
  </si>
  <si>
    <t>模组64</t>
  </si>
  <si>
    <t>模组65</t>
  </si>
  <si>
    <t>模组66</t>
  </si>
  <si>
    <t>模组67</t>
  </si>
  <si>
    <t>模组68</t>
  </si>
  <si>
    <t>模组69</t>
  </si>
  <si>
    <t>模组70</t>
  </si>
  <si>
    <t>模组71</t>
  </si>
  <si>
    <t>模组72</t>
  </si>
  <si>
    <t>模组73</t>
  </si>
  <si>
    <t>模组74</t>
  </si>
  <si>
    <t>模组75</t>
  </si>
  <si>
    <t>模组76</t>
  </si>
  <si>
    <t>模组77</t>
  </si>
  <si>
    <t>模组78</t>
  </si>
  <si>
    <t>模组79</t>
  </si>
  <si>
    <t>模组80</t>
  </si>
  <si>
    <t>模组81</t>
  </si>
  <si>
    <t>模组82</t>
  </si>
  <si>
    <t>模组83</t>
  </si>
  <si>
    <t>模组84</t>
  </si>
  <si>
    <t>模组85</t>
  </si>
  <si>
    <t>模组86</t>
  </si>
  <si>
    <t>模组87</t>
  </si>
  <si>
    <t>模组88</t>
  </si>
  <si>
    <t>模组89</t>
  </si>
  <si>
    <t>模组90</t>
  </si>
  <si>
    <t>模组91</t>
  </si>
  <si>
    <t>模组92</t>
  </si>
  <si>
    <t>模组93</t>
  </si>
  <si>
    <t>模组94</t>
  </si>
  <si>
    <t>模组95</t>
  </si>
  <si>
    <t>模组96</t>
  </si>
  <si>
    <t>模组97</t>
  </si>
  <si>
    <t>模组98</t>
  </si>
  <si>
    <t>模组99</t>
  </si>
  <si>
    <t>模组100</t>
  </si>
  <si>
    <t>后面依次类推哦</t>
  </si>
  <si>
    <t>格斗：斗殴</t>
  </si>
  <si>
    <t>射击：手枪</t>
  </si>
  <si>
    <t>自定义职业</t>
  </si>
  <si>
    <t>事务所侦探</t>
  </si>
  <si>
    <t>非熟练工人</t>
  </si>
  <si>
    <t>司法家</t>
  </si>
  <si>
    <t>赛车手/赛艇手</t>
  </si>
  <si>
    <t>☆</t>
  </si>
  <si>
    <t>⊙</t>
  </si>
  <si>
    <t>☯</t>
  </si>
  <si>
    <t>※</t>
  </si>
  <si>
    <t>表演</t>
  </si>
  <si>
    <t>制图</t>
  </si>
  <si>
    <t>文学</t>
  </si>
  <si>
    <t>演☆</t>
  </si>
  <si>
    <t>伪造</t>
  </si>
  <si>
    <t>摄影</t>
  </si>
  <si>
    <t>表</t>
  </si>
  <si>
    <t>耕作</t>
  </si>
  <si>
    <t>摄影☆</t>
  </si>
  <si>
    <t>乐器</t>
  </si>
  <si>
    <t>驯养</t>
  </si>
  <si>
    <t>书法</t>
  </si>
  <si>
    <t>木匠</t>
  </si>
  <si>
    <t>歌唱</t>
  </si>
  <si>
    <t>厨艺</t>
  </si>
  <si>
    <t>游戏</t>
  </si>
  <si>
    <t>写作</t>
  </si>
  <si>
    <t>演</t>
  </si>
  <si>
    <t>艺☆</t>
  </si>
  <si>
    <t>字☆</t>
  </si>
  <si>
    <t>舞蹈</t>
  </si>
  <si>
    <t>喜剧</t>
  </si>
  <si>
    <t>焊接</t>
  </si>
  <si>
    <t>类</t>
  </si>
  <si>
    <t>记☆</t>
  </si>
  <si>
    <t>杂技</t>
  </si>
  <si>
    <t>管道</t>
  </si>
  <si>
    <t>鞭</t>
  </si>
  <si>
    <t>链锯</t>
  </si>
  <si>
    <t>矛</t>
  </si>
  <si>
    <t>剑</t>
  </si>
  <si>
    <t>步/霰</t>
  </si>
  <si>
    <t>弓术</t>
  </si>
  <si>
    <t>霰弹</t>
  </si>
  <si>
    <t>来复</t>
  </si>
  <si>
    <t>拉丁</t>
  </si>
  <si>
    <t>置换</t>
  </si>
  <si>
    <t>希伯来</t>
  </si>
  <si>
    <t>汉语</t>
  </si>
  <si>
    <t>欧洲</t>
  </si>
  <si>
    <t>梵语</t>
  </si>
  <si>
    <t>船</t>
  </si>
  <si>
    <t>飞行</t>
  </si>
  <si>
    <t>艇船球</t>
  </si>
  <si>
    <t>生物</t>
  </si>
  <si>
    <t>动物</t>
  </si>
  <si>
    <t>数学</t>
  </si>
  <si>
    <t>工程</t>
  </si>
  <si>
    <t>化学</t>
  </si>
  <si>
    <t>生物☆</t>
  </si>
  <si>
    <t>地质</t>
  </si>
  <si>
    <t>天文学</t>
  </si>
  <si>
    <t>天文</t>
  </si>
  <si>
    <t>药学</t>
  </si>
  <si>
    <t>物理</t>
  </si>
  <si>
    <t>植物</t>
  </si>
  <si>
    <t>司法</t>
  </si>
  <si>
    <t>植☆</t>
  </si>
  <si>
    <t>制药</t>
  </si>
  <si>
    <t>山</t>
  </si>
  <si>
    <t>海上</t>
  </si>
  <si>
    <t>海洋</t>
  </si>
  <si>
    <t>海</t>
  </si>
  <si>
    <t>移动力计算</t>
  </si>
  <si>
    <t>护甲表减值
是否开启</t>
  </si>
  <si>
    <t>护甲表减值</t>
  </si>
  <si>
    <t>年龄减值</t>
  </si>
  <si>
    <t>力量-体型</t>
  </si>
  <si>
    <t>技能雷达表</t>
  </si>
  <si>
    <t>值</t>
  </si>
  <si>
    <t>总数</t>
  </si>
  <si>
    <t>百分比</t>
  </si>
  <si>
    <t>伤害加值与体格</t>
  </si>
  <si>
    <t>shiyong</t>
  </si>
  <si>
    <t>计算</t>
  </si>
  <si>
    <t>敏捷-体型</t>
  </si>
  <si>
    <t>调查</t>
  </si>
  <si>
    <t>交涉</t>
  </si>
  <si>
    <t>战斗</t>
  </si>
  <si>
    <t>特技</t>
  </si>
  <si>
    <t>支援</t>
  </si>
  <si>
    <t>学问</t>
  </si>
  <si>
    <t>力量+体型</t>
  </si>
  <si>
    <t>力量大小</t>
  </si>
  <si>
    <t>检测是否为数字</t>
  </si>
  <si>
    <t>最终年龄减值</t>
  </si>
  <si>
    <t>敏捷大小</t>
  </si>
  <si>
    <t>非八十整数体格</t>
  </si>
  <si>
    <t>减485后八十的倍数</t>
  </si>
  <si>
    <t>最终体格出目</t>
  </si>
  <si>
    <t>总值</t>
  </si>
  <si>
    <t>护甲表最终减值</t>
  </si>
  <si>
    <t>属性最终值</t>
  </si>
  <si>
    <t>小于1D6的话</t>
  </si>
  <si>
    <t>超过1d6的话</t>
  </si>
  <si>
    <t>最终伤害加值出目</t>
  </si>
  <si>
    <t>最终补正值</t>
  </si>
  <si>
    <t>最终值</t>
  </si>
  <si>
    <t>格斗射击基础成功率</t>
  </si>
  <si>
    <t>教育+其他属性点数中的最大值（官方）</t>
  </si>
  <si>
    <t>格斗1</t>
  </si>
  <si>
    <t>射击1</t>
  </si>
  <si>
    <t>教育+其他属性点数中的所有值</t>
  </si>
  <si>
    <t>格斗2</t>
  </si>
  <si>
    <t>射击2</t>
  </si>
  <si>
    <t>属性雷达表</t>
  </si>
  <si>
    <t>基础属性</t>
  </si>
  <si>
    <t>出目</t>
  </si>
  <si>
    <t>格斗3</t>
  </si>
  <si>
    <t>射击3</t>
  </si>
  <si>
    <t>教育
EDU</t>
  </si>
  <si>
    <t>熟练下拉</t>
  </si>
  <si>
    <t>自定义技能剩余计算</t>
  </si>
  <si>
    <t>←请选择类型</t>
  </si>
  <si>
    <t>没有数值</t>
  </si>
  <si>
    <t>最大值</t>
  </si>
  <si>
    <t>最终出目</t>
  </si>
  <si>
    <t>随身物品下拉表</t>
  </si>
  <si>
    <t>san值计算</t>
  </si>
  <si>
    <t>颅————</t>
  </si>
  <si>
    <t>头部</t>
  </si>
  <si>
    <t>头发</t>
  </si>
  <si>
    <t>自定义</t>
  </si>
  <si>
    <t>名称</t>
  </si>
  <si>
    <t>耳朵</t>
  </si>
  <si>
    <t>1d10+5</t>
  </si>
  <si>
    <t>面部</t>
  </si>
  <si>
    <t>死亡</t>
  </si>
  <si>
    <t>任意</t>
  </si>
  <si>
    <t>特定时间</t>
  </si>
  <si>
    <t>1d10</t>
  </si>
  <si>
    <t xml:space="preserve">对目击尸体造成的理智损失免疫;初始年龄不能低于 25 岁;背景增加一项：警察工作相关的伤疤 / 疤痕或恐惧症 / 躁狂症；
</t>
  </si>
  <si>
    <t>颈部</t>
  </si>
  <si>
    <t>其他(头)</t>
  </si>
  <si>
    <t>躯————</t>
  </si>
  <si>
    <t>显露</t>
  </si>
  <si>
    <t>目前值</t>
  </si>
  <si>
    <t>肩</t>
  </si>
  <si>
    <t>隐藏</t>
  </si>
  <si>
    <t>胸前</t>
  </si>
  <si>
    <t>公元调整</t>
  </si>
  <si>
    <t>未出现的</t>
  </si>
  <si>
    <t>未出现的发明</t>
  </si>
  <si>
    <t>背后</t>
  </si>
  <si>
    <t>已出现的</t>
  </si>
  <si>
    <t>已出现的发明</t>
  </si>
  <si>
    <t>肋</t>
  </si>
  <si>
    <t>经历包剩余点</t>
  </si>
  <si>
    <t>调整出目</t>
  </si>
  <si>
    <t>本年的发明</t>
  </si>
  <si>
    <t>裆</t>
  </si>
  <si>
    <t>腰</t>
  </si>
  <si>
    <t>职业点数</t>
  </si>
  <si>
    <t>检测大小</t>
  </si>
  <si>
    <t>查找发明的时间</t>
  </si>
  <si>
    <t>?</t>
  </si>
  <si>
    <t>胯</t>
  </si>
  <si>
    <t>研发中...</t>
  </si>
  <si>
    <t>其他(躯)</t>
  </si>
  <si>
    <t>服————</t>
  </si>
  <si>
    <t>年份</t>
  </si>
  <si>
    <t>国际重大时代标志</t>
  </si>
  <si>
    <t>中国重大时代标志</t>
  </si>
  <si>
    <t>重大事件</t>
  </si>
  <si>
    <t>名人</t>
  </si>
  <si>
    <t>本年发明</t>
  </si>
  <si>
    <t>衣兜</t>
  </si>
  <si>
    <t>梵高饮弹自尽</t>
  </si>
  <si>
    <t>十九世纪 九十年代</t>
  </si>
  <si>
    <t xml:space="preserve">庚寅虎年
</t>
  </si>
  <si>
    <t>清光绪16年</t>
  </si>
  <si>
    <t>芝加哥建设世界首座全钢结构建筑
伦敦首条电气地铁
英国鱼雷巡洋舰蛇号在西班牙海岸失事，死亡 167 人
坐牛在印第安人起义中被杀
首个圣代冰淇淋
美国总人口达到 629 万</t>
  </si>
  <si>
    <t>总统：
   本杰明·哈里森（共和党）</t>
  </si>
  <si>
    <t>实用水电站 手电 电影摄影机 收音机 霍乱疫苗 啤酒瓶盖 柴油发动机 双向电报 实用的胶卷 块麦片 电报 可口可乐 X射线 卷烟机发明 电影放映机 排球 印名片机福特车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</si>
  <si>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t>
  </si>
  <si>
    <t>电气地铁
圣代冰淇淋</t>
  </si>
  <si>
    <t>内衬</t>
  </si>
  <si>
    <t>马德里协定</t>
  </si>
  <si>
    <t>辛卯兔年</t>
  </si>
  <si>
    <t>清光绪17年</t>
  </si>
  <si>
    <t>日本浓尾大地震，毁坏 2 万房屋，死亡 2.5万人
首个实用水电站
英国普及手电
爱迪生申请到电影摄影机的专利权
爱迪生拿到收音机的专利</t>
  </si>
  <si>
    <t>霍乱疫苗 啤酒瓶盖 柴油发动机 双向电报 实用的胶卷 块麦片 电报 可口可乐 X射线 卷烟机发明 电影放映机 排球 印名片机福特车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</si>
  <si>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t>
  </si>
  <si>
    <t>实用水电站
手电
电影摄影机
收音机</t>
  </si>
  <si>
    <t>衣服内</t>
  </si>
  <si>
    <t>壬辰龙年</t>
  </si>
  <si>
    <t>清光绪18年</t>
  </si>
  <si>
    <t>宾夕法尼亚州石油城暴发洪水，死亡130 人
霍乱疫苗
开普敦 - 约翰内斯堡铁路竣工
啤酒瓶盖发明
柴油发动机取得专利
爱迪生获得双向电报的专利权</t>
  </si>
  <si>
    <t>书籍：
   阿瑟·柯南·道尔出版《福尔摩斯办案记》（The Adventures of Sherlock Holmes）
总统：
   本杰明·哈里森（共和党）</t>
  </si>
  <si>
    <t>实用的胶卷 块麦片 电报 可口可乐 X射线 卷烟机发明 电影放映机 排球 印名片机福特车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</si>
  <si>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t>
  </si>
  <si>
    <t>霍乱疫苗
啤酒瓶盖
柴油发动机
双向电报</t>
  </si>
  <si>
    <t>毒剂示例</t>
  </si>
  <si>
    <t>裤兜</t>
  </si>
  <si>
    <t>新西兰给予女性投票权</t>
  </si>
  <si>
    <t>第一次里夫战争</t>
  </si>
  <si>
    <t>癸巳蛇年</t>
  </si>
  <si>
    <t>清光绪19年</t>
  </si>
  <si>
    <t>飓风造成的洪水袭击美国南部西海岸 ,死亡 2000 人
首个实用的胶卷
块麦片
芝加哥万国博览会</t>
  </si>
  <si>
    <t>总统：
   本杰明·哈里森（共和党）
   格罗佛·克利夫兰（民主党）</t>
  </si>
  <si>
    <t>电报 可口可乐 X射线 卷烟机发明 电影放映机 排球 印名片机福特车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</si>
  <si>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t>
  </si>
  <si>
    <t>实用的胶卷
块麦片</t>
  </si>
  <si>
    <t>电报
可口可乐</t>
  </si>
  <si>
    <t>毒剂名称</t>
  </si>
  <si>
    <t>生效时间</t>
  </si>
  <si>
    <t>症状</t>
  </si>
  <si>
    <t>其他(服)</t>
  </si>
  <si>
    <t>朝鲜东学党起义</t>
  </si>
  <si>
    <t>奥林匹克委员会成立</t>
  </si>
  <si>
    <t>中日甲午战争</t>
  </si>
  <si>
    <t>孙中山建立兴中会</t>
  </si>
  <si>
    <t>甲午马年</t>
  </si>
  <si>
    <t>清光绪20年</t>
  </si>
  <si>
    <t>明尼苏达森林大火，死亡 480 人
德雷福斯事件，其被流放魔鬼岛
首份电报
瓶装可口可乐</t>
  </si>
  <si>
    <t>总统：
   格罗佛·克利夫兰（民主党）</t>
  </si>
  <si>
    <t>X射线 卷烟机发明 电影放映机 排球 印名片机福特车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</si>
  <si>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t>
  </si>
  <si>
    <t>年龄年龄补正</t>
  </si>
  <si>
    <t>鹅膏菌（毒蘑菇）</t>
  </si>
  <si>
    <t>6～24小时</t>
  </si>
  <si>
    <t>剧烈腹痛、呕吐、黄疸</t>
  </si>
  <si>
    <t>造成了95%的毒蘑菇致死事件，鬼笔鹅膏是最常见的一种蘑菇毒素。</t>
  </si>
  <si>
    <t>上肢————</t>
  </si>
  <si>
    <t>台湾民主国成立</t>
  </si>
  <si>
    <t>台湾民主国被日军占领</t>
  </si>
  <si>
    <t>《马关条约》</t>
  </si>
  <si>
    <t>公车上书</t>
  </si>
  <si>
    <t>乙未羊年</t>
  </si>
  <si>
    <t>清光绪21年</t>
  </si>
  <si>
    <t>伦琴发现 X 射线
卷烟机发明
卢米埃兄弟制成电影放映机并在巴黎首次放映电影
卡尔斯滕·埃格贝尔格·博克格尔文克成为第一名在南极洲大陆登陆的人
韦廉姆·G·摩根在美国发明排球</t>
  </si>
  <si>
    <t>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</si>
  <si>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 电影放映机 排球</t>
  </si>
  <si>
    <t>X 射线
卷烟机
电影放映机
排球</t>
  </si>
  <si>
    <t>力量体型共-5 E-5 L*2</t>
  </si>
  <si>
    <t>砷化物</t>
  </si>
  <si>
    <t>30分钟～24小时</t>
  </si>
  <si>
    <t>灼痛、呕吐、剧烈腹泻</t>
  </si>
  <si>
    <t>4D10</t>
  </si>
  <si>
    <t>砷中毒难以确认（这使得它作为毒杀工具大受欢迎），直到1836年马氏试砷法发明为止。</t>
  </si>
  <si>
    <t>左手</t>
  </si>
  <si>
    <t>雅典奥运会</t>
  </si>
  <si>
    <t>《中俄密约》</t>
  </si>
  <si>
    <t>丙申猴年</t>
  </si>
  <si>
    <t>清光绪22年</t>
  </si>
  <si>
    <t>克朗代克淘金热
印名片机取得专利
首辆福特车
潜望镜
雅典举办首届奥运会</t>
  </si>
  <si>
    <t>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</si>
  <si>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t>
  </si>
  <si>
    <t>印名片机
福特车
潜望镜</t>
  </si>
  <si>
    <t>教育进步*1</t>
  </si>
  <si>
    <t>颠茄</t>
  </si>
  <si>
    <t>2小时～2天</t>
  </si>
  <si>
    <t>心率加快、视力受损、惊厥</t>
  </si>
  <si>
    <t>世界上毒性最大的植物之一，成人食用10～20颗就可能死亡。</t>
  </si>
  <si>
    <t>右手</t>
  </si>
  <si>
    <t>丁酉鸡年</t>
  </si>
  <si>
    <t>清光绪23年</t>
  </si>
  <si>
    <t>油印蜡纸发明
首个阴极射线管</t>
  </si>
  <si>
    <t>总统：
   格罗佛·克利夫兰（民主党）
   威廉·麦金利（共和党）</t>
  </si>
  <si>
    <t>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</si>
  <si>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t>
  </si>
  <si>
    <t>油印蜡纸发明
阴极射线管</t>
  </si>
  <si>
    <t>进步*2,SCD共-5 A-5</t>
  </si>
  <si>
    <t>黑寡妇蜘蛛毒</t>
  </si>
  <si>
    <t>2～8小时</t>
  </si>
  <si>
    <t>寒战、出汗、恶心</t>
  </si>
  <si>
    <t>如果及时进行医治，基本不会死亡。</t>
  </si>
  <si>
    <t>双手</t>
  </si>
  <si>
    <t>美西战争</t>
  </si>
  <si>
    <t>美国兼并夏威夷共和国</t>
  </si>
  <si>
    <t>戊戌变法/百日维新</t>
  </si>
  <si>
    <t xml:space="preserve">十九世纪 九十年代
</t>
  </si>
  <si>
    <t>戊戌狗年</t>
  </si>
  <si>
    <t>清光绪24年</t>
  </si>
  <si>
    <t>飓风袭击美国南部数百人死亡
美西战争，死亡 2446 美军
唱片普及
商品阿司匹林出现
凯洛格牌玉米片
手电筒
居里夫妇宣布发现新的放射性元素钋
居里夫妇发现了化学元素镭
尼古拉·特斯拉开发第一个摇控器</t>
  </si>
  <si>
    <t>总统：
   威廉·麦金利（共和党）</t>
  </si>
  <si>
    <t>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</si>
  <si>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t>
  </si>
  <si>
    <t>商品阿司匹林
凯洛格牌玉米片
手电筒
钋
镭
摇控器</t>
  </si>
  <si>
    <t>进步*3,SCD共-10 A-10</t>
  </si>
  <si>
    <t>三氯甲烷（氯仿）</t>
  </si>
  <si>
    <t>1轮</t>
  </si>
  <si>
    <t>昏迷1小时</t>
  </si>
  <si>
    <t>无伤害</t>
  </si>
  <si>
    <t>在1800~1900s是常见的麻醉剂，不过高的摄入量也会致死。</t>
  </si>
  <si>
    <t>左臂</t>
  </si>
  <si>
    <t>第二次布尔战争</t>
  </si>
  <si>
    <t>己亥猪年</t>
  </si>
  <si>
    <t>清光绪25年</t>
  </si>
  <si>
    <t>纽约温莎酒店大火，数百万人受灾，死亡 14 人
卢瑟福发现 α 粒子和 β 粒子
打字机开始普及</t>
  </si>
  <si>
    <t>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</si>
  <si>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t>
  </si>
  <si>
    <t>α 粒子和 β 粒子
打字机</t>
  </si>
  <si>
    <t>进步*4,SCD共-20 A-15</t>
  </si>
  <si>
    <t>眼镜蛇毒</t>
  </si>
  <si>
    <t>15～60分钟</t>
  </si>
  <si>
    <t>惊厥、呼吸衰竭</t>
  </si>
  <si>
    <t>接触眼睛会产生直接的刺激，未经处理会失明。如果有血清，可以避免受重伤和死亡。</t>
  </si>
  <si>
    <t>右臂</t>
  </si>
  <si>
    <t>巴黎奥运会</t>
  </si>
  <si>
    <t>诺贝尔奖基金会</t>
  </si>
  <si>
    <t>八国联军侵华战争</t>
  </si>
  <si>
    <t>庚子国变</t>
  </si>
  <si>
    <t>二十世纪初</t>
  </si>
  <si>
    <t>庚子鼠年</t>
  </si>
  <si>
    <t>清光绪26年</t>
  </si>
  <si>
    <t>码头失火，蒸汽艇里约热内卢号在旧金山港沉没，死亡 128 人
大飓风加尔维斯顿，死亡 6000 人
庚子国变
柯达布朗尼相机
齐柏林伯爵起飞 420 英尺飞艇
美国公债12.63 亿美元
美国人口 760 万。</t>
  </si>
  <si>
    <t>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</si>
  <si>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t>
  </si>
  <si>
    <t>柯达布朗尼相机
齐柏林飞艇</t>
  </si>
  <si>
    <t>进步*4,SCD共-40 A-20</t>
  </si>
  <si>
    <t>箭毒碱</t>
  </si>
  <si>
    <t>肌肉麻痹、呼吸衰竭。</t>
  </si>
  <si>
    <t>南美洲人涂在箭上毒剂的通称。口服无害，只有通过皮肤伤口直接侵入才会导致瘫痪。</t>
  </si>
  <si>
    <t>双臂</t>
  </si>
  <si>
    <t>维多利亚时代结束（英国）</t>
  </si>
  <si>
    <t>《辛丑条约》</t>
  </si>
  <si>
    <t>辛丑牛年</t>
  </si>
  <si>
    <t>清光绪27年</t>
  </si>
  <si>
    <t>麦金莱总统遇刺
美国两次爆发伤寒
维多利亚女王逝世
人类血型发现
首份跨越大西洋电报</t>
  </si>
  <si>
    <t>总统：
   威廉·麦金利（共和党）
   西奥多·罗斯福（共和党）</t>
  </si>
  <si>
    <t>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</si>
  <si>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t>
  </si>
  <si>
    <t>人类血型
跨大西洋电报</t>
  </si>
  <si>
    <t>进步*4,SCD共-80 A-25</t>
  </si>
  <si>
    <t>氰化物</t>
  </si>
  <si>
    <t>1～15分钟</t>
  </si>
  <si>
    <t>眩晕、惊厥、晕厥、死亡。</t>
  </si>
  <si>
    <t>剧毒——摄入了氰化物盐或者通过气体吸入都会致死。</t>
  </si>
  <si>
    <t>肘部</t>
  </si>
  <si>
    <t>第二次布尔战争结束</t>
  </si>
  <si>
    <t>壬寅虎年</t>
  </si>
  <si>
    <t>清光绪28年</t>
  </si>
  <si>
    <t>布尔战争
马提尼克（中美洲岛屿 ) 培雷火山爆发，死亡 4 万人
首个汽轮机游船
现代柏油路产生
首个铝罐奶粉
爆米花
首个泰迪熊
首个卡鲁索电唱机
商用氢化油脂使得制皂和烹饪用油来源增加</t>
  </si>
  <si>
    <t>总统：
   西奥多·罗斯福（共和党）</t>
  </si>
  <si>
    <t>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</si>
  <si>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t>
  </si>
  <si>
    <t>汽轮机游船
现代柏油路
铝罐奶粉
爆米花
泰迪熊
卡鲁索电唱机
便宜的肥皂和烹饪用油</t>
  </si>
  <si>
    <t>年龄倍数</t>
  </si>
  <si>
    <t>scd</t>
  </si>
  <si>
    <t>a</t>
  </si>
  <si>
    <t>响尾蛇毒</t>
  </si>
  <si>
    <t>呕吐、剧烈抽搐、黄视。</t>
  </si>
  <si>
    <t>2D10</t>
  </si>
  <si>
    <t>毒液会破坏组织、引发坏死，不过很少致命（特别是一两个小时内就获得解药的话）。</t>
  </si>
  <si>
    <t>其他(上肢)</t>
  </si>
  <si>
    <t>癸卯兔年</t>
  </si>
  <si>
    <t>清光绪29年</t>
  </si>
  <si>
    <t>芝加哥易洛魁剧院大火，死亡 602 人，是美国历史上最严重的火灾
莱特兄弟试飞飞机
首个荧光灯
邮戳机产生
车架中心摩托车发动机</t>
  </si>
  <si>
    <t>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</si>
  <si>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t>
  </si>
  <si>
    <t>飞机
荧光灯
邮戳机
摩托车发动机</t>
  </si>
  <si>
    <t>氟硝西泮</t>
  </si>
  <si>
    <t>15～30分钟</t>
  </si>
  <si>
    <t>昏迷4～8小时，可能会失忆。</t>
  </si>
  <si>
    <t>无色无味，只在现代背景中出现。</t>
  </si>
  <si>
    <t>下肢————</t>
  </si>
  <si>
    <t xml:space="preserve">日俄战争
</t>
  </si>
  <si>
    <t>圣路易斯奥运会</t>
  </si>
  <si>
    <t>甲辰龙年</t>
  </si>
  <si>
    <t>清光绪30年</t>
  </si>
  <si>
    <t>伊甸火车在洪水中出轨，死亡 96 人
百老汇地铁在纽约城开通
热水瓶获得专利
轨道机械（相对于轮式 ) 出现在农业机械当中
木棉安全带
日俄战争</t>
  </si>
  <si>
    <t>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</si>
  <si>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t>
  </si>
  <si>
    <t>热水瓶
农业轨道机械
木棉安全带</t>
  </si>
  <si>
    <t>番木鳖碱（马钱子碱、士的宁）</t>
  </si>
  <si>
    <t>10～20分钟</t>
  </si>
  <si>
    <t>剧烈的肌肉痉挛、窒息、死亡。</t>
  </si>
  <si>
    <t>如果不及时医治，几小时内就会死亡。</t>
  </si>
  <si>
    <t>左脚</t>
  </si>
  <si>
    <t>俄国革命</t>
  </si>
  <si>
    <t>乙巳蛇年</t>
  </si>
  <si>
    <t>清光绪31年</t>
  </si>
  <si>
    <t>库利南钻石（3000 克拉 )，当时世界最大的钻石
英国海军标准配备蒸汽轮机
1905 年俄国革命
电动汽车喇叭
化学泡沫灭火器
狭义相对论</t>
  </si>
  <si>
    <t>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</si>
  <si>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t>
  </si>
  <si>
    <t>电动汽车喇叭
化学泡沫灭火器
狭义相对论</t>
  </si>
  <si>
    <t>请打开下拉栏选择</t>
  </si>
  <si>
    <t>右脚</t>
  </si>
  <si>
    <t>美军占领古巴</t>
  </si>
  <si>
    <t>印度民族解放运动</t>
  </si>
  <si>
    <t>丙午马年</t>
  </si>
  <si>
    <t>清光绪32年</t>
  </si>
  <si>
    <t>1906 年旧金山大地震引发大火，死亡700 人，28818 间房屋损毁
美军占领古巴到 1909年
卢西塔尼亚和毛里塔尼亚号下水
自动点唱机
舰艇舷外发动机量产</t>
  </si>
  <si>
    <t>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</si>
  <si>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t>
  </si>
  <si>
    <t>自动点唱机
量产舰艇舷外发动机</t>
  </si>
  <si>
    <t>双脚</t>
  </si>
  <si>
    <t>丁未羊年</t>
  </si>
  <si>
    <t>清光绪33年</t>
  </si>
  <si>
    <t>西弗吉尼亚州煤矿矿难死亡361 人
拉斯普京在沙俄飞扬跋扈
动画
电动洗衣机
家用洗洁精
立式吸尘器</t>
  </si>
  <si>
    <t>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</si>
  <si>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t>
  </si>
  <si>
    <t>动画
电动洗衣机
家用洗洁精
立式吸尘器</t>
  </si>
  <si>
    <t>左腿</t>
  </si>
  <si>
    <t>伦敦奥运会</t>
  </si>
  <si>
    <t>戊申猴年</t>
  </si>
  <si>
    <t>清光绪34年</t>
  </si>
  <si>
    <t>敏可夫斯基阐述他的四维几何
饮用纸杯</t>
  </si>
  <si>
    <t>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</si>
  <si>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t>
  </si>
  <si>
    <t>饮用纸杯</t>
  </si>
  <si>
    <t>←这个职业 要这样获得技能点→</t>
  </si>
  <si>
    <t>右腿</t>
  </si>
  <si>
    <t>二十世纪初
清·宣统元年</t>
  </si>
  <si>
    <t>己酉鸡年</t>
  </si>
  <si>
    <t>清宣统元年</t>
  </si>
  <si>
    <t>罗伯特·E·皮尔里抵达北极点
路易斯安那和密西西比州飓风，死亡350 人
首次穿越英吉利海峡的飞行
英国双层公交车</t>
  </si>
  <si>
    <t>总统：
   西奥多·罗斯福（共和党）
   威廉·霍华德·塔夫脱（共和党）</t>
  </si>
  <si>
    <t>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</si>
  <si>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t>
  </si>
  <si>
    <t>双层公交车</t>
  </si>
  <si>
    <t>双腿</t>
  </si>
  <si>
    <t>二十世纪 十年代
清·宣统二年</t>
  </si>
  <si>
    <t>庚戌狗年</t>
  </si>
  <si>
    <t>清宣统2年</t>
  </si>
  <si>
    <t>明尼苏达州弗吉尼亚，滑坡掩埋诺曼露天煤矿工人
华盛顿州惠灵顿火车被雪崩掩埋，死亡96 人
约翰·默里和约翰·休特进行首次深海探险
无线电测向仪
美国童子军成立
美国人口920 万人</t>
  </si>
  <si>
    <t>总统：
   威廉·霍华德·塔夫脱（共和党）</t>
  </si>
  <si>
    <t>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</si>
  <si>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t>
  </si>
  <si>
    <t>无线电测向仪</t>
  </si>
  <si>
    <t>膝部</t>
  </si>
  <si>
    <t>辛亥革命</t>
  </si>
  <si>
    <t>二十世纪 十年代
清·宣统三年</t>
  </si>
  <si>
    <t>辛亥猪年</t>
  </si>
  <si>
    <t>清宣统3年</t>
  </si>
  <si>
    <t>泽西市火车站40 吨炸药爆炸，死亡30 人
纽约三角女衬衫厂火灾，死亡145 人
埃米利亚诺·萨帕塔兵临墨西哥城
辛亥革命
电煎锅
挪威探险家罗阿尔德·阿蒙森抵达南极</t>
  </si>
  <si>
    <t>歌剧：
   巴托克·贝拉《蓝胡子公爵的城堡》
总统：
   威廉·霍华德·塔夫脱（共和党）</t>
  </si>
  <si>
    <t>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</si>
  <si>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t>
  </si>
  <si>
    <t>电煎锅</t>
  </si>
  <si>
    <t>其他(下肢)</t>
  </si>
  <si>
    <t>日本改元大正</t>
  </si>
  <si>
    <t>斯德哥尔摩奥运会</t>
  </si>
  <si>
    <t>中华民国成立</t>
  </si>
  <si>
    <t>清帝退位</t>
  </si>
  <si>
    <t>二十世纪 十年代
民国元年</t>
  </si>
  <si>
    <t>壬子鼠年</t>
  </si>
  <si>
    <t>民国元年</t>
  </si>
  <si>
    <t>泰坦尼克号撞上冰山，1517 名船员和乘客死亡
由威尔逊云室发现质子和电子
赛璐玢（玻璃纸) 获得专利
伦敦裁缝街发明战壕风衣
凯迪拉克展示首个汽车自动起动器
加利福尼亚州两个自助杂货店开业</t>
  </si>
  <si>
    <t>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</si>
  <si>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t>
  </si>
  <si>
    <t>质子和电子
玻璃纸
战壕风衣
汽车自动起动器</t>
  </si>
  <si>
    <t>其他————</t>
  </si>
  <si>
    <t>巴尔干战争</t>
  </si>
  <si>
    <t>二十世纪 十年代</t>
  </si>
  <si>
    <t>癸丑牛年</t>
  </si>
  <si>
    <t>民国2年</t>
  </si>
  <si>
    <t>两次巴尔干战争
英国轮船卡尔瓦达斯号在马尔马拉海的暴风雨中失踪，200 人失踪
伍德罗·威尔逊就任美国总统
汽车自动起动器应用
美国宪法第十六号（所得税)、第十七号修正案（参议员直选)</t>
  </si>
  <si>
    <t>总统：
   威廉·霍华德·塔夫脱（共和党）
   伍德罗·威尔逊（民主党）</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</si>
  <si>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t>
  </si>
  <si>
    <t>第一次世界大战</t>
  </si>
  <si>
    <t>甲寅虎年</t>
  </si>
  <si>
    <t>民国3年</t>
  </si>
  <si>
    <t>第一次世界大战爆发
首次空袭
巴拿马运河运行
加利福尼亚州太平洋轮船印度女皇号在圣劳伦斯河上与斯托斯塔德号[6]相撞，死亡1024 人
圣诞停火</t>
  </si>
  <si>
    <t>总统：
   伍德罗·威尔逊（民主党）</t>
  </si>
  <si>
    <t>新文化运动</t>
  </si>
  <si>
    <t>乙卯兔年</t>
  </si>
  <si>
    <t>民国4年</t>
  </si>
  <si>
    <t>卢西塔尼亚号被德国潜艇轰沉，死亡1199 人，美国表示惊愕与愤怒
第一次世界大战造成史无前例的重大伤亡
麦片上市
氯气用作毒气
防毒面具
拉链获得专利</t>
  </si>
  <si>
    <t>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</si>
  <si>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麦片
氯气毒气
防毒面具
拉链</t>
  </si>
  <si>
    <t>奥运停办</t>
  </si>
  <si>
    <t>袁世凯恢复帝制失败</t>
  </si>
  <si>
    <t>丙辰龙年</t>
  </si>
  <si>
    <t>民国5年</t>
  </si>
  <si>
    <t>凡尔登战役，死亡70 万人
索姆河战役，死亡100 万人
美国脊髓灰质炎流行，死亡7000 人并致2.7 万青少年残疾
加利波利战役
爱尔兰复活节起义
日德兰海战
机械雨刮器
广义相对论
潘兴入侵墨西哥镇压起义军</t>
  </si>
  <si>
    <t>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</si>
  <si>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t>
  </si>
  <si>
    <t>机械雨刮器
广义相对论</t>
  </si>
  <si>
    <t>十月革命</t>
  </si>
  <si>
    <t>张勋复辟失败</t>
  </si>
  <si>
    <t>护法运动</t>
  </si>
  <si>
    <t>丁巳蛇年</t>
  </si>
  <si>
    <t>民国6年</t>
  </si>
  <si>
    <t>美国参加协约国
二月革命和十月革命
芥子气
福特量产拖拉机
轮船卡斯塔利亚号在苏必利尔湖沉没，死亡22 人
宾夕法尼亚州军火库爆炸，死亡133 人
新斯科舍省哈利法克斯船舶爆炸沉没，1600 人死亡</t>
  </si>
  <si>
    <t>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</si>
  <si>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t>
  </si>
  <si>
    <t>芥子气
量产拖拉机</t>
  </si>
  <si>
    <t>戊午马年</t>
  </si>
  <si>
    <t>民国7年</t>
  </si>
  <si>
    <t>第一次世界大战结束
苏俄内战
固定美国航空邮件服务
西班牙大流感，死亡2160 万人
美国独眼巨人号离开巴巴多斯后失踪
飞机时速达到150 迈，飞行高度达3万英尺
电子钟</t>
  </si>
  <si>
    <t>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</si>
  <si>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t>
  </si>
  <si>
    <t>电子钟</t>
  </si>
  <si>
    <t>巴黎和会</t>
  </si>
  <si>
    <t>五四爱国运动</t>
  </si>
  <si>
    <t>己未羊年</t>
  </si>
  <si>
    <t>民国8年</t>
  </si>
  <si>
    <t>美国宪法第十八号修正案（禁酒令)
首次跨大西洋飞行（1880 英里，16 小时12 分钟)
黄油枪
降落伞</t>
  </si>
  <si>
    <t>书籍：
   威尔 · 罗杰斯《禁酒时代的牛仔哲学家》
影视：
   “妖妇”蒂达·巴拉主演《莎乐美》
   D·W·格里菲斯导演《残花泪》
   朗 · 钱尼《奇人》
总统：
   伍德罗·威尔逊（民主党）</t>
  </si>
  <si>
    <t>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</si>
  <si>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t>
  </si>
  <si>
    <t>黄油枪
降落伞</t>
  </si>
  <si>
    <t>咆哮的二十年代（美国）</t>
  </si>
  <si>
    <t>安特卫普奥运会</t>
  </si>
  <si>
    <t>海原大地震</t>
  </si>
  <si>
    <t>二十世纪 二十年代</t>
  </si>
  <si>
    <t>庚申猴年</t>
  </si>
  <si>
    <t>民国9年</t>
  </si>
  <si>
    <t>禁酒令生效
布尔什维克赢得苏俄内战
中国海原大地震，死亡 20 万人
首次广播电台播音
茶包
美国公债 243 亿美元
美国人口 1.057 亿</t>
  </si>
  <si>
    <t>书籍：
   赞恩·格雷：《林中人》
   弗·斯科特·菲茨杰拉德：《人间天堂》
影视：
   朗·钱尼：主演《惩罚》
   丽莲·吉许：主演《暴风雨中的孤儿》
   约翰·巴里摩尔：出演《化身博士》
   玛丽·毕克馥：出演《波丽安娜》
   老道格拉斯·范朋克：出演《佐罗的面具》
   查理·卓别林、玛丽·毕克馥、道格拉斯·范朋克和传奇制片人兼导演 D·W·格里菲斯成立联美电影公司。
流行歌曲：
   《I'll be With You at Apple Blossom Time》
   杰 洛 姆· 科 恩《Look for the Silver Lining》
   《When My Baby Smiles at Me》
百老汇舞台：
   齐格菲尔德歌舞团女星范妮·布莱斯出演《华盛顿广场的玫瑰》
总统：
   威廉·塔夫脱（共和党）</t>
  </si>
  <si>
    <t>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</si>
  <si>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t>
  </si>
  <si>
    <t>广播电台
茶包</t>
  </si>
  <si>
    <t>中国共产党成立</t>
  </si>
  <si>
    <t>辛酉鸡年</t>
  </si>
  <si>
    <t>民国10年</t>
  </si>
  <si>
    <t>罗夏墨迹测验获得专利
德国恶性通胀开始
KDKA 电台转播体育赛事
恰佩克提出“机器人”一词</t>
  </si>
  <si>
    <t>书籍：
   赫伯特·乔治·威尔斯《世界史纲》
   赞恩·格雷《神秘骑手》
   伊迪斯·华顿《纯真年代》
   伊迪斯·霍尔《酋长》
影视：
   鲁道夫·瓦伦蒂诺凭借《启示录四骑士》和《沙漠情酋》一夜成名
   马克·森内特制作《小城偶像》
   卓别林主演《寻子遇仙记》
   道格拉斯·范朋克出演《三个火枪手》
流行歌曲：
   《Sheik of Araby》
   《I'm Just Wild About Harry》
   《Ain't We Got Fun》
百老汇舞台：
   萨蒂斯餐厅在曼哈顿剧院区开张
   范妮·布莱斯出演《二手玫瑰》保持去年的热度
总统：
   伍德罗·威尔逊（民主党）
   沃伦·甘梅利尔·哈定（共和党）</t>
  </si>
  <si>
    <t>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</si>
  <si>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t>
  </si>
  <si>
    <t>罗夏墨迹测验
“机器人”</t>
  </si>
  <si>
    <t>壬戌狗年</t>
  </si>
  <si>
    <t>民国11年</t>
  </si>
  <si>
    <t>三K 党死灰复燃
英国飞艇AR-2 断成两段，死亡62 人
分离胰岛素
首个实用邮戳机
苏联五一口号去掉“世界革命”
滑水
墨索里尼入主罗马</t>
  </si>
  <si>
    <t>书籍：
   辛克莱·刘易斯《巴比特》
   《饮食与健康》首次介绍了卡路里计算方法，连续五年成为畅销书
   房龙《人类的故事》
   埃德娜·费伯《演艺船》
   J·A·汤姆孙《科学大纲》
   詹姆斯·乔伊斯《尤利西斯》
影视：
   亨利·赫尔和卡洛儿·代姆斯特合作主演《恐怖之夜》
   道格拉斯·范朋克出演《罗宾汉》
   F·W·茂瑙在德导演《诺斯费拉图》
   罗伯特·弗拉哈迪《北方的纳努克》开创了文献纪录片
   约翰·巴里摩尔出演《哈姆雷特》成为当时评价最高的莎士比亚剧演员
流行歌曲：
   《Chicago (That Toddlin' Town)》
   《Toot, Toot, Tootsie Goodbye》
   《Way Down Yonder in New Orleans》
   《I Wish I Could Shimmy Like My Sister Kate》
   《Carolina in the Morning》
百老汇舞台：
   萨姆·哈里斯创作《雨》
总统：
   沃伦·甘梅利尔·哈定（共和党）</t>
  </si>
  <si>
    <t>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</si>
  <si>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t>
  </si>
  <si>
    <t>胰岛素
实用邮戳机
滑水</t>
  </si>
  <si>
    <t>癸亥猪年</t>
  </si>
  <si>
    <t>民国12年</t>
  </si>
  <si>
    <t>茶壶山丑闻动摇哈定总统
加利福尼亚州伯克利大火，毁坏600 栋房屋，造成损失1000 万美元，死亡60 人
德国恶性通胀结束
佐治亚州持续三K 党恐怖活动
德国啤酒馆暴动
图坦卡蒙陵墓发掘
百日咳疫苗</t>
  </si>
  <si>
    <t>书籍：
   爱弥儿·柯尔《通过有意识地自我暗示掌握自我》，激发了心理健康和自我完善的风潮
   艾米莉·波斯特《礼仪：社交规范蓝皮书》
影视：
   朗·钱尼主演《钟楼怪人》
   赛西尔·德米尔制作《十诫》
   威廉·S·哈特主演《狂野比尔》
   喜剧演员哈罗德·劳埃德主演《安全至下》
   喜剧导演麦克·塞纳特《尖叫》
流行歌曲：
   《 是 的！ 我 们 没 有 香 蕉》
   《Who's Sorry Now?》
   《That Old Gang of Mine》
   贝西·史密斯录制《Downhearted Blues》
百老汇舞台：
   约瑟芬·贝克主演的《拖着脚步走》从哈林区一路公演到百老汇
   大卫·贝拉斯科创作《笑，小丑，笑》
总统：
   沃伦·甘梅利尔·哈定（共和党）
   卡尔文·柯立芝（共和党）</t>
  </si>
  <si>
    <t>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</si>
  <si>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t>
  </si>
  <si>
    <t>百日咳疫苗</t>
  </si>
  <si>
    <t>国共两党第一次合作</t>
  </si>
  <si>
    <t>甲子鼠年</t>
  </si>
  <si>
    <t>民国13年</t>
  </si>
  <si>
    <t>李奥波德与勒伯案
纸制鸡蛋托应用
面巾纸</t>
  </si>
  <si>
    <t>书籍：
   赞恩·格雷《大峡谷的呼唤》
影视：
   哈罗德·劳埃德出演《真情难诉》
   巴斯特·基顿出演《航海家》
   道格拉斯·范朋克出演《巴格达大盗》
   约翰·福特导演《铁骑》
流行歌曲：
   《Indian Love Call》
   格什温《Fascinating Rhythm》
   《It Had to Be You》
   《鸳鸯茶》(Tea for Two)
   《California Here I Come》
百老汇舞台：
   诺埃尔·科沃德《漩涡》
   马克斯兄弟登场《I'll Say She Is》
   保罗·罗伯逊主演尤金·奥尼尔的《琼斯皇帝》
   约瑟芬·贝克在《巧克力浪子》中登场，随后离开美国前往巴黎
总统：
   卡尔文·柯立芝（共和党）</t>
  </si>
  <si>
    <t>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</si>
  <si>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t>
  </si>
  <si>
    <t>纸制鸡蛋托
面巾纸</t>
  </si>
  <si>
    <t>孙中山逝世</t>
  </si>
  <si>
    <t>乙丑牛年</t>
  </si>
  <si>
    <t>民国14年</t>
  </si>
  <si>
    <t>W·泡利阐述不相容原理
I·G·法本化工成立
孙中山逝世
中西部地区龙卷风，一天死亡792 人
美国飞艇谢南多厄号解体，死亡14 人
纳粹党卫军成立
斯科普斯猿猴诉讼案
商用飞机农药喷撒</t>
  </si>
  <si>
    <t>书籍：
   辛克莱·刘易斯《阿罗史密斯》
   弗·斯科特·菲茨杰拉德《了不起的盖茨比》
   弗吉尼亚·伍尔芙《达洛维夫人》
   西奥多·德雷塞《美国的悲剧》
   厄尔·德尔·比格斯《没有钥匙的住宅》
影视：
   朗·钱尼主演《歌剧魅影》
   威廉·S· 哈特出演《风滚草》
   哈罗德·劳埃德出演《新生》
   阿道夫·门吉欧出演《撒旦的悲伤》 
   巴斯特·基顿出演《七次机会》
   查理·卓别林出演《淘金记》
   威利斯·奥布莱恩制作了《失落的世界》，将史前生物带入人们视野
流行歌曲：
   《I'm Sittin' On Top of the World》; 
   《Alabamy Bound》
   《If You Knew Susie Like I Know Susie》
   《Sweet Georgia Brown》
   《Yes Sir, That's My Baby》
   胖子沃勒《Squeeze Me》
百老汇舞台：
   诺埃尔·科沃德《枯草热》
   萨姆·哈里斯创作《爵士歌王》，乔治·杰塞尔主演
   马克斯兄弟主演《可可豆》
总统：
   卡尔文·柯立芝（共和党）</t>
  </si>
  <si>
    <t>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</si>
  <si>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t>
  </si>
  <si>
    <t>商用飞机农药喷撒</t>
  </si>
  <si>
    <t>日本改元昭和</t>
  </si>
  <si>
    <t>北伐开始</t>
  </si>
  <si>
    <t>丙寅虎年</t>
  </si>
  <si>
    <t>民国15年</t>
  </si>
  <si>
    <t>戈达德博士发射首枚液体燃料火箭
闪电引爆新泽西州丹麦湖的军火库，损失8500万美元，死亡30 人
佛罗里达和亚拉巴马州飓风，死亡243 人
蒋介石发动北伐
托洛茨基被逐出苏共政治局
劳力士防水表
杰克·登普西负于吉恩·滕尼，让出拳王名号</t>
  </si>
  <si>
    <t>书籍：
   阿加莎·克里斯蒂《罗杰疑案》，此书是其成名作
   威尔·杜兰特《哲学的故事》，售出了 200 万册
   海明威《太阳照常升起》
   安妮塔·卢斯《绅士爱美人》
影视：
   琼·克劳馥在《漂亮女士》中出道
   葛丽泰·嘉宝主演《激流》
   弗里茨·朗导演经典作品《大都会》
   约翰·巴里摩尔出演首部有声歌舞电影《唐璜》
   巴斯特·基顿导演《将军号》
   弗朗西斯·X·布什曼主演《宾虚》
   瓦伦蒂诺的葬礼触发曼哈顿群体歇斯底里事件，会场被前来寻求纪念品的人洗劫
流行歌曲：
   《Are You Lonesome Tonight》
   《Bye, Bye, Blackbird》
   《When the Red, Red Robin (Comes Bob, Bob, Bobbin' Along)》
   《Tip Toe Through the Tulips》
百老汇舞台：
   梅·韦斯特的《性》轰动
   大卫·贝拉斯科创作《Lu Lu Belle》
总统：
   卡尔文·柯立芝（共和党）</t>
  </si>
  <si>
    <t>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</si>
  <si>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t>
  </si>
  <si>
    <t>液体燃料火箭
劳力士防水表</t>
  </si>
  <si>
    <t>南昌起义</t>
  </si>
  <si>
    <t>秋收起义</t>
  </si>
  <si>
    <t>丁卯兔年</t>
  </si>
  <si>
    <t>民国16年</t>
  </si>
  <si>
    <t>查尔斯·A·林德伯格单人从纽约直飞巴黎
爵士乐歌手首次主演有声电影
首个遥控电唱机
面包机
萨科与万泽蒂被处决，直到1977 年才恢复名誉
美国体育专栏作家保罗·加利科组织了首场金手套业余拳击赛</t>
  </si>
  <si>
    <t>书籍：
   辛克莱·刘易斯《埃尔默·甘特利》
   弗吉尼亚·伍尔芙《到灯塔去》
   威尔 · 罗杰斯《自学成才的外交官致总统先生的信》、《俄罗斯没有泳衣》
影视：
   朗·钱尼出演《午夜伦敦》
   塞西尔·德米尔制作《万王之王》
   葛丽泰·嘉宝主演《灵与肉》和约翰·吉尔伯特共演《爱情》
   乔生主演首部完整有声电影《爵士歌王》
   威廉·福克斯发明幕维通新闻电影机克拉拉·鲍因为电影《攀上枝头》中的形象而成为“It girl”
流行歌曲：
   《Lucky Lindy》
   《My Blue Heaven》
   《Swonderful》
   《Side by Side》
   《Ain't She Sweet》
   《Me and My Shadow》
百老汇舞台：
   《演艺船》公演超过 500 场，创下纪录
   百老汇人气登顶，全年共举行 268 场首演
总统：
   卡尔文·柯立芝（共和党）</t>
  </si>
  <si>
    <t>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</si>
  <si>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t>
  </si>
  <si>
    <t>遥控电唱机
面包机</t>
  </si>
  <si>
    <t>阿姆斯特丹奥运会</t>
  </si>
  <si>
    <t>井冈山会师</t>
  </si>
  <si>
    <t>戊辰龙年</t>
  </si>
  <si>
    <t>民国17年</t>
  </si>
  <si>
    <t>电视实验
南佛罗里达州飓风，死亡1836 人
伯德探险队驶往南极
电传打字机投入使用
防水赛璐玢发明
盖革计数器
纯维生素C</t>
  </si>
  <si>
    <t>书籍：
   阿道司·赫胥黎《针锋相对》
   D·H·劳伦斯《查泰莱夫人的情人》被广泛禁止发行
   桑顿·怀尔德《圣路易·莱之桥》荣获普利策奖
影视：
   琼·克劳馥主演《我们跳舞的姑娘们》
   查理·卓别林出演《马戏团》
   维克多·麦克劳伦出演《港口女郎》
   米老鼠在《威利号汽船》中登场
   克拉拉·鲍出演《红发女郎》、《三个周末》、《那个舰队》
   霍华德·休斯导演《两个阿拉伯骑士》
流行歌曲：
   《I Can't Give You Anything But Love》
   《You ' re the C ream in My Coffee》
   《Makin' Whoopee》
   《I Wanna Be Loved by You》贝蒂娃娃角色形象脱胎于此曲
百老汇舞台：
   专栏作家本·赫克特创作《头版》，大受欢迎
   马克斯兄弟主演《动物饼干》
   梅·韦斯特登场《Diamond Lil》
   伯特·拉尔《Hold Everything》
总统：
   卡尔文·柯立芝（共和党）</t>
  </si>
  <si>
    <t>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</si>
  <si>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t>
  </si>
  <si>
    <t>防水玻璃纸
电传打字机
盖革计数器
纯维生素C</t>
  </si>
  <si>
    <t>经济大危机</t>
  </si>
  <si>
    <t>己巳蛇年</t>
  </si>
  <si>
    <t>民国18年</t>
  </si>
  <si>
    <t>10 月24 日华尔街股灾
齐柏林伯爵号飞艇环游世界
苏联客轮伏尔加号在黑海被一战残余水雷击中，死亡31 人
16 毫米彩色电影胶片发明
透明胶带
音乐汽车喇叭</t>
  </si>
  <si>
    <t>书籍：
   赫尔曼·黑塞《荒原狼》英译版发行
   辛克莱·刘易斯《道兹沃斯》
   海明威《永别了，武器》
   托马斯·沃尔夫《天使望故乡》
   埃里希·玛利亚·雷马克《西线无战事》回忆圣诞停火
   威廉·福克纳《喧哗与骚动》
   达希尔·哈米特《丹恩家的诅咒》
   罗伯特·雷普利《信不信由你！》
影视：
   加里·库珀主演《维吉尼亚人》
   葛丽泰·嘉宝出演《野兰花》
   马克斯兄弟出演《可可豆》
   罗纳德·考尔曼出演《名媛双胞案》
   道格拉斯·范朋克出演《铁面人》
   莱昂纳尔·巴里摩尔出演《神秘岛》
   阿尔弗雷德·希区柯克导演《讹诈》
   路易斯·布努埃尔《一条安达鲁狗》
流行歌曲：
   《Pu t tin ' On th e Ri t z》
   《Ain ' t Misbehavin'》
   《Star Dust》
   《雨中曲》(Singin' in the Rain)
   《Wi th a Song in My Heart》
   《Wedding Bells Are Breaking Up That Old Gang of Mine》
百老汇舞台：
   诺 埃 尔· 科 沃 德 创 作 音 乐 剧《Bittersweet》
   碧莉·伯克在《Happy Husbands》中登场
总统：
   卡尔文·柯立芝（共和党）
   赫伯特·胡佛（共和党）</t>
  </si>
  <si>
    <t>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</si>
  <si>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t>
  </si>
  <si>
    <t>彩色电影胶片
透明胶带
音乐汽车喇叭</t>
  </si>
  <si>
    <t>二十世纪 三十年代</t>
  </si>
  <si>
    <t>庚午牛年</t>
  </si>
  <si>
    <t>民国19年</t>
  </si>
  <si>
    <t>技术官僚运动达到高潮
闪光灯取代镁粉
速冻食品上市
球形潜水舱
回旋加速器
发现冥王星
折叠式雨伞
美国公债161.8亿美元
美国人口1.228 亿</t>
  </si>
  <si>
    <t>影视：
   葛丽泰·嘉宝出演威利斯·奥布莱恩导演的《安娜·克莉丝蒂》
   马克斯兄弟出演《疯狂的动物》
   约瑟夫·冯·斯登堡导演、玛琳·黛德丽出演《蓝天使》
   霍华德·休斯制作《地狱天使》
   沃尔特·休斯顿出演《林肯传》
   约翰·巴里摩尔在《白鲸记》当中饰演亚哈船长
   朗 · 钱尼重拍自自己早先的经典默片《三个邪恶的人》
   约翰·巴里摩尔《白鲸记》
流行歌曲：
   《I Got Rhythm》
   《Embraceable You》
   《On the Sunny Side of the Street》
百老汇舞台：
   艾索尔·摩曼主演戈什温的《疯狂女郎》
   范妮·布莱斯出演《Sweet and Low》
总统：
   赫伯特·胡佛（共和党）</t>
  </si>
  <si>
    <t>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</si>
  <si>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t>
  </si>
  <si>
    <t>闪光灯
速冻食品
球形潜水舱
回旋加速器
折叠式雨伞</t>
  </si>
  <si>
    <t>九一八事变</t>
  </si>
  <si>
    <t>富蕴地震</t>
  </si>
  <si>
    <t>辛未羊年</t>
  </si>
  <si>
    <t>民国20年</t>
  </si>
  <si>
    <t>德国富豪赞助纳粹建设
英国海军因弗戈登兵变
帝国大厦正式开放
阿尔·卡彭入狱
电动剃须刀
乔治·华盛顿大桥（3500英尺) 竣工</t>
  </si>
  <si>
    <t>影视：
   路易斯·布努埃尔《黄金年代》
   约翰·巴里摩尔《斯文加利》
   威尔 · 罗杰斯《康涅狄格的美国佬》
总统：
   赫伯特·胡佛（共和党）</t>
  </si>
  <si>
    <t>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</si>
  <si>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 xml:space="preserve">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t>
  </si>
  <si>
    <t>电动剃须刀</t>
  </si>
  <si>
    <t>洛杉矶奥运会</t>
  </si>
  <si>
    <t>伪满洲国成立</t>
  </si>
  <si>
    <t>上海事变</t>
  </si>
  <si>
    <t>壬申猴年</t>
  </si>
  <si>
    <t>民国21年</t>
  </si>
  <si>
    <t>甘地被捕
英国潜艇[7] 在英吉利海峡沉没
罗斯福以压倒优势获得总统竞选
墨索里尼抽干彭甸沼泽
林德伯格绑架案
首个车载收音机
首个盖洛普民意调查
玛氏巧克力棒
变焦镜头发明
Zippo 打火机引进</t>
  </si>
  <si>
    <t>总统：
   赫伯特·胡佛（共和党）</t>
  </si>
  <si>
    <t>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</si>
  <si>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t>
  </si>
  <si>
    <t>车载收音机
玛氏巧克力棒
变焦镜头</t>
  </si>
  <si>
    <t>日本退出国联事件</t>
  </si>
  <si>
    <t>县叠溪镇地震</t>
  </si>
  <si>
    <t>癸酉鸡年</t>
  </si>
  <si>
    <t>民国22年</t>
  </si>
  <si>
    <t>希特勒就任德国总理
日本退出国联
美国放弃金本位
洛杉矶长滩地震，死亡123 人
古巴起义死亡数百人
甘地被释放，体重仅90 磅
首个德国集中营（达豪集中营)建立
大富翁桌游发行
荧光灯商业应用</t>
  </si>
  <si>
    <t>影视：
   威尔 · 罗杰斯《爱州博览会》
总统：
   赫伯特·胡佛（共和党）
   富兰克林·罗斯福（民主党）</t>
  </si>
  <si>
    <t>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</si>
  <si>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t>
  </si>
  <si>
    <t>大富翁桌游</t>
  </si>
  <si>
    <t>长征开始</t>
  </si>
  <si>
    <t>甲戌狗年</t>
  </si>
  <si>
    <t>民国23年</t>
  </si>
  <si>
    <t>美国经济衰退持续，饥饿和动荡蔓延
干旱从纽约州延续到加利福尼亚州
桑地诺被索摩查的支持者暗杀
旧金山大罢工结束
休伊·朗成为路易斯安那州独裁者
首个商业洗衣店</t>
  </si>
  <si>
    <t>总统：
   富兰克林·罗斯福（民主党）</t>
  </si>
  <si>
    <t>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</si>
  <si>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t>
  </si>
  <si>
    <t>商业洗衣店</t>
  </si>
  <si>
    <t>遵义会议</t>
  </si>
  <si>
    <t>吴起镇会师</t>
  </si>
  <si>
    <t>乙亥猪年</t>
  </si>
  <si>
    <t>民国24年</t>
  </si>
  <si>
    <t>严重沙尘暴袭击美国大平原和中西部地带
泛美的快速飞机从旧金山飞往中国
颁布社会保障系统
休伊·朗遭暗杀
毛泽东抵达延安
DC-3 型飞机首飞
畅销平装书
里氏震级
磁带录音机发售</t>
  </si>
  <si>
    <t>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</si>
  <si>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t>
  </si>
  <si>
    <t>畅销平装书
里氏震级
磁带录音机</t>
  </si>
  <si>
    <t>柏林奥运会</t>
  </si>
  <si>
    <t>会宁会师</t>
  </si>
  <si>
    <t>西安事变</t>
  </si>
  <si>
    <t>丙子鼠年</t>
  </si>
  <si>
    <t>民国25年</t>
  </si>
  <si>
    <t>纳粹占据莱茵兰
意大利占领阿比西尼亚
西班牙内战
美国热浪，死亡3000 人
美国沙尘暴继续
杰西·欧文斯在柏林奥运会赢得4 块金牌
德意同盟条约
胡佛水坝启用
首辆大众汽车</t>
  </si>
  <si>
    <t>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</si>
  <si>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t>
  </si>
  <si>
    <t>大众汽车</t>
  </si>
  <si>
    <t>卢沟桥事变</t>
  </si>
  <si>
    <t>平型关大捷</t>
  </si>
  <si>
    <t>南京大屠杀</t>
  </si>
  <si>
    <t>丁丑牛年</t>
  </si>
  <si>
    <t>民国26年</t>
  </si>
  <si>
    <t>德克萨斯学校瓦斯爆炸，死亡294 人
兴登堡号飞艇坠毁，死亡36 人
苏联大清洗处决8 位将军
杜邦获得尼龙专利
日军轰沉美军班乃岛号炮艇
金门大桥（4200 英尺)建成
首个超市推车
布痕瓦尔德集中营</t>
  </si>
  <si>
    <t>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</si>
  <si>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t>
  </si>
  <si>
    <t>超市推车</t>
  </si>
  <si>
    <t>台儿庄战役</t>
  </si>
  <si>
    <t>《论持久战》</t>
  </si>
  <si>
    <t>戊寅虎年</t>
  </si>
  <si>
    <t>民国27年</t>
  </si>
  <si>
    <t>墨西哥没收外国石油股份
德奥合并
水晶之夜
带温控器的电熨斗
速溶咖啡
尼龙
圆珠笔获得专利
复印机雏形
德裔
美国人投资重建麦迪逊广场花园
德国搜捕犹太人</t>
  </si>
  <si>
    <t>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</si>
  <si>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t>
  </si>
  <si>
    <t>带温控器的电熨斗
速溶咖啡
尼龙
圆珠笔</t>
  </si>
  <si>
    <t>第二次世界大战</t>
  </si>
  <si>
    <t>己卯兔年</t>
  </si>
  <si>
    <t>民国28年</t>
  </si>
  <si>
    <t>德国吞并捷克斯洛伐克
佛朗哥入主马德里
美国角鲨号潜艇沉没，26 人死亡
法国潜艇凤凰号沉没，63 人死亡
德国闪击波兰，英法对德宣战
洛克菲勒中心开放
黄热病疫苗
雷达</t>
  </si>
  <si>
    <t>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</si>
  <si>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t>
  </si>
  <si>
    <t>黄热病疫苗
雷达</t>
  </si>
  <si>
    <t>百团大战</t>
  </si>
  <si>
    <t>二十世纪 四十年代</t>
  </si>
  <si>
    <t>庚辰龙年</t>
  </si>
  <si>
    <t>民国29年</t>
  </si>
  <si>
    <t>芬兰对苏联投降
纳粹闪击丹麦和挪威
丘吉尔就任英国首相
荷兰比利时陷落
敦刻尔克大撤退
苏芬战争，数千人死亡
德国猛攻英吉利海峡
伦敦大轰炸和英国的反轰炸，双方死亡数万人
罗斯福第三次当选
汽车自动变速箱
充气救生衣
雷达在英国应用并部署
人工授精出现
青霉素量产
美国公债429.7 亿美元
美国人口1.317 亿</t>
  </si>
  <si>
    <t>书籍：
   海明威《丧钟为谁而鸣》
总统：
   富兰克林·罗斯福（民主党）</t>
  </si>
  <si>
    <t>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</si>
  <si>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t>
  </si>
  <si>
    <t>汽车自动变速箱
充气救生衣
人工授精
青霉素</t>
  </si>
  <si>
    <t>皖南事变</t>
  </si>
  <si>
    <t>辛巳蛇年</t>
  </si>
  <si>
    <t>民国30年</t>
  </si>
  <si>
    <t>参加英国空战
租借法案
美国征兵
奇袭珍珠港，死亡2500 人
椰林夜总会大火，死亡491 人
吉普车成为主要军用车辆
巴巴罗萨行动</t>
  </si>
  <si>
    <t>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</si>
  <si>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t>
  </si>
  <si>
    <t>军用吉普车</t>
  </si>
  <si>
    <t>壬午马年</t>
  </si>
  <si>
    <t>民国31年</t>
  </si>
  <si>
    <t>新加坡和菲律宾陷落
中途岛战役
列宁格勒战役
克里米亚陷落
杜立特空袭东京
斯大林格勒会战
瓜达尔卡纳尔岛战役
盟军登陆北非
原子裂变成功
火箭筒
凝固汽油弹</t>
  </si>
  <si>
    <t>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</si>
  <si>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t>
  </si>
  <si>
    <t>原子裂变
火箭筒
凝固汽油弹</t>
  </si>
  <si>
    <t>癸未羊年</t>
  </si>
  <si>
    <t>民国32年</t>
  </si>
  <si>
    <t>斯大林格勒会战，德方死亡19 万人，苏军和平民死亡人数更多[9]
斯大林格勒会战德军告负
华沙犹太人起义
库尔斯克会战，世界最大的坦克战役，德军告负
西西里登陆
盟军占领意大利
第聂伯河会战
马绍尔群岛战役[10]
底特律种族暴乱，死亡29人
圆珠笔开始应用
水肺
麦角酸二乙酰胺（LSD)(药力最强的迷幻剂)</t>
  </si>
  <si>
    <t>书籍：
   盖瑟瑞的自传《奔向光荣》
总统：
   富兰克林·罗斯福（民主党）</t>
  </si>
  <si>
    <t>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</si>
  <si>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t>
  </si>
  <si>
    <t>水肺
麦角酸二乙酰胺（LSD)(药力最强的迷幻剂，毒品)</t>
  </si>
  <si>
    <t>第二次世界大战
奥运停办</t>
  </si>
  <si>
    <t>甲申猴年</t>
  </si>
  <si>
    <t>民国33年</t>
  </si>
  <si>
    <t>戴高乐成为自由法国总司令
继续空袭德国
解放克里米亚；盟军攻占罗马
诺曼底登陆
马里亚纳海战
光复巴黎
罗斯福四度当选总统
揭露德国集中营屠杀
V-1和V-2 导弹击中伦敦
麦克阿瑟重回菲律宾
突出部战役
飓风在东海岸杀死46 人，在海上死亡344 人
玲玲马戏团场馆大火死亡168 人
加利福尼亚州芝加哥港军火库爆炸，死亡322 人
神经毒气</t>
  </si>
  <si>
    <t>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</si>
  <si>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t>
  </si>
  <si>
    <t>神经毒气</t>
  </si>
  <si>
    <t>抗战胜利</t>
  </si>
  <si>
    <t>收复台湾</t>
  </si>
  <si>
    <t>收复东北</t>
  </si>
  <si>
    <t>乙酉鸡年</t>
  </si>
  <si>
    <t>民国34年</t>
  </si>
  <si>
    <t>德累斯顿轰炸，死亡13 万人
长崎原子弹爆炸死亡6 万人，其他对日本的轰炸死亡更多
第二次世界大战共造成5000 万人死亡，欧洲和日本需要15 年的时间明显恢复
美国因战争死亡405399 人
解放奥斯维辛
雅尔塔会议
硫磺岛战役
攻占雷玛根大桥
罗斯福逝世
墨索里尼被处决
希特勒自杀
纳粹集中营罪行完全暴露
攻占柏林
冲绳战役
联合国成立
波茨坦宣言
日本投降
朝鲜分治
杰基·罗宾逊成为首个非裔大联盟球员
纽伦堡审判
特百惠</t>
  </si>
  <si>
    <t>总统：
   富兰克林·罗斯福（民主党）
   哈里·S·杜鲁门（民主党）</t>
  </si>
  <si>
    <t>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</si>
  <si>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t>
  </si>
  <si>
    <t>原子弹
特百惠</t>
  </si>
  <si>
    <t>人民解放战争</t>
  </si>
  <si>
    <t>丙戌狗年</t>
  </si>
  <si>
    <t>民国35年</t>
  </si>
  <si>
    <t>芝加哥旅馆火灾，死亡58 人
军方公开ENIAC 计算机
丘吉尔提出“铁幕”
巴勒斯坦持续暴力事件
中国国共内战
传言吸烟导致肺癌
越南起义
切斯特·F·卡尔逊公开静电复印法
比基尼泳衣
浓缩咖啡机</t>
  </si>
  <si>
    <t>总统：
   哈里·S·杜鲁门（民主党）</t>
  </si>
  <si>
    <t>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</si>
  <si>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t>
  </si>
  <si>
    <t>计算机
静电复印法
比基尼泳衣
浓缩咖啡机</t>
  </si>
  <si>
    <t>美苏冷战开始</t>
  </si>
  <si>
    <t>丁亥猪年</t>
  </si>
  <si>
    <t>民国36年</t>
  </si>
  <si>
    <t>美国放弃维护中国局势调停
印度宗教争端
马歇尔计划开始
纽约有轨电车完全退役
印巴分治
宝丽来相机</t>
  </si>
  <si>
    <t>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</si>
  <si>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t>
  </si>
  <si>
    <t>宝丽来相机</t>
  </si>
  <si>
    <t>第一次中东战争</t>
  </si>
  <si>
    <t>三大战役</t>
  </si>
  <si>
    <t>戊子鼠年</t>
  </si>
  <si>
    <t>民国37年</t>
  </si>
  <si>
    <t>甘地遇刺
捷克斯洛伐克二月事件
巴勒斯坦托管地持续内战
以色列建国，第一次中东战争
帕洛玛山建立200 英寸天文望远镜
纽约地铁车费加倍到10 美分
金赛性学报告
拼字盘
实心电吉他
尼龙扣发明
贝尔实验室发明晶体管
33 又1/3 转唱片应用</t>
  </si>
  <si>
    <t>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</si>
  <si>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t>
  </si>
  <si>
    <t>拼字盘
实心电吉他
尼龙扣
晶体管
黑胶唱片</t>
  </si>
  <si>
    <t>红色恐慌</t>
  </si>
  <si>
    <t>开国大典</t>
  </si>
  <si>
    <t>己丑牛年</t>
  </si>
  <si>
    <t>共和国成立</t>
  </si>
  <si>
    <t>北平和平解放
北约成立
柏林封锁结束
德意志联邦共和国（西德) 成立
美国红色恐慌持续
中国国民党转进台湾
印度尼西亚宣布独立
有线电视
电视显像管
汽车自动点火装置</t>
  </si>
  <si>
    <t>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</si>
  <si>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t>
  </si>
  <si>
    <t>有线电视
电视显像管
汽车自动点火装置</t>
  </si>
  <si>
    <t>朝鲜战争</t>
  </si>
  <si>
    <t>抗美援朝</t>
  </si>
  <si>
    <t>墨脱地震</t>
  </si>
  <si>
    <t>二十世纪 五十年代</t>
  </si>
  <si>
    <t>中华人民共和国1周年</t>
  </si>
  <si>
    <t>凯迪拉克安装一体式前挡风玻璃
RCA（美国无线电公司) 播出彩色电视节目
法国请求援助对抗越盟
美国暴风雪死亡数百人
朝鲜战争开始，数千人死亡
仁川登陆
中国志愿军进入朝鲜
古西·莫兰在温网身着蕾丝网球裙登场
大莱卡
施乐914 复印机
美国公债2560 亿美元
美国人口1.507 亿</t>
  </si>
  <si>
    <t>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</si>
  <si>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t>
  </si>
  <si>
    <t>大莱卡（信用卡）
复印机</t>
  </si>
  <si>
    <t>特殊适用</t>
  </si>
  <si>
    <t>难度等级取决于</t>
  </si>
  <si>
    <t>技能注释</t>
  </si>
  <si>
    <t>普通难度</t>
  </si>
  <si>
    <t>困难难度</t>
  </si>
  <si>
    <t>孤注一掷示例</t>
  </si>
  <si>
    <t>孤注一掷失败的范例结果</t>
  </si>
  <si>
    <t>疯狂调查员孤注一掷失败的范例结果</t>
  </si>
  <si>
    <t>西藏解放</t>
  </si>
  <si>
    <t>土地改革</t>
  </si>
  <si>
    <t>中华人民共和国2周年</t>
  </si>
  <si>
    <t>麦克阿瑟被解职
美国空难死亡50 人
从帝国大厦传送彩色电视信号
在埃尼威托克环礁试验氢弹
朝鲜休战商谈
宽荧幕电影
克莱斯勒发明动力转向器
三色停车灯发明</t>
  </si>
  <si>
    <t>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</si>
  <si>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t>
  </si>
  <si>
    <t>宽荧幕电影
动力转向器
三色停车灯</t>
  </si>
  <si>
    <t>5%</t>
  </si>
  <si>
    <t>如果有人想要隐瞒什么，那么难度等级将会取决于进行隐藏的人的会计技能。</t>
  </si>
  <si>
    <t>· 使你理解会计工作的流程以及一个企业或者个人的金融职务。
· 通过检查账簿，你可以发现做假账的员工，对资金的偷偷挪用，对行贿或者敲诈的款项支付，以及经济状况是否比表面陈述的更好或者更差。
· 通过仔细检查旧账户，你可以了解过去的资金的得与失（谷物，奴隶贸易，威士忌酒的运营等）以及这些资金是付给了谁以及为了什么款项而支付。</t>
  </si>
  <si>
    <t>详尽以及良好整理的会计账簿。</t>
  </si>
  <si>
    <t>无序或者残缺的会计账簿。</t>
  </si>
  <si>
    <t>· 花费更多的时间来阅览文档
· 拜访银行或者企业来确认自己的发现
· 复核里面的账目和数据</t>
  </si>
  <si>
    <t>· 调查员与其他人之间的讨论让敌对势力对调查员的意图起了警觉
· 账簿最重要的一部分被摧毁或者丢失了（可能调查员因为疲劳将咖啡洒出在了上面）。</t>
  </si>
  <si>
    <t>他可能会被发现他把部分的账簿吃下了肚。</t>
  </si>
  <si>
    <t>赫尔辛基奥运会</t>
  </si>
  <si>
    <t>中华人民共和国3周年</t>
  </si>
  <si>
    <t>英王伊丽莎白二世登基
最严重美国公交车车祸，死亡28 人
法国潜艇西比尔号在地中海失踪，舰上有49 人
美国脊髓灰质炎死亡3300 人，影响5.7 万儿童
纽约人行红绿灯
通用汽车在1953 型汽车中装入车载空调
贝隆夫人逝世
晶体管助听器
氢弹
录像带</t>
  </si>
  <si>
    <t>书籍：
   海明威《老人与海》
总统：
   哈里·S·杜鲁门（民主党）</t>
  </si>
  <si>
    <t>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</si>
  <si>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t>
  </si>
  <si>
    <t>人行红绿灯
晶体管助听器
氢弹
录像带</t>
  </si>
  <si>
    <t>1%</t>
  </si>
  <si>
    <t>· 使使用者能够通过观察来辨认和理解一个人的生活方式。
· 如果技能使用者持续观察一个其他的文化一段时间，或者在有着关于某种已消失文化的正确资料环境下工作，那么他可以对文化方式以及道德习惯进行简单的预测，即使证据可能并不完整。
· 通过学习文化一个月或者更久，人类学家开始理解这种文化是如何运作的以及，如果结合心理学，可以预测那些研究文化的行为和信仰。</t>
  </si>
  <si>
    <t>花费一个月时间或者更多时间与人接触。</t>
  </si>
  <si>
    <t>花费仅仅一周或者更少时间与人接触。</t>
  </si>
  <si>
    <t>· 花费更多的时间来研究目标
· 去“当地“体验一段时间
· 在一场仪式或祭奠等等活动上扮演一个积极活跃的角色</t>
  </si>
  <si>
    <t>· 被作为研究对象的人群攻击或者监禁
· 由于一些被察觉的对于他们法律以及风俗的违反行为
· 遭受严重的副作用作为参与一场包括了摄入精神影响类植物的仪式的结果</t>
  </si>
  <si>
    <t>他将会在他研究的文化中迷失自我，举例来说，就像电影“现代启示录”中丹尼斯·霍珀演的摄影记者角色一样。</t>
  </si>
  <si>
    <t>一五计划</t>
  </si>
  <si>
    <t>中华人民共和国4周年</t>
  </si>
  <si>
    <t>斯大林逝世
英国北海风暴，死亡200 人
DNA 双螺旋结构
教皇庇护十二世赞同心理分析和心理治疗
罗森堡夫妇被处决；东柏林6·17 事件
朝鲜停战
美国郊区化受到关注
肯尼迪、杰奎琳大婚
雪人搜寻探险队
麻疹疫苗</t>
  </si>
  <si>
    <t>总统：
   哈里·S·杜鲁门（民主党）
   德怀特·戴维·艾森豪威尔（共和党）</t>
  </si>
  <si>
    <t>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</si>
  <si>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t>
  </si>
  <si>
    <t>DNA双螺旋结构
麻疹疫苗</t>
  </si>
  <si>
    <t>· 用来估计某种物品的价值，包括质量，使用的材料以及工艺。
· 相关的，技能使用者可以准确地辨认出物品的年龄，评估它的历史关联性以及发现赝品。</t>
  </si>
  <si>
    <t>一件在制造年代并不稀有的物品，以及用常见材料制作（e.g.50 年的金手表）</t>
  </si>
  <si>
    <t>一件不寻常的物品，也许用非寻常材料制成（e.g.几百年历史的外国制品，例如古代卷册）</t>
  </si>
  <si>
    <t>· 与另一名专家一同确认物品的正确性
· 进行检验
· 对物品进行研究</t>
  </si>
  <si>
    <t>· 在研究中意外地毁坏了物品
· 使这件物品引起了别人的注意，导致这件物品被偷
· 激活了这件物品的功用</t>
  </si>
  <si>
    <t>· 他可能会相信这件物品是被诅咒的并摧毁了它
· 或者他们视这件物品为他们个人的救星，并拒绝放弃这件物品给其他人</t>
  </si>
  <si>
    <t>中华人民共和国5周年</t>
  </si>
  <si>
    <t>鹦鹉螺号，首艘核潜艇
陆军- 麦卡锡听证会
首枚氢弹爆炸
默罗批评麦卡锡
奠边府战役
首枚氢弹爆炸
南北越并立
按动圆珠笔
硅晶体管</t>
  </si>
  <si>
    <t>总统：
   德怀特·戴维·艾森豪威尔（共和党）</t>
  </si>
  <si>
    <t>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</si>
  <si>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t>
  </si>
  <si>
    <t>按动圆珠笔
硅晶体管</t>
  </si>
  <si>
    <t>· 允许从过去的文化中鉴定一件古董的年代以及辨别它，以及可以用来发现赝品。
· 使获得建立以及开掘一个挖掘遗址的专业知识。
· 通过对遗址的勘察，使用者可以推断留下这遗址的生物的目的和生活方式。
· 人类学可能对此会有所帮助。
· 考古学还有助于辨认已消失的人类语言的书面形式。</t>
  </si>
  <si>
    <t>足够的时间和资源来进行工作。</t>
  </si>
  <si>
    <t>缺乏时间以及/或者有限的资源。</t>
  </si>
  <si>
    <t>· 花费更多的时间来研究物品或者遗址
· 进行进一步的调查研究
· 咨询其他专家</t>
  </si>
  <si>
    <t>· 遗址受到损坏，同时发现品因为不适当的操作而损毁，被故意毁坏，或者被偷窃
· 更高的权威占据了遗址，从你的掌控中夺取了发现
· 宣传出去的消息导致发现品被偷盗</t>
  </si>
  <si>
    <t>他会不停得挖掘得更深更深，并且相信真相就在这下面的某处。</t>
  </si>
  <si>
    <t>万隆会议</t>
  </si>
  <si>
    <t>上山下乡</t>
  </si>
  <si>
    <t>中华人民共和国6周年</t>
  </si>
  <si>
    <t>核导弹在内华达核试验场爆炸
爱因斯坦逝世
华约成立
米老鼠俱乐部处女秀
空对空导弹
迪士尼乐园营业</t>
  </si>
  <si>
    <t>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</si>
  <si>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t>
  </si>
  <si>
    <t>核导弹
空对空导弹
迪士尼乐园</t>
  </si>
  <si>
    <t>——————————</t>
  </si>
  <si>
    <t>墨尔本奥运会</t>
  </si>
  <si>
    <t>双百方针</t>
  </si>
  <si>
    <t>中华人民共和国7周年</t>
  </si>
  <si>
    <t>肯尼亚茅茅运动，4 年间死亡10000 人
蒙哥马利巴士抵制运动
美国郊区繁荣
赫鲁晓夫批判斯大林
纳赛尔将苏伊士运河收归国有
匈牙利事件
特氟龙公司成立
卡丁车</t>
  </si>
  <si>
    <t>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</si>
  <si>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t>
  </si>
  <si>
    <t>特氟龙
卡丁车</t>
  </si>
  <si>
    <t>艺术与手艺</t>
  </si>
  <si>
    <t>专业化</t>
  </si>
  <si>
    <t>· 许多这些例子都是与专业直接相联系的技能，但是这些技能可能只是休闲嗜好。
· 你可以花费技能在任意专业化技能上。不可以加点在作为类属的“艺术与手艺”上。
· 这项技能可能能使你制作或者修理一样东西—通常需要工具和时间，由 KP 来决定，如果必要的话。
· 在适用成功程度分度的情况下，一个更高等级的成功表示这件物品有着高品质以及/或精致度高。
· 一个艺术或者手艺技能可能可以用于制作一个复制品或者赝品。在这情况下，难度等级将取决于需要复制的原品的复杂程度以及独特性。
· 在伪造文件的场合下，将使用一个专门的专业化技能（伪造）。
· 一个成功的检定可能可以提供一个物品的相关信息，例如这个物品在何时以及哪里被制造，与之相关的一些历史或者技艺，或者谁可能制作了它。
· 拥有这个技能的专家将会在某个专门的领域里有着广泛的知识—对于物品本身，它的历史以及当代从事相关行业的人的知识，以及去实践知识的能力。</t>
  </si>
  <si>
    <t>制作一个标准而适于贩卖的物品。</t>
  </si>
  <si>
    <t>制作一个更高质量或者特别复杂的部件。</t>
  </si>
  <si>
    <t>· 从头开始重做物品，部件或者创作
· 进行进一步的研究调查
· 与另一位专家核对</t>
  </si>
  <si>
    <t>· 大量的时间与金钱被浪费在创造一个失败的作品上
· 观众或者顾客由于你的工作的某方面而感到被严重冒犯或者收到了物理性伤害
· 你的工作被评论家抨击，并且没人会再想要你的服务</t>
  </si>
  <si>
    <t>他创造了一个有犯罪倾向的作品，并且这件作品冲击并导致了观赏者的暴力反应—也许只有颓废派艺术家会欣赏这件作品</t>
  </si>
  <si>
    <t>人造卫星</t>
  </si>
  <si>
    <t>太空竞赛开始</t>
  </si>
  <si>
    <t>中华人民共和国8周年</t>
  </si>
  <si>
    <t>证实吸烟导致癌症
大力神地对空核导弹
斯普特尼克2 号升空[11] 震惊全美
麦基诺大桥（3800 英尺) 竣工</t>
  </si>
  <si>
    <t>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</si>
  <si>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t>
  </si>
  <si>
    <t>地对空核导弹</t>
  </si>
  <si>
    <t>技艺的子项</t>
  </si>
  <si>
    <t>· 表演者收到过戏剧以及/或电影演技的训练（在现代，这可能也包括电视），使你能适应一个人物角色，记住剧本，以及使用舞台/电影化妆来改变他们的外貌。</t>
  </si>
  <si>
    <t>大跃进</t>
  </si>
  <si>
    <t>中华人民共和国9周年</t>
  </si>
  <si>
    <t>埃尔维斯·普雷斯利（“猫王”) 入伍
芝加哥学校大火，死亡90 人
鹦鹉螺号在冰层下横穿北极
小石城事件，福布斯封锁学校
泛美航空开通首条707 巴黎航线
沙宾疫苗
通讯卫星
呼啦圈</t>
  </si>
  <si>
    <t>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</si>
  <si>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t>
  </si>
  <si>
    <t>沙宾疫苗
通讯卫星
呼啦圈</t>
  </si>
  <si>
    <t>美术</t>
  </si>
  <si>
    <t>· 艺术家在艺术绘画上十分熟练（油画、丙烯画、水彩画），同样在用铅笔、彩色蜡笔、粉笔的素描上十分熟练。
· 然而这各种各样的艺术工作许多天或者许多月来完成，艺术家可能能快速素描出准确的印象，物体或者人物。
· 这项技能也代表了对艺术世界的熟悉，以及技术家能确定特定艺术家的作品，他们的学校，以及了解的历史。</t>
  </si>
  <si>
    <t>反右倾运动</t>
  </si>
  <si>
    <t>刘少奇主席上任</t>
  </si>
  <si>
    <t>中华人民共和国10周年</t>
  </si>
  <si>
    <t>卡斯特罗在古巴掌权
福特埃德塞销售惨淡
沃尔沃发明安全带</t>
  </si>
  <si>
    <t>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</si>
  <si>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t>
  </si>
  <si>
    <t>安全带</t>
  </si>
  <si>
    <t>· 同时包括静止以及运动摄影。
· 这项技能允许某人拍摄清晰的照片，恰当地修饰照片，并且强化半掩的细节。
· 在 1920 年代，使用者可以准备必须的化学用品来制作闪光粉。
· 在现代，这个技能拓展到包括摄影机，视频播放设备，数码摄影以及数码编辑，使用者熟练于对数字图像的操作修改。
可以从原始的资源中创造出完全不同的版本，例如改变照片中一个人所处的地点，和谁在一起，以及在做什么。
· 这些专家也可能可以发现一张图像什么时候被修改过了。
·正常的快拍不需要技能检定。
当想要进行有效的偷拍，或者进行细节捕捉—特别是远距离，快速，以及低光，时将会被要求进行这个检定。
· 这项技能也允许调查员判断一张照片是否被篡改或者捏造，以及进行这张照片拍摄的角度和位置。</t>
  </si>
  <si>
    <t>罗马奥运会</t>
  </si>
  <si>
    <t>二十世纪 六十年代</t>
  </si>
  <si>
    <t>中华人民共和国11周年</t>
  </si>
  <si>
    <t>阿尔及利亚民族解放战争
飓风唐娜毁坏美国东海岸和波多黎各，死亡165 人
人工肾脏发明
午餐台静坐
巴西利亚（首个完全新建规划的行政城市) 开城
避孕药在美国发售
首个气象卫星
便携晶体管收音机开始畅销
美国公债2840 亿美元
美国人口1.793 亿</t>
  </si>
  <si>
    <t>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</si>
  <si>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t>
  </si>
  <si>
    <t>人工肾脏
避孕药
气象卫星
便携晶体管收音机</t>
  </si>
  <si>
    <t>· 熟练于细节，使用者可以制作高质量的伪造文档，使它以某人的笔迹写成，制作官僚作风的形式或许可，或者进行卷册的复制。
· 伪造者需要合适的材料（墨水，不同的纸张等）以及想要复制的文档的原件。
·  一个成功的检定表示伪造文档将通过一个普通而草率的检查。
· 当有人花费时间并仔细检查伪造品时需要使用估价技能（与原始的伪造者的技能进行对抗）来决定是否能辨认出是伪造品。</t>
  </si>
  <si>
    <t>载人宇宙飞船</t>
  </si>
  <si>
    <t>中华人民共和国12周年</t>
  </si>
  <si>
    <t>艾森豪威尔警示军工复合体
李奇[12]发现人类最早遗迹
柏林墙
美国和平队成立
猪湾登陆
安定</t>
  </si>
  <si>
    <t>总统：
   德怀特·戴维·艾森豪威尔（共和党）
   约翰·肯尼迪（民主党）</t>
  </si>
  <si>
    <t>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</si>
  <si>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t>
  </si>
  <si>
    <t>安定</t>
  </si>
  <si>
    <t>· 作家可以通过写作来写出一篇脍炙人口的名章。
· 如果想要将一个怪物将其用文字记录下来，那么建议过一个困难以上的鉴定，否则冠以不可名状即可。</t>
  </si>
  <si>
    <t>河源地震</t>
  </si>
  <si>
    <t>中华人民共和国13周年</t>
  </si>
  <si>
    <t>古巴导弹危机，几乎导致热核战争
砷化镓半导体激光器
首次连接英美的卫星通讯
宝丽来彩色胶卷</t>
  </si>
  <si>
    <t>总统：
   约翰·肯尼迪（民主党）</t>
  </si>
  <si>
    <t>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</si>
  <si>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t>
  </si>
  <si>
    <t>砷化镓半导体激光器</t>
  </si>
  <si>
    <t>· 使用者可以使用书法挥斥方遒，力透纸背。
· 如果了解对方的书法习惯的话，可以伪造出近乎一模一样的笔迹。
· 也可以替人写字卖钱养家糊口。书法家的名头也是赚足了眼球的。</t>
  </si>
  <si>
    <t>中华人民共和国14周年</t>
  </si>
  <si>
    <t>华盛顿出现多次人权示威游行
肯尼迪遇刺
南越军事政变推翻吴廷琰政府
美国寒潮，死亡150 人
飓风弗罗拉在海地和古巴造成7000 人死亡
南方种族暴乱持续</t>
  </si>
  <si>
    <t>总统：
   约翰·肯尼迪（民主党）
   林登·约翰逊（民主党）</t>
  </si>
  <si>
    <t>乐理</t>
  </si>
  <si>
    <t>· 使用者可以通过乐理鉴定听到的乐声是来自何种乐器、何种曲子、曲子的节奏。</t>
  </si>
  <si>
    <t>东京奥运会</t>
  </si>
  <si>
    <t>原子弹</t>
  </si>
  <si>
    <t>中华人民共和国15周年</t>
  </si>
  <si>
    <t>阿斯旺水库运行
披头士火爆
美国误释放1 千克钚进入大气
尼赫鲁逝世
韦拉札诺海峡大桥（4280 英尺) 竣工
美国总统约翰逊签署1964 年民权法案
东京湾决议
三维全息技术
穆格合成器
联邦贸易委员会要求香烟标注健康警示信息</t>
  </si>
  <si>
    <t>总统：
   林登·约翰逊（民主党）</t>
  </si>
  <si>
    <t>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</si>
  <si>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t>
  </si>
  <si>
    <t>三维全息技术
合成器
香烟健康警示</t>
  </si>
  <si>
    <t>· 当使用者需要做饭时可以通过该鉴定决定做出的饭菜是否美观可口。
· 如果是食品雕刻则需要非常高级的刀工与设计，没有传授会十分困难。</t>
  </si>
  <si>
    <t>刘少奇主席连任</t>
  </si>
  <si>
    <t>中华人民共和国16周年</t>
  </si>
  <si>
    <t>马尔科姆·艾克斯被刺
洛杉矶瓦茨黑人暴乱
梵蒂冈对犹宣言
1965 年北美大停电
凯夫拉纤维
子午胎
IBM 文字处理机</t>
  </si>
  <si>
    <t>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</si>
  <si>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t>
  </si>
  <si>
    <t>凯夫拉纤维
子午胎
IBM 文字处理机</t>
  </si>
  <si>
    <t>裁缝</t>
  </si>
  <si>
    <t>· 裁缝可以使用针或者缝纫机将布匹丝绸缝纫成某件布制品，根据成品所需难度提高鉴定难度。 比如双面绣就十分困难，除非是一脉单传。
· 有缝自有裁，也可以使用剪刀等工具对物品进行裁切。
· 超出剪刀等工具的范围就不适用该技能。（比如制皮）</t>
  </si>
  <si>
    <t>文化大革命</t>
  </si>
  <si>
    <t>邢台地震</t>
  </si>
  <si>
    <t>中华人民共和国17周年</t>
  </si>
  <si>
    <t>中国文化大革命
反对越战声音高涨
德克萨斯钟楼狙击案，死亡12 人
选举产生首位黑人参议员
杜比A 型降噪器
滑雪板
越战统计死亡人数</t>
  </si>
  <si>
    <t>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</si>
  <si>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t>
  </si>
  <si>
    <t>杜比A 型降噪器
滑雪板</t>
  </si>
  <si>
    <t>理发</t>
  </si>
  <si>
    <t>· 理发师可以使用剪刀等工具帮他人理发，如果要给自己理发可能比较困难。
· “理发全套”可能包括洗头、吹头发、染发、恤发、定型、刮胡子甚至是美甲、按摩等。</t>
  </si>
  <si>
    <t>中华人民共和国18周年</t>
  </si>
  <si>
    <t>第三次中东战争
爱之夏
美国首位黑人大法官
阿波罗1 号大火，3 名宇航员死亡
美国在越南战场损失500 架飞机
纽瓦克种族暴乱，4 天死亡26 人
底特律种族暴乱，死亡31 人
反战抗议增加
佐治亚州缴获209 磅海洛因
喇叭裤</t>
  </si>
  <si>
    <t>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</si>
  <si>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t>
  </si>
  <si>
    <t>喇叭裤</t>
  </si>
  <si>
    <t>建筑</t>
  </si>
  <si>
    <t>· 使用者可以通过建筑鉴定了解某栋建筑的基本构造。
· 也可以通过建筑对房屋进行修缮维护，比如添瓦加砖铺地板，刷墙壁纸两不闲。</t>
  </si>
  <si>
    <t>墨西哥城奥运会</t>
  </si>
  <si>
    <t>中华人民共和国19周年</t>
  </si>
  <si>
    <t>春节攻势
马丁·路德·金遇害
1968年种族运动
1968 年巴黎学潮
罗伯特·肯尼迪遇刺
携带4 枚氢弹的B-52 轰炸机在格陵兰海岸坠毁
布拉格之春
西班牙撤销1492 年对犹太人的禁令
美国民主党全国代表大会骚乱
阿波罗8 号围绕月球飞行</t>
  </si>
  <si>
    <t>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</si>
  <si>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t>
  </si>
  <si>
    <t>绕月载人火箭</t>
  </si>
  <si>
    <t>· 使用者可以根据所学习的程度跳出相应的舞蹈。
· 越难的舞蹈鉴定遇难。比如冰上华尔兹，可能就得进行联合鉴定才能成功。</t>
  </si>
  <si>
    <t>恐惧症状表</t>
  </si>
  <si>
    <t>狂躁症状表</t>
  </si>
  <si>
    <t>首次登月</t>
  </si>
  <si>
    <t>互联网</t>
  </si>
  <si>
    <t>中华人民共和国20周年</t>
  </si>
  <si>
    <t>劫机前往古巴持续
巴纳德学院合并男子宿舍[13]
首次人工心脏移植
同一周末在超过40 座城市同时出现反越战游行
伍德斯托克音乐节
25 万反战者在华盛顿游行
阿波罗11 号登陆月球
纽约因暴风雪关闭
美莱村惨案披露
波音747 喷气式客机
圣塔芭芭拉原油泄漏
协和超音速喷气客机首飞</t>
  </si>
  <si>
    <t>总统：
   林登·约翰逊（民主党）
   理查德·尼克松（共和党）</t>
  </si>
  <si>
    <t>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</si>
  <si>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t>
  </si>
  <si>
    <t>人工心脏移植
波音747 喷气式客机
互联网</t>
  </si>
  <si>
    <t>酿酒</t>
  </si>
  <si>
    <t>· 技艺者可以花费一段时间来酿酒。如果失败了或许酿出来的只是酒糟吧。
· 也有品酒师精通于通过品酒来知道酒的度数、类别、产地、日期、树种环境、酿酒用具等</t>
  </si>
  <si>
    <t>恐惧症是对某些事物的持久性恐惧。守秘人可以投 D100 随机选择，也可以直接选择一个恰当的症状。守秘人应将狂躁症的症状添加到调查员的背景故事栏中。</t>
  </si>
  <si>
    <t>狂躁症会带来对某一事物的狂热迷恋与强迫倾向。守秘人可以投 D100 随机选择，也可以直接选择一个恰当的症状。守秘人应将狂躁症的症状添加到调查员的背景故事栏中。</t>
  </si>
  <si>
    <t>东方红1号</t>
  </si>
  <si>
    <t>二十世纪 七十年代</t>
  </si>
  <si>
    <t>中华人民共和国21周年</t>
  </si>
  <si>
    <t>激进时尚[14]
巴勒斯坦人劫持5 架次飞机
戴高乐逝世
艾斯拜瑞公园市暴乱死亡46 人
气象员派成员因为炸弹恐怖行为被捕
受汞污染的金枪鱼被召回
条形码
软盘
帆板
美国公债3700 亿美元
美国人口2.033亿</t>
  </si>
  <si>
    <t>总统：
   理查德·尼克松（共和党）</t>
  </si>
  <si>
    <t>液晶显示 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</si>
  <si>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t>
  </si>
  <si>
    <t>条形码
软盘
帆板</t>
  </si>
  <si>
    <t>捕鱼</t>
  </si>
  <si>
    <t>· 技艺者可以使用鱼竿、鱼叉、渔网等工具进行捕鱼。
· 和普通的垂钓不同，以此为生的人往往需要在短时间获得更多的收获，于是这个技能可能会更倾向于使用大型渔网、渔船等进行捕鱼，所以可能会拥有驾驶渔船的知识。
· 一些情况下还可能会选择使用炸药，或者高压电来进行捕鱼，不过这往往都是犯法的。</t>
  </si>
  <si>
    <t>洗澡恐惧症（Ablutophobia）：对于洗涤或洗澡的恐惧。</t>
  </si>
  <si>
    <t>沐浴癖（Ablutomania）：执着于清洗自己。</t>
  </si>
  <si>
    <t>联合国大会第2758号决议</t>
  </si>
  <si>
    <t>中华人民共和国22周年</t>
  </si>
  <si>
    <t>洛杉矶地震，死亡51 人
热裤
尼克松对毒品宣战
五角大楼文件事件
液晶显示</t>
  </si>
  <si>
    <t>便携电子计算器 电视游戏 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</si>
  <si>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t>
  </si>
  <si>
    <t>热裤
液晶显示</t>
  </si>
  <si>
    <t>· 唱歌有很多唱法，在选择歌唱的时候请自行选择一种唱法写入背景故事，比如：演歌、歌剧歌唱、流行歌等。
· 如果歌唱失败，会让人恨不得撕烂他的嘴。
· 死亡歌声或许能吓退什么呢？</t>
  </si>
  <si>
    <t>恐高症（Acrophobia）：对于身处高处的恐惧。</t>
  </si>
  <si>
    <t>犹豫癖（Aboulomania）：病态地犹豫不定。</t>
  </si>
  <si>
    <t>慕尼黑奥运会</t>
  </si>
  <si>
    <t>尼克松访华</t>
  </si>
  <si>
    <t>中华人民共和国23周年</t>
  </si>
  <si>
    <t>欧共体成员达到10 个[15]
尼克松访华
水门事件
慕尼黑惨案
美国建立飞机反劫机预案
便携电子计算器
乒乓球电视游戏</t>
  </si>
  <si>
    <t>DNA重组技术 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</si>
  <si>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t>
  </si>
  <si>
    <t>便携电子计算器
电视游戏</t>
  </si>
  <si>
    <t>制陶</t>
  </si>
  <si>
    <t>· 使用者可以用来伪造陶瓷器，或者能理解某些陶瓷器的烧制过程。
· 或许在某些时候（荒野求生）能有所帮助吧。</t>
  </si>
  <si>
    <t>飞行恐惧症（Aerophobia）：对飞行的恐惧。</t>
  </si>
  <si>
    <t>喜暗狂（Achluomania）：对黑暗的过度热爱。</t>
  </si>
  <si>
    <t>杂交水稻</t>
  </si>
  <si>
    <t>中华人民共和国24周年</t>
  </si>
  <si>
    <t>最近一次登陆月球
第一次石油危机
博斯普鲁斯海峡大桥（3524 英尺) 竣工
DNA 重组技术</t>
  </si>
  <si>
    <t>电子游戏机 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</si>
  <si>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t>
  </si>
  <si>
    <t>DNA 重组技术</t>
  </si>
  <si>
    <t>雕塑</t>
  </si>
  <si>
    <t>· 使用者可以以雕塑为生，也可以通过一个困难以上鉴定来进行速刻。
· 通过一个普通鉴定能了解到某些雕塑的诞生过程以及他的材质。
· 当然，有时候你也可以大开脑洞凿个中空的雕塑做点什么？</t>
  </si>
  <si>
    <t>广场恐惧症（Agoraphobia）：对于开放的（拥挤）公共场所的恐惧。</t>
  </si>
  <si>
    <t>喜高狂（Acromaniaheights）：狂热迷恋高处。</t>
  </si>
  <si>
    <t>中华人民共和国25周年</t>
  </si>
  <si>
    <t>帕蒂·赫斯特被共生解放军绑架
美国广泛的石油短缺
尼克松辞职
美国飓风两天死亡315 人
农业技术绿色革命</t>
  </si>
  <si>
    <t>总统：
   理查德·尼克松（共和党）
   杰拉尔德·福特（共和党）</t>
  </si>
  <si>
    <t>· 技艺者可以进行某些杂耍技巧，或者变戏法之类的技巧。
· 可以配合跳跃进行空中动作，配合妙手变魔术等。
· 如果进行跑酷的话也可以使用杂技进行鉴定。
· 在跳楼的时候可以通过该技能代替跳跃来减免伤害。</t>
  </si>
  <si>
    <t>恐鸡症（Alektorophobia）：对鸡的恐惧。</t>
  </si>
  <si>
    <t>亲切癖（Agathomania）：病态地对他人友好。</t>
  </si>
  <si>
    <t>太空竞赛结束</t>
  </si>
  <si>
    <t>海城地震</t>
  </si>
  <si>
    <t>中华人民共和国26周年</t>
  </si>
  <si>
    <t>南越被推翻
美军撤离柬埔寨，红色高棉执政
黎巴嫩内战
雅达利电子游戏机</t>
  </si>
  <si>
    <t>总统：
   杰拉尔德·福特（共和党）</t>
  </si>
  <si>
    <t>超级计算机 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</si>
  <si>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t>
  </si>
  <si>
    <t>电子游戏机</t>
  </si>
  <si>
    <t>风水</t>
  </si>
  <si>
    <t>· 风水是一门很神奇的技艺。
· 风水本为相地之术，也就是临场校察地理的方法，也叫地相、古称堪舆术。
· 可以使用查看罗盘等风水工具来得知住宅基地、坟地等的自然形势的方位格局，以辨凶吉。
· 如果迷路，或许也能凭此逃出生天。
（该技能KP可以选择暗骰）</t>
  </si>
  <si>
    <t>大蒜恐惧症（Alliumphobia）：对大蒜的恐惧。</t>
  </si>
  <si>
    <t>喜旷症（Agromania）：强烈地倾向于待在开阔空间中。</t>
  </si>
  <si>
    <t>蒙特利尔奥运会</t>
  </si>
  <si>
    <t>四五运动</t>
  </si>
  <si>
    <t>唐山地震</t>
  </si>
  <si>
    <t>毛主席去世</t>
  </si>
  <si>
    <t>中华人民共和国27周年</t>
  </si>
  <si>
    <t>动物灭绝成为公众话题
毛泽东逝世
飓风利兹在墨西哥造成2500 人死亡
CRAY-1，世界首台超级计算机</t>
  </si>
  <si>
    <t>光纤 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</si>
  <si>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t>
  </si>
  <si>
    <t>超级计算机</t>
  </si>
  <si>
    <t>技术制图</t>
  </si>
  <si>
    <t>· 技术制图，主要是建筑师凭此设计建筑的技术。</t>
  </si>
  <si>
    <t>乘车恐惧症（Amaxophobia）：对于乘坐地面载具的恐惧。</t>
  </si>
  <si>
    <t>喜尖狂（Aichmomania）：痴迷于尖锐或锋利的物体。</t>
  </si>
  <si>
    <t>中华人民共和国28周年</t>
  </si>
  <si>
    <t>阿拉斯加输油管道开工
以色列在约旦河西岸建立定居点
光纤
东方快车停运
美国抗议者试图停工西布鲁克核电站</t>
  </si>
  <si>
    <t>总统：
   杰拉尔德·福特（共和党）
   吉米·卡特（民主党）</t>
  </si>
  <si>
    <t>试管婴儿 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</si>
  <si>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t>
  </si>
  <si>
    <t>光纤</t>
  </si>
  <si>
    <t>· 耕作，指从事农耕。泛指农事。
· 耕作制度是指在农业生产中，为了达到持续高产所采取的全部农田技术措施。
· 它主要包括种植制度、土壤耕作制、施肥和杂草防除制度等环节。</t>
  </si>
  <si>
    <t>恐风症（Ancraophobia）：对风的恐惧。</t>
  </si>
  <si>
    <t>恋猫狂（Ailuromania）：近乎病态地对猫友善。</t>
  </si>
  <si>
    <t>中华人民共和国29周年</t>
  </si>
  <si>
    <t>巴拿马运河条约
加州通过第13 号议案，削减征收财产税
1 美元兑换175 日元
圣地亚哥空难，死亡150 人
人民圣殿教琼斯镇集体自杀事件，死亡909 人
伦敦诞生首名试管婴儿</t>
  </si>
  <si>
    <t>总统：
   吉米·卡特（民主党）</t>
  </si>
  <si>
    <t>魔方 索尼Walkman 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</si>
  <si>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t>
  </si>
  <si>
    <t>试管婴儿</t>
  </si>
  <si>
    <t>打字</t>
  </si>
  <si>
    <t>· 打字也称文字录入，包括数字录入、中文录入、英文录入（字母）、日文录入（平假名）、德文录入等。
· 以前使用打字机来打字，在现代这个职业因为电脑的普及，能纯粹靠打字为职业的情况越来越少。</t>
  </si>
  <si>
    <t>男性恐惧症（Androphobia）：对于成年男性的恐惧。</t>
  </si>
  <si>
    <t>疼痛癖（Algomania）：痴迷于疼痛。</t>
  </si>
  <si>
    <t>中华人民共和国30周年</t>
  </si>
  <si>
    <t>伊朗国王流亡
三里岛核事故
伊朗人质危机
苏联入侵阿富汗
魔方
索尼Walkman</t>
  </si>
  <si>
    <t>杜比C型降噪器 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</si>
  <si>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t>
  </si>
  <si>
    <t>魔方
索尼Walkman</t>
  </si>
  <si>
    <t>速记</t>
  </si>
  <si>
    <t>· 速记是一门用特殊符号系统记录语音的快写实用技术。
· 大多数人印象中的速记还是传统的手写速记，记录后的稿件是一个个类似蝌蚪的符号，而且需要一段时间把速记符号转化成文字。
· 现在兴起的电脑速记，记录的结果是普通文字信息，不需要再做文字转写工作，能够跟说话同步。
· 电视里现场直播中能够立即出现字幕，电脑速记员就是幕后英雄。</t>
  </si>
  <si>
    <t>恐英症（Anglophobia）：对英格兰或英格兰文化的恐惧。</t>
  </si>
  <si>
    <t>喜蒜狂（Alliomania）：痴迷于大蒜。</t>
  </si>
  <si>
    <t>莫斯科奥运会</t>
  </si>
  <si>
    <t>二十世纪 八十年代</t>
  </si>
  <si>
    <t>中华人民共和国31周年</t>
  </si>
  <si>
    <t>美国每盎司黄金达到802 美元
美国通胀率33 年来最高
银行业放松管制
圣海伦火山喷发死亡超过50 人
伊朗人质解救失败
波兰团结公会成立
亚马逊淘金热
杜比C型降噪器
美国公债9080 亿美元
美国人口2.265 亿</t>
  </si>
  <si>
    <t>艾滋病毒 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</si>
  <si>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t>
  </si>
  <si>
    <t>杜比C型降噪器</t>
  </si>
  <si>
    <t>· 木匠，亦称“木工”，指在制造家具零件、门窗框架，或其他木制品过程中用手工工具或机器工具进行操作的人。
· 木匠从事的行业是很广泛的，他们不仅可以制作各种家具，在建筑行业、装饰行业、广告行业等都离不开木匠。</t>
  </si>
  <si>
    <t>恐花症（Anthophobia）：对花的恐惧。</t>
  </si>
  <si>
    <t>乘车癖（Amaxomania）：痴迷于乘坐车辆。</t>
  </si>
  <si>
    <t>宋庆龄名誉主席</t>
  </si>
  <si>
    <t>中华人民共和国32周年</t>
  </si>
  <si>
    <t>伊朗释放人质
1981 年波兰罢工
以色列空袭摧毁伊拉克核反应堆
亨伯大桥（4626英尺) 竣工
美国公债达到1 兆美元
欧洲多地发生反对核武器装备的游行集会
美国疾控中心发现奇怪的免疫疾病</t>
  </si>
  <si>
    <t>总统：
   吉米·卡特（民主党）
   罗纳德·里根（共和党）</t>
  </si>
  <si>
    <t>莫里斯舞蹈</t>
  </si>
  <si>
    <t>· 莫里斯舞蹈，在英国的历史“久远”二字都不足以形容。
· 在古代凯尔特人的传统节日庆祝活动中，往往会绕着石圈或者石阵跳舞。这种舞就是最初的莫里斯舞蹈，而随着时间的发展，莫里斯舞蹈后来又转移到了墓地进行。</t>
  </si>
  <si>
    <t>截肢者恐惧症（Apotemnophobia）：对截肢者的恐惧。</t>
  </si>
  <si>
    <t>欣快癖（Amenomania）：不正常地感到喜悦。</t>
  </si>
  <si>
    <t>中华人民共和国33周年</t>
  </si>
  <si>
    <t>全球石油过剩
马岛战争
波托马克河空难，死亡78 人
纽芬兰石油钻井平台毁坏，死亡84 人
新奥尔良飞机失事，死亡149 人
纽约80 万人游行反对核武器
第五次中东战争
巴勒斯坦解放组织迁到突尼斯</t>
  </si>
  <si>
    <t>总统：
   罗纳德·里根（共和党）</t>
  </si>
  <si>
    <t>歌剧歌唱</t>
  </si>
  <si>
    <t>· 歌剧是一门西方舞台表演艺术，简单而言就是主要或完全以歌唱和音乐来交代和表达剧情的戏剧。
· 歌手和合唱团常有一队乐器手负责伴奏，有的歌剧只需一队小乐队，有的则需要一团完整的管弦乐团。有些歌剧中都会穿插有舞蹈表演，如不少法语歌剧都有一场芭蕾舞表演。
· 歌剧被视为西方古典音乐传统的一部分。</t>
  </si>
  <si>
    <t>蜘蛛恐惧症（Arachnophobia）：对蜘蛛的恐惧。</t>
  </si>
  <si>
    <t>喜花狂（Anthomania）：痴迷于花朵。</t>
  </si>
  <si>
    <t>李先念主席上任</t>
  </si>
  <si>
    <t>中华人民共和国34周年</t>
  </si>
  <si>
    <t>阿基诺二世被杀
欧洲大规模反导弹抗议
估计世界人口47 亿</t>
  </si>
  <si>
    <t>粉刷匠与油漆工</t>
  </si>
  <si>
    <t>· 油漆工制定了油漆工规范及相关标准。
· 油漆工是土建专业的专业工种之一，指使用手工工具或机具，把涂料涂刷或喷刷在建筑物表面和门窗表面，以及裱糊饰面和裁装玻璃的专业人员。</t>
  </si>
  <si>
    <t>闪电恐惧症（Astraphobia）：对闪电的恐惧。</t>
  </si>
  <si>
    <t>计算癖（Arithmomania）：狂热地痴迷于数字。</t>
  </si>
  <si>
    <t>中华人民共和国35周年</t>
  </si>
  <si>
    <t>磁带摄像在美国得到法律认可
两伊战争波及海湾运油船
印尼排华暴乱，死亡4000 人
贝鲁特战斗持续
分离出艾滋病毒
美国估计有35 万无家可归者
证实被动吸烟会引发疾病
马尼拉90 万人游行
里根提出“你从未有过那么好的政府”</t>
  </si>
  <si>
    <t>强效可卡因 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</si>
  <si>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t>
  </si>
  <si>
    <t>艾滋病毒</t>
  </si>
  <si>
    <t>吹真空管</t>
  </si>
  <si>
    <t>· 吹真空管实为吹真空管。吹真空管分为人工吹制和机械吹制。
· 人工吹制是一项古老的工艺。人工吹制时使用长约1.5m中空铁吹管，一端蘸取玻璃液，一端为吹嘴。挑料后在滚料板（碗）上滚匀、吹气，形成玻璃料泡，在模中吹成制品。
·机械吹制时，玻璃液由玻璃熔窑出口流出，经供料机形成设定重量和形状的料滴，剪入初型模中吹成或压成初型，再转入成型模中吹成制品。</t>
  </si>
  <si>
    <t>废墟恐惧症（Atephobia）：对遗迹或残址的恐惧。</t>
  </si>
  <si>
    <t>消费癖（Asoticamania）：鲁莽冲动地消费。</t>
  </si>
  <si>
    <t>中华人民共和国36周年</t>
  </si>
  <si>
    <t xml:space="preserve">贝鲁特绑架事件持续
戈尔巴乔夫当选苏联主席
洛克·哈德森确诊艾滋病
法国轰沉绿色和平的船只
墨西哥城大地震死亡2.5 万人
美国贸易赤字
恐怖主义成为分离组织的主要思想
阿奇劳罗号劫案
联邦出资促进经济发展
美国公债1.82 兆美元，是1980 年的二倍
</t>
  </si>
  <si>
    <t>长笛恐惧症（Aulophobia）：对长笛的恐惧。</t>
  </si>
  <si>
    <t>隐居癖*（Automania）：过度地热爱独自隐居。（原文如此，存疑，Automania 实际上是恋车癖）</t>
  </si>
  <si>
    <t>日本泡沫经济时代</t>
  </si>
  <si>
    <t>中华人民共和国37周年</t>
  </si>
  <si>
    <t>挑战者号爆炸，美国航天局数年未再进行载人航天项目
英吉利海峡隧道坎特布利条约
切尔诺贝利核泄漏事故，数十位英雄牺牲自己控制了灾难扩大，专家估计几年中共有2.4 万人受释放出的放射性物质影响死亡
强效可卡因席卷美国</t>
  </si>
  <si>
    <t>温室效应 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</si>
  <si>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t>
  </si>
  <si>
    <t>强效可卡因（毒品）</t>
  </si>
  <si>
    <t>15%</t>
  </si>
  <si>
    <t>交涉技能</t>
  </si>
  <si>
    <t>对方的因素，即对此来说恰当的社交技能或心理学技能 （取较高的那个）</t>
  </si>
  <si>
    <t>· 取悦允许通过许多形式来使用，包括肉体魅力、诱惑、奉承或是单纯令人感到温暖的人格魅力。
· 取悦可能可以被用于迫使某人进行特定的行动，但是不会是与个人日常举止完全相反的行为。
· 取悦或是心理学技能可以用于对抗取悦技能。
· 取悦技能可以被用于讨价还价来使一件物品或者服务的价格降低。如果成功，使用者得到了卖家的赞同，并且他们可能乐意降低一点价格。</t>
  </si>
  <si>
    <t>若对方的技能低于 50%</t>
  </si>
  <si>
    <t>若对方的技能大于等于 50%
而大于90%需要一个极难成功</t>
  </si>
  <si>
    <t>· 以友善的态度明显地赞美对象
· 赠送一件昂贵的礼物
· 通过透露一个秘密来建立信任</t>
  </si>
  <si>
    <t>· 对象感到自己被冒犯了，并且不会再继续与你进行任何交流
· 对象与你的敌人有某种方式的联系，尽管他可能会照着你的吩咐做，但是将会告发你
· 第三者可能会出来调解并阻止你继续搭讪他们的妹子</t>
  </si>
  <si>
    <t>他可能会死心塌地地喜欢上他的目标并且会表现得像是对方成功地对他使用了一个支配术</t>
  </si>
  <si>
    <t>细菌恐惧症（Bacteriophobia）：对细菌的恐惧。</t>
  </si>
  <si>
    <t>芭蕾癖（Balletmania）：痴迷于芭蕾舞。</t>
  </si>
  <si>
    <t>中华人民共和国38周年</t>
  </si>
  <si>
    <t>两伊战争100 万人死亡
1987 年美国股灾
美国因艾滋病死亡13468 人
阿拉伯复兴社会党成立
美国录像机达到5000 万台</t>
  </si>
  <si>
    <t>20%</t>
  </si>
  <si>
    <t>·攀爬表面是否坚固，是否有可以用手握住的地方，风力，可见度，雨等等坏境状况都可能会影响难度等级。</t>
  </si>
  <si>
    <t>· 这项技能允许一名角色借助或者不借助绳索或者登山工具进行爬树、墙以及其他垂直表面。
· 这项技能也同样包括用绳索下降。
· 第一次在这个技能上失败可能意味着这攀爬超出了调查员的能力范围。
· 一个成功的攀爬检定应当允许调查员在任何场合下完成攀爬（而不是进行反复检定）。
· 一次富有挑战性或者长距离的攀爬则应当增加难度等级。</t>
  </si>
  <si>
    <t>· 相当多的落手点
· 也许有绳索或者排水管帮助攀爬</t>
  </si>
  <si>
    <t>没有落手点，或者表面被雨水打湿而变得滑手</t>
  </si>
  <si>
    <t>· 重新评估这次攀爬
· 绕远路进行迂回攀爬
· 拉住某人的手。</t>
  </si>
  <si>
    <t>· 从高处摔下来并且受到伤害（如果摔在草地上，1D6 伤害每 10 英尺，摔在混凝土上则是 1D10 伤害每 10 英尺）
· 某件有价值的持有物从你的口袋中掉了下去（你可能直到事后才发现到）
· 陷入困境之中，无法继续上爬也无法下去</t>
  </si>
  <si>
    <t>他将全力保住自己可贵的生命，并且竭尽全力大声尖叫直到筋疲力尽</t>
  </si>
  <si>
    <t>导弹/子弹恐惧症（Ballistophobia）：对导弹或子弹的恐惧。</t>
  </si>
  <si>
    <t>窃书癖（Biliokleptomania）：无法克制偷窃书籍的冲动。</t>
  </si>
  <si>
    <t>汉城（首尔）奥运会</t>
  </si>
  <si>
    <t>澜沧、耿马地震</t>
  </si>
  <si>
    <t>杨尚昆主席上任</t>
  </si>
  <si>
    <t>中华人民共和国39周年</t>
  </si>
  <si>
    <t>温室效应成为常用词
洛克比空难，机上259 人全部遇难
亚美尼亚地震死亡2.5万人，40 万人无家可归
RU-486；美国大范围干旱
美国艾滋病病例超过6 万
估计本年美国因毒品损失516 亿美元</t>
  </si>
  <si>
    <t>CD 暗物质 暗能量 太阳能飞行器 甲型H1N1 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</si>
  <si>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t>
  </si>
  <si>
    <t>温室效应</t>
  </si>
  <si>
    <t>计算机使用</t>
  </si>
  <si>
    <t>现代专用</t>
  </si>
  <si>
    <t>· 这项技能允许调查员用各种不同的电脑语言进行编程、恢复或者分析隐藏的数据、解除被加了保护的系统、探索一个复杂的网络、或者发现别人的骇入、后门程序、病毒。
· 对电脑系统的特殊操作可能会需要这个检定。
· 互联网将大量的信息放置在了调查员的指尖上。使用互联网来找到高度详细以及/或模糊不清的咨询可能会需要一个计算机使用和图书馆使用的组合检定。
· 这项技能在用电脑上网，检查电子邮件，或者运行一般的商品化软件时不需要使用。</t>
  </si>
  <si>
    <t>· 对电脑程序进行编写、分析以及除错。</t>
  </si>
  <si>
    <t>破译密码以及骇入一个有保护的网络，并且没有被发现或者追踪。</t>
  </si>
  <si>
    <t>· 花费更长的时间来改良一个程序
· 使用别人的代码作为捷径
· 使用未测试的软件（e.g.一个病毒）来利用一个系统。</t>
  </si>
  <si>
    <t>· 意外消除了好用的文件，或者使整个系统崩溃
· 留下了证据或者你的行为使对方警觉了起来
· 你的电脑/网络感染上了病毒</t>
  </si>
  <si>
    <t>他迷失在虚拟空间中，并且需要物理上的介入来让他停止使用电脑，或者将视线从屏幕上移开。</t>
  </si>
  <si>
    <t>跌落恐惧症（Basophobia）：对于跌倒或摔落的恐惧。</t>
  </si>
  <si>
    <t>恋书狂（Bibliomania）：痴迷于书籍和/或阅读</t>
  </si>
  <si>
    <t>日本改元平成</t>
  </si>
  <si>
    <t>中华人民共和国40周年</t>
  </si>
  <si>
    <t>美国“毒品战争”
苏联政治改革
衣阿华号炮塔爆炸，死亡42 人
飓风休戈死亡71 人
萨尔曼·鲁西迪事件
巴拿马战争
美国银行业损失保险估计5000 亿美元
CD 成为美国主流音乐播放媒体</t>
  </si>
  <si>
    <t>总统：
   罗纳德·里根（共和党）
   乔治·赫伯特·沃克·布什（共和党）</t>
  </si>
  <si>
    <t>暗物质 暗能量 太阳能飞行器 甲型H1N1流感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</si>
  <si>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t>
  </si>
  <si>
    <t>CD</t>
  </si>
  <si>
    <t>0%</t>
  </si>
  <si>
    <r>
      <rPr>
        <charset val="134"/>
        <sz val="10"/>
        <color rgb="FF000000"/>
        <rFont val="微软雅黑"/>
      </rPr>
      <t xml:space="preserve">· 衡量了调查员表现出来的富裕程度以及经济上的自信度
· 信用评级可以被用来取代APP来评估第一印象
※ </t>
    </r>
    <r>
      <rPr>
        <b/>
        <charset val="134"/>
        <sz val="10"/>
        <color rgb="FF000000"/>
        <rFont val="微软雅黑"/>
      </rPr>
      <t>信用评级并不是一个被用于评估经济富裕度的技能，也不应该与其他技能挂钩
· 每个职业有着起始的信用评级范围，并且应当花费技能点来达到这个评级范围内
· 一名调查员的信用评级可以随着时间而改变。
· 调查员的克苏鲁神话技能有着易于疯狂的倾向，而这个技能可能导致失业并因此变成一个更低的信用评级</t>
    </r>
  </si>
  <si>
    <t>· 从银行或企业得到一笔贷款
· 绕开对证明书的需求
· 在商店或者赌场得到信用额度
· 在高档餐厅得到最好的桌子</t>
  </si>
  <si>
    <t>· 在涉及到（或被判有罪）一名犯罪调查员时仍得到信用或者贷款
· 在被媒体诽谤后仍得到正面的关注</t>
  </si>
  <si>
    <t>· 你提供你的房子以及/或者其他有价值的东西来作为作为担保从高利贷者那获得贷款
· 你尝试对银行经理施压来让他给你贷款。</t>
  </si>
  <si>
    <t>· 高利贷者的态度变得恶劣，并且命令他的手下给你上♂了一课
· 银行经理呼叫了警察
· 你贷款到了钱，但是这是一个策略来让你陷入更深的债务中，并且有个恶人计划着赎买你的债务并且在之后要求你给予帮助</t>
  </si>
  <si>
    <t>他失去所有在资本上的信用，并且开始免费分发他的钱给路人。</t>
  </si>
  <si>
    <t>书籍恐惧症（Bibliophobia）：对书籍的恐惧。</t>
  </si>
  <si>
    <t>磨牙癖（Bruxomania）：无法克制磨牙的冲动。</t>
  </si>
  <si>
    <t>亚运会</t>
  </si>
  <si>
    <t>二十世纪 九十年代</t>
  </si>
  <si>
    <t>中华人民共和国41周年</t>
  </si>
  <si>
    <t>伊拉克入侵科威特，美国入侵伊拉克
南非政府发布戒严令
美国公债3.23 兆美元
估计本年美国因毒品损失400 亿美元
美国人口2.487 亿</t>
  </si>
  <si>
    <t>总统：
   乔治·赫伯特·沃克·布什（共和党）</t>
  </si>
  <si>
    <t>· 这项技能反应了对非人类（洛夫克拉夫特的）克苏鲁神话的了解
· 这个技能并不像学术技能一样建立在知识的积累之上，它像是“哪些是人类不该知道的”，克苏鲁神话是与人类的理解相对立的，并且接触它将会侵蚀人类的理智
· 没有调查员能在初始技能设定时给克苏鲁神话加点（除非被KP同意）
· 成功的使用克苏鲁神话技能并不会提供给调查员在这个技能百分比上的提升
· 当克苏鲁神话点数上升，它将减少理智上限，并且使得调查员变得脆弱
· 每当神话生物的足迹或者其他证据被发现，一个成功的克苏鲁神话检定可以允许调查员辨认出这个神话生物，推测出有关它行为的一些资讯，或者猜测出它所拥有的某些特性。
· 一个成功的克苏鲁神话检定也可能允许调查员回想起一些关于神话的真实，通过看见咒语的施展来辨认出它，回想起克苏鲁书卷中详细的咒语或者部分的信息，或者完成一些其他的任务。
· 克苏鲁神话技能也可以被用来展现出魔法的“咒语一样的”效果。</t>
  </si>
  <si>
    <t>正确地根据第二手证据（足迹、创痕、第一手报告）来辨认出神话生物。</t>
  </si>
  <si>
    <t>· 通过谣传、传说或者极少的证据来辨认出一个神话生物
· 通过调查研究以及第一手经验辨认出一个神话生物可能的弱点或者能够给予一些优势的知识</t>
  </si>
  <si>
    <t>· 更加接近生物以获得一个更好的观察
· 翻阅咨询有着专业知识的可怕书卷或是人类学问与传说（或者其他的）
· 进行一场尸体解剖来了解更多
· 当你回忆起奇怪的密码电文时高声读出来</t>
  </si>
  <si>
    <t>· 太过于接近而让自己遭受到伤害或者怀疑
· 无意识地将书卷中的一段文字大声读了出来从而激活了一个召唤咒术
· 意外地损坏或毁坏了用于研究的证据。</t>
  </si>
  <si>
    <t>他会体验到一段揭示了新的关于克鲁苏深化的真实的幻影或者天启，相似地导致了对疯狂的领悟（伴随着可能的克苏鲁神话技能的增长以及/或是理智的损失）</t>
  </si>
  <si>
    <t>植物恐惧症（Botanophobia）：对植物的恐惧。</t>
  </si>
  <si>
    <t>灵臆症（Cacodemomania）：病态地坚信自己已被一个邪恶的灵体占据。</t>
  </si>
  <si>
    <t>中华人民共和国42周年</t>
  </si>
  <si>
    <t>第一次海湾战争死亡5 万余伊拉克人
伊拉克倾倒4000 万桶原油到海湾中，又烧掉600 座油井
美国奥克兰山火，烧毁3000座房屋，死亡数十人
吕宋岛皮纳图博火山大喷发
八一九政变
阿以和谈
到5 月底，美国因艾滋病死亡113426 人
外国产汽车已占到美国汽车销量的1/3
苏联解体
戈尔巴乔夫辞职
据信1/5 的黑非洲大学毕业生为HIV 阳性</t>
  </si>
  <si>
    <t>· 使用在当你想要演出除你自己外的别人时。
· 使用者改变了态度，习惯，以及/或声音来进行一个乔装，以另一个人或者另一类人的形象出现。
· 戏剧化妆品可能会有所帮助，还有伪造的身份证。
· 这项技能有着明显的两个方向：要么你试图隐瞒你的真实身份（例如当警察正在寻找你）或者你在模仿他人。
· 如果在一场面对面的见面中装作一个特定的人士，并且有某位认识你模仿的这个人的人，那么要通过这个场合就超出了这个技能的范围，并且可能意味着需要一个更高难度的组合技能检定（与说服，取悦，或者话术结合）。</t>
  </si>
  <si>
    <t>使陌生人相信你就是你说你是的那个人。例如，回到你昨天犯案的犯罪现场并且逃过注意</t>
  </si>
  <si>
    <t>在一场面对面的见面中使一名专家相信你就是你说你是的那个人。例如，装扮成一名银行员工来获得进入银行金库的许可</t>
  </si>
  <si>
    <t>· 经过一个完全拟真以及加强过的准备（将自己沉入到角色中去）
· 偷走个人物品并且将之利用进伪装中
· 用明显而夸张的手法来让对方感到混乱
· 假装患了疾病来迷惑观察者</t>
  </si>
  <si>
    <t>· 被拘捕
· 造成了对方的抵触，造成了暴力行为或者刑事指控
· 发现自己所模仿的对象正在被找来为了报复的黑帮所通缉</t>
  </si>
  <si>
    <t>这名调查员不再能认清自己在镜子中的脸，即使伪装已经被除去</t>
  </si>
  <si>
    <t>美女恐惧症（Caligynephobia）：对美貌女性的恐惧。</t>
  </si>
  <si>
    <t>美貌狂（Callomania）：痴迷于自身的美貌。</t>
  </si>
  <si>
    <t>巴塞罗那奥运会</t>
  </si>
  <si>
    <t>九二共识</t>
  </si>
  <si>
    <t>中华人民共和国43周年</t>
  </si>
  <si>
    <t>发达国家经济衰退，无家可归和失业现象增多
罗德尼·金事件导致洛杉矶等多地出现骚乱，死亡52 人，损失超过10 亿美元
美军进入索马里，解决饥饿和内战问题
前南斯拉夫数万人因“种族清洗”被屠杀
佛罗里达、路易斯安那、夏威夷飓风死亡数十人，毁坏数千房屋
南加州和埃及发生地震死亡重大
估计感染HIV 人数达到1300 万
捷克和斯洛伐克分立</t>
  </si>
  <si>
    <t>DEX一半的%</t>
  </si>
  <si>
    <t>闪避技能大多数用于战斗中，作为对抗技能的一部分并且不存在难度等级</t>
  </si>
  <si>
    <t>· 允许调查员本能地闪避攻击，投掷过来的投射物以及诸如此类的
· 一名角色可以尝试在一场战斗轮中使用任何次数的闪避（但是对抗一次特定的攻击只能一次）
· 闪避可以通过经验来提升，就像其他的技能一样
· 如果一次攻击可以被看见，一名角色可以尝试闪避开它
· 想要闪避子弹是不可能的，因为运动中的它们是不可能被看见的，一名角色所能做到的最好的是做逃避的行动来造成自己更难被命中</t>
  </si>
  <si>
    <t>作为一个战斗技能，这项技能不存在孤注一掷</t>
  </si>
  <si>
    <t>寒冷恐惧症（Cheimaphobia）：对寒冷的恐惧。</t>
  </si>
  <si>
    <t>地图狂（Cartacoethes）：在何时何处都无法控制查阅地图的冲动。</t>
  </si>
  <si>
    <t>江泽民主席上任</t>
  </si>
  <si>
    <t>中华人民共和国44周年</t>
  </si>
  <si>
    <t xml:space="preserve">1993 年世贸中心爆炸案
FBI 围困大卫教派总部韦科镇，死亡80 人
克林顿当选美国总统
是卡特之后首位民主党总统
波斯尼亚战争[16] 持续
朝鲜宣称退出不扩散核武器条约
美军撤出索马里
国会批准美军关闭130 个军事基地
美国失业率下降
美国公债4.35 兆美元
</t>
  </si>
  <si>
    <t>总统：
   乔治·赫伯特·沃克·布什（共和党）
   比尔·克林顿（民主党）</t>
  </si>
  <si>
    <t>因情况可改变为不同名称</t>
  </si>
  <si>
    <t>· 任何有着这项技能的人都可以驾驶一辆汽车或者轻型卡车，进行常规的移动，并且处理机动车的一般毛病
· 如果调查员想要甩掉一名追踪者或者追踪某人，则需要一个汽车驾驶检定
· 一些其他的文化可能用相似的事物来取代这个技能
· 因纽特人可能使用狗撬驾驶，或者维多利亚人可能使用四轮马车驾驶</t>
  </si>
  <si>
    <t>在不繁忙的交通状况下成功地迂回前进，甩掉了追踪者</t>
  </si>
  <si>
    <t>在拥堵的交通状况下成功地迂回前进，甩掉了追踪者</t>
  </si>
  <si>
    <t>· 驾驶交通工具直至其极限
· 无视危险，不减速前进</t>
  </si>
  <si>
    <t>· 撞车
· 因打滑而停止，无法再前进
· 被警察追赶</t>
  </si>
  <si>
    <t>他将被发现正位于一个静止的交通工具的轮子后面并发出“brum-brum”的车子运行的声音</t>
  </si>
  <si>
    <t>恐钟表症（Chronomentrophobia）：对于钟表的恐惧。</t>
  </si>
  <si>
    <t>跳跃狂（Catapedamania）：痴迷于从高处跳下。</t>
  </si>
  <si>
    <t>中华人民共和国45周年</t>
  </si>
  <si>
    <t>北美自由贸易协定施行
奥德里奇·艾姆斯被逮捕
安立甘教会任命首位女神父
南非举行首次不分种族大选，标明白人种族隔离统治结束
巴以签署巴勒斯坦自治原则宣言
辛普森杀妻案
诺曼底登陆50 周年纪念
1994 棒球大罢工标志该运动的衰退
美国出兵海地，阿里斯蒂德重返总统职位</t>
  </si>
  <si>
    <t>总统：
   比尔·克林顿（民主党）</t>
  </si>
  <si>
    <t>10%</t>
  </si>
  <si>
    <t>· 使调查员能够修理或者改装电气设备，例如自动点火装置，电动机，保险丝盒，以及防盗自动警铃
· 在现代，这项技能对现代电子器件几乎做不到什么。
· 为了维修电气设备，可能需要特殊的部件或者工具。
· 在1920年代的职业可能会需要这个技能，并且需要机械维修技能作为组合
· 电气维修也可能在现代的爆破上被使用，例如雷管，C-4塑料炸弹，以及地雷。
· 这些武器被设计得简单易用
· 只有一个大失败的结果才会造成不启动（记住这检定可以使用孤注一掷）
· 拆除爆炸物是远远更为复杂的，因为它们可能被安装了反拆改装置
· 当用于解除爆炸物时应当提高难度等级——见爆破技能</t>
  </si>
  <si>
    <t>修理或者制作一个常规的电气设备</t>
  </si>
  <si>
    <t>· 修理已经被严重损坏的东西
· 在没有合适的工具的情况下工作</t>
  </si>
  <si>
    <t>· 花费更长的时间来修理或者改装设备
· 进行有风险的捷径行动</t>
  </si>
  <si>
    <t>· 因为电击而受伤
· 保险丝断了并且整座建筑陷入了黑暗中
· 将你正在修理的东西损坏到了不可修理的地步</t>
  </si>
  <si>
    <t>他将尝试将活体生物的电能利用进设备中</t>
  </si>
  <si>
    <t>幽闭恐惧症（Claustrophobia）：对于处在封闭的空间中的恐惧。</t>
  </si>
  <si>
    <t>喜冷症（Cheimatomania）：对寒冷或寒冷的物体的反常喜爱。</t>
  </si>
  <si>
    <t>中华人民共和国46周年</t>
  </si>
  <si>
    <t>苏梅克- 列维9 号彗木相撞
俄克拉荷马城爆炸案，死亡161 人
美国每10 人就有1 人上网
O·J·辛普森被判无罪
北爱尔兰、波斯尼亚和中东的和平进程
伊扎克·拉宾在以色列被暗杀
柯林·鲍威尔放弃竞选美国总统
美国公债达到5 兆美元</t>
  </si>
  <si>
    <t>时间限制和对应的指南和部件</t>
  </si>
  <si>
    <t>· 用来发现并对电子设备的故障进行维修
· 允许制作简单的电子设备
· 这是个现代技能—在1920年代则是使用物理学以及电气维修来应对电子设备
· 不像电气维修技能，电子学工作的部件通常是不能临时配备的：它们通过精密的工作被设计出来
· 通常如果没有正确的微晶片或者电路板，技能的使用者就无法进行工作，除非他们可以策划出一些形式的应急方案
· 如果一名调查员有着正确的部件和指导建议，将一台标准的电脑组装起来甚至不应被需要一个技能检定</t>
  </si>
  <si>
    <t>对电脑或者电子设备不严重的损伤进行修理—这类服务可以期待在保修范围内</t>
  </si>
  <si>
    <t>收集废弃部件来临时制作一个追踪设备用于安置在某人的车内</t>
  </si>
  <si>
    <t>· 花费更长的时间来制作或者维修一个设备
· 研究新的或者其他的方法</t>
  </si>
  <si>
    <t>· 烧毁了线路或者其他的易损部件
· 因电击而受伤
· 制作出了与预期目的不同用处的设备</t>
  </si>
  <si>
    <t>他将变得偏执而且疑神疑鬼，深信遭遇的一切事物里都有着窃听装置：电话，电视，电冰箱</t>
  </si>
  <si>
    <t>小丑恐惧症（Coulrophobia）：对小丑的恐惧。</t>
  </si>
  <si>
    <t>舞蹈狂（Choreomania）：无法控制地起舞或发颤。</t>
  </si>
  <si>
    <t>亚特兰大奥运会</t>
  </si>
  <si>
    <t>中华人民共和国47周年</t>
  </si>
  <si>
    <t>1995-96 美国政府停摆
亚特兰大爆炸案，造成1 人当场死亡
地球表面平均温度达到新高
明尼苏达州百年来最冷的冬天
1996 年珠峰山难，死亡率增加
塔利班占领喀布尔
参议院堕胎争议
中美知识产权争端
美国公债达到5.2 兆美元
提摩太·麦克维制造俄克拉荷马城爆炸事件
希尔多·卡辛斯基被捕</t>
  </si>
  <si>
    <t>· 话术特别限定于言语上的哄骗，欺骗以及误导，例如迷惑一名门卫来让你进入一间俱乐部，让某人在一张他还没有读的文件上签字，误导警察看向另一边，以及诸如此类的
· 这项技能的对立技能为心理学或者话术。经过一段时间的相信期后（通常在使用话术的人离开场景之后），对方会意识到自己被欺骗了
· 话术的效果总是暂时性的，尽管如果达成了更高的难度等级可能会使这个效果更加长一点
· 可以被用来对一件物品或者服务的价格进行砍价
如果成功，卖家会暂时性地觉得这是一场不错得交易。然而，如果买家打算归还或者试图购买别的物品，卖家可能会拒绝继续提供降价，并且甚至可能会提高价格为了补回他们在上一次交易中所造成的损失。</t>
  </si>
  <si>
    <t>· 与目标关系变得更加接近与私人
· 用富有异国风情的口味说话，为了让目标感到困惑
-记住这项技能是话术，所以如果调查员开始选择尝试其他的方法，KP可能会要求使用一个不同的技能
如果进行了威胁，则将要求恐吓技能，或者如果进行了一场较长的讨论，则要使用说服技能。
从一个技能转换到了使用另一个技能来得到第二个检定机会仍然算是进行了一次孤注一掷。</t>
  </si>
  <si>
    <t>造成了严重的不愉快，导致暴力，愤怒，或者犯罪行径的发生</t>
  </si>
  <si>
    <t>他会开始用各种各样不定的骂人言语开始对着人进行谩骂</t>
  </si>
  <si>
    <t>恐犬症（Cynophobia）：对狗的恐惧。</t>
  </si>
  <si>
    <t>恋床癖（Clinomania）：过度地热爱待在床上。</t>
  </si>
  <si>
    <t>对香港恢复行使主权</t>
  </si>
  <si>
    <t>中华人民共和国48周年</t>
  </si>
  <si>
    <t>海地渡轮沉没，超过200 人死亡
新感染艾滋病病例估计达到300 万人
累计死亡约580 万人
美国居民达到约2.75 亿，40%使用互联网
拉链门事件
七月道- 琼斯指数跌破8000 点
烟草公司承认吸烟有上瘾性
海尔- 波普彗星过近日点
香港回归
艾姆斯研究中心设立天体生物学部门
戴安娜王妃车祸
泰德·特纳向联合国捐助10 亿美元</t>
  </si>
  <si>
    <t>恶魔恐惧症（Demonophobia）：对邪灵或恶魔的恐惧。</t>
  </si>
  <si>
    <t>恋墓狂（Coimetormania）：痴迷于墓地。</t>
  </si>
  <si>
    <t>江泽民主席连任</t>
  </si>
  <si>
    <t>中华人民共和国49周年</t>
  </si>
  <si>
    <t>克林顿被指控作伪证并阻挠司法
美国经济增长放缓
厄尔尼诺冲刷加利福尼亚州，并造成中西部地区风暴
欧洲风暴
亚拉巴马州龙卷风，死亡34 人
希尔多·卡辛斯基被判有罪
美国联邦预算30 年来首次盈余
卢旺达问题国际刑事法庭[17] 以种族灭绝罪处决22 人
联合国对伊拉克进行武器核查
1998 年俄罗斯金融危机
奥黑尔机场出入港旅客达到7000 万</t>
  </si>
  <si>
    <t>专业化
战斗技能</t>
  </si>
  <si>
    <t>· 格斗技能指的是一名角色在近距离战斗上的技能。
· 你可以花费一定的点数来获得任何的专业化技能。
· 作为类属的“格斗”技能不能够获得。选择对你的调查员的职业以及当时历史合适的专业格斗技能。
· 那些有着50%或者以上的格斗（斗殴）技能的调查员可能会希望选择一种正规的训练，并且作为背景的一部分来对他们的技能程度进行解释。格斗方式存在着各种各样的。
· 武术只是单纯的一种提升一个人战斗技巧的方式。
· 决定角色是如何学习格斗的，是否是从正规的军队训练，武术教室，或者以自己的努力从街头格斗中学会。
· 术语斗殴可能会觉得对于作为一个技能化的武术来说过于粗糙，并且可以被代替（例如用“空手道”），如果玩家是这样希望的话。</t>
  </si>
  <si>
    <t>作为一个战斗技能，这个技能不存在孤注一掷</t>
  </si>
  <si>
    <t>人群恐惧症（Demophobia）：对人群的恐惧。</t>
  </si>
  <si>
    <t>色彩狂（Coloromania）：痴迷于某种颜色。</t>
  </si>
  <si>
    <t>北约组织轰炸南斯拉夫</t>
  </si>
  <si>
    <t>对澳门恢复行使主权</t>
  </si>
  <si>
    <t>神舟一号</t>
  </si>
  <si>
    <t>中华人民共和国50周年</t>
  </si>
  <si>
    <t>克林顿弹劾案，众议院认为其有罪，参议院认为无罪
美国经济急增
道指首次收于11000 点以上
美国暴力事件发生率从1973 年以来持续增加
美国医学协会提议成立医师公会</t>
  </si>
  <si>
    <t>鞭子</t>
  </si>
  <si>
    <t>格斗的子项
战斗技能</t>
  </si>
  <si>
    <t>· 套索以及鞭子</t>
  </si>
  <si>
    <t>牙科恐惧症①（Dentophobia）：对牙医的恐惧。</t>
  </si>
  <si>
    <t>小丑狂（Coulromania）：痴迷于小丑。</t>
  </si>
  <si>
    <t>悉尼奥运会</t>
  </si>
  <si>
    <t>千年虫</t>
  </si>
  <si>
    <t>普及义务教育</t>
  </si>
  <si>
    <t>二十一世纪初</t>
  </si>
  <si>
    <t>中华人民共和国51周年</t>
  </si>
  <si>
    <t>美国证券市场泡沫破裂，社会保障与证券和其他金融工具挂钩的提案终止
俄罗斯核潜艇在巴伦支海沉没，死亡118 人
法国航空4590 号班机空难，协和式飞机冲进旅馆，死亡113 人
墨西哥制度革命党执政71 年后下野
爱德华·戈里逝世，享年75 岁
布什当选美国总统。</t>
  </si>
  <si>
    <t>电锯</t>
  </si>
  <si>
    <t>· 第一个以汽油为能源，大量生产的链锯出现于1927年
· 然而，也存在着一些早期版本
· 链锯被包括入作为一种武器是因为它在电影中被大量使用，但是玩家必须记住这武器大失败的结果也是一般的两倍，并且它存在杀死使用着的调查员的可能性（或者失去四肢中一条）</t>
  </si>
  <si>
    <t>丢弃恐惧症（Disposophobia）：对于丢弃物件的恐惧（贮藏癖）。</t>
  </si>
  <si>
    <t>恐惧狂（Countermania）：执着于经历恐怖的场面。</t>
  </si>
  <si>
    <t>昆仑山大地震</t>
  </si>
  <si>
    <t>中华人民共和国52周年</t>
  </si>
  <si>
    <t>世界人口达到62 亿
连环恐怖袭击造成纽约和弗吉尼亚3000 余人死亡
美军潜艇格林维尔号与日本渔船相撞，死亡9 人
近年感染艾滋病的人数估计达到5300 万
总死亡人数达到2180 万
对“暗物质”和“暗能量”的观测造成旧宇宙学的革新
太阳能飞行器太阳神号达到96500 英尺高度
55%的美国家庭有电脑
炭疽事件导致两院停止办公，5 人死亡
第二次阿富汗战争</t>
  </si>
  <si>
    <t>总统：
   比尔·克林顿（民主党）
   乔治·沃克·布什（共和党）</t>
  </si>
  <si>
    <t>甲型H1N1流感 希格斯玻色子 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</si>
  <si>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t>
  </si>
  <si>
    <t>“暗物质”“暗能量”
太阳能飞行器</t>
  </si>
  <si>
    <t>斧</t>
  </si>
  <si>
    <t>25%</t>
  </si>
  <si>
    <t>· 包括空手格斗以及任何人都可以捡起并使用的基础武器，例如棍棒（例如板球棒或者棒球棍），小刀，以及许多临时武器，例如瓶子以及椅子腿
· 为了决定这些临时武器所造成的伤害，KP应当参考武器表并且挑选那些类似的武器</t>
  </si>
  <si>
    <t>皮毛恐惧症（Doraphobia）：对动物皮毛的恐惧。</t>
  </si>
  <si>
    <t>杀戮癖（Dacnomania）：痴迷于杀戮。</t>
  </si>
  <si>
    <t>盗版猖獗</t>
  </si>
  <si>
    <t>SARS事件</t>
  </si>
  <si>
    <t>中华人民共和国53周年</t>
  </si>
  <si>
    <t>布什认为世界存在邪恶轴心
朝鲜宣称已秘密研制出核武器
欧元成为奥地利、比利时、芬兰、法国、德国、希腊、爱尔兰、意大利、卢森堡、荷兰、葡萄牙、西班牙等国的货币
米洛舍维奇审判开始
美国暴露大量商业假账继以破产事件
因盗版猖獗导致全球音乐销量下降</t>
  </si>
  <si>
    <t>总统：
   乔治·沃克·布什（共和党）</t>
  </si>
  <si>
    <t>· 当使用大型的木斧时使用这个技能
· 短柄小斧则可以用基础的斗殴技能
· 如果投掷出去，使用投掷技能</t>
  </si>
  <si>
    <t>过马路恐惧症（Dromophobia）：对于过马路的恐惧。</t>
  </si>
  <si>
    <t>魔臆症（Demonomania）：病态地坚信自己已被恶魔附身。</t>
  </si>
  <si>
    <t>SARS结束</t>
  </si>
  <si>
    <t>胡锦涛主席上任</t>
  </si>
  <si>
    <t>中华人民共和国54周年</t>
  </si>
  <si>
    <t>2003 年美国东北部和加拿大夏季大停电
欧洲受到史无前例的酷暑炙烤，法国气温达到105 ℉，1.1 万人死亡
伽利略号木星探测器坠落木星，结束14 年的行星探测任务
刚果北部发现奇特猿种，像是大猩猩和黑猩猩的混种，但比二者都大</t>
  </si>
  <si>
    <t>绞具</t>
  </si>
  <si>
    <t>· 所有的长度超过两英尺的剑器</t>
  </si>
  <si>
    <t>教堂恐惧症（Ecclesiophobia）：对教堂的恐惧。</t>
  </si>
  <si>
    <t>抓挠癖（Dermatillomania）：执着于抓挠自己的皮肤。</t>
  </si>
  <si>
    <t>中华人民共和国55周年</t>
  </si>
  <si>
    <t>马德里311 爆炸案，恐怖分子在4 辆高峰时段列车上隐藏炸弹，死亡191 人
别斯兰人质事件，恐怖分子劫持学校中1200 余人，俄军包围学校，死亡335 人，伤700 余人
世界最大的远洋客轮轮玛丽皇后二号处女航
赫顿报告，认为布莱尔政府没有恶意修改情报以发动伊拉克战争
中情局承认伊拉克没有大规模杀伤性武器
圣海伦火山重新活跃
台北101 大楼开放，高509 米，是当时最高的大楼</t>
  </si>
  <si>
    <t>链枷</t>
  </si>
  <si>
    <t>· 任何长度的材料被用于绞死对方
· 需要受害者进行一个战技检定来逃脱，否则就要遭受每轮1D6的伤害</t>
  </si>
  <si>
    <t>镜子恐惧症（Eisoptrophobia）：对镜子的恐惧。</t>
  </si>
  <si>
    <t>正义狂（Dikemania）：痴迷于目睹正义被伸张。</t>
  </si>
  <si>
    <t>中华人民共和国56周年</t>
  </si>
  <si>
    <t>飓风卡特里娜袭击美国墨西哥湾，死亡1800 人
维珍大西洋环球飞行者号打破单人不间断飞行环游世界纪录
年末增加闰秒</t>
  </si>
  <si>
    <t>· 索连棍，钉锤，以及相似的中世纪兵器</t>
  </si>
  <si>
    <t>针尖恐惧症（Enetophobia）：对针或大头针的恐惧。</t>
  </si>
  <si>
    <t>嗜酒狂（Dipsomania）：反常地渴求酒精。</t>
  </si>
  <si>
    <t>熊猫烧香</t>
  </si>
  <si>
    <t>中华人民共和国57周年</t>
  </si>
  <si>
    <t>朝鲜宣称进行首次核试验
庆祝沃尔夫冈·阿玛多伊斯·莫扎特诞辰250 周年</t>
  </si>
  <si>
    <t>· 长枪或者投矛
· 如果投掷，使用投掷技能</t>
  </si>
  <si>
    <t>昆虫恐惧症（Entomophobia）：对昆虫的恐惧。</t>
  </si>
  <si>
    <t>毛皮狂（Doramania）：痴迷于拥有毛皮。（存疑）</t>
  </si>
  <si>
    <t>中华人民共和国58周年</t>
  </si>
  <si>
    <t>俄罗斯恢复战略轰炸机全球例行战斗巡逻
哈利·波特和死亡圣器出版，成为出版史上销售最快的书</t>
  </si>
  <si>
    <t>恐猫症（Felinophobia）：对猫的恐惧。</t>
  </si>
  <si>
    <t>赠物癖（Doromania）：痴迷于赠送礼物。</t>
  </si>
  <si>
    <t>北京奥运会</t>
  </si>
  <si>
    <t>胡锦涛主席连任</t>
  </si>
  <si>
    <t>中华人民共和国59周年</t>
  </si>
  <si>
    <t>美国最大诈骗案嫌犯伯纳德·麦道夫被捕
威尔金斯冰架崩塌
巴拉克·奥巴马当选美国第44 任总统，是首位非裔美国总统
雷曼兄弟公司破产，标示新一轮世界财政危机开始
索马里海岸海盗猖獗</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</si>
  <si>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t>
  </si>
  <si>
    <t>射击</t>
  </si>
  <si>
    <t>距离、稳定性</t>
  </si>
  <si>
    <t>· 包括了各种形式的火器，也包括了弓箭和弩
· 你可以花费技能点数来获得任何专业化技能
· 作为属类的“射击”技能不能被获得
· 选择与你调查员的职业与时代历史相契合的专业化技能</t>
  </si>
  <si>
    <t>过桥恐惧症（Gephyrophobia）：对于过桥的恐惧。</t>
  </si>
  <si>
    <t>漂泊症（Drapetomania）：执着于逃离。</t>
  </si>
  <si>
    <t>中华人民共和国60周年</t>
  </si>
  <si>
    <t>冰岛国家破产
甲型H1N1 流感暴发，达到世界大流行
亚洲和太平洋地区发生本世纪最壮观日全食，持续约6 分38.8 秒
朝鲜第二次核试验</t>
  </si>
  <si>
    <t>总统：
   乔治·沃克·布什（共和党）
   贝拉克·奥巴马（民主党）</t>
  </si>
  <si>
    <t>希格斯玻色子 引力波</t>
  </si>
  <si>
    <t>甲型H1N1 流感</t>
  </si>
  <si>
    <t>射击的子项
战斗技能</t>
  </si>
  <si>
    <t>· 这个技能可以用于射击任何类型的步枪（无论是杠杆作用，手动栓式或者半自动的）或者霰弹枪
· 因为霰弹枪中装填的弹药会以散射的方式发射，所以使用者的命中几率不会因为距离而减少，但是造成的伤害会受到影响
· 当突击步枪进行单次射击时（或者多次进行单次），使用这个技能</t>
  </si>
  <si>
    <t>恐老症（Gerontophobia）：对于老年人或变老的恐惧。</t>
  </si>
  <si>
    <t>漫游癖（Ecdemiomania）：执着于四处漫游。</t>
  </si>
  <si>
    <t>玉树地震</t>
  </si>
  <si>
    <t>钓鱼岛事件</t>
  </si>
  <si>
    <t>二十一世 十年代</t>
  </si>
  <si>
    <t>中华人民共和国61周年</t>
  </si>
  <si>
    <t>墨西哥湾漏油事件，深水地平线号钻井平台爆炸，死亡11 名钻井工人，原油连续泄漏七个月
艾雅法拉火山从冰帽下方喷发，火山灰阻碍了欧洲航空运输
维基解密网站泄露数万份秘密外交文件</t>
  </si>
  <si>
    <t>总统：
   贝拉克·奥巴马（民主党）</t>
  </si>
  <si>
    <t>冲锋枪</t>
  </si>
  <si>
    <t>· 当用任何自动手枪或者冲锋枪开火时使用这个技能
· 同样也用于突击步枪的全自动模式</t>
  </si>
  <si>
    <t>恐女症（Gynophobia）：对女性的恐惧。</t>
  </si>
  <si>
    <t>自恋狂（Egomania）：近乎病态地以自我为中心或自我崇拜。</t>
  </si>
  <si>
    <t>人口突破70亿</t>
  </si>
  <si>
    <t>中华人民共和国62周年</t>
  </si>
  <si>
    <t>美国宣布伊拉克战争结束
东日本大地震（9.1 级)，造成海啸增加伤亡并引发福岛第一核电站核泄漏
世界人口据信已达70 亿
基地组织头目本·拉登在巴基斯坦被美国特种部队击毙
突尼斯小贩穆罕默德·布瓦吉吉自焚引发全国动乱，政府被推翻
中东地区发生类似的革命事件</t>
  </si>
  <si>
    <t xml:space="preserve">弓术 </t>
  </si>
  <si>
    <t>用来使用弓以及弩，包括从中世纪的长弓到现代高性能的复合弓</t>
  </si>
  <si>
    <t>恐血症（Haemaphobia）：对血的恐惧。</t>
  </si>
  <si>
    <t>职业狂（Empleomania）：对于工作的无尽病态渴求。</t>
  </si>
  <si>
    <t>阿拉伯之春</t>
  </si>
  <si>
    <t>世界末日谣言</t>
  </si>
  <si>
    <t>神舟九号</t>
  </si>
  <si>
    <t>中华人民共和国63周年</t>
  </si>
  <si>
    <t>伊利莎白二世女王钻石庆
阿拉伯之春
本世纪第二次（也是最后一次) 金星凌日
世界最高的自立式电波塔东京晴空塔（634米) 对公众开放
CERN（欧洲粒子物理研究所) 宣布发现了希格斯玻色子“上帝粒子”
奥地利跳伞家费利克斯·鲍姆加特纳在新墨西哥罗斯威尔从24 英里高高空跳伞，成功在无辅助下突破音障并创造跳伞的高度新纪录</t>
  </si>
  <si>
    <t>引力波</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</si>
  <si>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甲型H1N1 流感 希格斯玻色子</t>
  </si>
  <si>
    <t>希格斯玻色子</t>
  </si>
  <si>
    <t>喷射器</t>
  </si>
  <si>
    <t>· 喷射出一连串点燃的可燃烧液体或者气体的武器
· 可以被操作者携带或者架设在交通工具上</t>
  </si>
  <si>
    <t>宗教罪行恐惧症（Hamartophobia）：对宗教罪行的恐惧。</t>
  </si>
  <si>
    <t>臆罪症（Enosimania）：病态地坚信自己带有罪孽。</t>
  </si>
  <si>
    <t>甲型H7N9流感病毒</t>
  </si>
  <si>
    <t>英国脱欧公投</t>
  </si>
  <si>
    <t>习近平主席上任</t>
  </si>
  <si>
    <t>台风“海燕”</t>
  </si>
  <si>
    <t>一带一路计划</t>
  </si>
  <si>
    <t>中华人民共和国64周年</t>
  </si>
  <si>
    <t>甲型H7N9流感病毒
反种族主义者，南非前总统纳尔逊·罗利赫拉赫拉·曼德拉去世
“棱镜门”事件曝光美国国家安全局电子监听计划
“好奇”号火箭钻取火星基岩样品
俄罗斯车里雅宾斯克州发生陨石坠落事件、损失高达10亿卢布
伊朗核问题对话取得了积极成果
朝鲜进行第三次核试验
中美建立新型大国关系
英国首次提出脱欧
一带一路计划
“伊拉克伊斯兰国”宣布与叙利亚反对派武装组织“胜利阵线”联合，建立ISIS
台风“海燕”</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</si>
  <si>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甲型H1N2 流感 希格斯玻色子</t>
  </si>
  <si>
    <t>机枪</t>
  </si>
  <si>
    <t>· 用两脚架或者三脚架架设的进行连续射击的武器
· 如果两脚架的类型进行单次射击，那么使用步枪技能
· 对于今日来说，突击步枪，冲锋枪以及轻机枪之间的差别已经是十分细微的了</t>
  </si>
  <si>
    <t>触摸恐惧症（Haphophobia）：对于被触摸的恐惧。</t>
  </si>
  <si>
    <t>学识狂（Epistemomania）：痴迷于获取学识。</t>
  </si>
  <si>
    <t>苏格兰独立公投</t>
  </si>
  <si>
    <t>西非埃博拉疫情</t>
  </si>
  <si>
    <t>欧洲难民潮</t>
  </si>
  <si>
    <t>马航失踪</t>
  </si>
  <si>
    <t>昆明火车站事件</t>
  </si>
  <si>
    <t>也门撤侨</t>
  </si>
  <si>
    <t>中华人民共和国65周年</t>
  </si>
  <si>
    <t>苏格兰独立公投失败
欧洲难民潮
昆明火车站暴力恐怖案
马航失踪事件
也门政变
ISIS恐怖主义组织更名为伊斯兰国</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</si>
  <si>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甲型H1N3 流感 希格斯玻色子</t>
  </si>
  <si>
    <t>重武器</t>
  </si>
  <si>
    <t>· 用来使用所有的类似于手枪的火器，进行非连续的射击
· 对于现代游戏中的全自动手枪（MAC-11，乌兹手枪，等等），当使用全自动模式时，用冲锋枪的技能进行判定</t>
  </si>
  <si>
    <t>爬虫恐惧症（Herpetophobia）：对爬行动物的恐惧。</t>
  </si>
  <si>
    <t>静止癖（Eremiomania）：执着于保持安静。</t>
  </si>
  <si>
    <t>欧洲难民危机</t>
  </si>
  <si>
    <t>印度洋出海口</t>
  </si>
  <si>
    <t>南海仲裁案</t>
  </si>
  <si>
    <t>中华人民共和国66周年</t>
  </si>
  <si>
    <t>欧洲难民危机爆发
伊朗核谈判成功
巴黎恐怖袭击
火星发现水源
尼泊尔8.1级大地震
巴基斯坦政府确认了中国海外港口控股有限公司对瓜港的运营权
中菲南海仲裁案</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</si>
  <si>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甲型H1N4 流感 希格斯玻色子</t>
  </si>
  <si>
    <t>· 用于使用枪榴弹发射器，反坦克火箭炮等等</t>
  </si>
  <si>
    <t>迷雾恐惧症（Homichlophobia）：对雾的恐惧。</t>
  </si>
  <si>
    <t>乙醚上瘾（Etheromania）：渴求乙醚。</t>
  </si>
  <si>
    <t>里约奥运会</t>
  </si>
  <si>
    <t>中华人民共和国67周年</t>
  </si>
  <si>
    <t>朝鲜两次核试验
英国脱欧公投
南海仲裁案废弃，中菲关系“化敌为友”
萨德入韩事件、朴槿惠弹劾案
LIGO科学团队与处女座干涉仪团队直接观测到引力波
寨卡病毒</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</si>
  <si>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甲型H1N5 流感 希格斯玻色子 引力波</t>
  </si>
  <si>
    <t>火器恐惧症（Hoplophobia）：对火器的恐惧。</t>
  </si>
  <si>
    <t>求婚狂（Gamomania）：痴迷于进行奇特的求婚。</t>
  </si>
  <si>
    <t>比特币勒索病毒</t>
  </si>
  <si>
    <t>AlphaGo</t>
  </si>
  <si>
    <t>中华人民共和国68周年</t>
  </si>
  <si>
    <t>比特币病毒勒索事件
蓝鲸死亡游戏
AlphaGo获得围棋九段称号</t>
  </si>
  <si>
    <t>总统：
   贝拉克·奥巴马（民主党）
   唐纳德·特朗普（共和党）</t>
  </si>
  <si>
    <t>30%</t>
  </si>
  <si>
    <t>对人类进行急救永远是常规难度。如果某人正在对一名并不熟悉对方生理机能的异种生命进行处理，难度等级将会上升</t>
  </si>
  <si>
    <t>· 使用者有能力可以提供紧急的医疗处理
· 这可能包括：对摔断了的腿用夹板进行处理，止血，处理烧伤，对一名溺水的受害者进行复苏处理，包扎以及清理伤口等等
· 急救不能用于治疗疾病（这需要医学技能）
· 急救必须在一小时内进行处理，在这情况下，能回复1生命值的损伤
· 这项技能可以尝试一次，并且后续的尝试将为进行孤注一掷
· 两个人可以合作进行急救，只要其中一人成功便可以得到生命值的回复
· 成功的急救的使用可以将一名昏迷的角色唤醒过来
· 一名角色被限制只能进行一次成功的急救或者医学，直到受到其他伤害
· 当处理一名濒死的角色，成功的急救可以稳定他的状态一小时，并且得到一点临时生命
在一小时结束后，在那之后每经过一小时，那名角色必须进行一次成功的体质（CON）检定来维持伤势的稳定，否则那名角色陷入濒死并且失去临时生命，之后每轮必须进行一次体质检定来避免死亡
如果那名角色存活到下一轮，可以再次尝试对其使用急救（最多可以两人使用）。这个可以不断持续下去（不算是使用孤注一掷）直到伤势被稳定或者其死亡
· 只有急救可以拯救一名濒死角色的生命，在之后他必须接受一个成功的医学检定或者被送往医院</t>
  </si>
  <si>
    <t>· 花费更长的时间来处理病人
· 采用高风险的方法来稳定伤势</t>
  </si>
  <si>
    <t>让事物变得更加糟糕，造成一点额外的伤害</t>
  </si>
  <si>
    <t>· 他将感觉自己不得不“治疗”那人，尽管这可能意味着对其进行截肢或者更糟糕
· 实际上，如果他不被停下，他的尝试将会包括可能会导致谋杀的物理攻击</t>
  </si>
  <si>
    <t>恐水症（Hydrophobia）：对水的恐惧。</t>
  </si>
  <si>
    <t>狂笑癖（Geliomania）：无法自制地，强迫性的大笑。</t>
  </si>
  <si>
    <t>霍金去世</t>
  </si>
  <si>
    <t>中美贸易战</t>
  </si>
  <si>
    <t>习近平主席连任</t>
  </si>
  <si>
    <t>中华人民共和国69周年</t>
  </si>
  <si>
    <t>霍金去世
斯坦·李去世
金庸去世
基因编辑婴儿
中美贸易战
北朝鲜和美国两国元首会面，朝鲜半岛局势相对缓和</t>
  </si>
  <si>
    <t>总统：
   唐纳德·特朗普（共和党）</t>
  </si>
  <si>
    <t>· 让一名调查员能够记住一个国家，城市，区域或者个人及其相关的重要情报
· 一个成功的检定可以用来帮助辨认先祖所熟悉的工具，科技，或者想法，但是对当下的所知甚少</t>
  </si>
  <si>
    <t>回忆起一些相关并且有用的信息</t>
  </si>
  <si>
    <t>了解一些晦涩的，细节的并且有用的信息</t>
  </si>
  <si>
    <t>· 花费更多时间进行检查
· 进行进一步的研究
· 咨询另一位专家
· 雇佣助手来进行仔细的研究，花费数月，以及巨额花费</t>
  </si>
  <si>
    <t>· 这次商讨使你的对手变得警觉，并且意识到了你的意图
· 你得到的真相是错误的，并且引你陷入了危险之中
· 大量的时间和金钱浪费在了无用的研究中</t>
  </si>
  <si>
    <t>· 他将深信他迟早会被以某种方式替换
· 或者可能他开始相信他正生活在某个历史中的时段
· 以古代的方法进行衣装以及对话</t>
  </si>
  <si>
    <t>催眠恐惧症①（Hypnophobia）：对于睡眠或被催眠的恐惧。</t>
  </si>
  <si>
    <t>巫术狂（Goetomania）：痴迷于女巫与巫术。</t>
  </si>
  <si>
    <t>第一张黑洞照片</t>
  </si>
  <si>
    <t>第二次阿拉伯之春</t>
  </si>
  <si>
    <t>非洲猪瘟</t>
  </si>
  <si>
    <t>新冠病毒被发现</t>
  </si>
  <si>
    <t>中华人民共和国70周年</t>
  </si>
  <si>
    <t>法国巴黎“黄背心”运动
非洲猪瘟
草地贪夜蛾对多国农业造成重大损失
京都动画纵火案
巴黎圣母院大火
澳大利亚丛林大火
黑洞首次被人类观测到
新冠病毒在中国武汉第一次被发现</t>
  </si>
  <si>
    <t>· 恐吓可以以许多形式使用，包括武力威慑，心理操控，以及威胁
· 这通常被用来使某人害怕，并迫使其进行某种特定的行为
· 恐吓的对抗技能为恐吓或者心理学
· 携带武器或者其他的有力的威胁或诱因来协助恐吓可能可以降低难度等级
· 恐吓可以被用于降低一件物品或者服务的价格
如果成功，卖家可能会降低价格，或者免费交出，但是根据情况，对方可能会将这事情举报给警察或者当地犯罪组织的成员
一个非常需要注意的事情是对恐吓进行孤注一掷意味着将事物推到极限。
这可能包括数日的审讯，或者将一把枪指着对方的脑袋来下达最后通牒。无论是哪一种，孤注一掷的结果为要么为得到了你想要的情报，要么对该场合下造成的结果予以偿还</t>
  </si>
  <si>
    <t>· 对目标或者其重视的某物某人造成实际上的物理伤害，记住这个技能是恐吓
· 如果调查员开始尝试另一种不同的方法，KP可能会要求一个不同的技能使用
· 如果撤回威胁并且调查员开始尝试与目标套近乎，可能会要求取悦技能
· 或者如果进行了一个长时间并且不含威胁的讨论，可能会变成说服技能
从一个技能转换到另一个技能的使用来获得第二次检定机会仍然属于使用了一个孤注一掷检定</t>
  </si>
  <si>
    <t>· 可能对目标进行了远远超过本身意图的恐吓
· 意外地扣下了你正在目标脸前晃悠着用来威胁的枪的扳机
· 目标的思想断弦了
· 造成了暴力或者无意义地喋喋不休，并且无法得到更多的情报
· 目标单纯地开始嘲笑你并且不管你做什么都不停止
· 目标以某种方式扭转形式，并且开始对恐吓者进行恐吓</t>
  </si>
  <si>
    <t>他对目标感到极度地恐惧，并且立刻接受当下的条件</t>
  </si>
  <si>
    <t>白袍恐惧症（Iatrophobia）：对医生的恐惧。</t>
  </si>
  <si>
    <t>写作癖（Graphomania）：痴迷于将每一件事写下来。</t>
  </si>
  <si>
    <t>新冠病毒席卷全球</t>
  </si>
  <si>
    <t>奥运推迟</t>
  </si>
  <si>
    <t>英国脱欧</t>
  </si>
  <si>
    <t>天问火星探测计划</t>
  </si>
  <si>
    <t>成功防控新冠病毒</t>
  </si>
  <si>
    <t>港区国安法表决通过</t>
  </si>
  <si>
    <t>二十一世 二十年代</t>
  </si>
  <si>
    <t>中华人民共和国71周年</t>
  </si>
  <si>
    <t>新冠病毒
特朗普弹劾案
伊朗将军苏莱曼尼遇袭身亡
英国正式脱欧
首次因非战争事件推迟奥运会
美股连续熔断
原油期货价格跌负
港区国安法表决通过</t>
  </si>
  <si>
    <t>· 如果成功，调查员可以在垂直方向上跳起或跳下，或者从一个站立点或起步点水平向外跳
· 当坠落时，跳跃可以被用来降低可能造成的坠落伤害
· 为了分辨哪些算在正常跳跃，困难跳跃以及极难跳跃，必须对判断进行训练
· 作为一个指导：
· 当调查员想要安全地从垂直等同于其自身高度的地方跳下来时，需要一个常规难度的成功，或者水平地从其站立点跳过长度等同于他自身高度的坑，或者助跑后跳过两倍于其自身高度的距离
· 如果要达成两倍距离的跳跃，则需要一个极难难度的成功，尽管应当牢记，最长跳跃的世界纪录为大约29英尺
· 如果从高处摔落下来，一个成功的跳跃检定可以使对坠落有所准备，降低一半的坠落伤害</t>
  </si>
  <si>
    <t>· 安全地从垂直等同于其自身高度的地方跳下
· 水平地从其站立点跳过长度等同于他自身高度的坑
· 助跑后跳过两倍于其自身高度的距离</t>
  </si>
  <si>
    <t>· 按照常规难度的标准，但是距离提高了50%
· 也许尝试从屋顶起跳并且越过小巷然后穿入隔壁建筑的窗户</t>
  </si>
  <si>
    <t>· 延迟或者花费时间来对跳跃进行评估
· 充分利用自己的能力，利用全身的重量和力气进行纵身一跃
· 在某些情况下，是无法进行孤注一掷的
· 如果某人试图跳跃过一道深渊，那么他不能进行第二次尝试
· 然而，如果某人陷在了一个陷阱中，并且试图跳出来逃跑，他可以拥有随意多少次的尝试，但是将被统合为一次孤注一掷的技能检定</t>
  </si>
  <si>
    <t>· 摔落并且遭受到了物理伤害
· 成功进行了跳跃，但是一件有价值的所有物（由KP来选择）在跳跃过程中掉落了</t>
  </si>
  <si>
    <t>他将深信他会飞~</t>
  </si>
  <si>
    <t>鱼类恐惧症（Ichthyophobia）：对鱼的恐惧。</t>
  </si>
  <si>
    <t>裸体狂（Gymnomania）：执着于裸露身体。</t>
  </si>
  <si>
    <t>东京奥运会未定</t>
  </si>
  <si>
    <t>拜登当选</t>
  </si>
  <si>
    <t>中华人民共和国72周年</t>
  </si>
  <si>
    <t>外语</t>
  </si>
  <si>
    <t>· 当选择这个技能，必须明确一个具体的语言并且写在技能后面
· 一个人可以了解任何数量的语言
· 这项技能代表使用者可以了解，说，读以及写一门不是他母语的语言的可能性
· 远古或者不知名语言（例如Aklo，Hyperborean这两种神话语言）不能被选择（除非KP同意），但是常见的古语可以被选择
如果遇见了用那门语言的古式的演讲或者写作，KP可以提高难度等级
· 单次的其他语言技能检定的成功通常允许对整本书的理解
· 进行有着使对话清晰的停顿的正常交流（当与一名对这语言并不流畅的外国人）对于一个熟练的人来说并不需要进行检定
·在一门语言上5%的技能将能够正确地辨认出这门语言而不需要检定。
·在一门语言上10%的技能可以交流简单的想法
·在一门语言上30%的技能可以对社交上的需求进行理解
·在一门语言上50%的技能可以进行流畅的交流。
·在一门语言上75%的技能可以将一门外国语言说得像是本地人一样。
·辨认一门当下在使用的人类语言（调查员所不清楚的），使用知识检定。
·辨认一门已消逝的人类语言，使用考古学或者历史检定。
·辨认一门外星语言，使用克苏鲁神话，或者也许神秘学检定</t>
  </si>
  <si>
    <t>· 交流（也许是较快语速的）
· 写作材料中包括了一些学术性的或者非常用的术语</t>
  </si>
  <si>
    <t>· 大量非常用的学术性术语
· 历史上的古式的短语
· 说话者有着罕见的方言</t>
  </si>
  <si>
    <t>· 花费更长的时间来思考你想要说的词语
· 在长停顿后回答你被告知的内容
· 查阅其他的书来进行翻译</t>
  </si>
  <si>
    <t>· 过大或者过响的调查员与第三者之间的讨论让敌对集团对调查员的意图开始警觉
· 一个词语或者短句被错误地理解了（也许意思颠倒了）
· 听者感到自己被一个无意的模糊发言冒犯了，并且用他的拳头予以回应，或者联合周围的人一起来反对你</t>
  </si>
  <si>
    <t>他开始将不为人知的话，或者想象他正在使用以诺语（一种神秘学语言）</t>
  </si>
  <si>
    <t>蟑螂恐惧症（Katsaridaphobia）：对蟑螂的恐惧。</t>
  </si>
  <si>
    <t>妄想狂（Habromania）：近乎病态地充满愉快的妄想（而不顾现实状况如何）。</t>
  </si>
  <si>
    <t>EDU%</t>
  </si>
  <si>
    <t>· 当选择这项技能时，必须明确一门具体的语言并且写在技能的后面
· 在婴儿期或者童年早期，大多数人使用单一一门语言
· 玩家所选择作为母语的语言自动地以等同于调查员教育（EDU）属性为起始
· 此后，调查员以那个百分比或者更高的来进行理解，说，读以及写（如果更多的技能点数在调查员创作时加了上去）
· 对于母语来说，通常并不需要技能检定。
· 即使当学术性的、古式的或者深奥的术语被使用，如果同类里的人对其他人都很友好并且有足够的时间来进行交流，那么大多数的事情将不需要一个骰子检定
· 如果一份文件是极其难以阅读或者以一种古式的方言来写，那么KP可能会要求一个检定</t>
  </si>
  <si>
    <t>雷鸣恐惧症（Keraunophobia）：对雷声的恐惧。</t>
  </si>
  <si>
    <t>蠕虫狂（Helminthomania）：过度地喜爱蠕虫。</t>
  </si>
  <si>
    <t>· 代表你对相关法律、早期事件、法庭辩术或者法院程序了解的可能性
· 一个在法律实务上的专家可能会获得巨大的奖励以及政治事务所，但是这可能需要长达几年的认真申请—— 一个较高的信用评级在这关系上也十分重要。
· 在美国，一个州的州法庭（StateBar）必须批准某人的法律实务。
· 当到一个外国国家时，使用这项技能的难度等级可能会上升，除非这名角色花费数月的时间来学习这个国家的法律系统</t>
  </si>
  <si>
    <t>理解和使用相关法律或者法律流程的细节</t>
  </si>
  <si>
    <t>记住或者理解一个不清楚的法律流程，或者反审讯一名有着强烈敌意的证人</t>
  </si>
  <si>
    <t>· 推迟来对你的辩论言论进行思考
· 对事例/处境的细微差别进行极其详细的解释
· 用重要的时间进行调查研究
· 曲解法律的字面意思来使你的言论变得合理</t>
  </si>
  <si>
    <t>· 误解了一条法律或者超出了可接受的法律程序的行为使你触犯了法律，并且吸引了警察的注意
· 浪费了宝贵的时间和金钱在调查以及法律费用上
· 你蔑视法庭，并且被丢进了牢房-至少24小时</t>
  </si>
  <si>
    <t>他会相信他此刻凌驾于法律之上</t>
  </si>
  <si>
    <t>蔬菜恐惧症（Lachanophobia）：对蔬菜的恐惧。</t>
  </si>
  <si>
    <t>枪械狂（Hoplomania）：痴迷于火器。</t>
  </si>
  <si>
    <t>美联社，1848，美国</t>
  </si>
  <si>
    <t>美国——————————</t>
  </si>
  <si>
    <t>美国——————</t>
  </si>
  <si>
    <t>· 图书馆使用使一名调查员能在图书馆找到一些信息，例如特定的一本书，新闻或者参考书，搜集文件或者资料库，假设需要的东西确实在那里的话。
· 使用这个技能需要数小时的连续的调查
· 这项技能可以定位寻找一件隐藏的案例或者一本特殊收藏的稀有书籍，但是可能会需要说服，话术，取悦，恐吓，信用评级，或者特殊的证明书来获得阅读这书或者信息的许可</t>
  </si>
  <si>
    <t>· 迫请图书管理员来获得更广的援助
· 花费更长的时间在一排排书架中进行系统的工作</t>
  </si>
  <si>
    <t>· 找到了一本相似的书籍，包含着有误导性的内容，并可能导致调查员陷入危险之中
· 与对手有所牵连—也许他们会因你的调查以及反抗他们的行动而有所警觉，或者他们检查了你们所搜索的书本（或者单纯地撕去了有内容的页子）
· 与图书管理员陷入了争吵之中，导致你图书馆会员的身份被撤销</t>
  </si>
  <si>
    <t>· 他开始收集书，将页子撕下来并且钉在他卧室的墙上，写了大量离奇内容的笔记，将页子用棉线和别针串在一起
· 或者，调查员沉迷于寻找正确的书本或者一段信息，花费了所有的时间在偷窃以及审阅书本上</t>
  </si>
  <si>
    <t>噪音恐惧症（Ligyrophobia）：对刺耳噪音的恐惧。</t>
  </si>
  <si>
    <t>饮水狂（Hydromania）：反常地渴求水分。</t>
  </si>
  <si>
    <t>美国合众社，1907，美国</t>
  </si>
  <si>
    <t>阿卡姆 密斯卡托尼克大学</t>
  </si>
  <si>
    <t>华盛顿特区</t>
  </si>
  <si>
    <t>与潜行对抗时，对方的潜行技能等级</t>
  </si>
  <si>
    <t>· 此技能是衡量一名调查员理解声音的能力，包括偶然听到的对话，一扇关着的门后的轻声嘀咕，以及咖啡厅里的私语
· KP可以用这来决定一场即将发生的遭遇的形式：比如你注意到了被踩碎的树枝的声音而警觉到可能遇到什么人
· 此外，一个较高的聆听技能可以理解为一名角色有着较高的警觉能力
· 当某人正在悄悄接近你时，聆听的对抗技能为潜行</t>
  </si>
  <si>
    <t>· 听见某物（潜行技能低于50）正在接近你
· 偷听一场在你附近发生的谈话</t>
  </si>
  <si>
    <t>· 听见某物（潜行技能从50至89）悄悄接近你的声音
· 偷听一场低声的谈话</t>
  </si>
  <si>
    <t>· 保持静止不动并且进行聆听
· 接近声音源（e.g.将耳朵贴在车轨或者门上）
· 让每个人都安静下来（自己制造一个噪音）然后进行聆听</t>
  </si>
  <si>
    <t>· “那个东西”在你没有意识到的时候抓住了你（你感到惊讶）
· 你错听了对话的内容，并且将内容混在了一起
· 你在偷听的行为被人捉住了，并且发现自己正在一个非常尴尬的困境之中</t>
  </si>
  <si>
    <t>他将会变得对所有声音过度敏感，并且无法在没有耳塞或者相似物体的情况下控制自己</t>
  </si>
  <si>
    <t>恐湖症（Limnophobia）：对湖泊的恐惧。</t>
  </si>
  <si>
    <t>喜鱼癖（Ichthyomania）：痴迷于鱼类。</t>
  </si>
  <si>
    <t>路透社，1849，英国</t>
  </si>
  <si>
    <t>《华盛顿先驱报》</t>
  </si>
  <si>
    <t>· 锁匠技能可以打开车门，短路电线来发动汽车，用铁撬撬开图书馆的窗子，解决中国机关箱，以及穿过常规的商用警报系统
· 使用者可能学会过修锁、配钥匙，或者使用万能钥匙、特殊工具打开锁
· 打开一个特别困难的锁可能会需要一个更高的难度等级</t>
  </si>
  <si>
    <t>打开或者修复一般的锁</t>
  </si>
  <si>
    <t>打开一个高安全性能的锁</t>
  </si>
  <si>
    <t>· 完全地将锁拆卸下来
· 花费更长时间
· 用力量强行撬开机械装置</t>
  </si>
  <si>
    <t>· 锁被破坏到了不可修复的程度（也许你的开锁工具折断在了锁里）
· 你破坏了机关箱（也许现在只有打碎它才能开启箱子）
· 你触发了警报，或者造成了足够响的噪音让某人或者某物过来查看发生了什么</t>
  </si>
  <si>
    <t>他放弃了眼前要解决的锁，并且意识到他更高的目的是解放他自己的思想
他们的双眼不再被迷雾所遮蔽，并且他开始以新的方式开始看待这个对他来说完全合理的世界，但是对于其他任何有着健全心智的人来说是完全不合理的</t>
  </si>
  <si>
    <t>机械恐惧症（Mechanophobia）：对机器或机械的恐惧。</t>
  </si>
  <si>
    <t>图标狂（Iconomania）：痴迷于图标与肖像</t>
  </si>
  <si>
    <t>交换电讯社，1872，英国</t>
  </si>
  <si>
    <t>华盛顿 美国国家地理学会</t>
  </si>
  <si>
    <t>《华盛顿新闻》</t>
  </si>
  <si>
    <t>· 这项技能允许调查员修理或制造一个机器
· 这项技能可以完成木工和管道工的大部分工作内容，比如滑轮组或者蒸汽泵之类的
· 在使用技能中可能会需要特殊的工具或者零件
· 这项技能可以打开普通的锁，但是专业的锁则需要使用锁匠技能
· 机械维修和电气维修是一个经常同时使用的技能，他们共同用于维修某种复杂的机械，例如汽车或者某些飞行器</t>
  </si>
  <si>
    <t>· 修理或者制作一件简单的设备
· 打开一个基础锁</t>
  </si>
  <si>
    <t>· 将设备完全的拆开
· 花费更长的时间
· 危险地使用过度的暴力来“敲”设备来使其运行（e.g.击打某物直至其运行）</t>
  </si>
  <si>
    <t>· 你将设备破坏至无法修理的程度
· 当你在对着设备进行工作时弄伤了自己（也许切到了自己的手，等等）
· 你沉浸于处理这个设备中，并且发现自己花费了一整天一整晚来处理它</t>
  </si>
  <si>
    <t>他密密麻麻将草写的设计写满了一本电话号码簿大小的便条本，以致甚至会创造使用生体物质以及家用电器为材料的离奇设备</t>
  </si>
  <si>
    <t>巨物恐惧症（Megalophobia）：对于庞大物件的恐惧。</t>
  </si>
  <si>
    <t>偶像狂（Idolomania）：痴迷于甚至愿献身于某个偶像。</t>
  </si>
  <si>
    <t>英国国家通讯社，1868，英国</t>
  </si>
  <si>
    <t>华盛顿 史密森学会</t>
  </si>
  <si>
    <t>《华盛顿邮报》</t>
  </si>
  <si>
    <t>· 使用者可以诊断并治疗事故，创伤，疾病，毒药等，并且可以提供公共健康建议
· 医学技能可以理解大部分药物的功效、副作用、制造工艺、用药禁忌等
· 用医学技能来进行治疗最少要花费1小时时间，并且可以在受到了伤害后的任何时间进行处理，但是如果没有在受伤的同一天内进行治疗，难度等级将会上升（需要一个困难难度的成功）
· 一名角色如果被成功地用医学技能进行治疗，他将恢复1D3的生命值（此效果和急救不冲突），除非是在一名角色濒死的情况，他必须先接受一个成功的急救技能检定来稳定伤势，然后才能接受一个医学检定
· 一名角色只能接受一次成功的急救和医学的治疗，直到遭受了进一步的伤害（除了在角色濒死的情况可能需要多次的急救检定来稳定伤势）
· 成功的医学技能的使用可以将一名昏迷的角色从昏迷中唤醒
· 当处理重伤时，成功的医学技能可以让病人在每周的恢复检定上增加一个奖励骰
· 如果一个时代还没有对某种疾病的有效疗法，那么这项技能的效果是有限的，不确定的，或者无效的
· 如果是在一个当代设备完善的医院中，KP可能准许医学治疗自动成功</t>
  </si>
  <si>
    <t>诊断并治疗普通的医学疾病，并且拥有可以使用的装备（至少得有药物和工具）以及一个合适的环境</t>
  </si>
  <si>
    <t>在一个脏乱并且不安全的环境中进行诊断与治疗，并且只有最低限度的装备</t>
  </si>
  <si>
    <t>· 咨询同僚
· 进行进一步的研究
· 尝试实验性的或者更加危险的事物
· 表现得有某种形式的临床经验</t>
  </si>
  <si>
    <t>· 你误诊了疾病并且使病人的状况变得更糟（甚至可能会杀死他）
· 你良好的信誉遭到了质疑，并且因治疗不当而受到了调查
· 在有临死角色的场合下，如果医学的孤注一掷的检定失败，病人则会就死亡</t>
  </si>
  <si>
    <t>· 他陷入了极度的烦恼之中
· 他会将动物的残肢或其他部分嫁接到病人的身上</t>
  </si>
  <si>
    <t>捆绑恐惧症（Merinthophobia）：对于被捆绑或紧缚的恐惧。</t>
  </si>
  <si>
    <t>信息狂（Infomania）：痴迷于积累各种信息与资讯。</t>
  </si>
  <si>
    <t>法国新闻通讯社，1929，法国</t>
  </si>
  <si>
    <t>华盛顿 美国国会图书馆</t>
  </si>
  <si>
    <t>《华盛顿时报》</t>
  </si>
  <si>
    <t>· 这项技能最开始是指对在自然环境中的植物以及动物生命的研究
· 直到19世纪，这门学科被分开到一系列的专业学术学科（生物学、植物学等）
· 博物学其实是一种非科学的知识，可能包括渔民、农夫、业余者的经验、或者只是因为个人爱好而观察到的知识
· 它可以对一般的物种、栖息地进行辨认，并且可以辨认踪迹、足迹以及叫声，也可以用某种线索或迹象对特定物种进行重要的推测
· 如果想对事物进行科学的理解分析，则应该使用生物学，植物学以及动物学的技能
· 博物学可能准确也可能不准确：这只是对某种事物的猜测、评估、民间知识，或者是对这种食物非常感兴趣而获得的知识
· 使用博物学可以判断市场的肉是否新鲜，或者查看蝴蝶标本是本身就很棒还是只是很棒的排列了起来</t>
  </si>
  <si>
    <t>· 辨认一种特定的物种（比如辨认蚂蚁的种类）
· 记住一些普通的学问
· 知道最佳捕鱼点</t>
  </si>
  <si>
    <t>· 辨认一种罕见的样品
· 定位找到一种动物或者植物的稀有物种（比如巨大的甲虫）
· 记住一些非常晦涩的事实或者一部分的学问</t>
  </si>
  <si>
    <t>· 花费更长的时间（忘却了时间）来仔细检查栖息地
· 得知一种不出名的蘑菇或植物的种类与作用
· 询问当地老人关于附近野生生物的知识</t>
  </si>
  <si>
    <t>· 你花费了很长的几个小时着迷地仔细看着书来辨认物种
· 你得到了错误的知识，并且正在攻击你的蜜蜂没有被你身上的泥土植物混合物所赶走
· 你吃了毒蘑菇，几小时后发现你正全裸的走向一名警察</t>
  </si>
  <si>
    <t>他在森林中迷失了方向只能等待救援</t>
  </si>
  <si>
    <t>流星恐惧症（Meteorophobia）：对流星或陨石的恐惧。</t>
  </si>
  <si>
    <t>射击狂（Klazomania）：反常地执着于射击。</t>
  </si>
  <si>
    <t>哈瓦斯通讯社，1832，法国</t>
  </si>
  <si>
    <t>华盛顿 美国国家自然历史博物馆</t>
  </si>
  <si>
    <t>· 允许使用者在任何时间与任何天气中辨认行进的方向
· 拥有高导航技能的人会非常熟练的使用天文图标工具、定位工具、GPS设备
· 这项技能可以用来测绘某个区域的地图（制图学），判断一个区域或一个岛屿的面积，如果拥有现代工具可以降低难度等级或取消检定
· KP可以暗骰这个技能的检定
· 如果他非常熟悉这个地区，那么可以在检定中增加一个奖励骰</t>
  </si>
  <si>
    <t>· 没有任何疑惑的走在一条路上
· 使用太阳与星辰来确定方位
· 绘制一小块地区的地形图</t>
  </si>
  <si>
    <t>· 没有明确的路或地标时，仍向着正确的方向前进
· 测绘一块又大又复杂的区域</t>
  </si>
  <si>
    <t>· 花费比较多的时间在地图上来尝试辨认出你在哪里
· 回到你的起点并重新尝试走一遍</t>
  </si>
  <si>
    <t>· 你迷路了，并且发现你自己被一头熊盯上或伏击了
· 你不断地绕着圈，并且掉队了
· 你认错了北极星，并且最终回到了邪教的隐藏根据地（失败的逃跑）</t>
  </si>
  <si>
    <t>他扔掉了设备并且凭着直觉行走，但是他的直觉一点都不准。</t>
  </si>
  <si>
    <t>孤独恐惧症（Monophobia）：对于一人独处的恐惧。</t>
  </si>
  <si>
    <t>偷窃癖（Kleptomania）：反常地执着于偷窃。</t>
  </si>
  <si>
    <t>每日通讯社，阿根廷</t>
  </si>
  <si>
    <t>加利福尼亚州</t>
  </si>
  <si>
    <t>· 使用者可以识别出神秘学道具，用语和概念，以及民间传统，并且可以辨认魔法书以及神秘学记号
· 神秘学家对于代代相传的各类神秘知识十分熟悉，包 括从埃及和苏美尔，从中世纪和文艺复兴时期的西方，以及也许从亚洲或者非洲
· 理解特定的书籍可能可以增加神秘学技能的百分比。这项技能不能运用于与克苏鲁神话相关的咒术， 书本，以及魔法，尽管旧日支配者的崇拜者对于神秘学有着很高的接受能力
· 由KP决定在这场游戏中非神话魔法是真实存在的 或者是虚构的</t>
  </si>
  <si>
    <t>· 从民间传说或者神秘学理论中回忆起了有用的知识
· 理解一张占卜卡的含义或者其他的占卦技巧</t>
  </si>
  <si>
    <t>· 辨认出稀少或者独特的神秘学书籍
· 想起秘密神秘学执行以及仪式的详细细节</t>
  </si>
  <si>
    <t>· 花费更多的时间来研究地址和物品
· 进行进一步的调查
· 咨询另一位专家
· 在仪式前提前净化自身，并且做好万全的个人准备</t>
  </si>
  <si>
    <t>· 误记了信息，以错误的方式进行了仪式，并且造成了极坏的结果（也许房子被烧成了平地）
· 在准备保护的圆圈时，你使用了错误的材料，并且你并没有挡开灵魂，而是真正地召唤出了具有邪恶心灵的事物
· 你在调查中发现了一个迄今为止都不知道的神话链接，并且你在那认识到的东西粉碎了你的思想（失去SAN）。</t>
  </si>
  <si>
    <t>很可能表现为某种形式的着魔现象：
也许调查员在自己的脸和手掌上纹上了神秘学的符号，或者在没有用占卜水晶进行占卜未来前无法进行行动</t>
  </si>
  <si>
    <t>不洁恐惧症（Mysophobia）：对污垢或污染的恐惧。</t>
  </si>
  <si>
    <t>噪音癖（Ligyromania）：无法自制地执着于制造响亮或刺耳的噪音。</t>
  </si>
  <si>
    <t>雅典通讯社，1896，希腊雅典</t>
  </si>
  <si>
    <t>纽约 美国自然历史博物馆</t>
  </si>
  <si>
    <t>《洛杉矶观察家报》</t>
  </si>
  <si>
    <t>· 当驾驶以及操纵一辆坦克，反铲挖土机，蒸汽挖土机或者其他巨型建造机械时需要这个技能
· 对于种 类非常不同的机械，KP可以决定提高难度等级，如果遇到的问题是极大程度上不熟悉的
· 例如，过去常常开推土机的某人，不会立刻能够掌握对船的引擎舱中的蒸汽涡轮机的使用</t>
  </si>
  <si>
    <t>操作起重机或挖掘机</t>
  </si>
  <si>
    <t>操作机械来完成熟练的或者独特的任务，例如用机械的挖掘机熟练地挖掘出恐龙蛋而不破坏它。</t>
  </si>
  <si>
    <t>· 在操作指南的帮助下一步步进行操作
· 花费时间来进行练习
· 寻找一名老师</t>
  </si>
  <si>
    <t>你正在驾驶推土机，但是在过度自信下，失去了对机械的控制，因此它调转方向撞向了一面砖头墙（这面墙倒向了你，或许更糟）</t>
  </si>
  <si>
    <t>他可能会相信他被派去挖掘或者建造一座旧日支配者的神庙</t>
  </si>
  <si>
    <t>黏液恐惧症（Myxophobia）：对黏液（史莱姆）的恐惧。</t>
  </si>
  <si>
    <t>喜线癖（Linonomania）：痴迷于线绳。</t>
  </si>
  <si>
    <t>澳大利亚联合通讯社，1928，澳大利亚</t>
  </si>
  <si>
    <t>纽约 布法罗自然科学学会</t>
  </si>
  <si>
    <t>《洛杉矶先驱报》</t>
  </si>
  <si>
    <t>· 使用说服来通过一场有理有据的论述、争辩以及讨论让目标相信一个确切的想法，概念，或者信仰
· 说服并不一定需要涉及真实的内容
· 成功的说服技能的运用将花费不少的时间：至少半小时。如果你想快速地说服某人，你应该使用话术技能
· 取决于玩家表述的目标，如果调查员花费了足够的时间，说服造成的影响可能一直持续下去，并且无意识地影响着别人
· 可能会持续好几年，直到某件事件或者另一次得说服改变了目标的想法
· 说服可以被用于讨价还价，以此来削低某样物品或者服务的价格
· 如果成功，卖家将会完全地相信自己做了一场好买卖</t>
  </si>
  <si>
    <t>· 接近目标，与目标变得更加亲密，以此来增强你的论述的说服力，或者对目标拒绝的理由进行反驳
· 通过详细地展现有逻辑的理由和例子
· 使用提前仔细准备好的建议技巧（也许是传递潜意识信息）来使你的观点为众人所重视
· 记住这项技能是说服，如果调查员开始尝试一种不同的方法，KP可能会要求使用一个不一样的技能。
如果进行了威胁，那么这项技能可能会变为恐吓；或者如果调查员依赖于亲近目标，这项技能可能会变成取悦。
技能间的转换来获得第二次检定机会仍旧视为使用了一次孤注一掷检定。</t>
  </si>
  <si>
    <t>· 目标感到极度的不悦，并且拒绝与你进行更多的交流
· 你的贿赂起效了，并且目标签署了文件—然而在一天清晨，他们突然觉得被欺骗了，并且雇佣了一名私家侦探来找出你准备干什么，或者对你进行起诉
· 对象并不喜欢你的长篇大论，并且从某处拿起一把餐刀扔向了你
· 你说服了保安对你的偷盗睁一只眼闭一只眼—然而对方却因此失去了他的工作，并且内心因自责而受损，最终导致了自杀行径（这整一个由于你的行动而带来的结果冲击了你，并且你因造成了一名无辜者的死亡而失 去SAN）。</t>
  </si>
  <si>
    <t>他可能会在之后被发现在一条街角上试图说服路人来相信他的言论或者离奇的观点</t>
  </si>
  <si>
    <t>尸体恐惧症（Necrophobia）：对尸体的恐惧。</t>
  </si>
  <si>
    <t>彩票狂（Lotterymania）：极端地执着于购买彩票。</t>
  </si>
  <si>
    <t>比利时通讯社，1920，比利时</t>
  </si>
  <si>
    <t>纽约 哥伦比亚大学</t>
  </si>
  <si>
    <t>《洛杉矶时报》</t>
  </si>
  <si>
    <t>驾驶（飞行器）：
理解以及足以操作飞行器类的载具。
当进行任何的降落时，即使是在最好的环境下，也必须进行一个驾驶检定。失败的结果将取决于具体的情况。
如果在一个平整的，有着绿草覆盖的地方进行降落，且是一个风平浪静的夏季日子，那么在飞机降落上检定的失败也许只是意味着导致了一次颠簸不稳的降落，可能会让一些心灵脆弱的乘客不敢次乘坐飞机。
在极端情况下，在一个暴风雨的天气里在冰川上进行降落的失败检定可能会导致飞机的坠毁并且里面所有人都受伤或者死亡。
失败的检定通常意味着对飞行器造成了损伤，并且在下次起飞前必须先进行修复。
如果检定的结果为100，那么将会导致一起令人难忘的灾难性事件。
每种不同的飞行器的技能都需要独立计算，并且分开罗列，或者依照KP觉得合适的方式来做。
1920年代：仅有驾驶热气球/飞船/民用螺旋桨飞机。现代：驾驶民用螺旋桨飞机，驾驶民用喷气飞机，驾驶客机，驾驶喷气战斗机，驾驶直升飞机。
对于一件飞行器的驾驶技能可以被转而用于一个别的形式的飞行器，但是难度等级可能会提升。
驾驶（船）：
理解在风，暴风雨以及潮流下操纵小型摩托艇以及轮船的机理，并且可以读懂潮流以及风的流向，以此来得到暗礁以及将要逼近的暴风雨的情报。
初学的水手将会发现到在大风中停靠一艘小船是多么困难。</t>
  </si>
  <si>
    <t>数字8恐惧症（Octophobia）：对数字 8 的恐惧。</t>
  </si>
  <si>
    <t>抑郁症（Lypemania）：近乎病态的重度抑郁倾向。</t>
  </si>
  <si>
    <t>保加利亚通讯社，1898，保加利亚</t>
  </si>
  <si>
    <t>纽约 美国印第安人博物馆</t>
  </si>
  <si>
    <t>《奥克兰追问者邮报》</t>
  </si>
  <si>
    <t>· 这项技能指的是广泛的情感上的治疗，不单是弗洛伊德的疗法。在1890年代，正规的心理治疗仍处于发展的初期阶段，尽管一些疗法有着人类存在般悠久的历史
· 一些时候，这看上去像是一门欺诈性的研究，即使是在1920年代
· 在之后用来称呼那些精神病医师或者对情绪障碍进行研究的学者的通用术语为精神病学家
· 在现代，心理治疗的各种方面都有了很大的发展，并且这项技能已经不能仅仅用精神病治疗来命名了
· 短期强化的精神分析可以恢复一名调查员患者的理智值
· 进行心理治疗时，游戏时间每月一次，精神病医师或医生进行一次精神分析技能检定。如果成功了，病人恢复1D3的理智值。如果检定失败了，没任何恢复
· 如果检定为大失败，那么病人失去1d6的理智值，并且由心理医师进行的治疗到此结束
可能在心理治疗中发生了一些严重的事变或者戏剧性的阻碍，并且在病人与治疗专家之间的关系破损到了难以修复的地步
· 在游戏中，单独的精神分析并不能加速不定时疯狂的恢复，恢复需要1D6个月的系统全面（或者相似的）的照顾，而精神疗法只是构成了其中的一部分 
· 成功使用这项技能将允许角色在短期内克服恐惧症状，或者看穿幻觉。在游戏中，这允许一名疯狂的调查员在短期内免受恐惧症或者躁狂症的影响，例如允许一名幽闭恐惧症患者躲藏在扫把柜中十分钟
· 同样的，一名角色可以进行一个精神分析检定来帮助一名处于妄想中的调查员在短期内看破幻觉不受影响
· 由一名心理治疗专家进行的治疗可以在不定性疯狂期间内回复理智值</t>
  </si>
  <si>
    <t>在医院中进行标准的心理治疗。</t>
  </si>
  <si>
    <t>在长期内进行着断断续续的治疗。</t>
  </si>
  <si>
    <t>· 这项技能可以多月进行反复的尝试而不需要孤注一掷检定
· 然而，如果在某个月中对技能的检定失败了，那么也许可以选择在接下来的单个疗程中进行孤注一掷检定，通过某些形式的更加激进的治疗方法（如果需要一个快速的成效的话）
· 例如，强迫病人去面对他们的恐惧，通过主动强迫他们面对现实
· 让病人的亲友以及亲近的同事来积极地参与到心理治疗之中</t>
  </si>
  <si>
    <t>为了治疗病人对蜘蛛的恐惧而把他关进满是狼蛛的房间里，并造成了反效果而使病人变得狂暴（也许对他自己或者他人造成了伤害）并且开始相信自己是“蜘蛛之王”
（病人现在有了一个新的躁狂症状并且将失去额外的理智值—心理治疗专家也需要进行一个理智检定，因为是他们的所作所为导致了这个结果！）</t>
  </si>
  <si>
    <t>很像是由盲人引导盲人，由一名疯狂的角色来进行精神分析是有可能的。
一名在孤注一掷上失败的疯狂角色可能会成为一名邪教领袖，而他/她的病人将会被招募为教众。</t>
  </si>
  <si>
    <t>恐牙症（Odontophobia）：对牙齿的恐惧。</t>
  </si>
  <si>
    <t>巨石狂（Megalithomania）：当站在石环中或立起的巨石旁时，就会近乎病态地写出各种奇怪的创意。</t>
  </si>
  <si>
    <t>中央通讯社，1924，中国</t>
  </si>
  <si>
    <t>纽约 纽约公共图书馆</t>
  </si>
  <si>
    <t>《橘郡纪事报》</t>
  </si>
  <si>
    <t>· 心理学可以与其他所有形式的社交行为检定进行对抗：恐吓、话术、说服以及取悦
· 这项技能也同样可以被用于看破某人的隐瞒（例如对方使用乔装技能时）</t>
  </si>
  <si>
    <t>· 对所有人来说都很通用的察觉方面的技能，允许使用者研究个人并且形成对于其他某人动机和人格的了解
· KP可以选择替代玩家暗骰心理学技能，根据检定结果，向玩家声明真或假的信息（不告知玩家检定成功与否以及信息的真伪）</t>
  </si>
  <si>
    <t>· 不再旁敲侧击，而是非常直接地询问一些高度私人的或者直截了当的问题
· 将自己沉浸于有关特定目标（你想要研究的目标）的信息之中，以此来让自己如同对方一样思考，并且理解对方的动机</t>
  </si>
  <si>
    <t>· 你在某种程度上反而把自己的动机与意图展现给了你的目标
· 目标觉得被你刺探性质的问题或者好奇的目光冒犯了，并且拒绝 进一步与你进行交谈，或者直接用行为来反抗你（也许是暴力行为或者打电话叫了警察）
· 你并不知道， 但是你的目标与你的对手有着联系，并且你无意中将自己接下来的计划透露给了对方
· 花费整周的时间将你自己锁在自己的房间里来构建对方的轮廓，但是对你造成了生理或者心理上的损害（直到你恢复前，所有的检定都要受到一个惩罚骰）。</t>
  </si>
  <si>
    <t>他将相信他能听见目标的邪恶思想，并且对对方展开了物 理性上的攻击</t>
  </si>
  <si>
    <t>恐梦症（Oneirophobia）：对梦境的恐惧。</t>
  </si>
  <si>
    <t>旋律狂（Melomania）：痴迷于音乐或一段特定的旋律。</t>
  </si>
  <si>
    <t>加拿大通讯社，1917，加拿大</t>
  </si>
  <si>
    <t>纽约 纽约州立博物馆</t>
  </si>
  <si>
    <t>《萨克拉门托蜜蜂报》</t>
  </si>
  <si>
    <t>基础的动物操纵或者对坐骑以步行速度进行骑乘并不需要一个骑术检定</t>
  </si>
  <si>
    <t>· 这项技能被用于给坐在鞍上驾驭马，驴子或者骡子，以及获得对这些骑乘动物、骑乘工具的基础照料知识，以及如何在疾驰中或困难地形上操纵坐骑
· 当坐骑出乎意外地抬起身子或失足时，骑手保持自己在坐骑上不摔落的几率等同于他的骑术技能
· 偏坐在马鞍上进行骑乘将会提高一个等级的难度等级
· 对于不熟悉的坐骑（例如骆驼）也可以成功地骑乘，但是可能会需要更高的难度等级
· 如果一名调查员从坐骑上摔落下来，可能是因为坐骑垮了，摔落了或者是死了（或者因为骑术的孤注一掷检定失败），这次意外将造成至少1D6生命值的损失—尽管跳跃检定可以抵消这个损失</t>
  </si>
  <si>
    <t>· 高速骑乘
· 稳住一匹受到惊吓的坐骑</t>
  </si>
  <si>
    <t>在天气状况不佳的情况下骑乘坐骑在不平稳且不熟悉的地形上飞奔（比如：在夜晚并下着倾盆大雨的有着繁茂树木的森林之中）。</t>
  </si>
  <si>
    <t>· 激进地鞭打或者强迫坐骑——也许强迫一匹马跳过深谷或者高的沟壑
· 当麻烦逼近时，承担继续操纵你的坐骑的风险而不是坐骑背上跳走逃跑</t>
  </si>
  <si>
    <t>骑师被从坐骑背上甩了出去，并且受到了坠落伤害
坐骑受伤了
骑师的脚与缰绳缠在了一起，并且被坐骑拖了一段距离</t>
  </si>
  <si>
    <t>他将变得对动物万分着迷</t>
  </si>
  <si>
    <t>称呼恐惧症（Onomatophobia）：对于特定词语的恐惧。</t>
  </si>
  <si>
    <t>作诗癖（Metromania）：无法抑制地想要不停作诗。</t>
  </si>
  <si>
    <t>捷通社，1918，捷克斯洛伐克</t>
  </si>
  <si>
    <t>纽约州伊萨卡 康奈尔大学</t>
  </si>
  <si>
    <t>《圣迭戈太阳报》</t>
  </si>
  <si>
    <t>恐蛇症（Ophidiophobia）：对蛇的恐惧。</t>
  </si>
  <si>
    <t>憎恨癖（Misomania）：憎恨一切事物，痴迷于憎恨某个事物或团体。</t>
  </si>
  <si>
    <t>信仰通讯社，1926，梵蒂冈</t>
  </si>
  <si>
    <t>《旧金山呼声报》</t>
  </si>
  <si>
    <t>科学</t>
  </si>
  <si>
    <t>· 科学专业上的理论和实践的能力，拥有这个技能的人接受过一定程度的正式的教育或者训练，尽管一名博览群书的业余科学家也是可能存在的
· 对于知识的理解和认识受到游戏时代的限制
· 你可以花费点数来获得任何你想要的专业化技能
· 作为属类的“科学” 技能不能被获得
· 每个专业化技能包括了一门专门的学科，并且列表所给出的并不是全部
· 许多专业跨越了不同的知识领域，并且有所重叠，例如数学和密码学，植物学和生物学，化学和药学
· 当一名角色没有完全对应的专业学科技能，他可以用一个相似的技能进行检定，但是由KP来判断是否要增加难度等级（或者一个惩罚骰）</t>
  </si>
  <si>
    <t>· 进行一场实验
· 想起你所擅长的专业领域中的现代科学理论
· 在有着合适的设备下进行工作</t>
  </si>
  <si>
    <t>· 进行一场极度苛刻的实验
· 解读无序 的/残缺的科学记录
· 在临时设备下进行工作</t>
  </si>
  <si>
    <t>· 花费更多的时间来进行研究；
· 进行进一步的研究调查（也许去一个有着更加优良设备的实验室）
· 咨询请教其他的专家
· 冒着一定风险进行实验。</t>
  </si>
  <si>
    <t>· 实验的进展方向完全地偏离了，并造成了意料之外的伤害（爆炸，着火，电击，被驱逐进了六维空间，等等）
· 你错误地准备 了魔法粉末的配方，并导致了灾难性的结果</t>
  </si>
  <si>
    <t>他开始对他专业中某种古怪的科学进行探索。
这可能最终导致与那些活魔人（Crawford Tillinghast）相似的发展结果（来自于爱手艺的故事From Beyond）。</t>
  </si>
  <si>
    <t>恐鸟症（Ornithophobia）：对鸟的恐惧。</t>
  </si>
  <si>
    <t>偏执狂（Monomania）：近乎病态地痴迷与专注某个特定的想法或创意。</t>
  </si>
  <si>
    <t>犹太通讯社，1919，巴勒斯坦</t>
  </si>
  <si>
    <t>芝加哥 芝加哥菲尔德自然博物馆</t>
  </si>
  <si>
    <t>《圣迭戈联合报》</t>
  </si>
  <si>
    <t>地质学</t>
  </si>
  <si>
    <t>科学的子项</t>
  </si>
  <si>
    <t>· 用来决定大致的岩层年龄，辨认出化石的类型
· 区分矿物和水晶，确定合理的采矿和挖掘地址，评估土地，预测火山活动、地震、雪崩以及其他类似的现象</t>
  </si>
  <si>
    <t>寄生虫恐惧症（Parasitophobia）：对寄生虫的恐惧。</t>
  </si>
  <si>
    <t>夸大癖（Mythomania）：以一种近乎病态的程度说谎或夸大事物。</t>
  </si>
  <si>
    <t>挪威通讯社，1867，挪威</t>
  </si>
  <si>
    <t>芝加哥 芝加哥大学</t>
  </si>
  <si>
    <t>《旧金山纪事报》</t>
  </si>
  <si>
    <t>· 有关物质组成，温度的影响，能量，以及作用于其上的压力的研究，也包括物质如何互相影响
· 在化学的帮助下，某人可以创造或者提取复杂的化学复合物，包括简单的炸药，毒药，气体以及酸液，需要至少一天以上并且在合适的设备以及化学药剂的帮助
· 使用者也可以对一种不明的物质进行分析，如果有这合适的设备以及试剂</t>
  </si>
  <si>
    <t>人偶恐惧症（Pediophobia）：对人偶的恐惧。</t>
  </si>
  <si>
    <t>臆想症（Nosomania）：妄想自己正在被某种臆想出的疾病折磨。</t>
  </si>
  <si>
    <t>新西兰报联社，1879，新西兰</t>
  </si>
  <si>
    <t>芝加哥 克雷拉图书馆</t>
  </si>
  <si>
    <t>《旧金山观察家报》</t>
  </si>
  <si>
    <t>生物学</t>
  </si>
  <si>
    <t>· 关于生命和存活的有机物的学科，包括细胞学、生态学、基因学、组织学、微观生物学、生理学等等。
· 在这项技能的帮助下，一个人可能能够研究出能够对抗可怕的克苏鲁神话细菌的疫苗，将自己从能够令人产生幻觉的丛林植物下隔离开来，或者对鲜血以及/或者有机物质进行分析</t>
  </si>
  <si>
    <t>吞咽恐惧症（Phagophobia）：对于吞咽或被吞咽的恐惧。</t>
  </si>
  <si>
    <t>记录癖（Notomania）：执着于记录一切事物（例如摄影）</t>
  </si>
  <si>
    <t>丹麦通讯社，1866，丹麦</t>
  </si>
  <si>
    <t>芝加哥 纽伯利图书馆</t>
  </si>
  <si>
    <t>《旧金山新闻报》</t>
  </si>
  <si>
    <t>· 对于数字和逻辑的研究，包括数学理论、应用以及理论上的解决方法设计和推演发展
· 这项技能可能允许使用者辨认非欧几里得几何，解决困难的公式，以及破译复杂的图样或者暗码（专业的暗码的研究见密码学）</t>
  </si>
  <si>
    <t>药物恐惧症（Pharmacophobia）：对药物的恐惧。</t>
  </si>
  <si>
    <t>恋名狂（Onomamania）：痴迷于名字（人物的、地点的、事物的）</t>
  </si>
  <si>
    <t>瑞士通讯社，1894，瑞士</t>
  </si>
  <si>
    <t>· 使用者可以知道在某个特定的日子或者一天早晚某个时间时哪颗恒星或者行星位于正上方，何时彗星和流星雨会出现，以及重要的恒星的名字
· 这项技能同样会提供有关其他世界的生命，银河的存在和结构，以及类似的知识的现代概念
· 一名学者可能能够计算轨道，判断恒星生命周期，以及（在现代）有关红外天文学或者超长基线干涉测量的相关知识</t>
  </si>
  <si>
    <t>幽灵恐惧症（Phasmophobia）：对鬼魂的恐惧。</t>
  </si>
  <si>
    <t>称名癖（Onomatomania）：无法抑制地不断重复某个词语的冲动。</t>
  </si>
  <si>
    <t>塔斯社，1925，苏联</t>
  </si>
  <si>
    <t>巴尔的摩 巴尔的摩美术馆</t>
  </si>
  <si>
    <t>纽约州</t>
  </si>
  <si>
    <t>物理学</t>
  </si>
  <si>
    <t>· 使使用者能够理论上了解压力、 材料、运动、磁力、电力、光学、辐射和相关的现象，以及给予一定的能力来构建实验器材来验证想法
· 对于知识的了解程度取决于所在的年代
· 实际运用的装置，例如汽车，并不是物理学家的范围，然而实验设备可能会是，也许要结合电气维修或者机械维修。</t>
  </si>
  <si>
    <t>日光恐惧症（Phenogophobia）：对日光的恐惧。</t>
  </si>
  <si>
    <t>剔指癖（Onychotillomania）：执着于剔指甲。</t>
  </si>
  <si>
    <t>巴尔的摩 伊诺克·普拉特自由图书馆</t>
  </si>
  <si>
    <t>《奥尔巴尼联合时报》</t>
  </si>
  <si>
    <t>· 关于化学复合物以及它们的在有机生命体上的效果的研究
· 传统上来说，这包括药物的配方、创造以及施用（不管是一名巫医进行药草组合或者是现代的药剂师在实验室里进行操作）
· 这个技能的应用在与确认药物被安全以及有效地使用，包括人工合成原料，毒素的检定，以及有可能产生的副作用的相关知识。</t>
  </si>
  <si>
    <t>胡须恐惧症（Pogonophobia）：对胡须的恐惧。</t>
  </si>
  <si>
    <t>恋食癖（Opsomania）：对某种食物的病态热爱。</t>
  </si>
  <si>
    <t>费城 费城自然科学博物馆</t>
  </si>
  <si>
    <t>《布法罗新闻报》</t>
  </si>
  <si>
    <t>植物学</t>
  </si>
  <si>
    <t>· 关于植物生命的研究，包括物种分类，结构，生长，繁殖，化学特性，进化原理，疾病，以及显微研究
· 植物学的分支学科包括农学，森林学，园艺和古植物学
· 在这项技能的帮助下，某人可以辨认出某种特定植物的特性（例如是否有毒性，是否可食用，或者具有精神治疗作用）以及它的具体用处</t>
  </si>
  <si>
    <t>河流恐惧症（Potamophobia）：对河流的恐惧。</t>
  </si>
  <si>
    <t>抱怨癖（Paramania）：一种在抱怨时产生的近乎病态的愉悦感。</t>
  </si>
  <si>
    <t>费城 宾夕法尼亚大学</t>
  </si>
  <si>
    <t>《纽约美国人报》</t>
  </si>
  <si>
    <t>动物学</t>
  </si>
  <si>
    <t>· 对专门联系到动物王国的生物学的研究，包括仍存在以及灭绝动物的生态结构，进化，分类，行为习性，以及分布
· 使用这项技能来从动物与环境的互动（脚印，兽粪，痕迹等等），行为举止，以及区域特点上辨认出其物种</t>
  </si>
  <si>
    <t>酒精恐惧症（Potophobia）：对酒或酒精的恐惧。</t>
  </si>
  <si>
    <t>面具狂（Personamania）：执着于佩戴面具。</t>
  </si>
  <si>
    <t>纽黑文 耶鲁大学</t>
  </si>
  <si>
    <t>《纽约每日新闻》</t>
  </si>
  <si>
    <t>密码学</t>
  </si>
  <si>
    <t>· 关于由其他人发展出来的用于隐藏对话或者信息内容用的暗码或者密语的研究
· 一种数学的专业分支，这项技能使使用者能够辨认，创造或破译暗码
· 暗码通常上来说是写下来的，但也可能通过其他的形式，例如隐藏在乐曲、画作或者电脑编码下的信息
· 破译一个暗码可能会是一个漫长的工作，通常需要很长时间的调查研究以及大量的演算处理</t>
  </si>
  <si>
    <t>恐火症（Pyrophobia）：对火的恐惧。</t>
  </si>
  <si>
    <t>幽灵狂（Phasmomania）：痴迷于幽灵。</t>
  </si>
  <si>
    <t>纽黑文 耶鲁大学皮博迪自然博物馆</t>
  </si>
  <si>
    <t>《纽约新闻报》</t>
  </si>
  <si>
    <t>工程学</t>
  </si>
  <si>
    <t>· 尽管严格上来说这并不是科学，但是为了方便归到了这里
· 科学是与辨认特定的现象相关（通过观察和记录）
· 然而工程学将这些发现利用起来进行实际利用，例如机器，结构，以及材料</t>
  </si>
  <si>
    <t>魔法恐惧症（Rhabdophobia）：对魔法的恐惧。</t>
  </si>
  <si>
    <t>谋杀癖（Phonomania）：病态的谋杀倾向。</t>
  </si>
  <si>
    <t>《纽约邮报》</t>
  </si>
  <si>
    <t>气象学</t>
  </si>
  <si>
    <t>· 这是门关于大气的科学研究，包括天气系统和形态，以及大气现象
· 使用这项技能可以判断长期的天气形态以及对其影响进行预报，例如雨、雪以及雾</t>
  </si>
  <si>
    <t>黑暗恐惧症（Scotophobia）：对黑暗或夜晚的恐惧。</t>
  </si>
  <si>
    <t>渴光癖（Photomania）：对光的病态渴求。</t>
  </si>
  <si>
    <t>剑桥 哈佛大学</t>
  </si>
  <si>
    <t>《纽约电讯报》</t>
  </si>
  <si>
    <t>司法科学</t>
  </si>
  <si>
    <t>· 对于证据的分析和检定的研究
· 通常与犯罪现场调查（检验指纹、DNA、头发以及体液）和实验室工作相联系，以此来确定真相以及为法庭争论提供专业的证人和证据</t>
  </si>
  <si>
    <t>恐月症（Selenophobia）：对月亮的恐惧。</t>
  </si>
  <si>
    <t>背德癖（Planomania）：病态地渴求违背社会道德（原文如此，存疑，Planomania 实际上是漂泊症）</t>
  </si>
  <si>
    <t>旧金山 加利福尼亚科学院</t>
  </si>
  <si>
    <t>《纽约时报》</t>
  </si>
  <si>
    <t>火车恐惧症（Siderodromophobia）：对于乘坐火车出行的恐惧。</t>
  </si>
  <si>
    <t>求财癖（Plutomania）：对财富的强迫性的渴望。</t>
  </si>
  <si>
    <t>伯克利 加州大学伯克利分校</t>
  </si>
  <si>
    <t>《罗彻斯特日报》</t>
  </si>
  <si>
    <t>· 妙手通常来说与侦查相对抗
· 根据目标物品的体积来调整难度等级
· 如果是将一个小物品（可以放入口袋中或者袖套中）盖于掌中或者藏匿起来，那么并不需要任何的调整
· 如果物品更加大，那么可能需要增加难度等级。</t>
  </si>
  <si>
    <t>· 允许对物体进行视觉上的遮住，藏匿，或者掩盖，也许通过残害，衣服或者其他的干涉或促成错觉的材料，也许通过使用一个秘密的嵌板或者隔间
· 任何种类的巨大物件应当增加藏匿的难度
· 妙手包括偷窃，卡牌魔术，以及秘密使用手机</t>
  </si>
  <si>
    <t>对有着低于50%侦查技能的对象进行偷盗。</t>
  </si>
  <si>
    <t>对有着位于50%至89%之间的侦查技能的对象进行偷盗</t>
  </si>
  <si>
    <t>· 花费更多的时间来对目标以及其行为来进行研究
· 物理性上触碰或者冲撞目标
· 在某人的夹克里设置机关来藏匿卡片或者灌铅骰子
· 分散某人的注意力</t>
  </si>
  <si>
    <t>· 你感觉到警察把他的手搭到了你的肩上
· 尽管没有人可以证明你偷走了无价的钻石，但是某些人在怀疑你并且你开始注意到你从上周起就被一个神秘的黑影追踪着
· 你被抓了个现行并且对方对于你这个小偷毫无仁慈，你被带走并且被一对棒球棍猛揍了一通。</t>
  </si>
  <si>
    <t>他将会表现地像是一名有偷窃癖的人</t>
  </si>
  <si>
    <t>恐星症（Siderophobia）：对星星的恐惧。</t>
  </si>
  <si>
    <t>欺骗狂（Pseudomania）：无法抑制的执着于撒谎。</t>
  </si>
  <si>
    <t>匹兹堡 卡内基学院</t>
  </si>
  <si>
    <t>《锡拉丘兹日报》</t>
  </si>
  <si>
    <t>当对一名躲藏起来的角色进行搜索时，这项技能将根据对抗者的潜行技能来决定检定的难度</t>
  </si>
  <si>
    <t>· 这项技能允许使用者发现密门或者秘密隔间，注意到隐藏的闯入者，发现并不明显的线索，发现重新涂过漆的汽车，意识到埋伏，注意到鼓出的口袋，或者任何类似的事情
· 对于调查员来说，这是一个很重要的技能。
· 如果一名角色仅有很短的时间来进行侦查，例如飞奔经过对方时，KP可能会提升难度等级
· 如果一名角色正在进行一场完整的调查，那么KP也许会允许一个自动成功
· 这项技能的难度等级同样也会环境的情况来调整，在一个杂乱的房间中进行侦查将会更加困难</t>
  </si>
  <si>
    <t>对一间房间进行搜索来寻找线索</t>
  </si>
  <si>
    <t>搜索被刻意隐藏起来的某物</t>
  </si>
  <si>
    <t>· 花费更多的时间来观察区域
· 将地区划分开来
· 将家具拆开并且打碎瓷像</t>
  </si>
  <si>
    <t>· 在你搜查的时候疏忽大意地把你自己的东西掉了，这样东西清楚地显示出了你在那里过（调查员可能并不会当场意识到掉了）
· 你并没有成功认出泥里的爪印并且受到了红着眼睛从树上向你跳下来的野兽的惊吓
· 当你尝试发现 一些线索时，你并没有意识到邪教徒正好到家了</t>
  </si>
  <si>
    <t>他开始相信有些什么东西存在着并且躲藏在壁纸的后面，水泥墙中，或者地板之下。</t>
  </si>
  <si>
    <t>狭室恐惧症（Stenophobia）：对狭小物件或地点的恐惧。</t>
  </si>
  <si>
    <t>纵火狂（Pyromania）：执着于纵火。</t>
  </si>
  <si>
    <t>辛辛那提 辛辛那提博物馆协会</t>
  </si>
  <si>
    <t>《华尔街日报》</t>
  </si>
  <si>
    <t>· 当尝试进行躲藏，这项技能的对抗技能为侦查或者聆听技能，以此决定这项技能检定的难度等级
· 这项技能的难度等级同样也受到环境的影响</t>
  </si>
  <si>
    <t>· 安静地移动以及/或者躲藏的技巧，不惊扰到那些可能在听或者看的人们
· 当尝试躲避探查，玩家应当进行一个潜行的技能检定
· 与这项技能相关的能力意味着要么角色能够安静地移动（轻声轻足）以及/或者在伪装技巧上有所训练
· 这项技能也同样意味着角色可以在长时间维持一定程度的谨慎心态以及冷静的头脑来使自己保持静止和隐秘</t>
  </si>
  <si>
    <t>在房子里安静地移动并避免被普通人发现（那些侦查、聆听技能低于50%的人）。</t>
  </si>
  <si>
    <t>· 悄然无声地从一条忠于职守的守卫狗身边经过
· 仅有几秒钟时间来让你寻找隐藏地点</t>
  </si>
  <si>
    <t>· 花费更多的时间来调查这个区域
· 脱掉你的鞋子
· 分散对方的注意力
· 一直潜伏着直到危机过去</t>
  </si>
  <si>
    <t>· 虽然你并不知道，对方虽然没有直接接近你，但是已经发现了你，然后邪教徒决定召唤“某些东西”来解决你
· 你所躲藏的地方的橱柜门被锁上了然后被钉死了</t>
  </si>
  <si>
    <t>他可能会相信他是隐形的，尽管实际上每个人都能看见他</t>
  </si>
  <si>
    <t>对称恐惧症（Symmetrophobia）：对对称的恐惧。</t>
  </si>
  <si>
    <t>提问狂（Questiong-Asking Mania）：执着于提问。</t>
  </si>
  <si>
    <t>丹佛 科罗拉多州自然历史博物馆</t>
  </si>
  <si>
    <t>根据所处的环境或者情况可能会有所调整，或者当一名角色没有对应该环境的专业化技能时。</t>
  </si>
  <si>
    <t>· 提供专业的如何在极端环境下生存的知识和技巧，例如在沙漠中或者极地环境，也包括海洋上或者荒野
· 内容包括狩猎的知识，搭建住所，可能遇到的危险的知识（例如如何避开有毒性的植物）等等，取决于所处的环境
· 你可以花费技能点来获得任何的专业化技能
· 作为属类的“生存”技能本身不能被获得。
· 专业环境的生存技巧应当在技能选择时就决定下来，例如：生存（沙漠），（海洋），（极地），等等。
· 当一名角色没有明显对应的生存专业技能，他可以使用相似的专业进行检定，但是将会提升难度等级（或者惩罚骰），取决于KP的判断</t>
  </si>
  <si>
    <t>· 寻找/制作居所
· 定位并寻找到水资源与食物资源</t>
  </si>
  <si>
    <t>在你收到了严重伤势或者极端的天气环境下进行上面的行动。</t>
  </si>
  <si>
    <t>· 尝试一些有风险的行为：
直接饮用没有经过净化的水
食用没有辨明过的浆果
· 使用某人所有的衣物来加固一所住所
· 燃烧所有的持有物来制造一个标志火焰</t>
  </si>
  <si>
    <t>· 你所找到的洞穴实际上是一头极度饥饿的熊的住所
· 你燃烧了所有的衣物来制造一个标志火焰，然而却将你的位置泄露给了你的追踪者—搭救你的人会在你的追踪者找到你前到达吗？</t>
  </si>
  <si>
    <t>如果一个疯狂的调查员在孤注一掷上失败，他将相信自己是不受物质影响的，并且能够直接从大气中获得营养（breatharian—不需要食物和水也能存活）</t>
  </si>
  <si>
    <t>活埋恐惧症（Taphephobia）：对于被活埋或墓地的恐惧。</t>
  </si>
  <si>
    <t>挖鼻癖（Rhinotillexomania）：执着于挖鼻子。</t>
  </si>
  <si>
    <t>厄巴纳-香槟 伊利诺伊大学</t>
  </si>
  <si>
    <t>德克萨斯州</t>
  </si>
  <si>
    <t>根据环境或者所处的情况而有所变动。
在游泳池长度的地方游泳：不需要检定。</t>
  </si>
  <si>
    <t>· 有能力在水或者其他液体中漂浮以及移动
· 只有在遭遇危险的时候需要进行游泳技能检定，或者当KP认为合适的时候
· 当进行游泳的孤注一掷失败时，可能会导致生命值的损失
· 也可能会导致人物被顺着水流向下冲走，被水流半淹或者完全淹没</t>
  </si>
  <si>
    <t>在急流中游泳</t>
  </si>
  <si>
    <t>穿着全套的衣服抗着急流游泳；不利的天气状况。</t>
  </si>
  <si>
    <t>· 进行一次深呼吸然后用尽你所有剩余的力气来行动
· 将你自己的体能推至极限</t>
  </si>
  <si>
    <t>· 水流将你吞没并且你失去了意识，醒来后发现自己在一个不知名的海滩上
· 你被水流冲了下去并且因为撞到了水中的岩石而受伤
· 你努力抓住救生艇，但是当你刚刚成功时，你感觉到有某些冰冷而且粘滑的东西抓住了你的脚踝</t>
  </si>
  <si>
    <t>· 他将不断地继续游泳，并且可能因为某些理由觉得干燥的地面对他来说是很危险的</t>
  </si>
  <si>
    <t>公牛恐惧症（Taurophobia）：对公牛的恐惧。</t>
  </si>
  <si>
    <t>涂鸦癖（Scribbleomania）：沉迷于涂鸦。</t>
  </si>
  <si>
    <t>安娜堡 密歇根大学</t>
  </si>
  <si>
    <t>《达拉斯晨报》</t>
  </si>
  <si>
    <t>· 根据投掷的物品的重量，或者是一个非常轻的物体，是否顺风可能会调整检定的难度</t>
  </si>
  <si>
    <t>· 当需要用物体击中目标或者用物件的正确部分击中目标（例如小刀或者短柄小斧的刃）时，使用投掷技能
· 一件有着合理平衡构架的可以藏于手中大小的物品可以被投掷至多等同于STR码距离
· 如果投掷技能检定失败，投掷物将会掉落在距离目标随机距离的地方
· KP应当将骰子检定数与最高的能够达成成功的数值相比较，然后判断投掷物落在目标和投资者之间合适的距离的地方
· 投掷技能被用于在战斗中投掷小刀，石头，投矛 或者回力标时</t>
  </si>
  <si>
    <t>将篮球投入框内</t>
  </si>
  <si>
    <t>· 在有一定距离的情况下准确地投射中目标
· 从中场将篮球射入框中</t>
  </si>
  <si>
    <t>· 花费更多的时间来评估距离或者等待最佳的时机与情况
· 将全身心与每一分力气都灌注到投掷上
· 接连投出一连串的东西，希望其中某一件能够命中目标
· 借助助跑并且借助能够使你飞跃峡谷一样的势头</t>
  </si>
  <si>
    <t>· 你将物体投掷给你的同伴时不慎失足坠落，并且一块带棱角的岩石砸中了你的脑袋
· 你投掷时用力过猛，因此物品飞过了高大的教堂墙壁，进入了墓地中
· 炸药管从你手中滑落—你只能徒劳地看着它落地，并且闻到了导火线点燃的味道</t>
  </si>
  <si>
    <t>他将拒绝将应当扔出去的东西扔出</t>
  </si>
  <si>
    <t>电话恐惧症（Telephonophobia）：对电话的恐惧。</t>
  </si>
  <si>
    <t>列车狂（Siderodromomania）：认为火车或类似的依靠轨道交通的旅行方式充满魅力。</t>
  </si>
  <si>
    <t>明尼阿波利斯、圣保罗 明尼苏达大学</t>
  </si>
  <si>
    <t>《厄尔巴索邮报》</t>
  </si>
  <si>
    <t>· 如果追踪某个试图逃开你的人，对抗潜行
· 天气或者地形将会影响难度等级</t>
  </si>
  <si>
    <t>· 调查员可以使用追踪技能来辨认土壤上的脚印、穿过植被时留下的痕迹之类的来追踪人、动物、或交通工具
· 时间的经过、雨水的冲刷、以及土地的质感都可能会影响追踪的难度等级</t>
  </si>
  <si>
    <t>在正常的环境下追踪一个动物或者人</t>
  </si>
  <si>
    <t>追踪数天前留下的踪迹</t>
  </si>
  <si>
    <t>· 原路返回并且花费更多的时间来研究这片区域
· 进行螺旋式搜索来寻找踪迹（花费更长的时间，也可能会造成更多的动静，甚至可能会被发现）</t>
  </si>
  <si>
    <t>· 你所追踪的踪迹将你直接导向了一头饥饿的熊/狮子/食人族
· 你发现你自己只是在原地绕圈，并且在你注意到自己迷路前，夜晚就已经降临了
· 你跟着踪迹，这踪迹却把你引向了一个陷阱，最终你被伏击或者被抓了起来</t>
  </si>
  <si>
    <t>他将会极度着迷地跟随着任何踪迹（相信自己是正确的）直到他被物理上限制住了或者被转而相信其他的某些东西</t>
  </si>
  <si>
    <t>怪物恐惧症①（Teratophobia）：对怪物的恐惧。</t>
  </si>
  <si>
    <t>臆智症（Sophomania）：臆想自己拥有难以置信的智慧。</t>
  </si>
  <si>
    <t>塞勒姆 塞勒姆皮博迪航海图书馆</t>
  </si>
  <si>
    <t>《沃斯堡新闻报》</t>
  </si>
  <si>
    <t>动物驯养</t>
  </si>
  <si>
    <t>非常规</t>
  </si>
  <si>
    <t>· 命令以及训练已驯化动物去完成一些简单任务的技能。
· 这个技能最常用于狗上，但也包括鸟、猫、猴子以及其他（取决于 KP 的判断）。
· 至于对动物的骑乘，例如马或者骆驼，则要用骑术技能来进行行动以及操控这些坐骑。</t>
  </si>
  <si>
    <t>命令经过训练的狗坐下，将东西拿过来或者攻击别人。</t>
  </si>
  <si>
    <t>命令没有经过训练或者不熟悉的狗执行任务。</t>
  </si>
  <si>
    <t>采取更大个人风险的行为，特别是更加接近或者直接触摸动物。</t>
  </si>
  <si>
    <t>· 动物攻击训练者或者附近的人，通常会造成伤害
· 动物逃跑了</t>
  </si>
  <si>
    <t>他可能被发现他的表现举止变得就像他尝试要去操控的动物一样</t>
  </si>
  <si>
    <t>深海恐惧症（Thalassophobia）：对海洋的恐惧。</t>
  </si>
  <si>
    <t>科技狂（Technomania）：痴迷于新的科技。</t>
  </si>
  <si>
    <t>普林斯顿 普林斯顿大学</t>
  </si>
  <si>
    <t>《沃斯堡明镜电讯报》</t>
  </si>
  <si>
    <t>· 使用者接受过在深海游泳的使用以及维持潜水设备的训练，水下导航，合适的下潜配重，以及应对紧急情况的方法。
· 在1942年的水肺[潜水氧气筒]发明前，严格的潜水套装是装备着能从水面输送空气的连接管道。
· 在现代，一名水肺潜水员将会熟悉当呼吸增压氧气时发生的潜水时的物理现象，气压，以及生理学的过程。</t>
  </si>
  <si>
    <t>使用正确以及良好维护的设备的常规潜水。</t>
  </si>
  <si>
    <t>在危险的环境下潜水，或者只凭借着不良维护的设备。</t>
  </si>
  <si>
    <t>· 一直进行到设备极限的程度
· 有条理地对设备进行复核
· 得到专业人士的帮助</t>
  </si>
  <si>
    <t>· 被困在水下
· 被海洋生物攻击
· 遭受了水中的暗流</t>
  </si>
  <si>
    <t>· 他开始能理解鲸歌（类似鲸鱼的语言）
· 你所能做的所有只是遵从它们的指令。</t>
  </si>
  <si>
    <t>手术恐惧症（Tomophobia）：对外科手术的恐惧。</t>
  </si>
  <si>
    <t>臆咒狂（Thanatomania）：坚信自己已被某种死亡魔法所诅咒。</t>
  </si>
  <si>
    <t>托莱多 托莱多美术馆</t>
  </si>
  <si>
    <t>《休斯敦纪事报》</t>
  </si>
  <si>
    <t>· 在这项技能的帮助下，使用者将熟练于安全使用爆破，包括设置以及拆除炸药、地雷以及相似的设备被设计得容易设置（不需要检定）但是相对较为困难地进行除去或拆除。
· 这项技能也包含军用等级的爆炸物（反人类地雷，塑料炸弹，等）。
· 给予足够的时间和资源，这些专家可以装设炸药来摧毁一幢建筑，清除一个被堵住的隧道，以及赋予炸药不同用处（例如构造微量炸药，诡雷，以及其他）。</t>
  </si>
  <si>
    <t>· 拆除一个爆炸设备
· 用来了解当摧毁一座大桥或者建筑时，哪里放置炸药会有最好的效果</t>
  </si>
  <si>
    <t>在限时内拆除一个爆炸设备</t>
  </si>
  <si>
    <t>· 一直尝试直到最后一秒解除了炸弹
· 亲自对线路/联结进行双重检验</t>
  </si>
  <si>
    <t>· 如果是在移去或者拆除一个爆炸设备，孤注一掷失败的结果是很明显的—它爆炸了！
· 如果使用爆炸技能来设置炸药，孤注一掷失败的结果可能是没能在正确的时间引爆（或者根本没能引爆），或者爆炸并没有造成预期的效果（可能是太强也可能是太弱）</t>
  </si>
  <si>
    <t>他使用最离奇的方法来运送爆炸物，例如将爆炸物绑在猫上或者是他们自己身上</t>
  </si>
  <si>
    <t>十三恐惧症（Triskadekaphobia）：对数字 13 的恐惧症。</t>
  </si>
  <si>
    <t>臆神狂（Theomania）：坚信自己是一位神灵。</t>
  </si>
  <si>
    <t>《休斯敦邮报》</t>
  </si>
  <si>
    <t>读唇通常来说不存在对抗。如果对一名想要对一名保持在隐藏中或者没有察觉到的目标进行读唇，这项技能也许要和目标的潜行进行对抗</t>
  </si>
  <si>
    <t>· 这项技能允许好奇的调查员听懂一段交谈对话， 而不需要听见对方说了什么
· 能看到对方的视线是必须的，并且如果只能看到其中一名说话者的唇（另一名可能只能看到背），那么只能辨认出一半的对话
· 读唇也可以用于与另一个人进行无声的交流（如 果双方都是专家），允许相对更加复杂的短语以及含义</t>
  </si>
  <si>
    <t>了解在有着清楚视距并且相对较近位置的人所进行的谈话。</t>
  </si>
  <si>
    <t>对时不时性被掩住嘴的人进行读唇，或在一个较远的距离。比如在拥挤的人群中</t>
  </si>
  <si>
    <t>· 你自己来到一个显眼的位置并且毫不掩饰地盯着目标
· 将目标拍摄下来（并且因此很可能被发现你在拍摄对方）</t>
  </si>
  <si>
    <t>· 目标意识到你正专注地盯着他看，然后动怒了并且要与你对质
· 酒吧另一边的醉汉错误地认为你正在看着他，并且十分生气，然后揍了你
· 你太过于专注地盯着目标，以至于你忽视了发生在你身边得事情（某人偷走了你的箱子，或者你撞到了灯柱上）</t>
  </si>
  <si>
    <t>他开始大量幻想各种奇怪的行为以及有人在述说着离奇的内容</t>
  </si>
  <si>
    <t>衣物恐惧症（Vestiphobia）：对衣物的恐惧。</t>
  </si>
  <si>
    <t>抓挠癖（Titillomaniac）：抓挠自己的强迫倾向。</t>
  </si>
  <si>
    <t>其他——————————</t>
  </si>
  <si>
    <t>《休斯敦新闻报》</t>
  </si>
  <si>
    <t>对于一个非自愿目标，催眠将与心理学或者意志（POW）进行对抗</t>
  </si>
  <si>
    <t>· 使用者可以在一名自愿并经历过高度暗示、放松的目标身上引出出神似的状态，并且可能回忆起忘却的记忆
· 对于催眠的限制应当由KP根据适应自己游戏的情况来制定
· 这可能是只有自愿的目标可以被催眠，或者KP可能会允许这项技能以一种更加富有侵略性的方式被用在非自愿的目标身上
· 对那些遭受了精神创伤的人，这项技能可以当做催眠疗法来使用，减轻一名病人的恐惧或者躁狂
（成功的使用这个技能意味着这名病人在该场合克服了恐惧或者躁狂）
· 为了完全治愈某人的恐惧，可能会需要一系列成功的催眠疗法疗程
（最少1D6疗程，由KP决定）</t>
  </si>
  <si>
    <t>· 通过获得对方专心一致的注意来增加你对目标的影响
· 用令人混乱的光照或者其他道具来使目标在感觉上感到难受
· 用药物来使目标更容易受暗示影响</t>
  </si>
  <si>
    <t>· 一些过去的记忆或者创伤将被带到表面，造成目标1D6的理智损失
· 目标沉浸入了出神状态，造成他在之后不知不觉走到了公共汽车的前方
· 目标的思想（或者调查员的思想）暂时性地变得一片空白，允许被邪恶的存在所占有</t>
  </si>
  <si>
    <t>他的思想将退化到婴儿般的状况直到获得治疗</t>
  </si>
  <si>
    <t>女巫恐惧症（Wiccaphobia）：对女巫与巫术的恐惧。</t>
  </si>
  <si>
    <t>手术狂（Tomomania）：对进行手术的不正常爱好。</t>
  </si>
  <si>
    <t>英国伦敦 大英博物馆</t>
  </si>
  <si>
    <t>《圣安东尼奥光明报》</t>
  </si>
  <si>
    <t>非常规
战斗技能</t>
  </si>
  <si>
    <t>· 这项技能呈现出对一些形式的军事训练和经历
· 使用者具有在战争中操作战地武器的经验：可以在一个工作队或“派遣队”中工作，进行对超过个人武器射击距离的武器的操作
· 这些武器通常过于巨大 以至于无法单人进行操作，并且个人无法再没有工作队支援的情况下使用这武器，或者应当提高难度等级（取决于KP的判断，也取决于使用的武器类型）
· 存在着许多不同的专业化武器，取决于游戏设定 的时期，包括加农炮、榴弹炮、迫击炮以及火箭发射器。</t>
  </si>
  <si>
    <t>如果炮击武器维护良好并且在有利的环境下使用。</t>
  </si>
  <si>
    <t>如果炮击武器维护不良，或者在奔跑中使用以及/或在火力覆盖下使用。</t>
  </si>
  <si>
    <t>黄色恐惧症（Xanthophobia）：对黄色或“黄”字的恐惧。</t>
  </si>
  <si>
    <t>拔毛癖（Trichotillomania）：执着于拔下自己的头发。</t>
  </si>
  <si>
    <t>法国巴黎 法国国家图书馆</t>
  </si>
  <si>
    <t>非常规
专业化</t>
  </si>
  <si>
    <t>· 这项技能代表一名觉得对一个超出人类常规知识范畴的事物的专业理解。
· 学识的专业化应该具体并且不同寻常，例如：
    ·梦学识
    ·死灵之书学识（e.g.历史的）
    ·UFO学识
    ·吸血鬼学识
    ·狼人学识
    ·亚狄斯星人学识
· 当KP想要测试某位调查员归属于于这些领域学识其中之一的某物的知识时，但是调查员缺少相关的专业学识，KP可以允许一个其他的（更加通用的）技能的使用，但是需要一个更高难度等级的成功
例如，
如果KP测试一名现代调查员对于1980年代外星人诱拐的知识，他可以要求一个常规难度的UFO学识的成功检定，或者一个困难难度的历史技能的成功检定。
· 对于KP来说，学识技能也可以用作对表示一个非玩家角色知识量的简单记录。
· 在主流中，知识由教育属性（EDU）以及专门的技能来表示，例如历史或者克苏鲁神话
· KP应当决定何时应当将学识技能放入游戏中—通常只有当一块特殊领域的专业知识成为整场游戏核心的时候</t>
  </si>
  <si>
    <t>外语恐惧症（Xenoglossophobia）：对外语的恐惧。</t>
  </si>
  <si>
    <t>臆盲症（Typhlomania）：病理性的失明。</t>
  </si>
  <si>
    <t>梵蒂冈 教皇图书馆</t>
  </si>
  <si>
    <t>俄亥俄州</t>
  </si>
  <si>
    <t>异域恐惧症（Xenophobia）：对陌生人或外国人的恐惧。</t>
  </si>
  <si>
    <t>嗜外狂（Xenomania）：痴迷于异国的事物。</t>
  </si>
  <si>
    <t>《阿克伦时报》</t>
  </si>
  <si>
    <t>请选择
你想了解的技能</t>
  </si>
  <si>
    <t>动物恐惧症（Zoophobia）：对动物的恐惧。</t>
  </si>
  <si>
    <t>喜兽癖（Zoomania）：对待动物的态度近乎疯狂地友好。</t>
  </si>
  <si>
    <t>《辛辛那提邮报》</t>
  </si>
  <si>
    <t>注释：①催眠恐惧症（Hypnophobia）、恐牙症（牙医恐惧症 \ Odontophobia）、魔法恐惧症（权杖恐惧症\ Rhabdophobia）和怪物恐惧症（畸形恐惧症 Teratophobia）四条疑原文理解有误，目前按原文翻出。</t>
  </si>
  <si>
    <t>《克利夫兰老实人报》</t>
  </si>
  <si>
    <t>该症状表由  Achronidas 翻译。</t>
  </si>
  <si>
    <t>《克利夫兰日报》</t>
  </si>
  <si>
    <t>《哥伦布公民杂志》</t>
  </si>
  <si>
    <t>《哥伦布快报》</t>
  </si>
  <si>
    <t>《托莱多蜜蜂新闻》</t>
  </si>
  <si>
    <t>飞行器</t>
  </si>
  <si>
    <t>资产表</t>
  </si>
  <si>
    <t>《扬斯敦电讯报》</t>
  </si>
  <si>
    <t>美元 1920/现代</t>
  </si>
  <si>
    <t>信用成功率</t>
  </si>
  <si>
    <t>年代分流</t>
  </si>
  <si>
    <t>马萨诸塞州</t>
  </si>
  <si>
    <t>现代</t>
  </si>
  <si>
    <t>《波士顿广告人报》</t>
  </si>
  <si>
    <t>《波士顿美国人报》</t>
  </si>
  <si>
    <t>当前现金</t>
  </si>
  <si>
    <t>《波士顿环球报》</t>
  </si>
  <si>
    <t>《波士顿先驱报》</t>
  </si>
  <si>
    <t>货币单位：</t>
  </si>
  <si>
    <t>《基督教科学箴言报》</t>
  </si>
  <si>
    <t>时代：</t>
  </si>
  <si>
    <t>根据时代选择的货币</t>
  </si>
  <si>
    <t>伊利诺伊州</t>
  </si>
  <si>
    <t>《芝加哥先锋观察家报》</t>
  </si>
  <si>
    <t>《芝加哥美国人报》</t>
  </si>
  <si>
    <t>《芝加哥论坛报》</t>
  </si>
  <si>
    <t>过万</t>
  </si>
  <si>
    <t>《埃文斯维尔新闻报》</t>
  </si>
  <si>
    <t>是否过万</t>
  </si>
  <si>
    <t>科罗拉多州</t>
  </si>
  <si>
    <t>《丹佛晚报》</t>
  </si>
  <si>
    <t>过亿</t>
  </si>
  <si>
    <t>《丹佛落基山新闻报》</t>
  </si>
  <si>
    <t>佛罗里达州</t>
  </si>
  <si>
    <t>《迈阿密先驱报》</t>
  </si>
  <si>
    <t>《奥兰多哨兵报》</t>
  </si>
  <si>
    <t>《坦帕论坛报》</t>
  </si>
  <si>
    <t>主流货币换算</t>
  </si>
  <si>
    <t>佐治亚州</t>
  </si>
  <si>
    <t>《亚特兰大宪章报》</t>
  </si>
  <si>
    <t>★亚洲————</t>
  </si>
  <si>
    <t>亚洲————</t>
  </si>
  <si>
    <t>《亚特兰大佐治亚人报》</t>
  </si>
  <si>
    <t>人民币</t>
  </si>
  <si>
    <t>港币</t>
  </si>
  <si>
    <t>印第安纳州</t>
  </si>
  <si>
    <t>新台币</t>
  </si>
  <si>
    <t>《印第安纳波利斯时报》</t>
  </si>
  <si>
    <t>日币</t>
  </si>
  <si>
    <t>《特雷霍特邮报》</t>
  </si>
  <si>
    <t>韩币</t>
  </si>
  <si>
    <t>泰铢</t>
  </si>
  <si>
    <t>亚利桑那州</t>
  </si>
  <si>
    <t>新加坡元</t>
  </si>
  <si>
    <t>《菲尼克斯共和报》</t>
  </si>
  <si>
    <t>★欧洲————</t>
  </si>
  <si>
    <t>欧洲————</t>
  </si>
  <si>
    <t>《亚利桑那共和报》</t>
  </si>
  <si>
    <t>欧元</t>
  </si>
  <si>
    <t>英镑</t>
  </si>
  <si>
    <t>马里兰州</t>
  </si>
  <si>
    <t>卢布</t>
  </si>
  <si>
    <t>《巴尔的摩美国人报》</t>
  </si>
  <si>
    <t>★美洲————</t>
  </si>
  <si>
    <t>美洲————</t>
  </si>
  <si>
    <t>《巴尔的摩新闻报》</t>
  </si>
  <si>
    <t>加元</t>
  </si>
  <si>
    <t>《巴尔的摩邮报》</t>
  </si>
  <si>
    <t>墨西哥元</t>
  </si>
  <si>
    <t>《巴尔的摩太阳报》</t>
  </si>
  <si>
    <t>雷亚尔</t>
  </si>
  <si>
    <t>★其他————</t>
  </si>
  <si>
    <t>密苏里州</t>
  </si>
  <si>
    <t>澳元</t>
  </si>
  <si>
    <t>《堪萨斯城市之星》</t>
  </si>
  <si>
    <t>南非兰特</t>
  </si>
  <si>
    <t>《圣路易斯快邮报》</t>
  </si>
  <si>
    <t>密歇根州</t>
  </si>
  <si>
    <t>《底特律时报》</t>
  </si>
  <si>
    <t>《底特律新闻报》</t>
  </si>
  <si>
    <t>《底特律自由报》</t>
  </si>
  <si>
    <t>宾夕法尼亚州</t>
  </si>
  <si>
    <t>《费城询问报》</t>
  </si>
  <si>
    <t>《匹兹堡新闻》</t>
  </si>
  <si>
    <t>《匹兹堡太阳电讯》</t>
  </si>
  <si>
    <t>田纳西州</t>
  </si>
  <si>
    <t>《诺克斯尔新闻哨兵》</t>
  </si>
  <si>
    <t>《孟菲斯弯刀新闻》</t>
  </si>
  <si>
    <t>威斯康星州</t>
  </si>
  <si>
    <t>《密尔沃基新闻》</t>
  </si>
  <si>
    <t>《密尔沃基哨兵报》</t>
  </si>
  <si>
    <t>肯塔基州卡温顿</t>
  </si>
  <si>
    <t>《肯塔基邮报》</t>
  </si>
  <si>
    <t>路易斯安那州</t>
  </si>
  <si>
    <t>《新奥尔良平民时报》</t>
  </si>
  <si>
    <t>亚拉巴马州</t>
  </si>
  <si>
    <t>《伯明翰邮报》</t>
  </si>
  <si>
    <t>明尼苏达州</t>
  </si>
  <si>
    <t>《明尼阿波利斯明星论坛报》</t>
  </si>
  <si>
    <t>新泽西州</t>
  </si>
  <si>
    <t>《纽瓦克明星纪事报》</t>
  </si>
  <si>
    <t>新墨西哥州阿尔伯克基</t>
  </si>
  <si>
    <t>《新墨西哥州论坛报》</t>
  </si>
  <si>
    <t>俄克拉荷马州</t>
  </si>
  <si>
    <t>《俄克拉荷马城新闻》</t>
  </si>
  <si>
    <t>俄勒冈州</t>
  </si>
  <si>
    <t>《波特兰俄勒冈人报》</t>
  </si>
  <si>
    <t>华盛顿州</t>
  </si>
  <si>
    <t>《西雅图邮讯报》</t>
  </si>
  <si>
    <t>英国——————</t>
  </si>
  <si>
    <t>伦敦</t>
  </si>
  <si>
    <t>《每日纪事报》</t>
  </si>
  <si>
    <t>《每日快报》</t>
  </si>
  <si>
    <t>《每日镜报》</t>
  </si>
  <si>
    <t>《每日电讯报》</t>
  </si>
  <si>
    <t>《金融时报》</t>
  </si>
  <si>
    <t>《标准晚报》</t>
  </si>
  <si>
    <t>《卫报》</t>
  </si>
  <si>
    <t>《英国早报》</t>
  </si>
  <si>
    <t>《世界新闻报》</t>
  </si>
  <si>
    <t>《观察家报》</t>
  </si>
  <si>
    <t>《周日时人》</t>
  </si>
  <si>
    <t>《星期日快报》</t>
  </si>
  <si>
    <t>《周日新闻》</t>
  </si>
  <si>
    <t>《星期日泰晤士报》</t>
  </si>
  <si>
    <t>《泰晤士报》</t>
  </si>
  <si>
    <t>英国其他地区</t>
  </si>
  <si>
    <t>《伯明翰邮讯晚报》</t>
  </si>
  <si>
    <t>《伯明翰公报》</t>
  </si>
  <si>
    <t>《布拉德福德电讯守卫报》</t>
  </si>
  <si>
    <t>《赫尔每日邮报》</t>
  </si>
  <si>
    <t>《格里姆斯比电讯报》</t>
  </si>
  <si>
    <t>《兰开夏每日邮报》</t>
  </si>
  <si>
    <t>《林肯郡记事报》</t>
  </si>
  <si>
    <t>《利物浦信使快报》</t>
  </si>
  <si>
    <t>利物浦</t>
  </si>
  <si>
    <t>《回声报》</t>
  </si>
  <si>
    <t>《诺丁汉晚报》</t>
  </si>
  <si>
    <t>《诺丁汉日报》</t>
  </si>
  <si>
    <t>达灵顿</t>
  </si>
  <si>
    <t>《北方回声报》</t>
  </si>
  <si>
    <t>《设菲尔德独立报》</t>
  </si>
  <si>
    <t>《设菲尔德邮报》</t>
  </si>
  <si>
    <t>《约克郡晚报》</t>
  </si>
  <si>
    <t>《约克郡公报》</t>
  </si>
  <si>
    <t>《约克郡观察家报》</t>
  </si>
  <si>
    <t>加拿大——————</t>
  </si>
  <si>
    <t>蒙特利尔</t>
  </si>
  <si>
    <t>《哈利法克斯记事报》</t>
  </si>
  <si>
    <t>《新闻报》（法）</t>
  </si>
  <si>
    <t>《曼尼托巴自由报》</t>
  </si>
  <si>
    <t>《蒙特利尔星报》</t>
  </si>
  <si>
    <t>《蒙特利尔公报》</t>
  </si>
  <si>
    <t>多伦多</t>
  </si>
  <si>
    <t>《环球报》</t>
  </si>
  <si>
    <t>《温哥华省报》</t>
  </si>
  <si>
    <t>墨西哥——————</t>
  </si>
  <si>
    <t>梅里达</t>
  </si>
  <si>
    <t>《尤卡坦日报》</t>
  </si>
  <si>
    <t>《马萨特兰晚邮报》</t>
  </si>
  <si>
    <t>墨西哥城</t>
  </si>
  <si>
    <t>《至上报》</t>
  </si>
  <si>
    <t>瓜达拉哈拉</t>
  </si>
  <si>
    <t>《报道者报》</t>
  </si>
  <si>
    <t>《宇宙报》</t>
  </si>
  <si>
    <t>《宇宙画报》</t>
  </si>
  <si>
    <t>瓜伊马斯</t>
  </si>
  <si>
    <t>《护民官报》</t>
  </si>
  <si>
    <t>阿根廷——————</t>
  </si>
  <si>
    <t>布宜诺斯艾利斯</t>
  </si>
  <si>
    <t>《布宜诺斯艾利斯日报》</t>
  </si>
  <si>
    <t>《民族报》</t>
  </si>
  <si>
    <t>《新闻报》</t>
  </si>
  <si>
    <t>《真理报》</t>
  </si>
  <si>
    <t>《布宜诺斯艾利斯先驱报》（英）</t>
  </si>
  <si>
    <t>《标准报》（英）</t>
  </si>
  <si>
    <t>巴西——————</t>
  </si>
  <si>
    <t>里约热内卢</t>
  </si>
  <si>
    <t>《晚报》</t>
  </si>
  <si>
    <t>《家园报》</t>
  </si>
  <si>
    <t>《晨邮报》</t>
  </si>
  <si>
    <t>《商报》</t>
  </si>
  <si>
    <t>《国内报》</t>
  </si>
  <si>
    <t>圣保罗</t>
  </si>
  <si>
    <t>《凡弗拉》（意）</t>
  </si>
  <si>
    <t>累西腓</t>
  </si>
  <si>
    <t>《伯南布哥日报》</t>
  </si>
  <si>
    <t>《圣保罗州报》</t>
  </si>
  <si>
    <t>智利——————</t>
  </si>
  <si>
    <t>圣地亚哥</t>
  </si>
  <si>
    <t>《每日画报》</t>
  </si>
  <si>
    <t>瓦尔帕莱索/圣地亚哥/安托法加斯塔</t>
  </si>
  <si>
    <t>《信使报》</t>
  </si>
  <si>
    <t>瓦尔帕莱索/圣地亚哥</t>
  </si>
  <si>
    <t>《联合报》</t>
  </si>
  <si>
    <t>秘鲁——————</t>
  </si>
  <si>
    <t>利马</t>
  </si>
  <si>
    <t>《纪事报》</t>
  </si>
  <si>
    <t>《消息报》</t>
  </si>
  <si>
    <t>中国——————</t>
  </si>
  <si>
    <t>汉口</t>
  </si>
  <si>
    <t>《楚报》（英）</t>
  </si>
  <si>
    <t>英占香港</t>
  </si>
  <si>
    <t>《德臣西报》（英晚报）</t>
  </si>
  <si>
    <t>《士蔑西报》（英晚报）</t>
  </si>
  <si>
    <t>《南华早报》（英）</t>
  </si>
  <si>
    <t>上海</t>
  </si>
  <si>
    <t>《时报》（英）</t>
  </si>
  <si>
    <t>《中国报》（美日报）</t>
  </si>
  <si>
    <t>《孖剌西报》（英）</t>
  </si>
  <si>
    <t>《北京新闻》（法晨报）</t>
  </si>
  <si>
    <t>《中法新汇报》（法晨报）</t>
  </si>
  <si>
    <t>《字林西报》（英）</t>
  </si>
  <si>
    <t>《文汇西报》（英晚报）</t>
  </si>
  <si>
    <t>天津</t>
  </si>
  <si>
    <t>《津郡权务报》（法晨报）</t>
  </si>
  <si>
    <t>《华北每日邮报》（英晚报）</t>
  </si>
  <si>
    <t>《华北明星报》（美晨报）</t>
  </si>
  <si>
    <t>《北京导报》（美晨报）</t>
  </si>
  <si>
    <t>《京津泰晤士报》（英）</t>
  </si>
  <si>
    <t>印度——————</t>
  </si>
  <si>
    <t>拉合尔《军民公报》（英）</t>
  </si>
  <si>
    <t>加尔各答《英国人报》（英）</t>
  </si>
  <si>
    <t>《马德拉斯邮报》（英）</t>
  </si>
  <si>
    <t>《政治家报》（英）</t>
  </si>
  <si>
    <t>安拉阿巴德</t>
  </si>
  <si>
    <t>《先锋报》（英）</t>
  </si>
  <si>
    <t>孟买</t>
  </si>
  <si>
    <t>《印度时报》（英）</t>
  </si>
  <si>
    <t>日本——————</t>
  </si>
  <si>
    <t>《日本广告人报》（美）</t>
  </si>
  <si>
    <t>《日本纪事报》（英）</t>
  </si>
  <si>
    <t>《日本时报》（日，英文）</t>
  </si>
  <si>
    <t>《大阪朝日新闻》</t>
  </si>
  <si>
    <t>《大阪每日新闻》</t>
  </si>
  <si>
    <t>《东京朝日新闻》</t>
  </si>
  <si>
    <t>《东京日日新闻》</t>
  </si>
  <si>
    <t>苏联——————</t>
  </si>
  <si>
    <t>莫斯科</t>
  </si>
  <si>
    <t>列宁格勒</t>
  </si>
  <si>
    <t>《红色公报》</t>
  </si>
  <si>
    <t>南非——————</t>
  </si>
  <si>
    <t>开普敦</t>
  </si>
  <si>
    <t>《公民报》（荷）</t>
  </si>
  <si>
    <t>《国家报》（荷）</t>
  </si>
  <si>
    <t>《开普敦守卫报》</t>
  </si>
  <si>
    <t>《开普时报》</t>
  </si>
  <si>
    <t>约翰内斯堡</t>
  </si>
  <si>
    <t>《星报》</t>
  </si>
  <si>
    <t>比勒陀利亚</t>
  </si>
  <si>
    <t>《人民之声》（荷）</t>
  </si>
  <si>
    <t>澳大利亚——————</t>
  </si>
  <si>
    <t>《墨尔本时代报》（早报）</t>
  </si>
  <si>
    <t>《墨尔本百眼巨人报》（早报）</t>
  </si>
  <si>
    <t>《悉尼每日卫报》</t>
  </si>
  <si>
    <t>《悉尼先驱晨报》</t>
  </si>
  <si>
    <t>技能查询</t>
  </si>
  <si>
    <t>技能成功等级与注释</t>
  </si>
  <si>
    <t>基础成功率</t>
  </si>
  <si>
    <t>成功难度等级取决于</t>
  </si>
  <si>
    <t>解释</t>
  </si>
  <si>
    <t>并不知晓有这种学问或技能的存在。</t>
  </si>
  <si>
    <t>1-5</t>
  </si>
  <si>
    <t>完完全全的门外汉，仅仅是知道有这种技能而已</t>
  </si>
  <si>
    <t>经过了最基础的了解，可以说出一两个专业名词，但是实际操作几乎不可能。</t>
  </si>
  <si>
    <t>11-19</t>
  </si>
  <si>
    <t>自行摸索的自学或经过一段不认真的教育（指学习与教课双方）之后获取的知识。</t>
  </si>
  <si>
    <t>20-25</t>
  </si>
  <si>
    <t>非常有天赋或非常努力的人可以在短时间内达到这种程度，再或者一些知识渊博的人也能得到这个级别的知识。</t>
  </si>
  <si>
    <t>26-39</t>
  </si>
  <si>
    <t>一定时间内经过了系统式的教育或名师指导。对这方面拥有了一个初步的了解，专业性上比普通人都要强，
但是实际操作依旧有些困难。</t>
  </si>
  <si>
    <t>40-49</t>
  </si>
  <si>
    <t>对这方面拥有很高的热情，但基础知识或学习时间依旧没有达到标准。
这阶段很可能是一个瓶颈期</t>
  </si>
  <si>
    <t>50</t>
  </si>
  <si>
    <t>51-70</t>
  </si>
  <si>
    <t>不断精进的技术，虽然放到同行里一抓一大把但是基本上已经可以独当一面了。</t>
  </si>
  <si>
    <t>71-80</t>
  </si>
  <si>
    <t>在一定范围内你具有了比较高的知名度，虽然不至于成为权威但是已经是一个很好  的咨询对象了。
对于这个技能你无论怎么操作都非常得心应手（除了更加精进的钻研自己  的技术或说服流氓同行）</t>
  </si>
  <si>
    <t>81-90</t>
  </si>
  <si>
    <t>该专业的权威，即使你仅靠这方面的技能也能得到很多人的重视与保护。</t>
  </si>
  <si>
    <t xml:space="preserve">91-99 </t>
  </si>
  <si>
    <t>伟人级别，如果你有时间有精力，绝对可以创造一个不可磨灭的瑰宝留给后世子孙。</t>
  </si>
  <si>
    <t>100</t>
  </si>
  <si>
    <t>在当代，和这方面有关的事情你已经无所不知了，如果出现了一种你不认识的东西，这种东西就会被称为：新大陆</t>
  </si>
  <si>
    <t>101-110</t>
  </si>
  <si>
    <t>对于这方面拥有全新的解释或发现，并且已经初步了解了这些新知识。</t>
  </si>
  <si>
    <t>111-140</t>
  </si>
  <si>
    <t>超越本时代几乎所有人，能和你平起平坐的应该不会超过十个人。拥有着大量的发明创造，
甚至在之后很长一段时间内都会不分国界的被世人记住</t>
  </si>
  <si>
    <t>技能解释</t>
  </si>
  <si>
    <t>150</t>
  </si>
  <si>
    <t>进入了超时代的知识领域，即使穿越也可以成为该领域的专家 
从这个阶段开始和其相关的领域知识也会一并提高，并且可能是超时代的</t>
  </si>
  <si>
    <t>500</t>
  </si>
  <si>
    <t>在这方面上几乎所有知识的获取，已经没有任何成长的必要了，再获取的知识也不过是一些鸡毛蒜皮的小事</t>
  </si>
  <si>
    <t>技能可选规则</t>
  </si>
  <si>
    <t>专业技能：可以转移的技能优势</t>
  </si>
  <si>
    <t>艺术和手艺</t>
  </si>
  <si>
    <t>语言</t>
  </si>
  <si>
    <t>当一名角色的某些类似的技能与学识的成功率
提升到50%以上的时候：</t>
  </si>
  <si>
    <t>当一名角色的某些类似的技能与学识的成功率
提升到90%以上的时候：</t>
  </si>
  <si>
    <r>
      <rPr>
        <charset val="134"/>
        <sz val="14"/>
        <color rgb="FF000000"/>
        <rFont val="微软雅黑"/>
      </rPr>
      <t>当一名角色将一种</t>
    </r>
    <r>
      <rPr>
        <b/>
        <charset val="134"/>
        <sz val="14"/>
        <color indexed="8"/>
        <rFont val="微软雅黑"/>
      </rPr>
      <t>非母语语言</t>
    </r>
    <r>
      <rPr>
        <charset val="134"/>
        <sz val="14"/>
        <color rgb="FF000000"/>
        <rFont val="微软雅黑"/>
      </rPr>
      <t>的成功率
提升到了</t>
    </r>
    <r>
      <rPr>
        <b/>
        <charset val="134"/>
        <sz val="14"/>
        <color indexed="8"/>
        <rFont val="微软雅黑"/>
      </rPr>
      <t>50%</t>
    </r>
    <r>
      <rPr>
        <charset val="134"/>
        <sz val="14"/>
        <color rgb="FF000000"/>
        <rFont val="微软雅黑"/>
      </rPr>
      <t>以上的时候：</t>
    </r>
  </si>
  <si>
    <r>
      <rPr>
        <charset val="134"/>
        <sz val="14"/>
        <color rgb="FF000000"/>
        <rFont val="微软雅黑"/>
      </rPr>
      <t>当一名角色将一种</t>
    </r>
    <r>
      <rPr>
        <b/>
        <charset val="134"/>
        <sz val="14"/>
        <color indexed="8"/>
        <rFont val="微软雅黑"/>
      </rPr>
      <t>非母语语言</t>
    </r>
    <r>
      <rPr>
        <charset val="134"/>
        <sz val="14"/>
        <color rgb="FF000000"/>
        <rFont val="微软雅黑"/>
      </rPr>
      <t>的成功率
提升到了</t>
    </r>
    <r>
      <rPr>
        <b/>
        <charset val="134"/>
        <sz val="14"/>
        <color indexed="8"/>
        <rFont val="微软雅黑"/>
      </rPr>
      <t>90%</t>
    </r>
    <r>
      <rPr>
        <charset val="134"/>
        <sz val="14"/>
        <color rgb="FF000000"/>
        <rFont val="微软雅黑"/>
      </rPr>
      <t>以上的时候：</t>
    </r>
  </si>
  <si>
    <t>其他所有类似技能都会提升10%
但是不能超过50%</t>
  </si>
  <si>
    <t>其他所有类似技能又会提升10%
但是不能超过90%</t>
  </si>
  <si>
    <t>其他所有同语系的语言都会提升10%
但是不能超过50%</t>
  </si>
  <si>
    <t>其他所有同语系的语言都会提升10%
但是不能超过90%</t>
  </si>
  <si>
    <t>例如：作画成功率上升到50%的时候
书法、伪造、技术制图之类的的成功率都会提升10%
但假如技术制图的成功率是70%，那么它将则不会成长</t>
  </si>
  <si>
    <t>例如：德语成功率上升到50%的时候
在印欧语系内的英语、法语、意大利语、西班牙等的成功率都会提升10%
但假如英语的成功率是70%，那么英语则不会成长</t>
  </si>
  <si>
    <t>格斗、生存、驾驶、社交类、治疗类、维修类、科学、神话等
只要是KP认为有关联的技能都可以运用此规则</t>
  </si>
  <si>
    <t>当然这属于一个可选规则，kp也可以不选择此规则（看看我们的KP是善良还是邪恶呢~）</t>
  </si>
  <si>
    <t>另外，上述的10%是直接在现有值里增长10点，不是现有的成功率乘以0.1</t>
  </si>
  <si>
    <t>可选规则：给技能等级安个保险</t>
  </si>
  <si>
    <t>如果你担心原版规则的职业技能最高可以达到90%这点会影响游戏的话。
你可以要求PL在车卡的时候不能将技能的成功率点到XX%以上。
当然兴趣技能也可以运用此规则。</t>
  </si>
  <si>
    <r>
      <rPr>
        <charset val="134"/>
        <sz val="12"/>
        <color rgb="FF000000"/>
        <rFont val="微软雅黑"/>
      </rPr>
      <t>例如：KP在跑团之前放公告或提醒大家“这次跑团的技能上限是70/60”
这里的70/60，就是职业技能</t>
    </r>
    <r>
      <rPr>
        <b/>
        <charset val="134"/>
        <sz val="12"/>
        <color rgb="FF000000"/>
        <rFont val="微软雅黑"/>
      </rPr>
      <t>成功率</t>
    </r>
    <r>
      <rPr>
        <charset val="134"/>
        <sz val="12"/>
        <color rgb="FF000000"/>
        <rFont val="微软雅黑"/>
      </rPr>
      <t>最高70%
兴趣技能</t>
    </r>
    <r>
      <rPr>
        <b/>
        <charset val="134"/>
        <sz val="12"/>
        <color rgb="FF000000"/>
        <rFont val="微软雅黑"/>
      </rPr>
      <t>成功率</t>
    </r>
    <r>
      <rPr>
        <charset val="134"/>
        <sz val="12"/>
        <color rgb="FF000000"/>
        <rFont val="微软雅黑"/>
      </rPr>
      <t>最高可以达到60%</t>
    </r>
  </si>
  <si>
    <t>游戏系统少见规则</t>
  </si>
  <si>
    <r>
      <rPr>
        <charset val="134"/>
        <sz val="18"/>
        <color rgb="FF000000"/>
        <rFont val="微软雅黑"/>
      </rPr>
      <t>幕间成长：</t>
    </r>
    <r>
      <rPr>
        <charset val="134"/>
        <sz val="12"/>
        <color rgb="FF000000"/>
        <rFont val="微软雅黑"/>
      </rPr>
      <t xml:space="preserve">90%或更多的技能值 </t>
    </r>
  </si>
  <si>
    <t>对抗检定平手</t>
  </si>
  <si>
    <t>超越人体极限：多调查员协作检定</t>
  </si>
  <si>
    <t>调查员幕间成长（超越100）</t>
  </si>
  <si>
    <t>于幕间成长中：
若一位调查员有技能达到了 90%或更高，为他的当前SAN值增加 2D6 。
这一奖励表示经过磨练从精通一项技能中获得的自信。</t>
  </si>
  <si>
    <t>若在同属性或同技能的对抗中双方的成功等级相同：
技能（或属性）更高的一方获胜
若仍然相同则双方重新再骰一次
对抗不能孤注一掷</t>
  </si>
  <si>
    <t>调查员们只是人类，所以物理上存在能力的极限。
当对手拥有90或更高的属性时难度等级将为极难。
超过100+的技能和属性对于调查员来说是无法对抗的。比如一个人类不可能在力量方面上对抗一个力量220的黑山羊幼崽。</t>
  </si>
  <si>
    <t>除了意志和体型，人类的属性最大值都被定为了99，但是技能和属性不一样。
技能不仅能够更加精进更加熟练，而且用的越多越容易更熟练，而且还可以超越时代的熟练。
当你获得了99点的技能，不要担心ta会就此止步。
在幕间成长投出大于95的数字就可以为技能增加1D10的成功率，哪怕这个技能的成功率已经10000了也可以成长</t>
  </si>
  <si>
    <t>但是人类之所以是人类就是因为他们能做到不可能的事情</t>
  </si>
  <si>
    <t>将很多调查员的力量揉到一起，他们就能做到一个人类做不到的事情，在游戏中为以下表现。</t>
  </si>
  <si>
    <t>这是一只黑山羊幼崽
（STR 220）</t>
  </si>
  <si>
    <t>左上人类
（STR 50）</t>
  </si>
  <si>
    <t>右上人类
（STR 70）</t>
  </si>
  <si>
    <t>肥宅人类
（STR 20）</t>
  </si>
  <si>
    <t>大熊人类
（STR 90）</t>
  </si>
  <si>
    <t>公式：强大的存在-（人类①+人类②+人类③......）=x&lt;100</t>
  </si>
  <si>
    <t>例1：</t>
  </si>
  <si>
    <t>左上人类（STR60）面对着一个黑山羊幼崽，他想要和他掰手腕，但是很明显这会把自己掰了。于是他叫来了右上人类（STR70），他们两个人（STR50+70=120）用尽力气和黑山羊幼崽对抗。
220-（50+70）=100
这样就不是不可能了，虽然是极难难度但是已经从不可能变成可能了。于是右下人类骰出了骰子
D100=70（普通成功）</t>
  </si>
  <si>
    <t>例2：</t>
  </si>
  <si>
    <t>这两个人类很简单的就被掰傻了
但是他们不甘心，依然希望赢过黑山羊幼崽
正好一个STR20的肥宅人类路过。
于是他们就把肥宅人类当成朋友（消耗道具）用了。
220-（50+70+20）=80
这里力量最大的还是右上人类（STR 70）
80不在他的成功范围内但是已经低于90了于是就是困难难度
D100=100（大失败）</t>
  </si>
  <si>
    <t>例3：</t>
  </si>
  <si>
    <t>很可惜。。我们刚刚失去了肥宅
但是幸运的是天降大熊，有了他的帮助我们一定能成功的
220-（50+70+90）=10
终于，常规难度出现了，大熊人类是这里力量最大的
也就是说他骰出小于等于90的任何数字都可以成功！
D100=100（大失败）</t>
  </si>
  <si>
    <t>唉</t>
  </si>
  <si>
    <t>每个属性由什么决定？</t>
  </si>
  <si>
    <t>力量 STR</t>
  </si>
  <si>
    <t>体质 CON</t>
  </si>
  <si>
    <t>体型 SIZ</t>
  </si>
  <si>
    <t>敏捷 DEX</t>
  </si>
  <si>
    <t>外貌 APP</t>
  </si>
  <si>
    <t>智力 INT</t>
  </si>
  <si>
    <t>意志 POW</t>
  </si>
  <si>
    <t>教育 EDU</t>
  </si>
  <si>
    <t>3D6×5</t>
  </si>
  <si>
    <t>（2D6+6）×5</t>
  </si>
  <si>
    <t>各个属性的数字意味着什么？</t>
  </si>
  <si>
    <r>
      <rPr>
        <charset val="134"/>
        <sz val="10"/>
        <color rgb="FF000000"/>
        <rFont val="微软雅黑 Light"/>
      </rPr>
      <t>衰弱：没法站起来甚至端起一杯茶</t>
    </r>
    <r>
      <rPr>
        <sz val="10"/>
        <color indexed="8"/>
        <rFont val="Arial Unicode MS"/>
      </rPr>
      <t>｡</t>
    </r>
  </si>
  <si>
    <t>死亡。</t>
  </si>
  <si>
    <t>没人知道他去了哪。</t>
  </si>
  <si>
    <t>没有协助无法行动。</t>
  </si>
  <si>
    <r>
      <rPr>
        <charset val="134"/>
        <sz val="10"/>
        <color rgb="FF000000"/>
        <rFont val="微软雅黑 Light"/>
      </rPr>
      <t>如此的难看</t>
    </r>
    <r>
      <rPr>
        <sz val="10"/>
        <color indexed="8"/>
        <rFont val="Arial Unicode MS"/>
      </rPr>
      <t>｡</t>
    </r>
    <r>
      <rPr>
        <charset val="134"/>
        <sz val="10"/>
        <color rgb="FF000000"/>
        <rFont val="微软雅黑 Light"/>
      </rPr>
      <t>他人会对你报以恐惧</t>
    </r>
    <r>
      <rPr>
        <sz val="10"/>
        <color indexed="8"/>
        <rFont val="Arial Unicode MS"/>
      </rPr>
      <t>､</t>
    </r>
    <r>
      <rPr>
        <charset val="134"/>
        <sz val="10"/>
        <color rgb="FF000000"/>
        <rFont val="微软雅黑 Light"/>
      </rPr>
      <t>厌恶和怜悯</t>
    </r>
    <r>
      <rPr>
        <sz val="10"/>
        <color indexed="8"/>
        <rFont val="Arial Unicode MS"/>
      </rPr>
      <t>｡</t>
    </r>
  </si>
  <si>
    <r>
      <rPr>
        <charset val="134"/>
        <sz val="10"/>
        <color rgb="FF000000"/>
        <rFont val="微软雅黑 Light"/>
      </rPr>
      <t>没有智商,无法理解周遭的世界</t>
    </r>
    <r>
      <rPr>
        <sz val="10"/>
        <color indexed="8"/>
        <rFont val="Arial Unicode MS"/>
      </rPr>
      <t>｡</t>
    </r>
  </si>
  <si>
    <r>
      <rPr>
        <charset val="134"/>
        <sz val="10"/>
        <color rgb="FF000000"/>
        <rFont val="微软雅黑 Light"/>
      </rPr>
      <t>0：弱者的心,没有意志力,没有魔法潜能</t>
    </r>
    <r>
      <rPr>
        <sz val="10"/>
        <color indexed="8"/>
        <rFont val="Arial Unicode MS"/>
      </rPr>
      <t>｡</t>
    </r>
  </si>
  <si>
    <r>
      <rPr>
        <charset val="134"/>
        <sz val="10"/>
        <color rgb="FF000000"/>
        <rFont val="微软雅黑 Light"/>
      </rPr>
      <t>新生儿</t>
    </r>
    <r>
      <rPr>
        <sz val="10"/>
        <color indexed="8"/>
        <rFont val="Arial Unicode MS"/>
      </rPr>
      <t>｡</t>
    </r>
  </si>
  <si>
    <t>体弱多病，易病难愈，可能在没有帮助的情况下无法自理。</t>
  </si>
  <si>
    <t>婴儿(1~10斤)。</t>
  </si>
  <si>
    <r>
      <rPr>
        <charset val="134"/>
        <sz val="10"/>
        <color rgb="FF000000"/>
        <rFont val="微软雅黑 Light"/>
      </rPr>
      <t>任何方面都没有受过教育</t>
    </r>
    <r>
      <rPr>
        <sz val="10"/>
        <color indexed="8"/>
        <rFont val="Arial Unicode MS"/>
      </rPr>
      <t>｡</t>
    </r>
  </si>
  <si>
    <r>
      <rPr>
        <charset val="134"/>
        <sz val="10"/>
        <color rgb="FF000000"/>
        <rFont val="微软雅黑 Light"/>
      </rPr>
      <t>弱者,虚弱</t>
    </r>
    <r>
      <rPr>
        <sz val="10"/>
        <color indexed="8"/>
        <rFont val="Arial Unicode MS"/>
      </rPr>
      <t>｡</t>
    </r>
  </si>
  <si>
    <t>身体虚弱，易突发疾病，易感到疼痛。</t>
  </si>
  <si>
    <r>
      <rPr>
        <charset val="134"/>
        <sz val="10"/>
        <color rgb="FF000000"/>
        <rFont val="微软雅黑 Light"/>
      </rPr>
      <t>孩童,或身短体瘦(矮人)(15kg)</t>
    </r>
    <r>
      <rPr>
        <sz val="10"/>
        <color indexed="8"/>
        <rFont val="Arial Unicode MS"/>
      </rPr>
      <t>｡</t>
    </r>
  </si>
  <si>
    <t>缓慢笨拙难以行动自如。</t>
  </si>
  <si>
    <r>
      <rPr>
        <charset val="134"/>
        <sz val="10"/>
        <color rgb="FF000000"/>
        <rFont val="微软雅黑 Light"/>
      </rPr>
      <t>挫</t>
    </r>
    <r>
      <rPr>
        <sz val="10"/>
        <color indexed="8"/>
        <rFont val="Arial Unicode MS"/>
      </rPr>
      <t>｡</t>
    </r>
    <r>
      <rPr>
        <charset val="134"/>
        <sz val="10"/>
        <color rgb="FF000000"/>
        <rFont val="微软雅黑 Light"/>
      </rPr>
      <t>估计是因为受伤事故或先天如此</t>
    </r>
    <r>
      <rPr>
        <sz val="10"/>
        <color indexed="8"/>
        <rFont val="Arial Unicode MS"/>
      </rPr>
      <t>｡</t>
    </r>
  </si>
  <si>
    <t>学得很慢,只能理解最常用的数字,或阅读学前级的书。</t>
  </si>
  <si>
    <t>意志力弱,经常成为高智力或高意志人士的人的玩物</t>
  </si>
  <si>
    <r>
      <rPr>
        <charset val="134"/>
        <sz val="10"/>
        <color rgb="FF000000"/>
        <rFont val="微软雅黑 Light"/>
      </rPr>
      <t>高中毕业</t>
    </r>
    <r>
      <rPr>
        <sz val="10"/>
        <color indexed="8"/>
        <rFont val="Arial Unicode MS"/>
      </rPr>
      <t>｡</t>
    </r>
  </si>
  <si>
    <r>
      <rPr>
        <charset val="134"/>
        <sz val="10"/>
        <color rgb="FF000000"/>
        <rFont val="微软雅黑 Light"/>
      </rPr>
      <t>普通人水平</t>
    </r>
    <r>
      <rPr>
        <sz val="10"/>
        <color indexed="8"/>
        <rFont val="Arial Unicode MS"/>
      </rPr>
      <t>｡</t>
    </r>
  </si>
  <si>
    <t>普通人水平。</t>
  </si>
  <si>
    <r>
      <rPr>
        <charset val="134"/>
        <sz val="10"/>
        <color rgb="FF000000"/>
        <rFont val="微软雅黑 Light"/>
      </rPr>
      <t>普通人类体型(中等身高和体重)(75kg)</t>
    </r>
    <r>
      <rPr>
        <sz val="10"/>
        <color indexed="8"/>
        <rFont val="Arial Unicode MS"/>
      </rPr>
      <t>｡</t>
    </r>
  </si>
  <si>
    <t>普通人</t>
  </si>
  <si>
    <t>大学毕业。</t>
  </si>
  <si>
    <t>你见过的力气最大的人。</t>
  </si>
  <si>
    <t>不惧寒冷，强壮而精神。</t>
  </si>
  <si>
    <r>
      <rPr>
        <charset val="134"/>
        <sz val="10"/>
        <color rgb="FF000000"/>
        <rFont val="微软雅黑 Light"/>
      </rPr>
      <t>非常高,强健的体格或非常胖(110kg)</t>
    </r>
    <r>
      <rPr>
        <sz val="10"/>
        <color indexed="8"/>
        <rFont val="Arial Unicode MS"/>
      </rPr>
      <t>｡</t>
    </r>
  </si>
  <si>
    <r>
      <rPr>
        <charset val="134"/>
        <sz val="10"/>
        <color rgb="FF000000"/>
        <rFont val="微软雅黑 Light"/>
      </rPr>
      <t>高速而灵活,可以达成超凡的技艺(例如伟大的舞者)</t>
    </r>
    <r>
      <rPr>
        <sz val="10"/>
        <color indexed="8"/>
        <rFont val="Arial Unicode MS"/>
      </rPr>
      <t>｡</t>
    </r>
  </si>
  <si>
    <r>
      <rPr>
        <charset val="134"/>
        <sz val="10"/>
        <color rgb="FF000000"/>
        <rFont val="微软雅黑 Light"/>
      </rPr>
      <t>你见过的最漂亮的人,有着天然的吸引力</t>
    </r>
    <r>
      <rPr>
        <sz val="10"/>
        <color indexed="8"/>
        <rFont val="Arial Unicode MS"/>
      </rPr>
      <t>｡</t>
    </r>
  </si>
  <si>
    <r>
      <rPr>
        <charset val="134"/>
        <sz val="10"/>
        <color rgb="FF000000"/>
        <rFont val="微软雅黑 Light"/>
      </rPr>
      <t>超凡之脑,可以理解多门语言或法则</t>
    </r>
    <r>
      <rPr>
        <sz val="10"/>
        <color indexed="8"/>
        <rFont val="Arial Unicode MS"/>
      </rPr>
      <t>｡</t>
    </r>
  </si>
  <si>
    <r>
      <rPr>
        <charset val="134"/>
        <sz val="10"/>
        <color rgb="FF000000"/>
        <rFont val="微软雅黑 Light"/>
      </rPr>
      <t>坚强的心,对沟通不可视之物和魔法有着高潜质</t>
    </r>
    <r>
      <rPr>
        <sz val="10"/>
        <color indexed="8"/>
        <rFont val="Arial Unicode MS"/>
      </rPr>
      <t>｡</t>
    </r>
  </si>
  <si>
    <t>研究生毕业。</t>
  </si>
  <si>
    <t>世界水平(奥赛举重冠军)｡人类极限。</t>
  </si>
  <si>
    <t>钢铁之躯。能够承受巨大的疼痛。人类极限。</t>
  </si>
  <si>
    <r>
      <rPr>
        <charset val="134"/>
        <sz val="10"/>
        <color rgb="FF000000"/>
        <rFont val="微软雅黑 Light"/>
      </rPr>
      <t>某方面已经是超大号了(150kg)</t>
    </r>
    <r>
      <rPr>
        <sz val="10"/>
        <color indexed="8"/>
        <rFont val="Arial Unicode MS"/>
      </rPr>
      <t>｡</t>
    </r>
  </si>
  <si>
    <r>
      <rPr>
        <charset val="134"/>
        <sz val="10"/>
        <color rgb="FF000000"/>
        <rFont val="微软雅黑 Light"/>
      </rPr>
      <t>世界级运动员</t>
    </r>
    <r>
      <rPr>
        <sz val="10"/>
        <color indexed="8"/>
        <rFont val="Arial Unicode MS"/>
      </rPr>
      <t>｡</t>
    </r>
    <r>
      <rPr>
        <charset val="134"/>
        <sz val="10"/>
        <color rgb="FF000000"/>
        <rFont val="微软雅黑 Light"/>
      </rPr>
      <t>人类极限</t>
    </r>
    <r>
      <rPr>
        <sz val="10"/>
        <color indexed="8"/>
        <rFont val="Arial Unicode MS"/>
      </rPr>
      <t>｡</t>
    </r>
  </si>
  <si>
    <r>
      <rPr>
        <charset val="134"/>
        <sz val="10"/>
        <color rgb="FF000000"/>
        <rFont val="微软雅黑 Light"/>
      </rPr>
      <t>魅力和酷的巅峰(超级名模或世界影星)</t>
    </r>
    <r>
      <rPr>
        <sz val="10"/>
        <color indexed="8"/>
        <rFont val="Arial Unicode MS"/>
      </rPr>
      <t>｡</t>
    </r>
    <r>
      <rPr>
        <charset val="134"/>
        <sz val="10"/>
        <color rgb="FF000000"/>
        <rFont val="微软雅黑 Light"/>
      </rPr>
      <t>人类极限</t>
    </r>
    <r>
      <rPr>
        <sz val="10"/>
        <color indexed="8"/>
        <rFont val="Arial Unicode MS"/>
      </rPr>
      <t>｡</t>
    </r>
  </si>
  <si>
    <r>
      <rPr>
        <charset val="134"/>
        <sz val="10"/>
        <color rgb="FF000000"/>
        <rFont val="微软雅黑 Light"/>
      </rPr>
      <t>天才(爱因斯坦</t>
    </r>
    <r>
      <rPr>
        <sz val="10"/>
        <color indexed="8"/>
        <rFont val="Arial Unicode MS"/>
      </rPr>
      <t>､</t>
    </r>
    <r>
      <rPr>
        <charset val="134"/>
        <sz val="10"/>
        <color rgb="FF000000"/>
        <rFont val="微软雅黑 Light"/>
      </rPr>
      <t>达芬奇</t>
    </r>
    <r>
      <rPr>
        <sz val="10"/>
        <color indexed="8"/>
        <rFont val="Arial Unicode MS"/>
      </rPr>
      <t>､</t>
    </r>
    <r>
      <rPr>
        <charset val="134"/>
        <sz val="10"/>
        <color rgb="FF000000"/>
        <rFont val="微软雅黑 Light"/>
      </rPr>
      <t>特斯拉等等)</t>
    </r>
    <r>
      <rPr>
        <sz val="10"/>
        <color indexed="8"/>
        <rFont val="Arial Unicode MS"/>
      </rPr>
      <t>｡</t>
    </r>
    <r>
      <rPr>
        <charset val="134"/>
        <sz val="10"/>
        <color rgb="FF000000"/>
        <rFont val="微软雅黑 Light"/>
      </rPr>
      <t>人类极限</t>
    </r>
    <r>
      <rPr>
        <sz val="10"/>
        <color indexed="8"/>
        <rFont val="Arial Unicode MS"/>
      </rPr>
      <t>｡</t>
    </r>
  </si>
  <si>
    <r>
      <rPr>
        <charset val="134"/>
        <sz val="10"/>
        <color rgb="FF000000"/>
        <rFont val="微软雅黑 Light"/>
      </rPr>
      <t>钢铁之心,与灵能领域和不可视世界有着强烈的链接</t>
    </r>
    <r>
      <rPr>
        <sz val="10"/>
        <color indexed="8"/>
        <rFont val="Arial Unicode MS"/>
      </rPr>
      <t>｡</t>
    </r>
  </si>
  <si>
    <r>
      <rPr>
        <charset val="134"/>
        <sz val="10"/>
        <color rgb="FF000000"/>
        <rFont val="微软雅黑 Light"/>
      </rPr>
      <t>博士学位,教授</t>
    </r>
    <r>
      <rPr>
        <sz val="10"/>
        <color indexed="8"/>
        <rFont val="Arial Unicode MS"/>
      </rPr>
      <t>｡</t>
    </r>
  </si>
  <si>
    <r>
      <rPr>
        <charset val="134"/>
        <sz val="10"/>
        <color rgb="FF000000"/>
        <rFont val="微软雅黑 Light"/>
      </rPr>
      <t>超越人类之力(例如大猩猩或马)</t>
    </r>
    <r>
      <rPr>
        <sz val="10"/>
        <color indexed="8"/>
        <rFont val="Arial Unicode MS"/>
      </rPr>
      <t>｡</t>
    </r>
  </si>
  <si>
    <r>
      <rPr>
        <charset val="134"/>
        <sz val="10"/>
        <color rgb="FF000000"/>
        <rFont val="微软雅黑 Light"/>
      </rPr>
      <t>超越人类之体格(大象)</t>
    </r>
    <r>
      <rPr>
        <sz val="10"/>
        <color indexed="8"/>
        <rFont val="Arial Unicode MS"/>
      </rPr>
      <t>｡</t>
    </r>
  </si>
  <si>
    <r>
      <rPr>
        <charset val="134"/>
        <sz val="10"/>
        <color rgb="FF000000"/>
        <rFont val="微软雅黑 Light"/>
      </rPr>
      <t>马或牛(436kg)</t>
    </r>
    <r>
      <rPr>
        <sz val="10"/>
        <color indexed="8"/>
        <rFont val="Arial Unicode MS"/>
      </rPr>
      <t>｡</t>
    </r>
  </si>
  <si>
    <t>超越人类之敏捷。</t>
  </si>
  <si>
    <t>超越人类之智。</t>
  </si>
  <si>
    <t>超越人类,基本上是异界存在。</t>
  </si>
  <si>
    <r>
      <rPr>
        <charset val="134"/>
        <sz val="10"/>
        <color rgb="FF000000"/>
        <rFont val="微软雅黑 Light"/>
      </rPr>
      <t>某研究领域的世界级权威</t>
    </r>
    <r>
      <rPr>
        <sz val="10"/>
        <color indexed="8"/>
        <rFont val="Arial Unicode MS"/>
      </rPr>
      <t>｡</t>
    </r>
  </si>
  <si>
    <t>有记录的最重的人类(634kg)。</t>
  </si>
  <si>
    <r>
      <rPr>
        <charset val="134"/>
        <sz val="10"/>
        <color rgb="FF000000"/>
        <rFont val="微软雅黑 Light"/>
      </rPr>
      <t>人类极限</t>
    </r>
    <r>
      <rPr>
        <sz val="10"/>
        <color indexed="8"/>
        <rFont val="Arial Unicode MS"/>
      </rPr>
      <t>｡</t>
    </r>
  </si>
  <si>
    <t>200+</t>
  </si>
  <si>
    <t>怪物之力。</t>
  </si>
  <si>
    <t>怪物之体,免疫大部分地球疾病。</t>
  </si>
  <si>
    <t>872kg。</t>
  </si>
  <si>
    <r>
      <rPr>
        <charset val="134"/>
        <sz val="10"/>
        <color rgb="FF000000"/>
        <rFont val="微软雅黑 Light"/>
      </rPr>
      <t>闪电之速,可以在人类反应过来之前完成系列动作</t>
    </r>
    <r>
      <rPr>
        <sz val="10"/>
        <color indexed="8"/>
        <rFont val="Arial Unicode MS"/>
      </rPr>
      <t>｡</t>
    </r>
  </si>
  <si>
    <t>210+</t>
  </si>
  <si>
    <t>怪物之智,可以理解并操作多重次元。</t>
  </si>
  <si>
    <t>怪物的魔法潜质和力量,超越凡人之理解力。</t>
  </si>
  <si>
    <t>属性解释</t>
  </si>
  <si>
    <t>力量是调查员肌肉能力的量化。</t>
  </si>
  <si>
    <t>体质意味着健康、生气和活力。</t>
  </si>
  <si>
    <t>体型值将身高和体重整合成了一个数字。</t>
  </si>
  <si>
    <t>高敏捷的调查员更为迅捷灵敏，肉体更加柔韧。</t>
  </si>
  <si>
    <t>外貌统括了肉体吸引力和人格魅力。</t>
  </si>
  <si>
    <t>智力表示为调查员学习力、理解力、信息分析力和解密能力的优劣度。</t>
  </si>
  <si>
    <t>意志正是心意的力量；意志越高，学习和抵抗魔法的资质就越高。</t>
  </si>
  <si>
    <t>教育表明了调查员在全日制学习中花费了多长时间。</t>
  </si>
  <si>
    <t>属
性
高
的
话</t>
  </si>
  <si>
    <t>更大的力量：可以使你能举起更重的东西</t>
  </si>
  <si>
    <t>更高的体质可以让你的免疫力、毒药抗性等更加强大</t>
  </si>
  <si>
    <t>大体型可以带来更高的生命值与攻击力
但是会难以隐蔽</t>
  </si>
  <si>
    <t>高敏捷的调查员可以进行更加细微的操作，比如穿针，或者从墙上完整的撕下一张脆弱的纸</t>
  </si>
  <si>
    <t>高外貌的人更容易让周围的人接受
但是更容易被犯罪</t>
  </si>
  <si>
    <t>高智力更容易让人学到更多东西
但也容易学到不该学到的东西</t>
  </si>
  <si>
    <t>教育高代表着这个人在自己的职业上有多么认真</t>
  </si>
  <si>
    <t>有
什
么
坏
处</t>
  </si>
  <si>
    <t>但是你的肌肉也会更明显</t>
  </si>
  <si>
    <t>体质过低则更容易患病、更可能进入病症晚期</t>
  </si>
  <si>
    <t>小体型将会更容易隐蔽
但是生命和攻击力会降低</t>
  </si>
  <si>
    <t>低敏捷将会控制不好自己的身体</t>
  </si>
  <si>
    <t>低外貌更容易被排斥</t>
  </si>
  <si>
    <t>低智力证明这个人脑子不太好使
但是有时候无知是福</t>
  </si>
  <si>
    <t>敏捷并不代表你跑的多快，而是代表你能有多好的控制你自己</t>
  </si>
  <si>
    <t>外貌同时代表行为和颜值
外貌越偏离50越难扮演</t>
  </si>
  <si>
    <t>意志=初始san值
意志/5 = 魔法值</t>
  </si>
  <si>
    <t>教育不一定是指你上了几年学
更可能是指你对你的工作有多么熟悉</t>
  </si>
  <si>
    <t>各种属性会造成的影响</t>
  </si>
  <si>
    <t>(体质+体型)/10
=
HP最大值、HP初始值</t>
  </si>
  <si>
    <t>敏捷/2=闪避初始值</t>
  </si>
  <si>
    <t>智力×2=兴趣点数</t>
  </si>
  <si>
    <t>意志=san初始值
但不等于san最大值！</t>
  </si>
  <si>
    <t>教育=母语初始值</t>
  </si>
  <si>
    <t>力量敏捷如果皆大于体型</t>
  </si>
  <si>
    <t>那么移动力+1</t>
  </si>
  <si>
    <t>体型可以超过100
意志可以超过100
这是唯二可以超过100的属性</t>
  </si>
  <si>
    <t>意志/5 = 魔法值</t>
  </si>
  <si>
    <t>力量、敏捷如果都小等于体型</t>
  </si>
  <si>
    <t>那么移动力-1</t>
  </si>
  <si>
    <t>99-克苏鲁神话成功率
=san最大值
=精神分析最大恢复值</t>
  </si>
  <si>
    <t>15-19岁</t>
  </si>
  <si>
    <t>从力量和体型里总共-5，教育-5
之后骰 2 次幸运，取较大值</t>
  </si>
  <si>
    <t>增加POW</t>
  </si>
  <si>
    <t>将力量与体型相加之后</t>
  </si>
  <si>
    <t>结果：</t>
  </si>
  <si>
    <t>伤害加值</t>
  </si>
  <si>
    <t>体格</t>
  </si>
  <si>
    <t>体格的作用</t>
  </si>
  <si>
    <t>2-64</t>
  </si>
  <si>
    <t>可以扔很远</t>
  </si>
  <si>
    <t>①：成功释放需要对抗POW的法术后
骰1D100 若大于当前POW或大于95
POW永久增加1D10点</t>
  </si>
  <si>
    <t>65-84</t>
  </si>
  <si>
    <t>可以扔出去</t>
  </si>
  <si>
    <t>20-39岁</t>
  </si>
  <si>
    <t>一次教育进步检定</t>
  </si>
  <si>
    <t>85-124</t>
  </si>
  <si>
    <t xml:space="preserve">可以举起来 </t>
  </si>
  <si>
    <t>125-164</t>
  </si>
  <si>
    <t xml:space="preserve"> +1d4</t>
  </si>
  <si>
    <t>这是你</t>
  </si>
  <si>
    <t>165-204</t>
  </si>
  <si>
    <t xml:space="preserve"> +1d6</t>
  </si>
  <si>
    <t>能被被举起来</t>
  </si>
  <si>
    <t>+1</t>
  </si>
  <si>
    <t>40+</t>
  </si>
  <si>
    <r>
      <rPr>
        <charset val="134"/>
        <sz val="12"/>
        <rFont val="微软雅黑 Light"/>
      </rPr>
      <t>从</t>
    </r>
    <r>
      <rPr>
        <charset val="134"/>
        <sz val="12"/>
        <color rgb="FFFF0000"/>
        <rFont val="微软雅黑 Light"/>
      </rPr>
      <t>力量</t>
    </r>
    <r>
      <rPr>
        <charset val="134"/>
        <sz val="12"/>
        <rFont val="微软雅黑 Light"/>
      </rPr>
      <t>、</t>
    </r>
    <r>
      <rPr>
        <charset val="134"/>
        <sz val="12"/>
        <color rgb="FF7F5F00"/>
        <rFont val="微软雅黑 Light"/>
      </rPr>
      <t>体质</t>
    </r>
    <r>
      <rPr>
        <charset val="134"/>
        <sz val="12"/>
        <rFont val="微软雅黑 Light"/>
      </rPr>
      <t>、</t>
    </r>
    <r>
      <rPr>
        <charset val="134"/>
        <sz val="12"/>
        <color rgb="FF2F75B6"/>
        <rFont val="微软雅黑 Light"/>
      </rPr>
      <t>敏捷</t>
    </r>
    <r>
      <rPr>
        <charset val="134"/>
        <sz val="12"/>
        <rFont val="微软雅黑 Light"/>
      </rPr>
      <t>里总共-5，</t>
    </r>
    <r>
      <rPr>
        <charset val="134"/>
        <sz val="12"/>
        <color rgb="FFFC17FF"/>
        <rFont val="微软雅黑 Light"/>
      </rPr>
      <t>APP-5</t>
    </r>
    <r>
      <rPr>
        <charset val="134"/>
        <sz val="12"/>
        <rFont val="微软雅黑 Light"/>
      </rPr>
      <t xml:space="preserve">
</t>
    </r>
    <r>
      <rPr>
        <b/>
        <charset val="134"/>
        <sz val="12"/>
        <color rgb="FFD58B43"/>
        <rFont val="微软雅黑 Light"/>
      </rPr>
      <t>之后进行 2 次教育进步</t>
    </r>
    <r>
      <rPr>
        <charset val="134"/>
        <sz val="12"/>
        <rFont val="微软雅黑 Light"/>
      </rPr>
      <t xml:space="preserve">
</t>
    </r>
    <r>
      <rPr>
        <b/>
        <charset val="134"/>
        <sz val="12"/>
        <rFont val="微软雅黑 Light"/>
      </rPr>
      <t>移动-1</t>
    </r>
  </si>
  <si>
    <t>②：在幸运检定中掷出1D100=1后
骰1D100 若大于当前POW或大于95
POW永久增加1D10点</t>
  </si>
  <si>
    <t>205-284</t>
  </si>
  <si>
    <t xml:space="preserve"> +2d6</t>
  </si>
  <si>
    <t>能被被扔出去</t>
  </si>
  <si>
    <t>+2</t>
  </si>
  <si>
    <t>285-364</t>
  </si>
  <si>
    <t xml:space="preserve"> +3d6</t>
  </si>
  <si>
    <t>能被被打飞</t>
  </si>
  <si>
    <t>+3</t>
  </si>
  <si>
    <t>365-444</t>
  </si>
  <si>
    <t xml:space="preserve"> +4d6</t>
  </si>
  <si>
    <t>千万别惹</t>
  </si>
  <si>
    <t>+4</t>
  </si>
  <si>
    <t>50+</t>
  </si>
  <si>
    <r>
      <rPr>
        <charset val="134"/>
        <sz val="12"/>
        <rFont val="微软雅黑 Light"/>
      </rPr>
      <t>从</t>
    </r>
    <r>
      <rPr>
        <charset val="134"/>
        <sz val="12"/>
        <color rgb="FFFF0000"/>
        <rFont val="微软雅黑 Light"/>
      </rPr>
      <t>力量</t>
    </r>
    <r>
      <rPr>
        <charset val="134"/>
        <sz val="12"/>
        <rFont val="微软雅黑 Light"/>
      </rPr>
      <t>、</t>
    </r>
    <r>
      <rPr>
        <charset val="134"/>
        <sz val="12"/>
        <color rgb="FF7F5F00"/>
        <rFont val="微软雅黑 Light"/>
      </rPr>
      <t>体质</t>
    </r>
    <r>
      <rPr>
        <charset val="134"/>
        <sz val="12"/>
        <rFont val="微软雅黑 Light"/>
      </rPr>
      <t>、</t>
    </r>
    <r>
      <rPr>
        <charset val="134"/>
        <sz val="12"/>
        <color rgb="FF2F75B6"/>
        <rFont val="微软雅黑 Light"/>
      </rPr>
      <t>敏捷</t>
    </r>
    <r>
      <rPr>
        <charset val="134"/>
        <sz val="12"/>
        <rFont val="微软雅黑 Light"/>
      </rPr>
      <t>里总共-10，</t>
    </r>
    <r>
      <rPr>
        <charset val="134"/>
        <sz val="12"/>
        <color rgb="FFFC17FF"/>
        <rFont val="微软雅黑 Light"/>
      </rPr>
      <t>APP-10</t>
    </r>
    <r>
      <rPr>
        <charset val="134"/>
        <sz val="12"/>
        <rFont val="微软雅黑 Light"/>
      </rPr>
      <t xml:space="preserve">
</t>
    </r>
    <r>
      <rPr>
        <b/>
        <charset val="134"/>
        <sz val="12"/>
        <color rgb="FFD58B43"/>
        <rFont val="微软雅黑 Light"/>
      </rPr>
      <t>之后进行 3 次教育进步</t>
    </r>
    <r>
      <rPr>
        <charset val="134"/>
        <sz val="12"/>
        <rFont val="微软雅黑 Light"/>
      </rPr>
      <t xml:space="preserve">
</t>
    </r>
    <r>
      <rPr>
        <b/>
        <charset val="134"/>
        <sz val="12"/>
        <rFont val="微软雅黑 Light"/>
      </rPr>
      <t>移动-2</t>
    </r>
  </si>
  <si>
    <t>*此后合计值每超过一个80，就+1d6伤害加成与+1体型，不足80的按照80算。</t>
  </si>
  <si>
    <t>60+</t>
  </si>
  <si>
    <r>
      <rPr>
        <charset val="134"/>
        <sz val="12"/>
        <rFont val="微软雅黑 Light"/>
      </rPr>
      <t>从</t>
    </r>
    <r>
      <rPr>
        <charset val="134"/>
        <sz val="12"/>
        <color rgb="FFFF0000"/>
        <rFont val="微软雅黑 Light"/>
      </rPr>
      <t>力量</t>
    </r>
    <r>
      <rPr>
        <charset val="134"/>
        <sz val="12"/>
        <rFont val="微软雅黑 Light"/>
      </rPr>
      <t>、</t>
    </r>
    <r>
      <rPr>
        <charset val="134"/>
        <sz val="12"/>
        <color rgb="FF7F5F00"/>
        <rFont val="微软雅黑 Light"/>
      </rPr>
      <t>体质</t>
    </r>
    <r>
      <rPr>
        <charset val="134"/>
        <sz val="12"/>
        <rFont val="微软雅黑 Light"/>
      </rPr>
      <t>、</t>
    </r>
    <r>
      <rPr>
        <charset val="134"/>
        <sz val="12"/>
        <color rgb="FF2F75B6"/>
        <rFont val="微软雅黑 Light"/>
      </rPr>
      <t>敏捷</t>
    </r>
    <r>
      <rPr>
        <charset val="134"/>
        <sz val="12"/>
        <rFont val="微软雅黑 Light"/>
      </rPr>
      <t>里总共-20，</t>
    </r>
    <r>
      <rPr>
        <charset val="134"/>
        <sz val="12"/>
        <color rgb="FFFC17FF"/>
        <rFont val="微软雅黑 Light"/>
      </rPr>
      <t>APP-15</t>
    </r>
    <r>
      <rPr>
        <charset val="134"/>
        <sz val="12"/>
        <rFont val="微软雅黑 Light"/>
      </rPr>
      <t xml:space="preserve">
</t>
    </r>
    <r>
      <rPr>
        <b/>
        <charset val="134"/>
        <sz val="12"/>
        <color rgb="FFD58B43"/>
        <rFont val="微软雅黑 Light"/>
      </rPr>
      <t>之后进行 4 次教育进步</t>
    </r>
    <r>
      <rPr>
        <b/>
        <charset val="134"/>
        <sz val="12"/>
        <rFont val="微软雅黑 Light"/>
      </rPr>
      <t xml:space="preserve">
移动-3</t>
    </r>
  </si>
  <si>
    <t>70+</t>
  </si>
  <si>
    <r>
      <rPr>
        <charset val="134"/>
        <sz val="12"/>
        <rFont val="微软雅黑 Light"/>
      </rPr>
      <t>从</t>
    </r>
    <r>
      <rPr>
        <charset val="134"/>
        <sz val="12"/>
        <color rgb="FFFF0000"/>
        <rFont val="微软雅黑 Light"/>
      </rPr>
      <t>力量</t>
    </r>
    <r>
      <rPr>
        <charset val="134"/>
        <sz val="12"/>
        <rFont val="微软雅黑 Light"/>
      </rPr>
      <t>、</t>
    </r>
    <r>
      <rPr>
        <charset val="134"/>
        <sz val="12"/>
        <color rgb="FF7F5F00"/>
        <rFont val="微软雅黑 Light"/>
      </rPr>
      <t>体质</t>
    </r>
    <r>
      <rPr>
        <charset val="134"/>
        <sz val="12"/>
        <rFont val="微软雅黑 Light"/>
      </rPr>
      <t>、</t>
    </r>
    <r>
      <rPr>
        <charset val="134"/>
        <sz val="12"/>
        <color rgb="FF2F75B6"/>
        <rFont val="微软雅黑 Light"/>
      </rPr>
      <t>敏捷</t>
    </r>
    <r>
      <rPr>
        <charset val="134"/>
        <sz val="12"/>
        <rFont val="微软雅黑 Light"/>
      </rPr>
      <t>里总共-40，</t>
    </r>
    <r>
      <rPr>
        <charset val="134"/>
        <sz val="12"/>
        <color rgb="FFFC17FF"/>
        <rFont val="微软雅黑 Light"/>
      </rPr>
      <t>APP-20</t>
    </r>
    <r>
      <rPr>
        <charset val="134"/>
        <sz val="12"/>
        <rFont val="微软雅黑 Light"/>
      </rPr>
      <t xml:space="preserve">
</t>
    </r>
    <r>
      <rPr>
        <b/>
        <charset val="134"/>
        <sz val="12"/>
        <color rgb="FFD58B43"/>
        <rFont val="微软雅黑 Light"/>
      </rPr>
      <t>之后进行 4 次教育进步</t>
    </r>
    <r>
      <rPr>
        <charset val="134"/>
        <sz val="12"/>
        <rFont val="微软雅黑 Light"/>
      </rPr>
      <t xml:space="preserve">
</t>
    </r>
    <r>
      <rPr>
        <b/>
        <charset val="134"/>
        <sz val="12"/>
        <rFont val="微软雅黑 Light"/>
      </rPr>
      <t>移动-4</t>
    </r>
  </si>
  <si>
    <t xml:space="preserve">   以此类推</t>
  </si>
  <si>
    <t>属性可选规则</t>
  </si>
  <si>
    <t>花费幸运值</t>
  </si>
  <si>
    <t>回复幸运值</t>
  </si>
  <si>
    <t>当一次失败的技能检定出现的时候
PL可以选择消耗
（骰子出目-成功率）的幸运值
来取得成功。
例：PL1的话术技能成功率为60%
但是他使用的时候骰出了76.
这时他如果想消耗幸运值来得到成功那么他将
需要消耗76-60=16的幸运值</t>
  </si>
  <si>
    <t>一次进行了多个技能检定的话
PL只能改变其中一个技能检定的结果</t>
  </si>
  <si>
    <t>在每次游戏之后（After each session of play），每个玩家可以做幸运增强检定，就和技能成长一样。</t>
  </si>
  <si>
    <t>首先骰一个D100，
如果出目大于当前幸运值，则增加1D10的幸运值
如果出目小于等于当前幸运值，则幸运值不改变</t>
  </si>
  <si>
    <t>调查员的幸运值在游戏中也和san值一样会变化
依然和san值一样，他们的初始值在之后都不会再起到作用。并且最大值永远是99。</t>
  </si>
  <si>
    <t>当技能检定失败的时候
PL可以选择孤注一掷或花费幸运值</t>
  </si>
  <si>
    <t>孤注一掷的结果不能消耗幸运值来改变</t>
  </si>
  <si>
    <t>大成功、大失败、枪械故障的结果是必定的
无法被改变</t>
  </si>
  <si>
    <t>使用幸运改变结果的技能不会获得成长标记</t>
  </si>
  <si>
    <t>魔法可选规则</t>
  </si>
  <si>
    <t>克苏鲁神话技能的自发用法</t>
  </si>
  <si>
    <t>对单一目标造成物理伤害</t>
  </si>
  <si>
    <t>驱逐怪物</t>
  </si>
  <si>
    <t>和死者交流</t>
  </si>
  <si>
    <t>克苏鲁知识不仅可以让调查员理解和学习法术。
也可以让其即兴产生一些类似法术的效果：
首先调查员需要向守秘人表达自己希望达到的效果，然后守秘人决定同意或减小该“法术”的效果。
这样使用的难度等级默认为普通难度。</t>
  </si>
  <si>
    <t>右边是一些“即兴法术”的用法示例</t>
  </si>
  <si>
    <t>施法者需要自行选择想要消耗的魔法值点数，并且损失该数值一半的理智值。（向下取整）
之后进行克苏鲁神话与意志的对抗</t>
  </si>
  <si>
    <t>如果对抗胜出</t>
  </si>
  <si>
    <t>施法者需要消耗等于怪物意志五分之一的魔法值与1d3的理智值
之后进行克苏鲁神话与意志的对抗</t>
  </si>
  <si>
    <t>施法者需要消耗10点魔法值与1D10点理智值。效果将会持续数轮。</t>
  </si>
  <si>
    <t>将会对施法目标造成等同于魔法值的伤害</t>
  </si>
  <si>
    <t>将会赶走或驱散目标</t>
  </si>
  <si>
    <t>如果对抗失败</t>
  </si>
  <si>
    <t>当调查员赶到时，查理已经快咽气了。
他们问查理“告诉我们是谁杀了你”，但为时已晚。薇奥莱特的玩家消耗 10 点魔法值和 3 点理智值，并通过了一次「克苏鲁神话」技能检定。
KP 解释道：“你们听见薇奥莱特的喉咙里传来沙哑的查理的话音……”现在其他玩家可以在几轮之内和查理进行对话。
KP 认为说出的信息已经足够，于是说道：“薇奥莱特喉咙里的血液在沸腾……你回来了！但是你感觉很冷，冷得不得了！”</t>
  </si>
  <si>
    <t>魔法和理智白掉了
而且还浪费一轮行动</t>
  </si>
  <si>
    <t>无事发生
而且还浪费一轮行动</t>
  </si>
  <si>
    <t>尼尔森伸出手臂喝道：“呔！死吧！”他手臂上的青筋鼓起来变成紫黑，集中在走近的野兽上。
尼尔森的玩家消耗 8 点魔法值和 4 点理智值，并进行一次「克苏鲁神话」技能检定，获得困难成功（比技能值一半低）。
KP 为目标进行 POW 检定，获得了普通成功——尼尔森胜出了。KP 描述道，野兽的血管炸裂喷出凝固的血液，损失了 8 点耐久值。</t>
  </si>
  <si>
    <t>在莎布-尼古拉丝的子嗣、黑山羊幼崽从树荫中踏步而出时，伊诺克静静地站着，双眼紧闭。
伊诺克有14 点魔法值，若想驱逐这头怪物，他需要消耗 18 点。他照做了，受到 4点伤害（超出的魔法值用耐久值支付）。
他对着这只怪兽低语着奇怪的字眼，睁开眼睛流出了血泪也不去理会。伊诺克的玩家做一次「克苏鲁神话」技能检定，获得普通成功。KP 为黑山羊幼崽进行一次 POW 检定，获得了困难成功——黑山羊幼崽胜出。KP 讲述黑山羊幼崽如何跨步走向伊诺克，而伊诺克魔法值不足，无法孤注一掷，于是掉头逃跑。</t>
  </si>
  <si>
    <t>如果调查员希望用这种方式去影响反抗自己的目标，那么视为他使用克苏鲁神话对抗目标的意志，而不是意志对抗意志。并且KP必须决定魔法值和理智值的消耗。
KP应当斟酌需要消耗多少才能和对抗的法术相似。</t>
  </si>
  <si>
    <t>资产参考表</t>
  </si>
  <si>
    <t>1920S 美国 美元$</t>
  </si>
  <si>
    <t>2010S 中国 软妹币￥</t>
  </si>
  <si>
    <t>2010S 日本 円￥</t>
  </si>
  <si>
    <t>现金</t>
  </si>
  <si>
    <t>身无分文</t>
  </si>
  <si>
    <t>没有</t>
  </si>
  <si>
    <t>本职技能点也可以分配给信用评级，
但要记住信用评级的范围由你的职业决定。
不过这个范围不是强制的，为了符合角色也可以低于或高于这个范围，但不要太过分</t>
  </si>
  <si>
    <t>拮据</t>
  </si>
  <si>
    <t xml:space="preserve"> 1-9</t>
  </si>
  <si>
    <t>CR x 1</t>
  </si>
  <si>
    <t>CR x 10</t>
  </si>
  <si>
    <t>CR × 100</t>
  </si>
  <si>
    <t>CR × 1000</t>
  </si>
  <si>
    <t>CR × 2000</t>
  </si>
  <si>
    <t>CR × 2万</t>
  </si>
  <si>
    <t>标准</t>
  </si>
  <si>
    <t xml:space="preserve">  10-49</t>
  </si>
  <si>
    <t>CR × 2</t>
  </si>
  <si>
    <t>CR × 50</t>
  </si>
  <si>
    <t>CR × 200</t>
  </si>
  <si>
    <t>CR × 5000</t>
  </si>
  <si>
    <t>10-49</t>
  </si>
  <si>
    <t>CR × 4000</t>
  </si>
  <si>
    <t>CR × 15万</t>
  </si>
  <si>
    <t>小康</t>
  </si>
  <si>
    <t>50-89</t>
  </si>
  <si>
    <t>CR × 5</t>
  </si>
  <si>
    <t>CR × 500</t>
  </si>
  <si>
    <t>CR × 4万</t>
  </si>
  <si>
    <t>CR × 12000</t>
  </si>
  <si>
    <t>CR × 100万</t>
  </si>
  <si>
    <t>10万</t>
  </si>
  <si>
    <t>调查员的信用评级初始为０。每个职业都有它特定的信用评级起始点数和增长范围，而玩家在信用评级上的分配也会展现出该调查员不同的风范。</t>
  </si>
  <si>
    <t>富裕</t>
  </si>
  <si>
    <t>90-98</t>
  </si>
  <si>
    <t>CR × 20</t>
  </si>
  <si>
    <t>CR × 3000</t>
  </si>
  <si>
    <t>CR × 25万</t>
  </si>
  <si>
    <t>2万</t>
  </si>
  <si>
    <t>CR × 75000</t>
  </si>
  <si>
    <t>CR × 600万</t>
  </si>
  <si>
    <t>50万</t>
  </si>
  <si>
    <t>富豪</t>
  </si>
  <si>
    <t>5万</t>
  </si>
  <si>
    <t>500万+</t>
  </si>
  <si>
    <t>100万</t>
  </si>
  <si>
    <t>10亿+</t>
  </si>
  <si>
    <t>3000万</t>
  </si>
  <si>
    <t>300亿+</t>
  </si>
  <si>
    <t>200万</t>
  </si>
  <si>
    <t>现代 美国 美元$</t>
  </si>
  <si>
    <t>维多利亚时代 英国 英镑£</t>
  </si>
  <si>
    <t>2010S 澳大利亚 澳元$</t>
  </si>
  <si>
    <t>5先令</t>
  </si>
  <si>
    <t>5便士</t>
  </si>
  <si>
    <t>CR x 20</t>
  </si>
  <si>
    <t>CR x 200</t>
  </si>
  <si>
    <t>CR × 1</t>
  </si>
  <si>
    <t>CR × 10</t>
  </si>
  <si>
    <t>20先令</t>
  </si>
  <si>
    <t>CR × 15</t>
  </si>
  <si>
    <t>CR × 110</t>
  </si>
  <si>
    <t>CR × 40</t>
  </si>
  <si>
    <t>2镑10先令</t>
  </si>
  <si>
    <t>CR × 30</t>
  </si>
  <si>
    <t>CR × 10000</t>
  </si>
  <si>
    <t>CR × 12</t>
  </si>
  <si>
    <t>CR × 75</t>
  </si>
  <si>
    <t>CR × 900</t>
  </si>
  <si>
    <t>CR × 400</t>
  </si>
  <si>
    <t>CR × 40000</t>
  </si>
  <si>
    <t>CR × 350</t>
  </si>
  <si>
    <t>CR × 3万</t>
  </si>
  <si>
    <t>1亿+</t>
  </si>
  <si>
    <t>15万</t>
  </si>
  <si>
    <t>30万+</t>
  </si>
  <si>
    <t>900万+</t>
  </si>
  <si>
    <t>8万</t>
  </si>
  <si>
    <t>12便士=1先令；20先令=1英镑(￡)；未标注单位部分都为镑</t>
  </si>
  <si>
    <t>简单易懂英制的长度单位教学~~~</t>
  </si>
  <si>
    <t>连贫穷都够不上的人才能够叫做身无分文。
住所：大概只有睡大街。
旅行：步行，扒车或逃票上火车轮船。</t>
  </si>
  <si>
    <t>首先基础的基础：英尺
大概有你一个脚掌那么大！什么？不方便比量？
那就你的小臂那么长！    （想不到吧这俩差不多长）
巧的是古代中国的尺就是用小臂做基础的，那块骨头叫尺骨</t>
  </si>
  <si>
    <t>贫穷</t>
  </si>
  <si>
    <t>1英尺(ft)=12英寸(in)</t>
  </si>
  <si>
    <t>刚好买得起最廉价的屋顶，每天能够吃到一餐廉价食物
住所：最最最廉价的出租屋或睡袋旅馆。
旅行：最便宜的公众运输方式。反正只要赶便宜就对了，与之相伴的是不可靠。</t>
  </si>
  <si>
    <t>那么英尺你懂了！接下来是一个更小的单位！
“英寸”！英寸大概就你一个手指那么粗
大概12个手指并排就和你的小臂一样长了
另外因为手指可以弯曲排列，并且方便传达
所以英制单位粗略测物甚至比公制单位更加直观</t>
  </si>
  <si>
    <t>1码(yd)=3英尺</t>
  </si>
  <si>
    <t>舒适的生活水平，一日三餐，偶尔下馆子。
住所：普通的家或公寓，并关租赁还是自购。外出住普通的旅馆。
旅行：会使用普通的旅行方式，不会用最高级。在现代来看，大概会有一辆自己的小车。</t>
  </si>
  <si>
    <t>还记得英尺是多长吗？小臂的长度，但是这边要用的是另一个长度，对就是脚。
三个脚并起来差不多就是1码长，也差不多是一步</t>
  </si>
  <si>
    <t>1英里(mi)=1760码=5280英尺</t>
  </si>
  <si>
    <t>小康级别已经可以享受奢侈品的舒适了。
住所：真材实料的住地，也许会有一些仆人（管家，主妇，清洁工，园丁，等等）。乡下估计还有小别墅。会住昂贵的宾馆。
旅行：头等舱。会买高档车或同等的交通工具。</t>
  </si>
  <si>
    <t>出现了！非整数换算！
为啥1英里是一千七百多步呢
其实最开始罗马定的的确是整数(5000英尺)，
但是吧...不知道是英国人脚小还是罗马人脚大、
传过去就是多了280尺，很气。
嘛，大概记忆成走20分钟那么长就好，
或者这样：一千七、一千八、一千七、一千八(米)</t>
  </si>
  <si>
    <t>富裕级别就是享受超级奢侈品的时候了。
住所：豪华住所和有着大量仆人的庭院（管家，女仆，洗妇，园丁等等）。乡下和别处有着别墅是定番。
住总统套房。
旅行：头等舱。现代社会估摸还会有很多豪车。
没有必要因为调查员的生活水平而花时间详细计算住所、饮食和交通。如果调查员想要进行有意义的购买，请看下面的表。</t>
  </si>
  <si>
    <t>豪富</t>
  </si>
  <si>
    <t>1海里(nmi)=2025.3718285码=1852米</t>
  </si>
  <si>
    <t>与富裕差不多，但钱已经只是一个代号了。你将是世
界上最富有的人。</t>
  </si>
  <si>
    <t>这下可好，这个和那几个单位实际上没啥关系。
他是用子午线定义的
所以你就大概理解为两千步的距离就行(其实没多远)</t>
  </si>
  <si>
    <t>现代物价参考表</t>
  </si>
  <si>
    <t>单位：美元                        这些物价不仅会因为国家、地域不同而不同，也会因为时代变化。所以按此表购物前请先与KP确认是否同意。（守秘人规则书：附录Ⅲ：物价表）</t>
  </si>
  <si>
    <t>男装</t>
  </si>
  <si>
    <t>旅行</t>
  </si>
  <si>
    <t>户外与旅行装备</t>
  </si>
  <si>
    <t>通讯</t>
  </si>
  <si>
    <t>子弹</t>
  </si>
  <si>
    <t>价格</t>
  </si>
  <si>
    <t>每盒(发)</t>
  </si>
  <si>
    <t>定制真丝正装</t>
  </si>
  <si>
    <t>1000+</t>
  </si>
  <si>
    <t>机票  每10英里</t>
  </si>
  <si>
    <t>1.4-9.8</t>
  </si>
  <si>
    <t>4 人用炊具</t>
  </si>
  <si>
    <t>本地电话业务</t>
  </si>
  <si>
    <t>.22 LR</t>
  </si>
  <si>
    <t>羊毛细条纹正装</t>
  </si>
  <si>
    <t>国际航班 每100英里</t>
  </si>
  <si>
    <t>22-28</t>
  </si>
  <si>
    <t>丙烷野炊炉</t>
  </si>
  <si>
    <t>无线电话</t>
  </si>
  <si>
    <t>.220 斯威夫特步枪弹(.220 Swift)</t>
  </si>
  <si>
    <t>人造丝混纺正装</t>
  </si>
  <si>
    <t>火车票  距离：</t>
  </si>
  <si>
    <t>便携化学厕所</t>
  </si>
  <si>
    <t>手机</t>
  </si>
  <si>
    <t>.25 自动手枪子弹（.25 ACP 等)</t>
  </si>
  <si>
    <t>宽松慢跑服</t>
  </si>
  <si>
    <t>50 英里</t>
  </si>
  <si>
    <t>6.25</t>
  </si>
  <si>
    <t>涤纶/ 棉睡袋</t>
  </si>
  <si>
    <t>.30 卡宾枪弹</t>
  </si>
  <si>
    <t>飞行员皮夹克</t>
  </si>
  <si>
    <t>100 英里</t>
  </si>
  <si>
    <t>12.5</t>
  </si>
  <si>
    <t>极地睡袋</t>
  </si>
  <si>
    <t>.30-06 春田式步枪弹</t>
  </si>
  <si>
    <t>皮军大衣</t>
  </si>
  <si>
    <t>500 英里</t>
  </si>
  <si>
    <t>6W 荧光灯</t>
  </si>
  <si>
    <t>.357 马格南子弹</t>
  </si>
  <si>
    <t>大码斜纹衬衫</t>
  </si>
  <si>
    <t>海运（英美)  船舱：</t>
  </si>
  <si>
    <t>防抖双筒望远镜</t>
  </si>
  <si>
    <t>廉价 PC</t>
  </si>
  <si>
    <t>.38 Special</t>
  </si>
  <si>
    <t>双褶直筒裤</t>
  </si>
  <si>
    <t>头等舱</t>
  </si>
  <si>
    <t>3500+</t>
  </si>
  <si>
    <t>求生刀</t>
  </si>
  <si>
    <t>笔记本电脑</t>
  </si>
  <si>
    <t>400+</t>
  </si>
  <si>
    <t>5.56 毫米弹</t>
  </si>
  <si>
    <t>圆领棉毛衣</t>
  </si>
  <si>
    <t>标准仓</t>
  </si>
  <si>
    <t>1600+</t>
  </si>
  <si>
    <t>瑞士军刀</t>
  </si>
  <si>
    <t>高级 PC</t>
  </si>
  <si>
    <t>1500+</t>
  </si>
  <si>
    <t>9 毫米鲁格弹</t>
  </si>
  <si>
    <t>牛仔裤</t>
  </si>
  <si>
    <t>货运船费</t>
  </si>
  <si>
    <t>1400+</t>
  </si>
  <si>
    <t>开山刀</t>
  </si>
  <si>
    <t>高级笔记本</t>
  </si>
  <si>
    <t>1300+</t>
  </si>
  <si>
    <t>.44 马格南子弹</t>
  </si>
  <si>
    <t>船底休闲皮鞋</t>
  </si>
  <si>
    <t>10.5mm 干绳索</t>
  </si>
  <si>
    <t>平板电脑</t>
  </si>
  <si>
    <t>.45 自动手枪子弹(.45 ACP)</t>
  </si>
  <si>
    <t>交叉训练运动鞋</t>
  </si>
  <si>
    <t>机动车</t>
  </si>
  <si>
    <t>手持 GPS</t>
  </si>
  <si>
    <t>邮件管理软件</t>
  </si>
  <si>
    <t>10 号霰弹</t>
  </si>
  <si>
    <t>真丝领带</t>
  </si>
  <si>
    <t>登山装备（单人)</t>
  </si>
  <si>
    <t>12 号霰弹</t>
  </si>
  <si>
    <t>保暖内衣</t>
  </si>
  <si>
    <t>宝马摩托车</t>
  </si>
  <si>
    <t>旅行皮划艇（单人)</t>
  </si>
  <si>
    <t>工具</t>
  </si>
  <si>
    <t>16 号霰弹</t>
  </si>
  <si>
    <t>尼龙泳裤</t>
  </si>
  <si>
    <t>杜卡迪街霸摩托车</t>
  </si>
  <si>
    <t>高级水肺装备</t>
  </si>
  <si>
    <t>$2500+</t>
  </si>
  <si>
    <t>20 号霰弹</t>
  </si>
  <si>
    <t>有袋马甲</t>
  </si>
  <si>
    <t>劳斯莱斯幽灵轿车</t>
  </si>
  <si>
    <t>信号枪</t>
  </si>
  <si>
    <t>60 加仑空气压缩机</t>
  </si>
  <si>
    <t>高级登山鞋</t>
  </si>
  <si>
    <t>阿斯顿马丁</t>
  </si>
  <si>
    <t>五金工具箱(255 件套)</t>
  </si>
  <si>
    <t>火器、配件和近战武器</t>
  </si>
  <si>
    <t>防弹背心</t>
  </si>
  <si>
    <t>凯迪拉克 SUV</t>
  </si>
  <si>
    <t>行李</t>
  </si>
  <si>
    <t>焊接设备</t>
  </si>
  <si>
    <t>宝马 1 系</t>
  </si>
  <si>
    <t>开锁工具</t>
  </si>
  <si>
    <t>非法消音器（手枪)</t>
  </si>
  <si>
    <t>女装</t>
  </si>
  <si>
    <t>雪佛兰科尔维特折篷跑车</t>
  </si>
  <si>
    <t>高级书包（15 盎司)</t>
  </si>
  <si>
    <t>激光瞄准器</t>
  </si>
  <si>
    <t>300+</t>
  </si>
  <si>
    <t>道奇 SUV</t>
  </si>
  <si>
    <t>立式手提袋（5 磅)</t>
  </si>
  <si>
    <t>电子器材</t>
  </si>
  <si>
    <t>光学瞄准镜</t>
  </si>
  <si>
    <t>设计师定制礼服，上身一次</t>
  </si>
  <si>
    <t>500+</t>
  </si>
  <si>
    <t>丰田普锐斯</t>
  </si>
  <si>
    <t>筒状行李袋（5 磅)</t>
  </si>
  <si>
    <t>手持电击器</t>
  </si>
  <si>
    <t>高级真丝垂边礼服</t>
  </si>
  <si>
    <t>福特福克斯</t>
  </si>
  <si>
    <t>民用波段警用无线电扫描仪</t>
  </si>
  <si>
    <t>电击警棍</t>
  </si>
  <si>
    <t>腈纶西服</t>
  </si>
  <si>
    <t>住宿</t>
  </si>
  <si>
    <t>三波段步话机</t>
  </si>
  <si>
    <t>辣椒水</t>
  </si>
  <si>
    <t>编织人造丝长大衣</t>
  </si>
  <si>
    <t>帐篷和野营车</t>
  </si>
  <si>
    <t>雷达天线</t>
  </si>
  <si>
    <t>铝指虎</t>
  </si>
  <si>
    <t>涤纶无褶裤</t>
  </si>
  <si>
    <t>经济汽车旅馆</t>
  </si>
  <si>
    <t>35mm 数码单反相机</t>
  </si>
  <si>
    <t>复合弩</t>
  </si>
  <si>
    <t>600+</t>
  </si>
  <si>
    <t>水洗蓝牛仔裤</t>
  </si>
  <si>
    <t>3 房间家庭帐篷</t>
  </si>
  <si>
    <t>一般旅馆</t>
  </si>
  <si>
    <t>90+</t>
  </si>
  <si>
    <t>袖珍一次性相机</t>
  </si>
  <si>
    <t>弩箭（12 支)</t>
  </si>
  <si>
    <t>机车皮夹克</t>
  </si>
  <si>
    <t>3 人测地帐篷</t>
  </si>
  <si>
    <t>每周（带服务)</t>
  </si>
  <si>
    <t>金属探测器</t>
  </si>
  <si>
    <t>吹箭筒（带镖)</t>
  </si>
  <si>
    <t>羊毛混纺外套</t>
  </si>
  <si>
    <t>温尼贝戈 RV 房车</t>
  </si>
  <si>
    <t>$120000+</t>
  </si>
  <si>
    <t>高级旅馆</t>
  </si>
  <si>
    <t>盖革计数器</t>
  </si>
  <si>
    <t>弹药带</t>
  </si>
  <si>
    <t>纽扣高领毛衣</t>
  </si>
  <si>
    <t>发电机（1500W)</t>
  </si>
  <si>
    <t>大酒店</t>
  </si>
  <si>
    <t>运动感应报警器</t>
  </si>
  <si>
    <t>双节棍</t>
  </si>
  <si>
    <t>时装印花薄毛</t>
  </si>
  <si>
    <t>房子（年租金)</t>
  </si>
  <si>
    <t>20000+</t>
  </si>
  <si>
    <t>红外线周界报警器</t>
  </si>
  <si>
    <t>时装轻舞鞋</t>
  </si>
  <si>
    <t>医疗用品</t>
  </si>
  <si>
    <t>公寓（周租金)</t>
  </si>
  <si>
    <t>$350+</t>
  </si>
  <si>
    <t>电话变声器</t>
  </si>
  <si>
    <t>时装长靴</t>
  </si>
  <si>
    <t>摄像录音笔</t>
  </si>
  <si>
    <t>医疗箱</t>
  </si>
  <si>
    <t>娱乐</t>
  </si>
  <si>
    <t>电话窃听检测器</t>
  </si>
  <si>
    <t>挎包</t>
  </si>
  <si>
    <t>一次性防毒面罩</t>
  </si>
  <si>
    <t>窃听扫描工具</t>
  </si>
  <si>
    <t>弹性氨纶自行车运动服</t>
  </si>
  <si>
    <t>完整急救箱</t>
  </si>
  <si>
    <t>LED 电视机</t>
  </si>
  <si>
    <t>穿戴式偷拍摄像头</t>
  </si>
  <si>
    <t>烧伤急救工具</t>
  </si>
  <si>
    <t>3D 电视机</t>
  </si>
  <si>
    <t>2000+</t>
  </si>
  <si>
    <t>隐蔽录音设备</t>
  </si>
  <si>
    <t>便携氧气瓶</t>
  </si>
  <si>
    <t>电影</t>
  </si>
  <si>
    <t>窃听设备</t>
  </si>
  <si>
    <t>流行音乐会</t>
  </si>
  <si>
    <t>夜视仪</t>
  </si>
  <si>
    <t>职业美式足球赛（次座)</t>
  </si>
  <si>
    <t>芭蕾舞演出（次座)</t>
  </si>
  <si>
    <t>1920年代物价参考表</t>
  </si>
  <si>
    <t>将1920的物价大概翻个20倍就是现代物价了</t>
  </si>
  <si>
    <t>帐篷</t>
  </si>
  <si>
    <t>酒水</t>
  </si>
  <si>
    <t>枪械子弹（现代见上表）</t>
  </si>
  <si>
    <t>现代换算</t>
  </si>
  <si>
    <t>精纺毛料礼服</t>
  </si>
  <si>
    <t>炊具箱</t>
  </si>
  <si>
    <t>7平方英尺</t>
  </si>
  <si>
    <t>劣质杜松子酒（少量)</t>
  </si>
  <si>
    <t>开司米礼服</t>
  </si>
  <si>
    <t>野炊炉</t>
  </si>
  <si>
    <t>12×16英尺</t>
  </si>
  <si>
    <t>鸡尾酒</t>
  </si>
  <si>
    <t>.22 中空弹</t>
  </si>
  <si>
    <t>马海毛礼服西装</t>
  </si>
  <si>
    <t>真空杯</t>
  </si>
  <si>
    <t>16×24英尺</t>
  </si>
  <si>
    <t>红酒（杯)</t>
  </si>
  <si>
    <t>.25 凸缘式底火子弹</t>
  </si>
  <si>
    <t>灯芯绒诺福克夹克</t>
  </si>
  <si>
    <t>折叠浴缸</t>
  </si>
  <si>
    <t>防水布 24×36 英尺</t>
  </si>
  <si>
    <t>啤酒（杯)</t>
  </si>
  <si>
    <t>.30-06 春田式步枪子弹</t>
  </si>
  <si>
    <t>林场连衫裤</t>
  </si>
  <si>
    <t>防水毯(58'×96', 147×244cm)</t>
  </si>
  <si>
    <t>7×7 英尺汽车帐篷</t>
  </si>
  <si>
    <t>威士忌（杯)</t>
  </si>
  <si>
    <t>.32 温彻斯特 Special</t>
  </si>
  <si>
    <t>风衣</t>
  </si>
  <si>
    <t>9.95-35</t>
  </si>
  <si>
    <t>199-700</t>
  </si>
  <si>
    <t>行军床</t>
  </si>
  <si>
    <t>13.5 寸铁质帐篷桩(12 支)</t>
  </si>
  <si>
    <t>可口可乐(340毫升)</t>
  </si>
  <si>
    <t>.32-20 自动步枪子弹</t>
  </si>
  <si>
    <t>狗皮大衣</t>
  </si>
  <si>
    <t>电石灯（光束 300')</t>
  </si>
  <si>
    <t>车载床铺(auto bed)</t>
  </si>
  <si>
    <t>.38 短头弹</t>
  </si>
  <si>
    <t>切斯特菲尔德大衣(软领长大衣)</t>
  </si>
  <si>
    <t>罐装电石（2 磅)</t>
  </si>
  <si>
    <t>液体容器</t>
  </si>
  <si>
    <t>食材</t>
  </si>
  <si>
    <t>.38-55自动步枪子弹</t>
  </si>
  <si>
    <t>牛津式皮鞋</t>
  </si>
  <si>
    <t>探照灯</t>
  </si>
  <si>
    <t>水壶（946 毫升)</t>
  </si>
  <si>
    <t>名称  （每磅）</t>
  </si>
  <si>
    <t>.44 大威力手枪弹</t>
  </si>
  <si>
    <t>革制工作鞋</t>
  </si>
  <si>
    <t>汽油灯（内置油泵)</t>
  </si>
  <si>
    <t>保温水箱（18.9 升)</t>
  </si>
  <si>
    <t>糖渍培根</t>
  </si>
  <si>
    <t>.45 自动手枪子弹</t>
  </si>
  <si>
    <t>白色法兰绒宽松长裤</t>
  </si>
  <si>
    <t>煤油灯</t>
  </si>
  <si>
    <t>水袋（3.8 升)</t>
  </si>
  <si>
    <t>炖牛肉</t>
  </si>
  <si>
    <t>花边马裤</t>
  </si>
  <si>
    <t>带遮光装置的提灯</t>
  </si>
  <si>
    <t>水袋（7.6 升)</t>
  </si>
  <si>
    <t>博洛尼亚香肠、法兰克福香肠</t>
  </si>
  <si>
    <t>密织棉布衬衫</t>
  </si>
  <si>
    <t>0.79-1.25</t>
  </si>
  <si>
    <t>15.8-25</t>
  </si>
  <si>
    <t>手电筒</t>
  </si>
  <si>
    <t>1.35-2.25</t>
  </si>
  <si>
    <t>27-45</t>
  </si>
  <si>
    <t>水袋（18.9 升)</t>
  </si>
  <si>
    <t>布鲁克菲尔德牌黄油</t>
  </si>
  <si>
    <t>细平布礼服衬衫</t>
  </si>
  <si>
    <t>电池</t>
  </si>
  <si>
    <t>无花果酱夹馅曲奇</t>
  </si>
  <si>
    <t>运动羊毛衫</t>
  </si>
  <si>
    <t>笔型手电筒</t>
  </si>
  <si>
    <t>熏小牛火腿</t>
  </si>
  <si>
    <t>费多拉帽</t>
  </si>
  <si>
    <t>一次性信号火炬</t>
  </si>
  <si>
    <t>羊腿</t>
  </si>
  <si>
    <t>毛料高尔夫帽</t>
  </si>
  <si>
    <t>单筒望远镜</t>
  </si>
  <si>
    <t>阿司匹林（12 片)</t>
  </si>
  <si>
    <t>斯威夫特牌精炼猪油</t>
  </si>
  <si>
    <t>草帽</t>
  </si>
  <si>
    <t>野外望远镜（3 ～ 6 倍)</t>
  </si>
  <si>
    <t>6-23</t>
  </si>
  <si>
    <t>120-460</t>
  </si>
  <si>
    <t>泻盐（硫酸镁)/每磅</t>
  </si>
  <si>
    <t>柑橘</t>
  </si>
  <si>
    <t>有衬垫的革制橄榄球头盔</t>
  </si>
  <si>
    <t>双筒望远镜</t>
  </si>
  <si>
    <t>消化不良药</t>
  </si>
  <si>
    <t>加州西梅</t>
  </si>
  <si>
    <t>运动衫（恤)</t>
  </si>
  <si>
    <t>宝石指南针</t>
  </si>
  <si>
    <t>Nature's Remedy 牌轻泻剂</t>
  </si>
  <si>
    <t>大米</t>
  </si>
  <si>
    <t>海豹皮帽</t>
  </si>
  <si>
    <t>有盖指南针</t>
  </si>
  <si>
    <t>医药箱</t>
  </si>
  <si>
    <t>胡萝卜(每束)</t>
  </si>
  <si>
    <t>12 号单管霰弹枪组件</t>
  </si>
  <si>
    <t>真丝四手结领带</t>
  </si>
  <si>
    <t>可拆卸的钓竿滑轮组合</t>
  </si>
  <si>
    <t>手术镊套装</t>
  </si>
  <si>
    <t>桃子（每篮）</t>
  </si>
  <si>
    <t>12 号双管霰弹枪组件</t>
  </si>
  <si>
    <t>麻包线</t>
  </si>
  <si>
    <t>手术刀套装</t>
  </si>
  <si>
    <t>玉米（每个）</t>
  </si>
  <si>
    <t>手枪附加弹夹</t>
  </si>
  <si>
    <t>蝴蝶领结</t>
  </si>
  <si>
    <t>计步器</t>
  </si>
  <si>
    <t>皮下注射器</t>
  </si>
  <si>
    <t>生菜（每个）</t>
  </si>
  <si>
    <t>吊袜带</t>
  </si>
  <si>
    <t>重型帆布背包</t>
  </si>
  <si>
    <t>喷雾器</t>
  </si>
  <si>
    <t>鸡蛋（每12个）</t>
  </si>
  <si>
    <t>近战武器</t>
  </si>
  <si>
    <t>棉质连衫裤</t>
  </si>
  <si>
    <t>15 小时蜡烛（12 支)</t>
  </si>
  <si>
    <t>纱布绷带（5 码)</t>
  </si>
  <si>
    <t>西红柿（每罐）</t>
  </si>
  <si>
    <t>袖扣</t>
  </si>
  <si>
    <t>防水盒装火柴</t>
  </si>
  <si>
    <t>医用温度计</t>
  </si>
  <si>
    <t>进口橄榄油（1.9升）</t>
  </si>
  <si>
    <t>西洋剑</t>
  </si>
  <si>
    <t>皮带</t>
  </si>
  <si>
    <t>利刃</t>
  </si>
  <si>
    <t>医用酒精( 1.89 升)</t>
  </si>
  <si>
    <t>豌豆（2.2升）</t>
  </si>
  <si>
    <t>刺刀</t>
  </si>
  <si>
    <t>背带</t>
  </si>
  <si>
    <t>猎刀</t>
  </si>
  <si>
    <t>硬橡胶针筒</t>
  </si>
  <si>
    <t>土豆（4.4升）</t>
  </si>
  <si>
    <t>匕首</t>
  </si>
  <si>
    <t>登山靴</t>
  </si>
  <si>
    <t>双刃折刀</t>
  </si>
  <si>
    <t>便盆</t>
  </si>
  <si>
    <t>直刀剃刀</t>
  </si>
  <si>
    <t>0.65-5.25</t>
  </si>
  <si>
    <t>13-105</t>
  </si>
  <si>
    <t>钉鞋</t>
  </si>
  <si>
    <t>手斧</t>
  </si>
  <si>
    <t>轮椅</t>
  </si>
  <si>
    <t>外出用餐</t>
  </si>
  <si>
    <t>铜指虎</t>
  </si>
  <si>
    <t>泳衣</t>
  </si>
  <si>
    <t>陷阱</t>
  </si>
  <si>
    <t>枫木拐杖</t>
  </si>
  <si>
    <t>警棍(12英寸)</t>
  </si>
  <si>
    <t>帆布拖鞋</t>
  </si>
  <si>
    <t>小型动物陷阱（小型捕兽笼)</t>
  </si>
  <si>
    <t>橡皮膏</t>
  </si>
  <si>
    <t>大餐(每人)</t>
  </si>
  <si>
    <t>马鞭</t>
  </si>
  <si>
    <t>螺旋弹簧动物陷阱( 弹簧捕兽夹)</t>
  </si>
  <si>
    <t>金属足弓支撑垫</t>
  </si>
  <si>
    <t>早餐</t>
  </si>
  <si>
    <t>4 磅伐木斧</t>
  </si>
  <si>
    <t>捕熊陷阱</t>
  </si>
  <si>
    <t>皮革护踝</t>
  </si>
  <si>
    <t>午餐</t>
  </si>
  <si>
    <t>16 英尺 牛鞭</t>
  </si>
  <si>
    <t>船只</t>
  </si>
  <si>
    <t>正餐</t>
  </si>
  <si>
    <t>定制时装礼服</t>
  </si>
  <si>
    <t>1800+</t>
  </si>
  <si>
    <t>钢质划艇（4 人)</t>
  </si>
  <si>
    <t>化妆品、卫生用品</t>
  </si>
  <si>
    <t>1920 年代黑市武器</t>
  </si>
  <si>
    <t>真丝绉绸礼服</t>
  </si>
  <si>
    <t>划艇用 2 马力引擎</t>
  </si>
  <si>
    <t>塔夫绸礼服</t>
  </si>
  <si>
    <t>帆布和木质独木舟</t>
  </si>
  <si>
    <t>化妆盒</t>
  </si>
  <si>
    <t>汤普森冲锋枪</t>
  </si>
  <si>
    <t>1d6×50</t>
  </si>
  <si>
    <t>查米尤斯绉缎礼服</t>
  </si>
  <si>
    <t>男士洗漱用具（10 件)</t>
  </si>
  <si>
    <t>工具套装（20 件套)</t>
  </si>
  <si>
    <t>.30 口径机枪</t>
  </si>
  <si>
    <t>1d100×50</t>
  </si>
  <si>
    <t>花格布连衣裙</t>
  </si>
  <si>
    <t>旅行（现代见上表）</t>
  </si>
  <si>
    <t>女士洗漱用具（15 件)</t>
  </si>
  <si>
    <t>手钻（附 8 件套钻头)</t>
  </si>
  <si>
    <t>.30 口径穿甲弹 每500颗</t>
  </si>
  <si>
    <t>法式棱纹布礼服</t>
  </si>
  <si>
    <t>航空</t>
  </si>
  <si>
    <t>染发剂</t>
  </si>
  <si>
    <t>大型铁滑轮</t>
  </si>
  <si>
    <t>.50 口径水冷式机枪</t>
  </si>
  <si>
    <t>1D100×30+300</t>
  </si>
  <si>
    <t>丝质百褶裙，</t>
  </si>
  <si>
    <t>平均机票价格  每10英里</t>
  </si>
  <si>
    <t>卷发棒，小卷</t>
  </si>
  <si>
    <t>挂锁</t>
  </si>
  <si>
    <t>.50 口径穿甲弹 每500颗</t>
  </si>
  <si>
    <t>棉质女衬衫</t>
  </si>
  <si>
    <t>国际航班价格 每100英里</t>
  </si>
  <si>
    <t>发梳</t>
  </si>
  <si>
    <t>绳索（50 英尺)</t>
  </si>
  <si>
    <t>60mm 野战迫击炮</t>
  </si>
  <si>
    <t>1d6×200</t>
  </si>
  <si>
    <t>精纺毛衣</t>
  </si>
  <si>
    <t>瑟布莱斯复翼教练机</t>
  </si>
  <si>
    <t>法兰绒发网</t>
  </si>
  <si>
    <t>轻绞链（每英尺)</t>
  </si>
  <si>
    <t>60mm 榴弹</t>
  </si>
  <si>
    <t>棉绉纱便服</t>
  </si>
  <si>
    <t>Travel Air 2000 复翼机</t>
  </si>
  <si>
    <t>李施德林牌漱口水</t>
  </si>
  <si>
    <t>修表工具箱</t>
  </si>
  <si>
    <t>60mm 照明弹（亮如白昼）</t>
  </si>
  <si>
    <t>巴黎式高跟鞋</t>
  </si>
  <si>
    <t>铁路</t>
  </si>
  <si>
    <t>椰油洗发液</t>
  </si>
  <si>
    <t>撬棍</t>
  </si>
  <si>
    <t>75mm 野战火炮</t>
  </si>
  <si>
    <t>1D100×100+800</t>
  </si>
  <si>
    <t>皮制单带拖鞋</t>
  </si>
  <si>
    <t>肥皂（12 块)</t>
  </si>
  <si>
    <t>手锯</t>
  </si>
  <si>
    <t>75mm 穿甲弹或照明弹</t>
  </si>
  <si>
    <t>天鹅绒暖帽</t>
  </si>
  <si>
    <t>爽身粉</t>
  </si>
  <si>
    <t>汽油喷灯</t>
  </si>
  <si>
    <t>稀有或非法的武器可以在黑市入手。购买流程是找到卖家，谈妥价钱，钱货交易，拿货走人。交易可能会被警察干涉，卖家也可能试图打劫或杀死买家。</t>
  </si>
  <si>
    <t>软缎无檐帽</t>
  </si>
  <si>
    <t>白速得牌牙膏</t>
  </si>
  <si>
    <t>电工手套</t>
  </si>
  <si>
    <t>人造丝弹性紧身胸衣</t>
  </si>
  <si>
    <t>航海（英美)</t>
  </si>
  <si>
    <t>高空作业工具腰带和安全带</t>
  </si>
  <si>
    <t>绣花连衣长衬裙</t>
  </si>
  <si>
    <t>头等舱（单程）</t>
  </si>
  <si>
    <t>抓绳器</t>
  </si>
  <si>
    <t>长筒丝袜（3 双)</t>
  </si>
  <si>
    <t>头等舱（往返）</t>
  </si>
  <si>
    <t>首饰加工工具 48 件套</t>
  </si>
  <si>
    <t>丝织灯笼裤</t>
  </si>
  <si>
    <t>3.98-4.98</t>
  </si>
  <si>
    <t>79.6-99.6</t>
  </si>
  <si>
    <t>统舱</t>
  </si>
  <si>
    <t>诺顿摩托车</t>
  </si>
  <si>
    <t>砂轮机</t>
  </si>
  <si>
    <t>粗呢夹克，备全衬</t>
  </si>
  <si>
    <t>其他特殊</t>
  </si>
  <si>
    <t>别克 D-45</t>
  </si>
  <si>
    <t>工兵铲</t>
  </si>
  <si>
    <t>毛皮饰边的天鹅绒大衣</t>
  </si>
  <si>
    <t>四人热气球</t>
  </si>
  <si>
    <t>KP决定</t>
  </si>
  <si>
    <t>凯迪拉克 55</t>
  </si>
  <si>
    <t>家庭用工具箱</t>
  </si>
  <si>
    <t>棕色狐皮大衣</t>
  </si>
  <si>
    <t>有轨电车票</t>
  </si>
  <si>
    <t>雪佛兰 Capitol</t>
  </si>
  <si>
    <t>棉质束腰风衣</t>
  </si>
  <si>
    <t>公交车票</t>
  </si>
  <si>
    <t>克莱斯勒 F-58</t>
  </si>
  <si>
    <t>调查工具</t>
  </si>
  <si>
    <t>绢束腰风衣</t>
  </si>
  <si>
    <t>道奇 S/1</t>
  </si>
  <si>
    <t>真丝手袋</t>
  </si>
  <si>
    <t>房产</t>
  </si>
  <si>
    <t>杜森堡 J 型车</t>
  </si>
  <si>
    <t>手铐</t>
  </si>
  <si>
    <t>装饰发梳</t>
  </si>
  <si>
    <t>福特 T 型车</t>
  </si>
  <si>
    <t>手铐备用钥匙</t>
  </si>
  <si>
    <t>乡村大宅(13 房间, 2 马棚)</t>
  </si>
  <si>
    <t>40万+</t>
  </si>
  <si>
    <t>福特 A 型车</t>
  </si>
  <si>
    <t>警哨</t>
  </si>
  <si>
    <t>户外服饰</t>
  </si>
  <si>
    <t>大型房屋（10 房间)</t>
  </si>
  <si>
    <t>7000+</t>
  </si>
  <si>
    <t>14万+</t>
  </si>
  <si>
    <t>哈德孙 Super Six J 系列</t>
  </si>
  <si>
    <t>电话录音机</t>
  </si>
  <si>
    <t>城镇房屋(6 房间)</t>
  </si>
  <si>
    <t>4000-8000</t>
  </si>
  <si>
    <t>8万-16万</t>
  </si>
  <si>
    <t>奥兹摩比 43-AT</t>
  </si>
  <si>
    <t>钢丝录音机</t>
  </si>
  <si>
    <t>古董</t>
  </si>
  <si>
    <t>卡其牛仔布</t>
  </si>
  <si>
    <t>普通房屋（8 房间)</t>
  </si>
  <si>
    <t>2900+</t>
  </si>
  <si>
    <t>3.8万+</t>
  </si>
  <si>
    <t>帕卡德双六缸房车</t>
  </si>
  <si>
    <t>腕表</t>
  </si>
  <si>
    <t>毛呢或亚麻</t>
  </si>
  <si>
    <t>平房（4 房间)</t>
  </si>
  <si>
    <t>皮尔斯箭</t>
  </si>
  <si>
    <t>金怀表</t>
  </si>
  <si>
    <t>短衬裤</t>
  </si>
  <si>
    <t>预设房屋</t>
  </si>
  <si>
    <t>庞帝克 6-28 轿车</t>
  </si>
  <si>
    <t>自来水笔</t>
  </si>
  <si>
    <t>Clyde（6 房间)</t>
  </si>
  <si>
    <t>斯图贝克标准/ 独裁者</t>
  </si>
  <si>
    <t>自动铅笔</t>
  </si>
  <si>
    <t>灰色毛呢</t>
  </si>
  <si>
    <t>Columbine（8 房间)</t>
  </si>
  <si>
    <t>雪佛兰敞篷车</t>
  </si>
  <si>
    <t>写字板</t>
  </si>
  <si>
    <t>白色亚麻</t>
  </si>
  <si>
    <t>Honor（9 房间)</t>
  </si>
  <si>
    <t>哈德森面包车（限载 7 人)</t>
  </si>
  <si>
    <t>紧身衣</t>
  </si>
  <si>
    <t>卡其紧身裤</t>
  </si>
  <si>
    <t>Atlanta（24 房间公寓)</t>
  </si>
  <si>
    <t>斯图贝克房车（限载 5 人)</t>
  </si>
  <si>
    <t>画板</t>
  </si>
  <si>
    <t>户外靴</t>
  </si>
  <si>
    <t>1920 年二手雪佛兰 F.B. 轿车</t>
  </si>
  <si>
    <t>全套潜水装备</t>
  </si>
  <si>
    <t>1917 年二手别克</t>
  </si>
  <si>
    <t>雷明顿牌打字机</t>
  </si>
  <si>
    <t>泳帽</t>
  </si>
  <si>
    <t>名称（每晚）</t>
  </si>
  <si>
    <t>雪佛兰皮卡，1929 年</t>
  </si>
  <si>
    <t>哈里斯牌打字机</t>
  </si>
  <si>
    <t>普通旅馆</t>
  </si>
  <si>
    <t>道奇半吨小卡车，1919 年</t>
  </si>
  <si>
    <t>便携显微镜</t>
  </si>
  <si>
    <t>泵式鞋（船形高跟鞋)</t>
  </si>
  <si>
    <t>每周（包括服务）</t>
  </si>
  <si>
    <t>福特 TT 卡车，1927 年</t>
  </si>
  <si>
    <t>110倍桌上显微镜</t>
  </si>
  <si>
    <t>廉价小旅馆</t>
  </si>
  <si>
    <t>英国宾利 3 升型</t>
  </si>
  <si>
    <t>落地保险柜（3英尺高/431kg）</t>
  </si>
  <si>
    <t>德国宝马迪克西</t>
  </si>
  <si>
    <t>雨伞</t>
  </si>
  <si>
    <t>每周（包括服务)</t>
  </si>
  <si>
    <t>法国雪铁龙 C3</t>
  </si>
  <si>
    <t>土耳其水烟斗</t>
  </si>
  <si>
    <t>手提包        8 磅</t>
  </si>
  <si>
    <t>豪华宾馆</t>
  </si>
  <si>
    <t>30+</t>
  </si>
  <si>
    <t>西班牙希斯帕诺- 苏扎 阿方索</t>
  </si>
  <si>
    <t>一包香烟</t>
  </si>
  <si>
    <t>手提箱       15 磅</t>
  </si>
  <si>
    <t>YMCA（基督教青年会) 有家具</t>
  </si>
  <si>
    <t>意大利蓝旗亚 兰姆达214</t>
  </si>
  <si>
    <t>一盒雪茄</t>
  </si>
  <si>
    <t>扁行李箱     55 磅</t>
  </si>
  <si>
    <t>租房</t>
  </si>
  <si>
    <t>德国梅塞迪斯- 奔驰 SS</t>
  </si>
  <si>
    <t>全本词典</t>
  </si>
  <si>
    <t>衣橱式行李箱 95 磅</t>
  </si>
  <si>
    <t>大型房屋（每年)</t>
  </si>
  <si>
    <t>法国雷诺 AX</t>
  </si>
  <si>
    <t>十卷百科全书</t>
  </si>
  <si>
    <t>衣橱式行李箱 115 磅</t>
  </si>
  <si>
    <t>中型房屋（每月）</t>
  </si>
  <si>
    <t>英国劳斯莱斯：银魅</t>
  </si>
  <si>
    <t>湿海绵口罩</t>
  </si>
  <si>
    <t>黑漆皮旅行箱</t>
  </si>
  <si>
    <t>度假别墅（每季）</t>
  </si>
  <si>
    <t>英国劳斯莱斯：幻影Ⅰ型</t>
  </si>
  <si>
    <t>三透镜便携放大镜（7-30倍）</t>
  </si>
  <si>
    <t>公寓楼（每周）</t>
  </si>
  <si>
    <t>汽车配件</t>
  </si>
  <si>
    <t>《圣经》</t>
  </si>
  <si>
    <t>一般公寓（每周）</t>
  </si>
  <si>
    <t>轮胎</t>
  </si>
  <si>
    <t>公文包</t>
  </si>
  <si>
    <t>高级公寓（每周）</t>
  </si>
  <si>
    <t>轮胎修理工具</t>
  </si>
  <si>
    <t>地球仪</t>
  </si>
  <si>
    <t>电报：12字以内</t>
  </si>
  <si>
    <t>业务取消</t>
  </si>
  <si>
    <t>轮胎雪地防滑链</t>
  </si>
  <si>
    <t>折叠书桌</t>
  </si>
  <si>
    <t>每加一字</t>
  </si>
  <si>
    <t>家具</t>
  </si>
  <si>
    <t>千斤顶</t>
  </si>
  <si>
    <t>玻璃门书橱（200本）</t>
  </si>
  <si>
    <t>国际电报每字</t>
  </si>
  <si>
    <t>电瓶</t>
  </si>
  <si>
    <t>婴儿推车</t>
  </si>
  <si>
    <t>邮费：每28克</t>
  </si>
  <si>
    <t>法国竹片扶手椅</t>
  </si>
  <si>
    <t>散热器</t>
  </si>
  <si>
    <t>化学灭火器</t>
  </si>
  <si>
    <t>明信片</t>
  </si>
  <si>
    <t>100-400</t>
  </si>
  <si>
    <t>摇椅</t>
  </si>
  <si>
    <t>替换汽车头灯</t>
  </si>
  <si>
    <t>修表眼镜</t>
  </si>
  <si>
    <t>台式收音机</t>
  </si>
  <si>
    <t>书桌</t>
  </si>
  <si>
    <t>便携气泵</t>
  </si>
  <si>
    <t>座机（桥式）</t>
  </si>
  <si>
    <t>东方式地毯</t>
  </si>
  <si>
    <t>400-1000</t>
  </si>
  <si>
    <t>聚光灯（※ 雾灯)</t>
  </si>
  <si>
    <t>运动与游戏</t>
  </si>
  <si>
    <t>发报机</t>
  </si>
  <si>
    <t>胡桃木卧室组合家具</t>
  </si>
  <si>
    <t>车载行李架</t>
  </si>
  <si>
    <t>报纸</t>
  </si>
  <si>
    <t>胡桃木厨房组合家具</t>
  </si>
  <si>
    <t>陶土弹珠（150 颗)</t>
  </si>
  <si>
    <t>马海毛软垫客厅组合家具</t>
  </si>
  <si>
    <t>玻璃弹珠（25 颗)</t>
  </si>
  <si>
    <t>家用电器等</t>
  </si>
  <si>
    <t>棒球手套</t>
  </si>
  <si>
    <t>电扇</t>
  </si>
  <si>
    <t>电影票，有座</t>
  </si>
  <si>
    <t>棒球棒</t>
  </si>
  <si>
    <t>52 件套餐具</t>
  </si>
  <si>
    <t>五分电影票</t>
  </si>
  <si>
    <t>棒球接球手面罩与护具</t>
  </si>
  <si>
    <t>玻璃罩灯具</t>
  </si>
  <si>
    <t>职业棒球比赛</t>
  </si>
  <si>
    <t>棒球</t>
  </si>
  <si>
    <t>煤气灶</t>
  </si>
  <si>
    <t>音乐会（普通座)</t>
  </si>
  <si>
    <t>篮球</t>
  </si>
  <si>
    <t>冰箱</t>
  </si>
  <si>
    <t>音乐会（包厢)</t>
  </si>
  <si>
    <t>橄榄球</t>
  </si>
  <si>
    <t>吸尘器</t>
  </si>
  <si>
    <t>留声机/照相机</t>
  </si>
  <si>
    <t>轮滑鞋</t>
  </si>
  <si>
    <t>洗衣机</t>
  </si>
  <si>
    <t>柜式留声机</t>
  </si>
  <si>
    <t>网球拍带球（3 枚)</t>
  </si>
  <si>
    <t>留声机唱片</t>
  </si>
  <si>
    <t>新手高尔夫套装（带包)</t>
  </si>
  <si>
    <t>布朗尼盒式相机</t>
  </si>
  <si>
    <t>2.29-4.49</t>
  </si>
  <si>
    <t>专业钢质高尔夫球棒</t>
  </si>
  <si>
    <t>胶卷（24 张)</t>
  </si>
  <si>
    <t>高尔夫球包</t>
  </si>
  <si>
    <t>大学学费（学期)</t>
  </si>
  <si>
    <t>275-480</t>
  </si>
  <si>
    <t>5500-9600</t>
  </si>
  <si>
    <t>胶片显影工具</t>
  </si>
  <si>
    <t>拳击手套</t>
  </si>
  <si>
    <t>学生食宿（年)</t>
  </si>
  <si>
    <t>350-520</t>
  </si>
  <si>
    <t>7000-10400</t>
  </si>
  <si>
    <t>柯达可折叠一号相机</t>
  </si>
  <si>
    <t>4.25-28.00</t>
  </si>
  <si>
    <t>5 磅哑铃（一对)</t>
  </si>
  <si>
    <t>教材（学期</t>
  </si>
  <si>
    <t>伊斯曼商用相机</t>
  </si>
  <si>
    <t>竹撑竿，12 英尺</t>
  </si>
  <si>
    <t>16mm 电影胶片与放映机</t>
  </si>
  <si>
    <t>纸牌</t>
  </si>
  <si>
    <t>便携式摄像机</t>
  </si>
  <si>
    <t>通灵板（美国版碟仙)</t>
  </si>
  <si>
    <t>多米诺骨牌</t>
  </si>
  <si>
    <t>四弦班卓琴</t>
  </si>
  <si>
    <t>象棋</t>
  </si>
  <si>
    <t>黄铜萨克斯</t>
  </si>
  <si>
    <t>自行车</t>
  </si>
  <si>
    <t>手风琴</t>
  </si>
  <si>
    <t>门球球具</t>
  </si>
  <si>
    <t>尤克里里（带配件)</t>
  </si>
  <si>
    <t>台球杆</t>
  </si>
  <si>
    <t>吉他（带配件)</t>
  </si>
  <si>
    <t>麻将桌</t>
  </si>
  <si>
    <t>小提琴（带配件)</t>
  </si>
  <si>
    <t>军号</t>
  </si>
  <si>
    <t>风琴</t>
  </si>
  <si>
    <t>自动钢琴</t>
  </si>
  <si>
    <t>武器类型</t>
  </si>
  <si>
    <t>每轮</t>
  </si>
  <si>
    <t>常见时代</t>
  </si>
  <si>
    <t>价格20s/现代($)</t>
  </si>
  <si>
    <t>发明时间</t>
  </si>
  <si>
    <t>弓箭</t>
  </si>
  <si>
    <t>1D6+半DB</t>
  </si>
  <si>
    <t>30码</t>
  </si>
  <si>
    <t>1</t>
  </si>
  <si>
    <t>97</t>
  </si>
  <si>
    <t>1920s,现代</t>
  </si>
  <si>
    <t>7/75</t>
  </si>
  <si>
    <t>电锯：非常难操作的武器。大失败概率加倍；大失败的情况非常糟糕，可能会锁住使用者的头肩，或者直接切向他们的腿脚，而对使用者造成 2D8 点伤害。或者链条会断裂并缠在使用者的躯干上（2D8 伤害)。故障值可能导致链锯的电机停转、锯条堵塞或脱链。受到链锯的重伤会随机丧失一条肢体。</t>
  </si>
  <si>
    <t>1D6+[DB]/2</t>
  </si>
  <si>
    <t>黄铜指虎</t>
  </si>
  <si>
    <t>1D3+1+DB</t>
  </si>
  <si>
    <t>接触</t>
  </si>
  <si>
    <t>1/10</t>
  </si>
  <si>
    <t>1D3+1+[DB]</t>
  </si>
  <si>
    <t>长鞭</t>
  </si>
  <si>
    <t>1D3+半DB</t>
  </si>
  <si>
    <t>10英尺</t>
  </si>
  <si>
    <t>5/50</t>
  </si>
  <si>
    <t>1D3+[DB]/2</t>
  </si>
  <si>
    <t>燃烧的火把</t>
  </si>
  <si>
    <t>1D6+燃烧</t>
  </si>
  <si>
    <t>0.05/0.5</t>
  </si>
  <si>
    <t>1D6</t>
  </si>
  <si>
    <t>2D8</t>
  </si>
  <si>
    <t>95</t>
  </si>
  <si>
    <t>——/300</t>
  </si>
  <si>
    <t>1926年</t>
  </si>
  <si>
    <t>1D8+DB</t>
  </si>
  <si>
    <t>2/15</t>
  </si>
  <si>
    <t>1940年</t>
  </si>
  <si>
    <t>1D8+[DB]</t>
  </si>
  <si>
    <t>大型棍状物(棒球棍、板球棒、拨火棍等)</t>
  </si>
  <si>
    <t>3/35</t>
  </si>
  <si>
    <t>小型棍状物(警棍等)</t>
  </si>
  <si>
    <t>1D6+DB</t>
  </si>
  <si>
    <t>1D6+[DB]</t>
  </si>
  <si>
    <t>弩</t>
  </si>
  <si>
    <t>1D8+2</t>
  </si>
  <si>
    <t>50码</t>
  </si>
  <si>
    <t>1/2</t>
  </si>
  <si>
    <t>96</t>
  </si>
  <si>
    <t>10/100</t>
  </si>
  <si>
    <t>0.5/3</t>
  </si>
  <si>
    <t>手斧/镰刀</t>
  </si>
  <si>
    <t>1D6+1+DB</t>
  </si>
  <si>
    <t>3/9</t>
  </si>
  <si>
    <t>1D6+1+[DB]</t>
  </si>
  <si>
    <t>大型刀具(甘蔗刀等)</t>
  </si>
  <si>
    <t>4/50</t>
  </si>
  <si>
    <t>中型刀具(切肉菜刀等)</t>
  </si>
  <si>
    <t>1D4+2+DB</t>
  </si>
  <si>
    <t>1D4+2+[DB]</t>
  </si>
  <si>
    <t>小型刀具(弹簧折叠刀等)</t>
  </si>
  <si>
    <t>1D4+DB</t>
  </si>
  <si>
    <t>2/6</t>
  </si>
  <si>
    <t>一般有锁链或者类似绳子部分的武器可以做到</t>
  </si>
  <si>
    <t>1D4+[DB]</t>
  </si>
  <si>
    <t>220v通电导线</t>
  </si>
  <si>
    <t>2D8+眩晕</t>
  </si>
  <si>
    <t>1894年</t>
  </si>
  <si>
    <t>催泪瓦斯</t>
  </si>
  <si>
    <t>眩晕</t>
  </si>
  <si>
    <t>6英尺</t>
  </si>
  <si>
    <t>25次</t>
  </si>
  <si>
    <t>——/10</t>
  </si>
  <si>
    <t>1912年</t>
  </si>
  <si>
    <t>960年</t>
  </si>
  <si>
    <t>催泪瓦斯：抵近射击规则无效；目标须通过一个极难的 敏捷 检定否则暂时目盲。只对人类和相近的对手有效。</t>
  </si>
  <si>
    <t>投石</t>
  </si>
  <si>
    <t>1D4+半DB</t>
  </si>
  <si>
    <t>1D4+[DB]/2</t>
  </si>
  <si>
    <t>手里剑</t>
  </si>
  <si>
    <t>2</t>
  </si>
  <si>
    <t>一次性</t>
  </si>
  <si>
    <t>矛、骑士长枪</t>
  </si>
  <si>
    <t>1D8+1</t>
  </si>
  <si>
    <t>25/150</t>
  </si>
  <si>
    <t>1D8+半DB</t>
  </si>
  <si>
    <t>罕见</t>
  </si>
  <si>
    <t>1/25</t>
  </si>
  <si>
    <t>电击枪：仅对体格 2 及以下的目标有效，目标在 1D6 回合内不能行动（或 KP 决定)</t>
  </si>
  <si>
    <t>1D8+[DB]/2</t>
  </si>
  <si>
    <t>大型剑（马刀）</t>
  </si>
  <si>
    <t>1D8+1+DB</t>
  </si>
  <si>
    <t>30/75</t>
  </si>
  <si>
    <t>1D8+1+[DB]</t>
  </si>
  <si>
    <t>中型剑（佩剑、重剑）</t>
  </si>
  <si>
    <t>15/100</t>
  </si>
  <si>
    <t>轻型剑（花剑、剑杖）</t>
  </si>
  <si>
    <t>25/100</t>
  </si>
  <si>
    <t>电棍、电击枪(接触)</t>
  </si>
  <si>
    <t>1D3+眩晕</t>
  </si>
  <si>
    <t>——/200</t>
  </si>
  <si>
    <t>2006年</t>
  </si>
  <si>
    <t>1D3</t>
  </si>
  <si>
    <t>电击枪(远程)</t>
  </si>
  <si>
    <t>15英尺</t>
  </si>
  <si>
    <t>3</t>
  </si>
  <si>
    <t>——/400</t>
  </si>
  <si>
    <t>1974年</t>
  </si>
  <si>
    <t>2/4</t>
  </si>
  <si>
    <t>伐木斧</t>
  </si>
  <si>
    <t>1D8+2+DB</t>
  </si>
  <si>
    <t>5/10</t>
  </si>
  <si>
    <t>1D8+2+[DB]</t>
  </si>
  <si>
    <t>1D6+1</t>
  </si>
  <si>
    <t>10</t>
  </si>
  <si>
    <t>1/4</t>
  </si>
  <si>
    <t>30/300</t>
  </si>
  <si>
    <t>1547年</t>
  </si>
  <si>
    <t>正常来说每回合只能击发一次，
括号内是连发最大数。</t>
  </si>
  <si>
    <t>没有特定指向的枪械发明时间以该口径子弹发明时间为准
有指定的枪械发明时间以服役时间为准
无法考据的发明时间填近似时间或划掉</t>
  </si>
  <si>
    <t>.22(5.6mm)小型自动手枪</t>
  </si>
  <si>
    <t>1(3)</t>
  </si>
  <si>
    <t>6</t>
  </si>
  <si>
    <t>25/190</t>
  </si>
  <si>
    <t>1857年</t>
  </si>
  <si>
    <t>.25(6.35mm)短口手枪(单管)</t>
  </si>
  <si>
    <t>12/55</t>
  </si>
  <si>
    <t>1920年</t>
  </si>
  <si>
    <t>.32(7.65mm)左轮手枪</t>
  </si>
  <si>
    <t>1D8</t>
  </si>
  <si>
    <t>15</t>
  </si>
  <si>
    <t>15/200</t>
  </si>
  <si>
    <t>1930年</t>
  </si>
  <si>
    <t>.32(7.65mm)自动手枪</t>
  </si>
  <si>
    <t>8</t>
  </si>
  <si>
    <t>99</t>
  </si>
  <si>
    <t>20/350</t>
  </si>
  <si>
    <t>.357 马格南左轮</t>
  </si>
  <si>
    <t>1D8+1D4</t>
  </si>
  <si>
    <t>——/425</t>
  </si>
  <si>
    <t>1934年</t>
  </si>
  <si>
    <t>.38(9mm)左轮手枪</t>
  </si>
  <si>
    <t>25/200</t>
  </si>
  <si>
    <t>1898年</t>
  </si>
  <si>
    <t>.38(9mm)自动手枪</t>
  </si>
  <si>
    <t>30/375</t>
  </si>
  <si>
    <t>贝瑞塔 M9</t>
  </si>
  <si>
    <t>98</t>
  </si>
  <si>
    <t>——/500</t>
  </si>
  <si>
    <t>1990年</t>
  </si>
  <si>
    <t>如果连发则每次投掷都会承受一个惩罚骰</t>
  </si>
  <si>
    <t>9mm 格洛克 17</t>
  </si>
  <si>
    <t>17</t>
  </si>
  <si>
    <t>1983年</t>
  </si>
  <si>
    <t>9mm 鲁格 P08</t>
  </si>
  <si>
    <t>75/600</t>
  </si>
  <si>
    <t>1902年</t>
  </si>
  <si>
    <t>1920s,罕见</t>
  </si>
  <si>
    <t>30/——</t>
  </si>
  <si>
    <t>1860年</t>
  </si>
  <si>
    <t>.44(11.2mm) 马格南左轮手枪</t>
  </si>
  <si>
    <t>1D10+1D4+2</t>
  </si>
  <si>
    <t>1950年</t>
  </si>
  <si>
    <t>.45(11.43mm) 左轮手枪</t>
  </si>
  <si>
    <t>1D10+2</t>
  </si>
  <si>
    <t>1904年</t>
  </si>
  <si>
    <t>.45(11.43mm) 自动手枪</t>
  </si>
  <si>
    <t>7</t>
  </si>
  <si>
    <t>40/375</t>
  </si>
  <si>
    <t>IMI 沙漠之鹰</t>
  </si>
  <si>
    <t>1D10+1D6+3</t>
  </si>
  <si>
    <t>94</t>
  </si>
  <si>
    <t>1982年</t>
  </si>
  <si>
    <t>1D10+4</t>
  </si>
  <si>
    <t>60</t>
  </si>
  <si>
    <t>25/350</t>
  </si>
  <si>
    <t>1885年</t>
  </si>
  <si>
    <t>这种步枪是不可连发的
通常一次只能发射一发
威力极大</t>
  </si>
  <si>
    <t>莫兰上校的气动步枪：靠压缩空气发射，不需要火药，因而比较安静。</t>
  </si>
  <si>
    <t>.22 (5.6mm)栓式枪机步枪</t>
  </si>
  <si>
    <t>30</t>
  </si>
  <si>
    <t>13/70</t>
  </si>
  <si>
    <t>2D6</t>
  </si>
  <si>
    <t>19/150</t>
  </si>
  <si>
    <t>1952年</t>
  </si>
  <si>
    <t>.45 马提尼·亨利步枪</t>
  </si>
  <si>
    <t>1D8+1D6+3</t>
  </si>
  <si>
    <t>80</t>
  </si>
  <si>
    <t>1/3</t>
  </si>
  <si>
    <t>20/200</t>
  </si>
  <si>
    <t>1871年</t>
  </si>
  <si>
    <t>莫兰上校的气动步枪</t>
  </si>
  <si>
    <t>2D6+1</t>
  </si>
  <si>
    <t>20</t>
  </si>
  <si>
    <t>88</t>
  </si>
  <si>
    <t>200</t>
  </si>
  <si>
    <t>加兰德M1、M2步枪</t>
  </si>
  <si>
    <t>2D6+4</t>
  </si>
  <si>
    <t>110</t>
  </si>
  <si>
    <t>400</t>
  </si>
  <si>
    <t>1936年</t>
  </si>
  <si>
    <t>SKS 半自动步枪(56 半)</t>
  </si>
  <si>
    <t>90</t>
  </si>
  <si>
    <t>1(2)</t>
  </si>
  <si>
    <t>1945年</t>
  </si>
  <si>
    <t>.303 (7.7mm) 李·恩菲尔德</t>
  </si>
  <si>
    <t>5</t>
  </si>
  <si>
    <t>50/300</t>
  </si>
  <si>
    <t>1895年</t>
  </si>
  <si>
    <t>.30——06 (7.62mm) 栓式枪机步枪</t>
  </si>
  <si>
    <t>75/175</t>
  </si>
  <si>
    <t>.30——06 (7.62mm) 半自动步枪</t>
  </si>
  <si>
    <t>275</t>
  </si>
  <si>
    <t>1955年</t>
  </si>
  <si>
    <t>.444 (11.28mm) 马林步枪</t>
  </si>
  <si>
    <t>2D8+4</t>
  </si>
  <si>
    <t>猎象枪(双管)</t>
  </si>
  <si>
    <t>3D6+4</t>
  </si>
  <si>
    <t>1 or 2</t>
  </si>
  <si>
    <t>400/1000</t>
  </si>
  <si>
    <t>20 号霰弹枪(双管)</t>
  </si>
  <si>
    <t>2D6/1D6/1D3</t>
  </si>
  <si>
    <t>10/20/50</t>
  </si>
  <si>
    <t>35/稀有</t>
  </si>
  <si>
    <t>霰弹枪的伤害分三个范围
XD6的X代表弹丸数
霰弹枪属于非贯穿武器</t>
  </si>
  <si>
    <t>霰弹枪可以将子弹换成实心铅弹
实心铅弹可以造成贯穿
射程为50码</t>
  </si>
  <si>
    <t>实心铅弹的伤害：
10号：
1D10+7
12号：
1D10+6
16号：
1D10+5
20号：
1D10+4</t>
  </si>
  <si>
    <t>16 号霰弹枪(双管)</t>
  </si>
  <si>
    <t>2D6+2/1D6+1/1D4</t>
  </si>
  <si>
    <t>40/稀有</t>
  </si>
  <si>
    <t>2D6+2</t>
  </si>
  <si>
    <t>12 号霰弹枪(双管)</t>
  </si>
  <si>
    <t>4D6/2D6/1D6</t>
  </si>
  <si>
    <t>40/200</t>
  </si>
  <si>
    <t>4D6</t>
  </si>
  <si>
    <t>12 号霰弹枪(泵动)</t>
  </si>
  <si>
    <t>45/100</t>
  </si>
  <si>
    <t>12 号霰弹枪(半自动)</t>
  </si>
  <si>
    <t>12 号霰弹枪(双管,锯短)</t>
  </si>
  <si>
    <t>4D6/1D6</t>
  </si>
  <si>
    <t>N/A</t>
  </si>
  <si>
    <t>4D6+2/2D6+1/1D4</t>
  </si>
  <si>
    <t>稀有</t>
  </si>
  <si>
    <t>4D6+2</t>
  </si>
  <si>
    <t>12 号贝里尼 M3(折叠式枪托)</t>
  </si>
  <si>
    <t>——/895</t>
  </si>
  <si>
    <t>12 号 SPAS (折叠式枪托)</t>
  </si>
  <si>
    <t>——/600</t>
  </si>
  <si>
    <t>1979年</t>
  </si>
  <si>
    <t>AK-47 或 AKM</t>
  </si>
  <si>
    <t>1(2)or全自动</t>
  </si>
  <si>
    <t>1951年</t>
  </si>
  <si>
    <t>AK-74</t>
  </si>
  <si>
    <t>——/1000</t>
  </si>
  <si>
    <t>巴雷特M82</t>
  </si>
  <si>
    <t>2D10+1D8+6</t>
  </si>
  <si>
    <t>250</t>
  </si>
  <si>
    <t>11</t>
  </si>
  <si>
    <t>——/3000</t>
  </si>
  <si>
    <t>1989年</t>
  </si>
  <si>
    <t>FN FAL</t>
  </si>
  <si>
    <t>1(2)or3连射</t>
  </si>
  <si>
    <t>——/1500</t>
  </si>
  <si>
    <t>1954年</t>
  </si>
  <si>
    <t>加利尔突击步枪</t>
  </si>
  <si>
    <t>1(2)or连射</t>
  </si>
  <si>
    <t>——/2000</t>
  </si>
  <si>
    <t>1972年</t>
  </si>
  <si>
    <t>M16A2</t>
  </si>
  <si>
    <t>1964年</t>
  </si>
  <si>
    <t>M4</t>
  </si>
  <si>
    <t>1or3连射</t>
  </si>
  <si>
    <t>1994年</t>
  </si>
  <si>
    <t>斯泰尔 AUG</t>
  </si>
  <si>
    <t>——/1100</t>
  </si>
  <si>
    <t>1978年</t>
  </si>
  <si>
    <t>贝雷塔 M70/90</t>
  </si>
  <si>
    <t>1or全自动</t>
  </si>
  <si>
    <t>——/2800</t>
  </si>
  <si>
    <t>MP18I/MP28II</t>
  </si>
  <si>
    <t>20/30/32</t>
  </si>
  <si>
    <t>1000/20000</t>
  </si>
  <si>
    <t>1917年</t>
  </si>
  <si>
    <t>MP5</t>
  </si>
  <si>
    <t>15/30</t>
  </si>
  <si>
    <t>1966年</t>
  </si>
  <si>
    <t>MAC-11</t>
  </si>
  <si>
    <t>1(3)or全自动</t>
  </si>
  <si>
    <t>32</t>
  </si>
  <si>
    <t>——/750</t>
  </si>
  <si>
    <t>1970年</t>
  </si>
  <si>
    <t>蝎式冲锋枪</t>
  </si>
  <si>
    <t>1961年</t>
  </si>
  <si>
    <t>20/30/50</t>
  </si>
  <si>
    <t>200+/1600</t>
  </si>
  <si>
    <t>1938年</t>
  </si>
  <si>
    <t>乌兹微型冲锋枪</t>
  </si>
  <si>
    <t>全自动</t>
  </si>
  <si>
    <t>2000/14000</t>
  </si>
  <si>
    <t>1882年</t>
  </si>
  <si>
    <t>速射机枪：装在直升机上的加特林机枪。要不经过安装直接使用，使用者必须达到体格 2。</t>
  </si>
  <si>
    <t>M1918 式勃朗宁自动步枪</t>
  </si>
  <si>
    <t>800/1500</t>
  </si>
  <si>
    <t>勃朗宁 M1917A1(7.62mm)</t>
  </si>
  <si>
    <t>3000/30000</t>
  </si>
  <si>
    <t>1916年</t>
  </si>
  <si>
    <t>布伦轻机枪</t>
  </si>
  <si>
    <t>30/100</t>
  </si>
  <si>
    <t>3000/50000</t>
  </si>
  <si>
    <t>路易斯Ⅰ型机枪</t>
  </si>
  <si>
    <t>27/97</t>
  </si>
  <si>
    <t>3000/20000</t>
  </si>
  <si>
    <t>1914年</t>
  </si>
  <si>
    <t>GE M134 式 7.62mm 速射机枪</t>
  </si>
  <si>
    <t>4000</t>
  </si>
  <si>
    <t>1963年</t>
  </si>
  <si>
    <t>FN 米尼米(5.56mm)，弹夹/弹带</t>
  </si>
  <si>
    <t>30/200</t>
  </si>
  <si>
    <t>维克斯.303 机枪</t>
  </si>
  <si>
    <t>莫洛托夫燃烧瓶</t>
  </si>
  <si>
    <t>2D6+燃烧</t>
  </si>
  <si>
    <t>STR码</t>
  </si>
  <si>
    <t>阔剑地雷：这种武器的弹道是密集的射束流，其杀伤范围为 120 度。</t>
  </si>
  <si>
    <t>信号枪(信号弹枪)</t>
  </si>
  <si>
    <t>1D10+1D3+燃烧</t>
  </si>
  <si>
    <t>15/75</t>
  </si>
  <si>
    <t>1D10+1D3</t>
  </si>
  <si>
    <t>M79 40mm 榴弹发射器</t>
  </si>
  <si>
    <t>3D10/2码</t>
  </si>
  <si>
    <t>3D10</t>
  </si>
  <si>
    <t>炸药棒</t>
  </si>
  <si>
    <t>4D10/3码</t>
  </si>
  <si>
    <t>STR英尺</t>
  </si>
  <si>
    <t>2/5</t>
  </si>
  <si>
    <t>雷管</t>
  </si>
  <si>
    <t>2D10/1码</t>
  </si>
  <si>
    <t>20/整盒</t>
  </si>
  <si>
    <t>1865年</t>
  </si>
  <si>
    <t>爆破筒</t>
  </si>
  <si>
    <t>1D10/3码</t>
  </si>
  <si>
    <t>就地</t>
  </si>
  <si>
    <t>一次使用</t>
  </si>
  <si>
    <t>1899年</t>
  </si>
  <si>
    <t>塑胶炸弹(C4) 100克</t>
  </si>
  <si>
    <t>6D10/3码</t>
  </si>
  <si>
    <t>1956年</t>
  </si>
  <si>
    <t>6D10</t>
  </si>
  <si>
    <t>手榴弹</t>
  </si>
  <si>
    <t>1232年</t>
  </si>
  <si>
    <t>81mm迫击炮</t>
  </si>
  <si>
    <t>6D10/6码</t>
  </si>
  <si>
    <t>500码</t>
  </si>
  <si>
    <t>独立装弹</t>
  </si>
  <si>
    <t>16D10</t>
  </si>
  <si>
    <t>如果威力不符合这里任何一个，以上更强的为标准</t>
  </si>
  <si>
    <t>75mm野战火炮</t>
  </si>
  <si>
    <t>10D10/2码</t>
  </si>
  <si>
    <t>1500/——</t>
  </si>
  <si>
    <t>1897年</t>
  </si>
  <si>
    <t>8D10</t>
  </si>
  <si>
    <t>10D10</t>
  </si>
  <si>
    <t>120mm坦克炮(稳定)</t>
  </si>
  <si>
    <t>2000码</t>
  </si>
  <si>
    <t>15D10</t>
  </si>
  <si>
    <t>5英寸舰载炮(稳定)</t>
  </si>
  <si>
    <t>15D10/4码</t>
  </si>
  <si>
    <t>3000码</t>
  </si>
  <si>
    <t>自动上弹</t>
  </si>
  <si>
    <t>1910年</t>
  </si>
  <si>
    <t>12D10</t>
  </si>
  <si>
    <t>反步兵地雷</t>
  </si>
  <si>
    <t>4D10/5码</t>
  </si>
  <si>
    <t>布置</t>
  </si>
  <si>
    <t>1403年</t>
  </si>
  <si>
    <t>比如3D10算作4D10
下降之后为2D10</t>
  </si>
  <si>
    <t>阔剑地雷</t>
  </si>
  <si>
    <t>6D6/20码</t>
  </si>
  <si>
    <t>伤害栏左侧是近距伤害，右侧是减伤距离</t>
  </si>
  <si>
    <t>6D6</t>
  </si>
  <si>
    <t>火焰喷射器</t>
  </si>
  <si>
    <t>25码</t>
  </si>
  <si>
    <t>至少10</t>
  </si>
  <si>
    <t>93</t>
  </si>
  <si>
    <t>1901年</t>
  </si>
  <si>
    <t>M72 式单发轻型反坦克炮</t>
  </si>
  <si>
    <t>8d10/1码</t>
  </si>
  <si>
    <t>150码</t>
  </si>
  <si>
    <t>1D4</t>
  </si>
  <si>
    <t>8d10</t>
  </si>
  <si>
    <t>下降了三次之后再次下降，伤害归零，也就是安全区域</t>
  </si>
  <si>
    <t>术语解释</t>
  </si>
  <si>
    <t>贯穿：表示这个武器能否够刺穿一个人。极难成功或大成功造成贯穿伤害：</t>
  </si>
  <si>
    <t>远程武器会造成惩罚骰或奖励骰的情况</t>
  </si>
  <si>
    <t>如果有贯穿：锋刃和弹头将穿透目标的身体，对脆弱的器官造成损伤或撕裂关键的肌肉组织。首先造成一次最高伤害，然后再额外骰一次伤害。</t>
  </si>
  <si>
    <t>奖励骰</t>
  </si>
  <si>
    <t>难度等级</t>
  </si>
  <si>
    <t>惩罚骰</t>
  </si>
  <si>
    <t>如果该武器不能造成贯穿:会击中这个人的要害，直接造成满点伤害</t>
  </si>
  <si>
    <t>瞄准一轮</t>
  </si>
  <si>
    <t>一般：</t>
  </si>
  <si>
    <t>目标寻找掩体
（闪避成功）</t>
  </si>
  <si>
    <t>故障值：只要在使用过程中，使用者的出目大于该值就会出现以下情况</t>
  </si>
  <si>
    <t>正常射程</t>
  </si>
  <si>
    <t>卡壳、哑火、炸膛，一旦出现这些情况：这件武器的攻击无法成功，事实上它会完全无法工作</t>
  </si>
  <si>
    <t>目标很小
（体格 -2）</t>
  </si>
  <si>
    <t>左轮手枪、双管猎枪、枪机回转式步枪：这类武器通常不会炸膛或卡壳，通常是哑弹，而修复的方法：只需要再扣下扳机</t>
  </si>
  <si>
    <t>困难：</t>
  </si>
  <si>
    <t>自动武器与杠杆式步枪：这类武器则通常是卡壳，需要1D6的回合来修复这把枪。</t>
  </si>
  <si>
    <t>二倍射程</t>
  </si>
  <si>
    <t>目标高速移动
（MOV8+）</t>
  </si>
  <si>
    <t>罕见：这种东西你基本上只能在博物馆看见了，或者是军方控制的非法武器。</t>
  </si>
  <si>
    <t>抵近射击
（1/5DEX 英尺）</t>
  </si>
  <si>
    <t>1/2、1/3：两回合才能攻击一次，通常是难以上弹或者非常沉重的武器</t>
  </si>
  <si>
    <t>极难：</t>
  </si>
  <si>
    <t>目标一半以上在掩体内</t>
  </si>
  <si>
    <t>1 or 2：双管猎枪可以分只击发一颗子弹或同时击发两颗子弹</t>
  </si>
  <si>
    <t>四倍射程</t>
  </si>
  <si>
    <t>手枪连射</t>
  </si>
  <si>
    <t>1英尺≈手臂或脚掌的长度   1英寸≈手指宽度   1码≈一步   1英里≈一千七百多步   一海里≈两公里</t>
  </si>
  <si>
    <t>射击正在
近战中的目标</t>
  </si>
  <si>
    <t>1英尺=12英寸=12个手指并排那么宽    1码=3英尺=三个脚的长度        未标明单位的距离都默认为 码（所以其实英制长度很适合粗略测量长度，因为很直观）</t>
  </si>
  <si>
    <t>目标很大
（体格 4+）</t>
  </si>
  <si>
    <t>迅速装一发子弹
并且立刻射击</t>
  </si>
  <si>
    <t>受伤程度</t>
  </si>
  <si>
    <t>伤害等级</t>
  </si>
  <si>
    <t>范例</t>
  </si>
  <si>
    <t>轻度：一个人可以多次承受这类伤害而不至于死亡</t>
  </si>
  <si>
    <t>拳打脚踢，头槌，弱酸，呼吸烟雾弥漫的空气，一块拳头大小的投石，落于淤泥地上(每 3 米)</t>
  </si>
  <si>
    <t>特殊伤害解读</t>
  </si>
  <si>
    <t>燃烧</t>
  </si>
  <si>
    <t>目标必须进行 幸运 检定以避免燃烧。下回合受到最小伤害。此后每回合 伤害加倍，直到被扑灭（假设目标可燃)※。</t>
  </si>
  <si>
    <t>中度：有可能造成重伤;受到多次此类伤害应该会死亡</t>
  </si>
  <si>
    <t>坠落到草地上（每 3 米），棍子，强酸，呛水，暴露在真空中，小口径子弹，箭，火焰（燃烧的火把）</t>
  </si>
  <si>
    <t>晕（眩）</t>
  </si>
  <si>
    <t>在 1D6 轮或 KP 指定的时间中，目标无法行动</t>
  </si>
  <si>
    <t>窒息/溺水</t>
  </si>
  <si>
    <t>每轮都要进行一次体质检定；
一旦体质检定失败，每轮都要受到伤害，直到受害者死亡或者能够重新呼吸为止。如果角色处在体力劳动之中，体质检定需要困难难度。</t>
  </si>
  <si>
    <t>重度：非常可能造成重伤，一次两次就很要命了</t>
  </si>
  <si>
    <t>.38口径子弹、坠落在水泥地上（每 3 米）、斧头、烈焰（火焰喷射器、穿越燃烧的房间）、手雷爆炸时在远距离、弱毒性的毒药</t>
  </si>
  <si>
    <t>致命：已经超过一半的死亡几率了</t>
  </si>
  <si>
    <t>被时速五十公里 (50KM/h) 的汽车撞击、手雷爆炸时在近距离、强毒剂</t>
  </si>
  <si>
    <t>毒药</t>
  </si>
  <si>
    <t>CON检定极难成功将使毒药伤害减半。毒药可能会产生多种副作用，包括：腹痛、呕吐、腹泻、战栗、出汗、痉挛、黄疸、心率失常、视力损害、惊厥、意识丧失、麻痹等。KP决定受害者在这些状况下是否可以进行行动，或者行动时要加入惩罚骰、提高难度等级等。
某些特殊情况下，如果CON检定大成功，KP可能会准许消除毒药的效果。</t>
  </si>
  <si>
    <t>终结：很可能当场死亡</t>
  </si>
  <si>
    <t>被超速的汽车撞击、几乎直接接触爆炸手雷、致死毒药</t>
  </si>
  <si>
    <t>血肉横飞：这个人没救了，真的</t>
  </si>
  <si>
    <t>被火车撞击</t>
  </si>
  <si>
    <t>战斗轮可选规则</t>
  </si>
  <si>
    <t>先攻检定</t>
  </si>
  <si>
    <t>击晕</t>
  </si>
  <si>
    <t>消耗幸运值来维持意识</t>
  </si>
  <si>
    <t>相杀</t>
  </si>
  <si>
    <t>无法得知伤害</t>
  </si>
  <si>
    <t>火力压制</t>
  </si>
  <si>
    <t>在战斗前所有人进行一次敏捷检定，根据成功等级来决定行动顺序。成功等级相同比较敏捷度，如果还相同比较战斗技能。
大成功在第一次攻击中获得战术优势或奖励骰；大失败会失去第一次攻击的机会。
本规则准备好枪械的调查员会获得一个奖励骰且在下一回合的开始时准备好了，他可以使用这一个奖励骰再次进行敏捷检定。结果比之前的要糟仍使用之前的结果。</t>
  </si>
  <si>
    <t>被造成重伤后骰体质来避免失去意识。
HP=0自动失去意识
如果拥有钝器可以使用战技击晕拥有头盖骨或类似结构的生物并且造成1点伤害。</t>
  </si>
  <si>
    <t>如果kp允许
你可以在本应失去意识的情况下消耗1点幸运来保持意识清醒
接下来每轮的幸运消耗都会翻倍——2,4,8,16,32....
这个消耗需要在每回合开始的时候决定是否消耗</t>
  </si>
  <si>
    <t>战斗时近战双方都在格斗检定中失败。
正常情况：不会有任何人受伤
可选1：战斗技能更高的一方胜
可选2：像成功一样同时对对方造成伤害
远程攻击中不可使用本规则</t>
  </si>
  <si>
    <t>如果想更加模拟现实情况
KP可以不告诉调查员因为攻击具体受到了多少伤害
而是告诉他们一个大概的伤势描述。</t>
  </si>
  <si>
    <t xml:space="preserve">火力压制的目的是逼迫数个敌人同时“寻找掩体“，消除他们还手的可能性。
射手可以选择不瞄准特定的目标攻击，而是火力压制一群敌人。这一群人可能是一个房间内的所有敌人，或者任何位于武器扫射弧度内的目标。这通常会对人群造成恐慌。
守秘人要从目标中随机决定被射击的目标
</t>
  </si>
  <si>
    <t>护甲调整</t>
  </si>
  <si>
    <t>部位瞄准</t>
  </si>
  <si>
    <t>瞄准具</t>
  </si>
  <si>
    <t>支架</t>
  </si>
  <si>
    <t>在战斗中移动</t>
  </si>
  <si>
    <t>关于霰弹枪：如果被击中者穿着能够进行大面积防护的护甲（比如厚皮夹克），这种情况下霰弹枪的每一发散射弹丸都会被减少伤害。
如果是类似钢盔的部分防护护甲，如果没有采用部位瞄准的规则全视为完整护甲
如果射击者声明要瞄准某部位射击则需要进行幸运判定。如果拥有全身防护（例如大象的皮肤）则不必进行判定。</t>
  </si>
  <si>
    <t>如果KP不想使用幸运决定被击中部位则可以骰D20并参考下表决定</t>
  </si>
  <si>
    <t>在使用枪械时，瞄准镜可以让基础射程翻倍。
例如李恩菲尔德在加装了光学瞄准镜之后，原本220码的射击距离不仅取消了困难等级的成功要求，极难范围则提升到440-880（*2-*4）的距离
瞄准具并不会为抵近射击提供好处。</t>
  </si>
  <si>
    <t>利用双脚架、三脚架、或固定装置等支架支撑枪械可以使它的基础射程翻倍
当枪械被机械性地固定在结构（载具或建筑）上时，使用者可以获得一个奖励骰</t>
  </si>
  <si>
    <t>速度（MOV）x5（码）是最大移动距离</t>
  </si>
  <si>
    <t>在近战时，攻击者必须在攻击前移动到近战攻击的范围内</t>
  </si>
  <si>
    <t>一轮中，移动mov码内的距离为行走
mov+1至mov*5属于奔跑</t>
  </si>
  <si>
    <t>1-3</t>
  </si>
  <si>
    <t>4-6</t>
  </si>
  <si>
    <t>如果角色移动了他的最大移动距离，他只能在轮次的最后发起攻击</t>
  </si>
  <si>
    <t>7-10</t>
  </si>
  <si>
    <t>腹部</t>
  </si>
  <si>
    <t>如果角色移动了他的MOV距离，他可以正常攻击</t>
  </si>
  <si>
    <t>11-15</t>
  </si>
  <si>
    <t>胸部</t>
  </si>
  <si>
    <t>+50的敏捷瞄准优势需要在移动之前射击
玩家可以在移动前进行射击
也可以在移动之后进行射击</t>
  </si>
  <si>
    <t>如果角色移动了最大移动距离，他必须在奔跑中射击
如果角色进行奔跑射击则会增加一个惩罚骰</t>
  </si>
  <si>
    <t>16-17</t>
  </si>
  <si>
    <t>18-19</t>
  </si>
  <si>
    <t>完全隐蔽</t>
  </si>
  <si>
    <t>击穿掩体</t>
  </si>
  <si>
    <t xml:space="preserve"> 圈踢   俯卧</t>
  </si>
  <si>
    <t>抵近射击调整</t>
  </si>
  <si>
    <t>如果整整一轮中，目标被完全隐蔽，攻击者可以选择对掩体射击，以期望命中掩体后的目标。
命中率取决于目标所躲藏的遮蔽物的大小，躲在小小的花园篱笆和躲在飞机库后是截然不同的。
攻击者基本得靠直觉来命中目标。
如果掩体较小，守秘人应该将难度等级提高1级。如果能够躲藏的范围更大，继续提高难度等级。如果有必要的话，要求只会在大成功时命中目标。</t>
  </si>
  <si>
    <t>在部分掩蔽的某些时候，攻击者可以选择尝试射击掩体后的目标。在这种情况下，承受一个惩罚骰（因为部分掩蔽），并适用掩体可能带来的护甲值。
例如一堵矮砖墙可以提供10点护甲值，而一个薄木栅栏只能提供1点护甲值。</t>
  </si>
  <si>
    <t>一个躺在地上或倒地的角色视为正在俯卧
踢俯卧中的目标更加容易，对俯卧角色进行的格斗攻击获得一个奖励骰
当闪避或反击成功时，俯卧中的角色可以选择起身。或者当轮到他的回合时，他可以起身，然后进行自己的行动。
俯卧的角色是一个更小的目标，瞄准俯卧角色的射击需要承受一个惩罚骰（除非在抵近射击）。</t>
  </si>
  <si>
    <t>长或笨重的武器，例如步枪、长管霰弹枪、弓并不能享受抵近射击的奖励骰，因为他们难以瞄准近距离的移动目标。
短管霰弹枪（设计初衷就是家用防卫）或是被锯短的霰弹枪能够享受抵近射击的奖励骰</t>
  </si>
  <si>
    <t>毒性</t>
  </si>
  <si>
    <t>规则书中仅列出了四种程度的毒素效力</t>
  </si>
  <si>
    <t>毒素发作的速度取决于摄入的方式与守秘人的判断。
剧烈的毒素可能在一轮之内就会发作；慢效的毒素可能需要数天才会对人体造成影响。
毒素的作用可能会导致以下症状：腹痛，呕吐，腹泻，发寒，虚汗，惊厥，心律不齐，幻视，抽搐，昏迷，麻木，等等。守秘人有权决定这些症状是否会对中毒者的检定造成一个惩罚骰或是难度等级提升。</t>
  </si>
  <si>
    <t>症状（1剂）</t>
  </si>
  <si>
    <t>极弱效</t>
  </si>
  <si>
    <t>无伤害，可能造成昏迷
麻药，抗生素，特殊食物，都可能含有极微量的毒素</t>
  </si>
  <si>
    <t>弱效</t>
  </si>
  <si>
    <t>1D10伤害</t>
  </si>
  <si>
    <t>强效</t>
  </si>
  <si>
    <t>2D10伤害</t>
  </si>
  <si>
    <t>致命性</t>
  </si>
  <si>
    <t>4D10伤害</t>
  </si>
  <si>
    <t>kp可以决定毒素的伤害，以上仅做参考</t>
  </si>
  <si>
    <t>如果一个角色同时摄入多剂毒素，他必须在所有对抗毒素的体质值检定上承受一个惩罚骰。</t>
  </si>
  <si>
    <t>如果骰出极难体质检定毒素效力可以下降一个等级或者消除症状、伤害减半，这由KP决定。</t>
  </si>
  <si>
    <t>如果角色进行了常识性的解毒法：催吐、放血、清洗等。kp可以决定这么做有什么效果。</t>
  </si>
  <si>
    <t>战斗流程图</t>
  </si>
  <si>
    <t>战斗伤害流程图</t>
  </si>
  <si>
    <t>角色在单次受伤
中受到的伤害</t>
  </si>
  <si>
    <t>—————&gt;</t>
  </si>
  <si>
    <t>↓</t>
  </si>
  <si>
    <t>伤害低于角色
最大HP的一半</t>
  </si>
  <si>
    <t>伤害等于或高于
角色最大HP的一半</t>
  </si>
  <si>
    <t>伤害超过角色最大HP</t>
  </si>
  <si>
    <t>否：
攻击自动成功或有奖励骰</t>
  </si>
  <si>
    <t>正常伤害
急救：恢复1点 
医学：恢复1D3点</t>
  </si>
  <si>
    <t>重伤（重伤标记）
1:倒地
2:CON检定
失败则失去意识</t>
  </si>
  <si>
    <t>&lt;————</t>
  </si>
  <si>
    <t>每天恢复1点HP
急救：恢复1点
医学：恢复1D3点</t>
  </si>
  <si>
    <t>← 否 ←</t>
  </si>
  <si>
    <t>已受到重伤？
（重伤栏有标记）</t>
  </si>
  <si>
    <t>→ 是 →</t>
  </si>
  <si>
    <t>濒死：
标记“濒死”栏并记HP为0</t>
  </si>
  <si>
    <t>暂时稳定伤势
+1HP</t>
  </si>
  <si>
    <t>← 是 ←</t>
  </si>
  <si>
    <t>当前轮：有人给予成功急救？</t>
  </si>
  <si>
    <t>下一小时内
是否有人给予成功的医学？</t>
  </si>
  <si>
    <t>↗</t>
  </si>
  <si>
    <t>↓
否
↓</t>
  </si>
  <si>
    <t>↑
con检定成功
↑</t>
  </si>
  <si>
    <t>con检定失败
↑</t>
  </si>
  <si>
    <t>↓
是
↓</t>
  </si>
  <si>
    <t>每小时结束时
进行con检定</t>
  </si>
  <si>
    <t>自然治愈开始：消除濒死标记，恢复1D3点HP
每周结束时做一次重伤恢复检定</t>
  </si>
  <si>
    <t>脱离近身战斗</t>
  </si>
  <si>
    <t>在战斗轮中，角色有空间逃脱且未被压制时，可以进行脱离近战范围行动。</t>
  </si>
  <si>
    <t>防具类型</t>
  </si>
  <si>
    <t>护甲值</t>
  </si>
  <si>
    <t>MOV
惩罚</t>
  </si>
  <si>
    <t>覆盖位置</t>
  </si>
  <si>
    <t>使用物种</t>
  </si>
  <si>
    <t>防利器
穿刺</t>
  </si>
  <si>
    <t>载具类型</t>
  </si>
  <si>
    <t>乘客护甲</t>
  </si>
  <si>
    <t>乘客</t>
  </si>
  <si>
    <t>可驾驶体格</t>
  </si>
  <si>
    <t>可乘坐体格</t>
  </si>
  <si>
    <t>厚重皮夹克</t>
  </si>
  <si>
    <t>躯干</t>
  </si>
  <si>
    <t>人类、人型生物</t>
  </si>
  <si>
    <t>10/55</t>
  </si>
  <si>
    <t>规
则
书
内
的
防
护
物</t>
  </si>
  <si>
    <t>在危险的情形下,米戈通常会披上这些由发着微光的绿色黏液所织成的网状物这种装甲在对抗钝击、火焰、电击等伤害时会提供 8 点装甲值。
人类也能穿戴这种生化网状物，但会因毛发和肌肉被撕离而在每次脱下装甲时受到 1 点伤害。因为人类并不会分泌合适的、能够照料到这些装甲的营养液，一件生化网状装甲将会缓慢地分解。
每被人类穿戴过一次，一件生化网状装甲将降低一点护甲值。当失去所有护甲值时，这件装甲将分崩离析，变成一池弥散着蒸汽的黏性物质。穿戴该装甲是否会带来明显的副作用，则仍未可知。</t>
  </si>
  <si>
    <t>经济车</t>
  </si>
  <si>
    <t>3或4</t>
  </si>
  <si>
    <t>-1,0,1</t>
  </si>
  <si>
    <t>≤2</t>
  </si>
  <si>
    <t>规则书内的载具</t>
  </si>
  <si>
    <t>一战标准钢盔</t>
  </si>
  <si>
    <t>人类、有明显头颅的生物</t>
  </si>
  <si>
    <t>标准车</t>
  </si>
  <si>
    <t>-1至2</t>
  </si>
  <si>
    <t>1英寸（2.5厘米）硬木</t>
  </si>
  <si>
    <t>0.5/10 m²</t>
  </si>
  <si>
    <t>豪华车</t>
  </si>
  <si>
    <t>现代美军头盔</t>
  </si>
  <si>
    <t>跑车</t>
  </si>
  <si>
    <t>重型凯芙拉防弹背心</t>
  </si>
  <si>
    <t>敞篷小卡车</t>
  </si>
  <si>
    <t>2+</t>
  </si>
  <si>
    <t>≤3/后斗≤4</t>
  </si>
  <si>
    <t>1.5 （3.8厘米）英寸防弹玻璃</t>
  </si>
  <si>
    <t>100 m²</t>
  </si>
  <si>
    <t>6吨卡车</t>
  </si>
  <si>
    <t>1 英寸钢板</t>
  </si>
  <si>
    <t>1/10 m²</t>
  </si>
  <si>
    <t>半拖车</t>
  </si>
  <si>
    <t>3+</t>
  </si>
  <si>
    <t>≤3/后斗≤6</t>
  </si>
  <si>
    <t>大号沙包</t>
  </si>
  <si>
    <t>0.01/3</t>
  </si>
  <si>
    <t>轻摩托</t>
  </si>
  <si>
    <t>皮肤</t>
  </si>
  <si>
    <t>视情况</t>
  </si>
  <si>
    <t>全身</t>
  </si>
  <si>
    <t>大象,深潜者,鳄鱼等</t>
  </si>
  <si>
    <t>重摩托</t>
  </si>
  <si>
    <t>生化网状装甲</t>
  </si>
  <si>
    <t>？</t>
  </si>
  <si>
    <t>米戈、人型生物</t>
  </si>
  <si>
    <t>坦克</t>
  </si>
  <si>
    <t>重型机械 或 专业训练</t>
  </si>
  <si>
    <t>重型载具</t>
  </si>
  <si>
    <t>砖墙</t>
  </si>
  <si>
    <t>5/60 m²</t>
  </si>
  <si>
    <t>蒸汽列车</t>
  </si>
  <si>
    <t>-1至3</t>
  </si>
  <si>
    <t>≤3，露天车厢≤4</t>
  </si>
  <si>
    <t>一尺深的水</t>
  </si>
  <si>
    <t>1D2+1/1D8+4</t>
  </si>
  <si>
    <t>浸入部分</t>
  </si>
  <si>
    <t>43亿年前至今</t>
  </si>
  <si>
    <t>非穿着物</t>
  </si>
  <si>
    <t>这种情况是两种伤害：
从水面上攻击水面下的目标/在水面下攻击水面下的目标
并且火器的有效射程将在水中减少85%</t>
  </si>
  <si>
    <t>现代列车</t>
  </si>
  <si>
    <t>≤3</t>
  </si>
  <si>
    <t>半米深的水</t>
  </si>
  <si>
    <t>1D4+2/1D8+4</t>
  </si>
  <si>
    <t>马（有骑手）</t>
  </si>
  <si>
    <t>骑乘</t>
  </si>
  <si>
    <t>自从人类存在</t>
  </si>
  <si>
    <t>其他载具</t>
  </si>
  <si>
    <t>一米深的水</t>
  </si>
  <si>
    <t>1D8+4</t>
  </si>
  <si>
    <t>四马马车</t>
  </si>
  <si>
    <t>马车驾驶</t>
  </si>
  <si>
    <t>6+</t>
  </si>
  <si>
    <t>桌面板凳等 普通木质平面</t>
  </si>
  <si>
    <t>新石器时代后</t>
  </si>
  <si>
    <t>3/20 m²</t>
  </si>
  <si>
    <t>弹簧床垫</t>
  </si>
  <si>
    <t>划艇</t>
  </si>
  <si>
    <t>驾驶：船</t>
  </si>
  <si>
    <t>-2至2</t>
  </si>
  <si>
    <t>水
上
载
具</t>
  </si>
  <si>
    <t>半米厚水泥墙</t>
  </si>
  <si>
    <t>7/45 m²</t>
  </si>
  <si>
    <t>气垫船</t>
  </si>
  <si>
    <t>-2至3</t>
  </si>
  <si>
    <t>普通玻璃</t>
  </si>
  <si>
    <t>5/10 m²</t>
  </si>
  <si>
    <t>摩托艇</t>
  </si>
  <si>
    <t>驾驶：快艇</t>
  </si>
  <si>
    <t>1立方米石块</t>
  </si>
  <si>
    <t>古埃及之后</t>
  </si>
  <si>
    <t>5/20 m²</t>
  </si>
  <si>
    <t>游轮</t>
  </si>
  <si>
    <t>0（甲板上）</t>
  </si>
  <si>
    <t>至少2200</t>
  </si>
  <si>
    <t>≤4</t>
  </si>
  <si>
    <t>粗钢筋网</t>
  </si>
  <si>
    <t xml:space="preserve">     40 网状</t>
  </si>
  <si>
    <t>40 m²</t>
  </si>
  <si>
    <t>战列舰</t>
  </si>
  <si>
    <t>驾驶：轮船</t>
  </si>
  <si>
    <t>至少1800</t>
  </si>
  <si>
    <t>这些载具都需要大量的驾驶员</t>
  </si>
  <si>
    <t>土堆</t>
  </si>
  <si>
    <t>航空母舰</t>
  </si>
  <si>
    <t>驾驶：战舰</t>
  </si>
  <si>
    <t>至少3200</t>
  </si>
  <si>
    <t>≤6</t>
  </si>
  <si>
    <t>罕见/现代</t>
  </si>
  <si>
    <t>卷闸门（铁）</t>
  </si>
  <si>
    <t>分隔整个空间</t>
  </si>
  <si>
    <t>30/70</t>
  </si>
  <si>
    <t>潜水艇</t>
  </si>
  <si>
    <t>至少120</t>
  </si>
  <si>
    <t>500张A4纸</t>
  </si>
  <si>
    <t>1/9</t>
  </si>
  <si>
    <t>公共汽车</t>
  </si>
  <si>
    <t>地面载具</t>
  </si>
  <si>
    <t>书</t>
  </si>
  <si>
    <t>1500年前至今</t>
  </si>
  <si>
    <t>10/15</t>
  </si>
  <si>
    <t>大型动物的部分肢体</t>
  </si>
  <si>
    <t>大客车</t>
  </si>
  <si>
    <t>厚皮毡帽</t>
  </si>
  <si>
    <t>10/35</t>
  </si>
  <si>
    <t>工业防护眼镜无论是从任何方面来看都能很容易的被破坏，
只有受到正面的飞溅物才能发挥其保护主人的效果。</t>
  </si>
  <si>
    <t>纯电动汽车</t>
  </si>
  <si>
    <t>铁面具</t>
  </si>
  <si>
    <t>电动摩托</t>
  </si>
  <si>
    <t>击剑面具</t>
  </si>
  <si>
    <t>头+面+颈</t>
  </si>
  <si>
    <t>25/80</t>
  </si>
  <si>
    <t>全地形车</t>
  </si>
  <si>
    <t>冰球面罩</t>
  </si>
  <si>
    <t xml:space="preserve">     3 网状</t>
  </si>
  <si>
    <t>头+眼部(网状)</t>
  </si>
  <si>
    <t>30/110</t>
  </si>
  <si>
    <t>在欧洲文艺复兴时期的盔甲都无比豪华亮丽，
尤其是整体设计和花纹确实无与伦比
很多产品看上去已经和工业革命时期没有什么区别了。</t>
  </si>
  <si>
    <t>吉普车</t>
  </si>
  <si>
    <t>工业防护眼镜</t>
  </si>
  <si>
    <t>10*</t>
  </si>
  <si>
    <t>眼部</t>
  </si>
  <si>
    <t>平衡车</t>
  </si>
  <si>
    <t>MOV+1</t>
  </si>
  <si>
    <t>电焊面罩</t>
  </si>
  <si>
    <t>冰刀、滑板、旱冰鞋等</t>
  </si>
  <si>
    <t>全防护级防毒面具</t>
  </si>
  <si>
    <t>耐毒性 2h</t>
  </si>
  <si>
    <t>人类、有明显口鼻的生物</t>
  </si>
  <si>
    <t>35/150</t>
  </si>
  <si>
    <t>驴</t>
  </si>
  <si>
    <t>工地安全帽</t>
  </si>
  <si>
    <t>1 耐冲击</t>
  </si>
  <si>
    <t>头顶</t>
  </si>
  <si>
    <t>拖拉机</t>
  </si>
  <si>
    <t>全防护摩托车帽</t>
  </si>
  <si>
    <t>25/90</t>
  </si>
  <si>
    <t>工业用车（挖掘机、打桩机等）</t>
  </si>
  <si>
    <t>重型机械操作、专业训练</t>
  </si>
  <si>
    <t>维京头盔</t>
  </si>
  <si>
    <t>头顶+眼部(网状)</t>
  </si>
  <si>
    <t>古代</t>
  </si>
  <si>
    <t>非马畜力车、雪橇</t>
  </si>
  <si>
    <t>骑乘或马车驾驶</t>
  </si>
  <si>
    <t>古罗马头盔</t>
  </si>
  <si>
    <t>头顶+面颊</t>
  </si>
  <si>
    <t>民用航空</t>
  </si>
  <si>
    <t>空中载具</t>
  </si>
  <si>
    <t>藤条盔</t>
  </si>
  <si>
    <t>战斗机</t>
  </si>
  <si>
    <t>专业训练</t>
  </si>
  <si>
    <t>≤1</t>
  </si>
  <si>
    <t>中世纪全防护头盔</t>
  </si>
  <si>
    <t>中世纪</t>
  </si>
  <si>
    <t>轰炸机</t>
  </si>
  <si>
    <t>无人机并不是载具，但是很常见所以写在这里。</t>
  </si>
  <si>
    <t>文艺复兴头盔</t>
  </si>
  <si>
    <t>文艺复兴</t>
  </si>
  <si>
    <t>私人飞机</t>
  </si>
  <si>
    <t>4人以上</t>
  </si>
  <si>
    <t>金质镶钻王冠</t>
  </si>
  <si>
    <t>工业革命结束前</t>
  </si>
  <si>
    <t>老鼻子贵了</t>
  </si>
  <si>
    <t>涡轮喷气机</t>
  </si>
  <si>
    <t>击剑纤维服</t>
  </si>
  <si>
    <t>四肢、躯干、颈</t>
  </si>
  <si>
    <t>50/230</t>
  </si>
  <si>
    <t>躯干或全身</t>
  </si>
  <si>
    <t>货机</t>
  </si>
  <si>
    <t>热气球几乎不具备任何动力系统
通常依靠释放一定的热气、或者靠风力移动</t>
  </si>
  <si>
    <t>对练棉甲</t>
  </si>
  <si>
    <t>躯干、双臂、颈</t>
  </si>
  <si>
    <t>超音速飞机</t>
  </si>
  <si>
    <t>20+</t>
  </si>
  <si>
    <t>关节护具</t>
  </si>
  <si>
    <t>肘、膝、四肢、头</t>
  </si>
  <si>
    <t>人类、有明显关节的生物</t>
  </si>
  <si>
    <t>5/20</t>
  </si>
  <si>
    <t>直升机</t>
  </si>
  <si>
    <t>护胸板</t>
  </si>
  <si>
    <t>前胸</t>
  </si>
  <si>
    <t>无人机</t>
  </si>
  <si>
    <t>锁子甲</t>
  </si>
  <si>
    <t>双臂、大腿、躯干、颈</t>
  </si>
  <si>
    <t>热气球</t>
  </si>
  <si>
    <t>扎甲</t>
  </si>
  <si>
    <t>双翼机</t>
  </si>
  <si>
    <t>1或2</t>
  </si>
  <si>
    <t>鳞甲</t>
  </si>
  <si>
    <t>滑翔翼</t>
  </si>
  <si>
    <t>米兰盔甲</t>
  </si>
  <si>
    <t>除头部、全身</t>
  </si>
  <si>
    <t>独木舟</t>
  </si>
  <si>
    <t>水上载具</t>
  </si>
  <si>
    <t>藤甲</t>
  </si>
  <si>
    <t>木筏</t>
  </si>
  <si>
    <t>最多4</t>
  </si>
  <si>
    <t>板甲</t>
  </si>
  <si>
    <t>现代帆船</t>
  </si>
  <si>
    <t>驾驶：帆船</t>
  </si>
  <si>
    <t>胴丸</t>
  </si>
  <si>
    <t>比赛帆船</t>
  </si>
  <si>
    <t>取决于风速</t>
  </si>
  <si>
    <t>纸甲</t>
  </si>
  <si>
    <t>渡河小船</t>
  </si>
  <si>
    <t>古代至今</t>
  </si>
  <si>
    <t>防刺服</t>
  </si>
  <si>
    <t>快艇</t>
  </si>
  <si>
    <t>常规防弹衣</t>
  </si>
  <si>
    <t>货轮</t>
  </si>
  <si>
    <t>15+</t>
  </si>
  <si>
    <t>防刺西服</t>
  </si>
  <si>
    <t>除头部、除手脚、全身</t>
  </si>
  <si>
    <t>客船</t>
  </si>
  <si>
    <t>军用防暴服</t>
  </si>
  <si>
    <t>海上移动钻井平台</t>
  </si>
  <si>
    <t>重型机械操作</t>
  </si>
  <si>
    <t>50左右</t>
  </si>
  <si>
    <t>≤5</t>
  </si>
  <si>
    <t>防化服</t>
  </si>
  <si>
    <t>耐毒性 氧气瓶</t>
  </si>
  <si>
    <t>地铁</t>
  </si>
  <si>
    <t>固定路线载具</t>
  </si>
  <si>
    <t>工作手套</t>
  </si>
  <si>
    <t>拥有五指型手掌的生物</t>
  </si>
  <si>
    <t>0.1/3</t>
  </si>
  <si>
    <t>手脚四肢</t>
  </si>
  <si>
    <t>有轨电车</t>
  </si>
  <si>
    <t>防刺手套</t>
  </si>
  <si>
    <t xml:space="preserve">空中轨道列车 </t>
  </si>
  <si>
    <t>MOV与速度对照值</t>
  </si>
  <si>
    <t>冰球手套</t>
  </si>
  <si>
    <t>观光缆车</t>
  </si>
  <si>
    <t>2或4</t>
  </si>
  <si>
    <t>军用特种手套</t>
  </si>
  <si>
    <t>高速铁路</t>
  </si>
  <si>
    <t>MPH</t>
  </si>
  <si>
    <t>电焊手套</t>
  </si>
  <si>
    <t>磁悬浮列车</t>
  </si>
  <si>
    <t>16</t>
  </si>
  <si>
    <t>铁手甲</t>
  </si>
  <si>
    <t>轨道公交车</t>
  </si>
  <si>
    <t>13</t>
  </si>
  <si>
    <t>雨靴</t>
  </si>
  <si>
    <t>拥有站立功能的双腿的生物</t>
  </si>
  <si>
    <t>0.5/10</t>
  </si>
  <si>
    <t>铁靴</t>
  </si>
  <si>
    <t>工业防护靴</t>
  </si>
  <si>
    <t>3/15</t>
  </si>
  <si>
    <t>PC防暴盾</t>
  </si>
  <si>
    <t>人类、可以拿起物品的生物</t>
  </si>
  <si>
    <t>盾</t>
  </si>
  <si>
    <t>用来阻止对方武器的进攻路线，以达到防护的目的</t>
  </si>
  <si>
    <t>这是一种非常小的盾牌，最小的种类半径不超过15厘米，与其说是让对方的武器打中盾牌以抵挡伤害，不如说是主动用盾牌去撞对方的武器。
一般来说需要用【斗殴】判断有没有格挡下伤害。</t>
  </si>
  <si>
    <t>金属镇暴盾</t>
  </si>
  <si>
    <t>MPH：英里每小时</t>
  </si>
  <si>
    <t>防弹钢盾</t>
  </si>
  <si>
    <t>术语解释/规则（凡例）</t>
  </si>
  <si>
    <t>格斗盾</t>
  </si>
  <si>
    <t>拳前</t>
  </si>
  <si>
    <t>人类、有手的生物</t>
  </si>
  <si>
    <t>MOV（移动速度）：在追逐中载具的速度和可操作性（maneuverability）的衡量等级。这些等级是为了现代载具
设定的，1920s 的载具需要减少大约 20%（尽管在 1920s 有能够超过 100MPH 的车）。</t>
  </si>
  <si>
    <t>圆木盾</t>
  </si>
  <si>
    <t>剑柄与剑身间相隔的突出部分，欧洲剑通常拥有剑格，通常来说都是用来格挡攻击的，也有用于装饰的。
虽然不是盾但是和盾的作用类似所以归在盾类型内。</t>
  </si>
  <si>
    <t>筝形盾</t>
  </si>
  <si>
    <t>圆铁盾</t>
  </si>
  <si>
    <t>Build（体格）：对于载具的力量和尺寸的衡量等级。当降低到 0 时，载具就会无法运转。每满 10 点伤害降低载具
1 点体格（小数点后舍去）；任何 10 以下的伤害会被无视。（或许也可以用于防具的护甲值）</t>
  </si>
  <si>
    <t>剑格、护手</t>
  </si>
  <si>
    <t>如果载具的体格降低到开始的一半（小数点后舍去）或更低，它就受到损伤。所有的汽车驾驶技能（或其他合适的技能）都要应用一个惩罚骰。</t>
  </si>
  <si>
    <t>如果在一次事故中载具承受了等同于它所有体格的伤害（小数点后舍去）载具会以一种令人非常印象深刻的方式完全的报废了。它可能爆炸、起火、滚动或以上几种的组合。所有载具上的乘客很可能会死。调查员是否拥有幸存的机会取决于守秘人：可以进行幸运骰。那些幸运的被扔出载具的人，尽管还是建议让他们承受至少 2d10 的伤害</t>
  </si>
  <si>
    <t>如果载具的体格累积的受到损伤（例如：比载具初始体格值低的较小值（in increments of less than the vehicle’s starting build value））减到了 0，
它便无法驾驶、慢慢停下来。根据情况（或许是幸运骰）这可能会导致异常交通事故，对驾驶员和每个乘客造成 1d10 损伤。</t>
  </si>
  <si>
    <t>Armor for people（乘客护甲）：这个护甲等级是为了乘客和驾驶员提供的，表明载具提供的对外界攻击的护甲值</t>
  </si>
  <si>
    <t>护甲 ：护甲可以降低角色受到的伤害，从伤害中减去护甲数值。</t>
  </si>
  <si>
    <t xml:space="preserve"> 躯干：是指大腿以上，锁骨以下以内的身体部位</t>
  </si>
  <si>
    <t>Passengers and crew（乘客和工作人员）：可以住宿的在在居上的人数。</t>
  </si>
  <si>
    <t>防利器穿刺：指的是带有利刃的冷兵器无法直接穿透该物体伤害到本体，并不是代表冷兵器不可破坏该物体</t>
  </si>
  <si>
    <t>网状：这种物品都有较大的空隙，最小足以将手指伸出去但头不能伸出去。</t>
  </si>
  <si>
    <t>√：表示肯定 ×：表示否定 ?：表示该物品在这方面的数据完全未知，或因情况有异</t>
  </si>
  <si>
    <t>追逐轮可选规则</t>
  </si>
  <si>
    <t>选择一条道路</t>
  </si>
  <si>
    <t>随机的险境和障碍</t>
  </si>
  <si>
    <t>在调查员被追逐的情况下，KP应当将调查员附近的环境或能选择逃跑的路径告诉调查员
这样调查员就可以选择一条更加简单或困难的通路，或是自己擅长并且可以拖住追逐者的道路。
比如田径队员会选择无比杂乱的街道，或者游泳运动员会选择一条河流来甩掉追逐者。</t>
  </si>
  <si>
    <t>通过本规则，KP可以为正在逃跑的调查员或追逐者造成一定困扰或便利。
首先骰一个1D100然后按照右表来给追逐轮填些花样。</t>
  </si>
  <si>
    <t>骰 1D100</t>
  </si>
  <si>
    <t>0-59</t>
  </si>
  <si>
    <t>畅通无阻</t>
  </si>
  <si>
    <t>60-84</t>
  </si>
  <si>
    <t>一个 普通 的险境or阻碍</t>
  </si>
  <si>
    <t>85-95</t>
  </si>
  <si>
    <t>一个 困难 的险境or阻碍</t>
  </si>
  <si>
    <t>95-100</t>
  </si>
  <si>
    <t>一个 致命 的险境or阻碍</t>
  </si>
  <si>
    <t>如果目前的道路或调查员的行为存在着严重的隐患，那么创造危险的骰子将会增加一个惩罚骰
比如在醉酒的情况下开车，或横穿车来车往的高速路等。</t>
  </si>
  <si>
    <t>突发险境</t>
  </si>
  <si>
    <t>这里看起来挺安全的，真的挺安全吗？</t>
  </si>
  <si>
    <t>猛踩油门</t>
  </si>
  <si>
    <t>一个地方一时安全不代表一世安全
马路上突然冲出来的车，没有拴好的狗，高空坠物，泥石流，地震，甚至恐怖袭击都是可能出现的
遛狗不拴狗等于狗遛狗</t>
  </si>
  <si>
    <t>在追逐轮内，无论何时，只要调查员或守秘人希望发生突发事件，那么kp就可以要求进行一次群体幸运骰。</t>
  </si>
  <si>
    <t>通常情况下，载具都是可以通过踩油门、推动制动杆、添柴等各种方法进行加速的。
这将可以使其移动力增加2-5倍</t>
  </si>
  <si>
    <t>正常情况下</t>
  </si>
  <si>
    <t>交通法还是很靠谱的，正常开不会有什么问题</t>
  </si>
  <si>
    <t>选择2-3倍移速</t>
  </si>
  <si>
    <t>滴，您已超速请慢行
这种速度下遇到任何险境都会增加一个惩罚骰</t>
  </si>
  <si>
    <t>如果幸运通过
那么突发事件将会按调查员所期望的发生</t>
  </si>
  <si>
    <t>如果幸运失败
KP就应该为调查员们指定一次突发事件</t>
  </si>
  <si>
    <t>突发事件的影响应该为正常难度。</t>
  </si>
  <si>
    <t>比如，一个行动力为4的汽车，正常情况下一轮只能移动4个位置。
但是如果全速开动，在这轮中很可能直接移动20个位置！</t>
  </si>
  <si>
    <t>选择4-5倍移速</t>
  </si>
  <si>
    <t>滴，您构成危害公众安全罪
这种速度下遇到任何险境都会增加两个惩罚骰</t>
  </si>
  <si>
    <t>当调查员要求了突发事件之后，直到kp要求突发事件之前都不能再次要求，反之亦然。
当追逐轮持续时间过长kp可以提升突发时间的难度。</t>
  </si>
  <si>
    <t>加速前，KP应该骰骰子决定调查员能看见多远的距离，这是判断加速是否安全最基本的办法。 具体骰子见左下角。</t>
  </si>
  <si>
    <t>但是超速怎么可能没有危险呢，见右栏</t>
  </si>
  <si>
    <t>拥挤的城市</t>
  </si>
  <si>
    <t>1d3</t>
  </si>
  <si>
    <t>城市内到处都是堵车和转角很难看到远方</t>
  </si>
  <si>
    <t>超速过程中遭遇险境虽然应该增加惩罚骰，但是如果该陷阱是障碍物的话这个惩罚骰可以视情况免除。
因为高速行驶对破坏障碍物是十分有利的。</t>
  </si>
  <si>
    <t>郊外</t>
  </si>
  <si>
    <t>1d6</t>
  </si>
  <si>
    <t>少了高楼大厦就能很清楚的看到前方的路了</t>
  </si>
  <si>
    <t>笔直的道路</t>
  </si>
  <si>
    <t>这种情况下可以看超~远der</t>
  </si>
  <si>
    <t>交通事故</t>
  </si>
  <si>
    <t>事故</t>
  </si>
  <si>
    <t>举例</t>
  </si>
  <si>
    <t>轻微事故：普通难度的险境一般都归在这里了，
虽然可能就是轻轻擦一下或者刮掉一块漆，但是还是可能发生危险的</t>
  </si>
  <si>
    <t>1D3-1
build</t>
  </si>
  <si>
    <t>被其他载具从侧面或后面冲撞     擦到路灯柱     撞到杆子上     撞到人或小型生物</t>
  </si>
  <si>
    <t>中等事故：一般都是困难难度的险境，可能导致严重的伤害，甚至会破坏汽车</t>
  </si>
  <si>
    <t>1D6
build</t>
  </si>
  <si>
    <t>撞到牛或鹿     和重型摩托或经济型轿车发生碰撞</t>
  </si>
  <si>
    <t>轻微事故：大部分极难难度的险境，很可能完全摧毁汽车。</t>
  </si>
  <si>
    <t>1D10
build</t>
  </si>
  <si>
    <t>和标准车     灯柱发生正面冲撞</t>
  </si>
  <si>
    <t>2D10
build</t>
  </si>
  <si>
    <t>和货运汽车     长途公车     成熟的树木发生冲撞</t>
  </si>
  <si>
    <t>马路杀手：如字面的意思，会杀死马路，还有上面的东西</t>
  </si>
  <si>
    <t>5D10
build</t>
  </si>
  <si>
    <t>和强大的破坏力、火车发生冲撞      被陨石砸中</t>
  </si>
  <si>
    <t>疯狂发作—即时症状</t>
  </si>
  <si>
    <t>疯狂发作—总结症状</t>
  </si>
  <si>
    <t>症状表现</t>
  </si>
  <si>
    <r>
      <rPr>
        <b/>
        <charset val="134"/>
        <sz val="12"/>
        <color rgb="FF000000"/>
        <rFont val="微软雅黑"/>
      </rPr>
      <t>失忆：</t>
    </r>
    <r>
      <rPr>
        <charset val="134"/>
        <sz val="12"/>
        <color rgb="FF000000"/>
        <rFont val="微软雅黑"/>
      </rPr>
      <t>调查员会发现自己只记得最后身处的安全地点，却没有任何来到这里的记忆。例如，调查员前一刻还在家中吃着早饭，下一刻就已经直面着不知名的怪物。这将会持续 1D10 轮。</t>
    </r>
  </si>
  <si>
    <r>
      <rPr>
        <b/>
        <charset val="134"/>
        <sz val="12"/>
        <color rgb="FF000000"/>
        <rFont val="微软雅黑"/>
      </rPr>
      <t>失忆：</t>
    </r>
    <r>
      <rPr>
        <charset val="134"/>
        <sz val="12"/>
        <color rgb="FF000000"/>
        <rFont val="微软雅黑"/>
      </rPr>
      <t>回过神来，调查员们发现自己身处一个陌生的地方，
并忘记了自己是谁。记忆会随时间恢复。</t>
    </r>
  </si>
  <si>
    <r>
      <rPr>
        <b/>
        <charset val="134"/>
        <sz val="12"/>
        <color rgb="FF000000"/>
        <rFont val="微软雅黑"/>
      </rPr>
      <t>假性残疾：</t>
    </r>
    <r>
      <rPr>
        <charset val="134"/>
        <sz val="12"/>
        <color rgb="FF000000"/>
        <rFont val="微软雅黑"/>
      </rPr>
      <t>调查员陷入了心理性的失明，
失聪以及躯体缺失感中，持续 1D10 轮。</t>
    </r>
  </si>
  <si>
    <r>
      <rPr>
        <b/>
        <charset val="134"/>
        <sz val="12"/>
        <color rgb="FF000000"/>
        <rFont val="微软雅黑"/>
      </rPr>
      <t>被窃：</t>
    </r>
    <r>
      <rPr>
        <charset val="134"/>
        <sz val="12"/>
        <color rgb="FF000000"/>
        <rFont val="微软雅黑"/>
      </rPr>
      <t>调查员在 1D10 小时后恢复清醒，发觉自己被盗，身体毫发无损。如果调查员携带着宝贵之物（见调查员背景），做幸运检定来决定其是否被盗。所有有价值的东西无需检定自动消失。</t>
    </r>
  </si>
  <si>
    <r>
      <rPr>
        <b/>
        <charset val="134"/>
        <sz val="12"/>
        <color rgb="FF000000"/>
        <rFont val="微软雅黑"/>
      </rPr>
      <t>暴力倾向：</t>
    </r>
    <r>
      <rPr>
        <charset val="134"/>
        <sz val="12"/>
        <color rgb="FF000000"/>
        <rFont val="微软雅黑"/>
      </rPr>
      <t>调查员陷入了六亲不认的暴力行为中，
对周围的敌人与友方进行着无差别的攻击，持续 1D10 轮。</t>
    </r>
  </si>
  <si>
    <r>
      <rPr>
        <b/>
        <charset val="134"/>
        <sz val="12"/>
        <color rgb="FF000000"/>
        <rFont val="微软雅黑"/>
      </rPr>
      <t>遍体鳞伤：</t>
    </r>
    <r>
      <rPr>
        <charset val="134"/>
        <sz val="12"/>
        <color rgb="FF000000"/>
        <rFont val="微软雅黑"/>
      </rPr>
      <t>调查员在 1D10 小时后恢复清醒，发现自己身上满是拳痕和瘀伤。生命值减少到疯狂前的一半，但这不会造成重伤。调查员没有被窃。这种伤害如何持续到现在由守秘人决定。</t>
    </r>
  </si>
  <si>
    <r>
      <rPr>
        <b/>
        <charset val="134"/>
        <sz val="12"/>
        <color rgb="FF000000"/>
        <rFont val="微软雅黑"/>
      </rPr>
      <t>偏执：</t>
    </r>
    <r>
      <rPr>
        <charset val="134"/>
        <sz val="12"/>
        <color rgb="FF000000"/>
        <rFont val="微软雅黑"/>
      </rPr>
      <t>调查员陷入了严重的偏执妄想之中，持续１Ｄ１０轮。有人在
暗中窥视着他们，同伴中有人背叛了他们，没有人可以信任，万事皆虚。</t>
    </r>
  </si>
  <si>
    <r>
      <rPr>
        <b/>
        <charset val="134"/>
        <sz val="12"/>
        <color rgb="FF000000"/>
        <rFont val="微软雅黑"/>
      </rPr>
      <t>暴力倾向：</t>
    </r>
    <r>
      <rPr>
        <charset val="134"/>
        <sz val="12"/>
        <color rgb="FF000000"/>
        <rFont val="微软雅黑"/>
      </rPr>
      <t>调查员陷入强烈的暴力与破坏欲之中。调查员回过神来可能会理解自己做了什么也可能毫无印象。调查员对谁或何物施以暴力，他们是杀人还是仅仅造成了伤害，由守秘人决定。</t>
    </r>
  </si>
  <si>
    <r>
      <rPr>
        <b/>
        <charset val="134"/>
        <sz val="12"/>
        <color rgb="FF000000"/>
        <rFont val="微软雅黑"/>
      </rPr>
      <t>人际依赖：</t>
    </r>
    <r>
      <rPr>
        <charset val="134"/>
        <sz val="12"/>
        <color rgb="FF000000"/>
        <rFont val="微软雅黑"/>
      </rPr>
      <t>守秘人适当参考调查员的背景中重要之人的条目，调查员因为一些原因而降他人误认为了他重要的人并且努力的会与那个人保持那种关系，持续 1D10 轮</t>
    </r>
  </si>
  <si>
    <r>
      <rPr>
        <b/>
        <charset val="134"/>
        <sz val="12"/>
        <color rgb="FF000000"/>
        <rFont val="微软雅黑"/>
      </rPr>
      <t>极端信念：</t>
    </r>
    <r>
      <rPr>
        <charset val="134"/>
        <sz val="12"/>
        <color rgb="FF000000"/>
        <rFont val="微软雅黑"/>
      </rPr>
      <t>查看调查员背景中的思想信念，调查员会采取极端和疯狂的表现手段展示他们的思想信念之一。比如一个信教者会在地铁上高声布道。</t>
    </r>
  </si>
  <si>
    <r>
      <rPr>
        <b/>
        <charset val="134"/>
        <sz val="12"/>
        <color rgb="FF000000"/>
        <rFont val="微软雅黑"/>
      </rPr>
      <t>昏厥：</t>
    </r>
    <r>
      <rPr>
        <charset val="134"/>
        <sz val="12"/>
        <color rgb="FF000000"/>
        <rFont val="微软雅黑"/>
      </rPr>
      <t>调查员当场昏倒，并需要 1D10 轮才能苏醒。</t>
    </r>
  </si>
  <si>
    <r>
      <rPr>
        <b/>
        <charset val="134"/>
        <sz val="12"/>
        <color rgb="FF000000"/>
        <rFont val="微软雅黑"/>
      </rPr>
      <t>重要之人：</t>
    </r>
    <r>
      <rPr>
        <charset val="134"/>
        <sz val="12"/>
        <color rgb="FF000000"/>
        <rFont val="微软雅黑"/>
      </rPr>
      <t>考虑调查员背景中的重要之人，及其重要的原因。在 1D10 小时或更久的时间中，
调查员将不顾一切地接近那个人，并为他们之间的关系做出行动。</t>
    </r>
  </si>
  <si>
    <r>
      <rPr>
        <b/>
        <charset val="134"/>
        <sz val="12"/>
        <color rgb="FF000000"/>
        <rFont val="微软雅黑"/>
      </rPr>
      <t>逃避行为：</t>
    </r>
    <r>
      <rPr>
        <charset val="134"/>
        <sz val="12"/>
        <color rgb="FF000000"/>
        <rFont val="微软雅黑"/>
      </rPr>
      <t>调查员会用任何的手段试图逃离现在所处的位置，即使这意味着开走
唯一一辆交通工具并将其它人抛诸脑后，调查员会试图逃离 1D10轮。</t>
    </r>
  </si>
  <si>
    <r>
      <rPr>
        <b/>
        <charset val="134"/>
        <sz val="12"/>
        <color rgb="FF000000"/>
        <rFont val="微软雅黑"/>
      </rPr>
      <t>被收容：</t>
    </r>
    <r>
      <rPr>
        <charset val="134"/>
        <sz val="12"/>
        <color rgb="FF000000"/>
        <rFont val="微软雅黑"/>
      </rPr>
      <t>调查员在精神病院病房或警察局牢房中回过神来，
他们可能会慢慢回想起导致自己被关在这里的事情。</t>
    </r>
  </si>
  <si>
    <r>
      <rPr>
        <b/>
        <charset val="134"/>
        <sz val="12"/>
        <color rgb="FF000000"/>
        <rFont val="微软雅黑"/>
      </rPr>
      <t>竭嘶底里：</t>
    </r>
    <r>
      <rPr>
        <charset val="134"/>
        <sz val="12"/>
        <color rgb="FF000000"/>
        <rFont val="微软雅黑"/>
      </rPr>
      <t>调查员表现出大笑，哭泣，嘶吼，害怕等的极端情绪表现，持续 1D10 轮。</t>
    </r>
  </si>
  <si>
    <r>
      <rPr>
        <b/>
        <charset val="134"/>
        <sz val="12"/>
        <color rgb="FF000000"/>
        <rFont val="微软雅黑"/>
      </rPr>
      <t>逃避行为：</t>
    </r>
    <r>
      <rPr>
        <charset val="134"/>
        <sz val="12"/>
        <color rgb="FF000000"/>
        <rFont val="微软雅黑"/>
      </rPr>
      <t>调查员恢复清醒时发现自己在很远的地方，
也许迷失在荒郊野岭，或是在驶向远方的列车或长途汽车上。</t>
    </r>
  </si>
  <si>
    <r>
      <rPr>
        <b/>
        <charset val="134"/>
        <sz val="12"/>
        <color rgb="FF000000"/>
        <rFont val="微软雅黑"/>
      </rPr>
      <t>恐惧：</t>
    </r>
    <r>
      <rPr>
        <charset val="134"/>
        <sz val="12"/>
        <color rgb="FF000000"/>
        <rFont val="微软雅黑"/>
      </rPr>
      <t>调查员通过一次 D100 或者由守秘人选择，来从恐惧症状表中选择一个恐惧源，
就算这一恐惧的事物是并不存在的，调查员的症状会持续1D10 轮。</t>
    </r>
  </si>
  <si>
    <r>
      <rPr>
        <b/>
        <charset val="134"/>
        <sz val="12"/>
        <color rgb="FF000000"/>
        <rFont val="微软雅黑"/>
      </rPr>
      <t>恐惧：</t>
    </r>
    <r>
      <rPr>
        <charset val="134"/>
        <sz val="12"/>
        <color rgb="FF000000"/>
        <rFont val="微软雅黑"/>
      </rPr>
      <t>调查员患上一个新的恐惧症状。在恐惧症状表上骰 1 个 D100 来决定症状，或由守秘人选择一个。调查员在 1D10 小时后回过神来，并开始为避开恐惧源而采取任何措施。</t>
    </r>
  </si>
  <si>
    <r>
      <rPr>
        <b/>
        <charset val="134"/>
        <sz val="12"/>
        <color rgb="FF000000"/>
        <rFont val="微软雅黑"/>
      </rPr>
      <t>躁狂：</t>
    </r>
    <r>
      <rPr>
        <charset val="134"/>
        <sz val="12"/>
        <color rgb="FF000000"/>
        <rFont val="微软雅黑"/>
      </rPr>
      <t>调查员通过一次 D100 或者由守秘人选择，来从躁狂症状表中选择一个躁狂的诱因，
这个症状将会持续 1D10 轮。</t>
    </r>
  </si>
  <si>
    <r>
      <rPr>
        <b/>
        <charset val="134"/>
        <sz val="11"/>
        <color rgb="FF000000"/>
        <rFont val="微软雅黑"/>
      </rPr>
      <t>狂躁：</t>
    </r>
    <r>
      <rPr>
        <charset val="134"/>
        <sz val="11"/>
        <color rgb="FF000000"/>
        <rFont val="微软雅黑"/>
      </rPr>
      <t>调查员患上一个新的狂躁症状。在狂躁症状表上骰 1 个 d100 来决定症状，或由守秘人选择一个。调查员会在 1d10 小时后恢复理智。在这次疯狂发作中，调查员将完全沉浸于其新的狂躁症状。这症状是否会表现给旁人则取决于守秘人和此调查员。</t>
    </r>
  </si>
  <si>
    <t>具体症状</t>
  </si>
  <si>
    <t>疯狂与理智可选规则</t>
  </si>
  <si>
    <t>看透疯狂</t>
  </si>
  <si>
    <t>多重理智检定</t>
  </si>
  <si>
    <t>当一个调查员陷入疯狂的时候，他可能会有短暂一刻的清醒或看穿现实，
这或许会对调查员们提供一些帮助</t>
  </si>
  <si>
    <r>
      <rPr>
        <charset val="134"/>
        <sz val="14"/>
        <color rgb="FF000000"/>
        <rFont val="微软雅黑"/>
      </rPr>
      <t>遇到了多数的神话生物时，
KP可以要求玩家对每一个神话生物单独各自进行理智损失检定，
并对其中</t>
    </r>
    <r>
      <rPr>
        <b/>
        <charset val="134"/>
        <sz val="14"/>
        <color rgb="FF000000"/>
        <rFont val="微软雅黑"/>
      </rPr>
      <t>损失量最高的</t>
    </r>
    <r>
      <rPr>
        <charset val="134"/>
        <sz val="14"/>
        <color rgb="FF000000"/>
        <rFont val="微软雅黑"/>
      </rPr>
      <t>那</t>
    </r>
    <r>
      <rPr>
        <b/>
        <charset val="134"/>
        <sz val="14"/>
        <color rgb="FF000000"/>
        <rFont val="微软雅黑"/>
      </rPr>
      <t>一次</t>
    </r>
    <r>
      <rPr>
        <charset val="134"/>
        <sz val="14"/>
        <color rgb="FF000000"/>
        <rFont val="微软雅黑"/>
      </rPr>
      <t xml:space="preserve">作为损失结果。
</t>
    </r>
    <r>
      <rPr>
        <i/>
        <charset val="134"/>
        <sz val="9"/>
        <color rgb="FF000000"/>
        <rFont val="微软雅黑"/>
      </rPr>
      <t>这在调查员遇到多个神话生物的时候非常实用。</t>
    </r>
    <r>
      <rPr>
        <charset val="134"/>
        <sz val="14"/>
        <color rgb="FF000000"/>
        <rFont val="微软雅黑"/>
      </rPr>
      <t xml:space="preserve">
比如玩家遇到了三个星之彩和一个克总
玩家对三个星之彩骰了三次1D8出目分别为1,7,6
对克总骰了一次1D100出目为1，
那么该调查员的理智将会损失7点</t>
    </r>
  </si>
  <si>
    <t>精
神
固
化</t>
  </si>
  <si>
    <t>一旦一个调查员的san值低于他所拥有的克苏鲁神话技能时，他的人格将会出现一次根本性的改变，他将对自身在宇宙中的地位有一个透彻的理解。
调查员可以选择自己对真实的理解是习惯还是不为所动，或者是知道真相而不会再次动摇。</t>
  </si>
  <si>
    <t>好味</t>
  </si>
  <si>
    <r>
      <rPr>
        <charset val="134"/>
        <sz val="12"/>
        <color rgb="FF000000"/>
        <rFont val="微软雅黑"/>
      </rPr>
      <t>无论对现实怎么想          从这一刻起调查员</t>
    </r>
    <r>
      <rPr>
        <b/>
        <charset val="134"/>
        <sz val="12"/>
        <color rgb="FF000000"/>
        <rFont val="微软雅黑"/>
      </rPr>
      <t>所有的理智损失都会减半</t>
    </r>
    <r>
      <rPr>
        <charset val="134"/>
        <sz val="12"/>
        <color rgb="FF000000"/>
        <rFont val="微软雅黑"/>
      </rPr>
      <t>。
                                这种转变将会是</t>
    </r>
    <r>
      <rPr>
        <b/>
        <charset val="134"/>
        <sz val="12"/>
        <color rgb="FF000000"/>
        <rFont val="微软雅黑"/>
      </rPr>
      <t>永久性</t>
    </r>
    <r>
      <rPr>
        <charset val="134"/>
        <sz val="12"/>
        <color rgb="FF000000"/>
        <rFont val="微软雅黑"/>
      </rPr>
      <t>的。</t>
    </r>
  </si>
  <si>
    <t>疯狂与理智少见规则</t>
  </si>
  <si>
    <t>失败的
理智检定</t>
  </si>
  <si>
    <t>KP会让pc做出一个不由自主的动作
比如眼角嘴角抽动，战栗，尖叫，甚至呕吐</t>
  </si>
  <si>
    <t>习惯恐惧</t>
  </si>
  <si>
    <t>遭遇特定神话存在(比如深潜者)时，玩家应记录其引发的理智损失累计值；
累计损失不应超过单次遭遇该神话存在而损失的最大理智值。
每个幕间成长阶段，将理智累计损失减少 1</t>
  </si>
  <si>
    <t>潜在疯狂</t>
  </si>
  <si>
    <r>
      <rPr>
        <charset val="134"/>
        <sz val="11"/>
        <color rgb="FF000000"/>
        <rFont val="微软雅黑"/>
      </rPr>
      <t>任何理智损失都会导致调查员再次陷入疯狂发作
调查员很容易</t>
    </r>
    <r>
      <rPr>
        <b/>
        <charset val="134"/>
        <sz val="11"/>
        <color rgb="FF000000"/>
        <rFont val="微软雅黑"/>
      </rPr>
      <t>产生幻觉</t>
    </r>
  </si>
  <si>
    <t>从疯狂中恢复</t>
  </si>
  <si>
    <r>
      <rPr>
        <b/>
        <charset val="134"/>
        <sz val="11"/>
        <color rgb="FF000000"/>
        <rFont val="微软雅黑"/>
      </rPr>
      <t>从临时性疯狂中恢复：</t>
    </r>
    <r>
      <rPr>
        <charset val="134"/>
        <sz val="11"/>
        <color rgb="FF000000"/>
        <rFont val="微软雅黑"/>
      </rPr>
      <t>1D10 小时，或经过良好的休息之后。</t>
    </r>
  </si>
  <si>
    <r>
      <rPr>
        <b/>
        <charset val="134"/>
        <sz val="11"/>
        <color rgb="FF000000"/>
        <rFont val="微软雅黑"/>
      </rPr>
      <t>从不定性疯狂中恢复：</t>
    </r>
    <r>
      <rPr>
        <charset val="134"/>
        <sz val="11"/>
        <color rgb="FF000000"/>
        <rFont val="微软雅黑"/>
      </rPr>
      <t>每月治疗结束时的检定通过后；
守秘人也可以允许在下一个幕间成长时自动恢复。</t>
    </r>
  </si>
  <si>
    <t>疯狂的
副作用</t>
  </si>
  <si>
    <t>恐惧症：潜在疯狂中，必须战斗或逃跑，否则技能检定承受1个惩罚骰。</t>
  </si>
  <si>
    <t>躁狂症：潜在疯狂中，必须沉浸于躁狂症中，否则技能检定承受1个惩罚骰。</t>
  </si>
  <si>
    <r>
      <rPr>
        <b/>
        <charset val="134"/>
        <sz val="11"/>
        <color rgb="FF000000"/>
        <rFont val="微软雅黑"/>
      </rPr>
      <t xml:space="preserve">私人/家庭护理治疗(每月投 1D100)： </t>
    </r>
    <r>
      <rPr>
        <charset val="134"/>
        <sz val="11"/>
        <color rgb="FF000000"/>
        <rFont val="微软雅黑"/>
      </rPr>
      <t xml:space="preserve">
01-95：成功(或小于精神分析技能)；回复 1D3 点理智，进行理智检定，若成功则脱离疯狂。
96-00：失败；失去 1D6 点理智。</t>
    </r>
  </si>
  <si>
    <t>幻觉与现实认知检定</t>
  </si>
  <si>
    <t>进行理智检定来看穿幻觉：
失败：失去1点SAN值；如果处于潜在疯狂则疯狂发作
成功：看穿幻觉</t>
  </si>
  <si>
    <r>
      <rPr>
        <b/>
        <charset val="134"/>
        <sz val="11"/>
        <color rgb="FF000000"/>
        <rFont val="微软雅黑"/>
      </rPr>
      <t xml:space="preserve">收容机构治疗(每月投 1D100)： </t>
    </r>
    <r>
      <rPr>
        <charset val="134"/>
        <sz val="11"/>
        <color rgb="FF000000"/>
        <rFont val="微软雅黑"/>
      </rPr>
      <t xml:space="preserve">
01-50：成功(或小于精神分析技能)；回复 3 点理智，进行一个理智检定，若成功则脱离疯狂
51-95：没有疗效。
96-00：失败；失去 1D6 点理智。</t>
    </r>
  </si>
  <si>
    <t>史前版本</t>
  </si>
  <si>
    <t>2021.01.29更新 版本号：CY21.1</t>
  </si>
  <si>
    <t>2019.11.7更新 版本号：19.11.1</t>
  </si>
  <si>
    <t>声明</t>
  </si>
  <si>
    <t>更新</t>
  </si>
  <si>
    <r>
      <t>右侧时代介绍更新至2021年，对人物卡的版式进行了微调，并且对下载链接进行了修复。
职业列表的几个技能计算错误也修好了，一些职业缺失的星星也一样修好了qwq。
进行了</t>
    </r>
    <r>
      <rPr>
        <charset val="134"/>
        <sz val="11"/>
        <color rgb="FFFF0000"/>
        <rFont val="微软雅黑"/>
      </rPr>
      <t>精简卡</t>
    </r>
    <r>
      <rPr>
        <charset val="134"/>
        <sz val="11"/>
        <color rgb="FF36363D"/>
        <rFont val="微软雅黑"/>
      </rPr>
      <t>的制作（其实就是删了一堆东西），可以在左边的下载链接里查看并下载使用。
另外后面如果没有大问题不会更新了x</t>
    </r>
  </si>
  <si>
    <t>人物表更新</t>
  </si>
  <si>
    <t>修复武器表第三行不显示成功率与技能的问题</t>
  </si>
  <si>
    <t>声
明</t>
  </si>
  <si>
    <t>原卡由秋叶EXODUS制作
原卡由秋叶EXODUS制作
原卡由秋叶EXODUS制作
重要的事情说三遍，这个卡不是我原创的！
此卡最开始改于咕咕改COC七版人物卡1.8.1最终版
期间经过多次更新，此次更新脱离咕咕改版版本。</t>
  </si>
  <si>
    <t>玩家手册</t>
  </si>
  <si>
    <t>增加“其他资产表”“剩余资产”
修复其他资产表总值计算</t>
  </si>
  <si>
    <t>怪物之锤</t>
  </si>
  <si>
    <t>2020.06.08更新 版本号：CY20.06.1</t>
  </si>
  <si>
    <t>将“本职属性”移动到“剩余点数”前
更改雷达图位置
删除其余装饰性介绍</t>
  </si>
  <si>
    <t>人物卡更新</t>
  </si>
  <si>
    <t>右侧报社/报纸，学校/博物馆信息补充完毕
右侧时代介绍更新至2020年
自定义子技能现在有了标注指引，并且可以给不同的子项进行自定义了
删除了“难言之隐”，这玩意早该删的</t>
  </si>
  <si>
    <t>法术大典</t>
  </si>
  <si>
    <t>coc跑团群</t>
  </si>
  <si>
    <t>成长表更新</t>
  </si>
  <si>
    <t>针对调查员经历空间过于狭小，可能无法写入全部的成长技能，经历更是没地方写，因此做了单独的成长表。感谢天不错（1057354813）提供的示例表格，已经过美化添加到本卡中
当然，因为处于测试阶段，出现的问题还请多多谅解，还请及时反馈</t>
  </si>
  <si>
    <t>职业列表更新</t>
  </si>
  <si>
    <t>更改自定义职业点数的计算方式
允许自定义职业自定义属性倍数和计算方式
允许自定义职业选择或取消教育与幸运</t>
  </si>
  <si>
    <t>空白人物卡下载（密码29mb）</t>
  </si>
  <si>
    <t>简化卡更新</t>
  </si>
  <si>
    <t>简化卡的顶部，可以正常的显示调查员的名称了</t>
  </si>
  <si>
    <t>属性注释更新</t>
  </si>
  <si>
    <t>修复部分bug</t>
  </si>
  <si>
    <t>武器列表更新</t>
  </si>
  <si>
    <t>更改催泪瓦斯的注释</t>
  </si>
  <si>
    <t>一些问答</t>
  </si>
  <si>
    <t>密码，密码看左边，左边的人物卡下载链接里就有密码啊（瘫）</t>
  </si>
  <si>
    <t>更新说明更新</t>
  </si>
  <si>
    <t>更新“跑团群”</t>
  </si>
  <si>
    <t>从咕咕1.8.1到现在的更新</t>
  </si>
  <si>
    <t>2019.8.25更新 版本号：19.8.3</t>
  </si>
  <si>
    <t>2020.05.10更新 版本号：CY20.05.1</t>
  </si>
  <si>
    <t>添加自选护甲移动力减值是否开启</t>
  </si>
  <si>
    <t>武器名称处加入了提示：不要忘记写武器名称
自定义经历包点数问题修复
修复戏剧演员任意特产bug</t>
  </si>
  <si>
    <t>修复武器栏bug</t>
  </si>
  <si>
    <t>修复移动力年龄减值bug</t>
  </si>
  <si>
    <t>Q：本卡可以丢到群里或者上传到网站上之类的吗
A：嗯！当然可以</t>
  </si>
  <si>
    <t>修复“自定义经历包”“技能增长”无法输入非数值的bug</t>
  </si>
  <si>
    <t>弓道和薙刀错行问题解决
相扑力士职业描述里的「体型+2D6」确认了是不存在的设定，已删除</t>
  </si>
  <si>
    <t>修复“自定义年龄补正”无效的bug</t>
  </si>
  <si>
    <t>增强“信用范围”“剩余职业点”“剩余兴趣点”存在感</t>
  </si>
  <si>
    <t>简化表更新</t>
  </si>
  <si>
    <t>修复.stbug</t>
  </si>
  <si>
    <t>删除“资产表”“初始现金”，增加“货币单位”，为“资产说明”分格</t>
  </si>
  <si>
    <t>补充说明</t>
  </si>
  <si>
    <t>将“随身物品”“神话相关”“调查员精力”位置变更
增加“主流货币换算”
增加“法术一览”</t>
  </si>
  <si>
    <t>修复描述错误</t>
  </si>
  <si>
    <t>2019.8.21更新 版本号：19.8.2</t>
  </si>
  <si>
    <t>合并“自定义艺术”“自定义技能”
将“自定义其他技能”改为“自定义子技能”（包括艺术与手艺、格斗、射击、科学、驾驶）
解锁技能初始值（如果不是要自定义技能请不要动好嘛w）</t>
  </si>
  <si>
    <t>大概7月份才会更新了x，取消了人物卡和简化卡 骰娘导入的密码，其他密码请看左侧人物卡链接</t>
  </si>
  <si>
    <t>将【属性和掷骰】表的“您的角色可能”移动至【人物卡】，并联系至“属性”
增加职业介绍框格
将【分支技能】的“艺术与手艺”、“科学”、“格斗”、“射击”移动至【人物表】
增强“状态（State）”、“精神状态”的存在感
增加“自定义艺术/手艺”的框格与介绍
增加任意特长加点参考框格与介绍
增加“角色口癖”，“小秘密”，“生活习惯”，“角色设定”
增加“体格参考表”、增加“体格的作用”
增加“职业介绍”、增加“推荐关系人”
增加“八维属性”雷达图；增加“技能”雷达图
增加“理智参考规则”</t>
  </si>
  <si>
    <t>联系方式</t>
  </si>
  <si>
    <t>2020.02.24更新 版本号：CY20.02.2</t>
  </si>
  <si>
    <t>修复“年龄补正：”bug
将年龄的出错“警告”改为“提示”</t>
  </si>
  <si>
    <t>以下改动参考了规则书翻译与规则书英文原版，与表格用户提出的建议和反馈。
属性表：“体质”和“体型”的二分值和五分值修复（原来需要保存关闭再打开才可以显示这些值），在“教育”下方写入“知识”，因为“幸运”不是属性（当然“MOV”也不是），所以为了排版放到属性表里，用不同字体颜色加以区分
技能表：本职技能显示更加明显，“极限”→“极难”
资产：修正了错别字，资产描述可以自动换行
“您的角色可能”的描述内容进行了更加合理的修改
状态栏：“体力”→“生命值”
背景故事：“关键链接”→“关键连接”，“个人描述 角色外貌”→“形象描述”，
背景故事，疯狂表：“狂躁症”→“躁狂症”
简化卡：更名为“简化卡 骰娘导入”，修复电脑本文输入框可能不能输入的问题（再不行我也没办法了啊！复制到txt文档吧，然后再复制到QQ）
武器表（人物卡），武器列表-术语解释，防具表：“穿刺”→“贯穿”
快速参考规则，属性注释-属性可选规则-花费幸运值、武器列表 战斗-战斗流程图：“孤注一骰”→“孤注一掷”
武器列表：更名为“武器列表 战斗”
资产，资产参考表：“拮据”→“贫穷”
理智参考规则：持续时间1d10带上了单位“轮”，修改了部分描述。
非标准技能名称部分修改（另外部分技能修改后导致骰娘导入错误，暂时搁置，望谅解）
武器列表 战斗：“射程”→“基础射程”，非标准武器名称部分修改（另外部分武器修改后导致骰娘导入错误，暂时搁置，望谅解），射程修复，注释修改，战斗流程图、战斗伤害流程图勘误。</t>
  </si>
  <si>
    <t>交换“魔法”、“幸运”与“移动力”的位置
删除“幸运”最大值
删除“大成功”“大失败”计数
删除“消耗规则”
添加“幸运困难成功率”“幸运极难成功率”
添加“移动方式”</t>
  </si>
  <si>
    <t>感谢人</t>
  </si>
  <si>
    <t>帕琪（806672431）</t>
  </si>
  <si>
    <t>添加“自定义经历包”</t>
  </si>
  <si>
    <t>分
支
技
能
更
改</t>
  </si>
  <si>
    <t>增加“技能成功等级阶段介绍”图</t>
  </si>
  <si>
    <t>梦之雨（2923502026）</t>
  </si>
  <si>
    <t>锁定自定义经历包编辑</t>
  </si>
  <si>
    <t>增加“技能可选规则”：
-“专业技能：可以转移的技能优势”
-“可选规则：给技能等级按个保险”
-“语系地图”（来自维基百科）</t>
  </si>
  <si>
    <t>浅田阳子（3065875927）</t>
  </si>
  <si>
    <t>取消更新介绍保护</t>
  </si>
  <si>
    <t>哦哦君（554983922）</t>
  </si>
  <si>
    <t>更新“coc跑团群”</t>
  </si>
  <si>
    <t>反智（——）</t>
  </si>
  <si>
    <t>添加FAQ（是常见问题的意思，不是花Q233333）</t>
  </si>
  <si>
    <t>本杰猫（690013210）</t>
  </si>
  <si>
    <t>职
业
列
表
更
改</t>
  </si>
  <si>
    <t>增强“自定义职业”、“自定义职业本职技能”的存在感
增加“推荐关系人”列表
增加“职业介绍”列表</t>
  </si>
  <si>
    <t>Schatten（1010233005）</t>
  </si>
  <si>
    <t>2019.8.20更新 版本号：19.8.1</t>
  </si>
  <si>
    <t>か博丽西鹿☆（1206678982）</t>
  </si>
  <si>
    <t>更新了排版</t>
  </si>
  <si>
    <t>海可斯（1658605847）</t>
  </si>
  <si>
    <t>太多了（悲），懒得分类了</t>
  </si>
  <si>
    <t>将“艺术与手艺”注释框移至【技能注释】</t>
  </si>
  <si>
    <t>增加《克苏鲁的呼唤调查员伴侣》职业
增加《日本秘史》职业
增加日系特定规则《克苏鲁2010》职业
增加日系特定规则《克苏鲁与帝国》职业
增加日系特定规则《克苏鲁2015》职业</t>
  </si>
  <si>
    <t>是个好人（3084877320）</t>
  </si>
  <si>
    <t>添加“自定义身体/精神状态”
更新“体力”的“状态”下拉框
更新“理智”的“状态”下拉框</t>
  </si>
  <si>
    <t>Trotyl（495568205）</t>
  </si>
  <si>
    <t>2020.02.11更新 版本号：CY20.02.1（区分不重名）</t>
  </si>
  <si>
    <t>缘，妙不可言（1992752152）</t>
  </si>
  <si>
    <t>更改了弩的需求技能描述，弓→弓术，现在可以在人物卡和导入里正确显示该武器的成功率了</t>
  </si>
  <si>
    <t>Истина.（993032722）</t>
  </si>
  <si>
    <t>移除基础属性：“体力”“理智”“幸运”“魔法”上限栏保护
移除“魔法”“每小时恢复”栏位保护
移除“伤害加值”、“体格”数值栏位保护</t>
  </si>
  <si>
    <t>西擎庄（3605330799）</t>
  </si>
  <si>
    <t>在规则书Version2002版本中（最新版本）译名“学问”→“学识”此处同步更改</t>
  </si>
  <si>
    <t>属
性
和
掷
骰
更
新</t>
  </si>
  <si>
    <t>增加“各个属性的数字意味着什么？”、“每个属性的骰点骰子”</t>
  </si>
  <si>
    <t>缄（920068575）</t>
  </si>
  <si>
    <t>增加“属性可选规则”
-“花费幸运值”
-“回复幸运值”
-“看透疯狂”增加沼跃鱼
-“精神固化”
-“多重理智检定”
增加“追逐轮可选规则”
-“选择一条道路”
-“随机的险境和障碍”
-“突发险境”
-“猛踩油门”</t>
  </si>
  <si>
    <t>安妍色（3258528467）</t>
  </si>
  <si>
    <t>修复了了法医职业的本职技能错误</t>
  </si>
  <si>
    <t>更新汇率</t>
  </si>
  <si>
    <t>初音未来zkw（3200767064）</t>
  </si>
  <si>
    <t>添加货币：
      雷亚尔（巴西）
      墨西哥元（墨西哥）
      泰铢（泰国）
      新加坡元（新加坡）
      南非兰特（南非）</t>
  </si>
  <si>
    <t>天不错（1057354813）</t>
  </si>
  <si>
    <t>修复了古典艺术家职业的技能点计算公式错误</t>
  </si>
  <si>
    <t>韩艺瑟（993032722）</t>
  </si>
  <si>
    <t>グ（1115183244）</t>
  </si>
  <si>
    <t>资产及物价参考更新</t>
  </si>
  <si>
    <t>修复了现代美元的信用评级对照表格的一个错误</t>
  </si>
  <si>
    <t>更新资产单位下拉列表，更新资产算法(这个功能研究了好久。。。excel大于小于的bug真要命)</t>
  </si>
  <si>
    <t>规则书链接更新，添加本表格更新链接，可随时访问查看本表有没有更新</t>
  </si>
  <si>
    <t>更改雷达图位置</t>
  </si>
  <si>
    <t>删除“不算幸运：”
将“算幸运：”改为“已用点数：”
添加“年龄补正：”</t>
  </si>
  <si>
    <t>更改</t>
  </si>
  <si>
    <t>对一些表格的版式和美观度进行了更新，表格名称修改，小细节修改</t>
  </si>
  <si>
    <t>武
器
列
表
更
新</t>
  </si>
  <si>
    <t>为武器列表增加“类型”</t>
  </si>
  <si>
    <t>将特殊武器介绍改为“注释”
为“术语解释”排版</t>
  </si>
  <si>
    <t>有什么问题随时联系窝！联系方式在左边，在左边啦——</t>
  </si>
  <si>
    <t>添加
“规则书”“玩家手册”“怪物之锤”“法术大典”“跑团群”
 文件链接</t>
  </si>
  <si>
    <t>增加“会造成惩罚骰的情况”
增加“特殊伤害解读”
增加受伤程度列表</t>
  </si>
  <si>
    <t>2020.01.16更新 版本号：20.1</t>
  </si>
  <si>
    <t>修复了【人物卡→法术一览】的锁定问题</t>
  </si>
  <si>
    <t>修复一些bug</t>
  </si>
  <si>
    <t>2019.7.18更新 版本号：19.7.1</t>
  </si>
  <si>
    <t>增加“战斗轮可选规则”
-“先攻检定”
-“击晕”、“消耗幸运值来维持意识”
-“相杀”
-“无法得知伤害”
-“火力压制”
-“护甲调整”、“部位瞄准”
-“瞄准具”、“支架”
-“在战斗中移动”
-“全隐蔽”、“击穿掩体”
-“倒地”
-“毒性”
增加“毒剂示例”</t>
  </si>
  <si>
    <t>快捷输入描述微调</t>
  </si>
  <si>
    <t>将“技能表”的科学①②③的“数学”基础值改为10</t>
  </si>
  <si>
    <t>修复初始理智值不自动计算的问题</t>
  </si>
  <si>
    <t>自定义职业注释去除（因为显示不出），并且修复了维多利亚年代的错误问题</t>
  </si>
  <si>
    <t>修复“理智参考规则”与“快速参考规则”的错误</t>
  </si>
  <si>
    <t>重新保护部分单元格</t>
  </si>
  <si>
    <t>更新说明大幅度改动，“感谢……”去除，更新说明更加直观，新增感谢名单，并将提供建议和帮助的你们加入其中（在本页面左边）</t>
  </si>
  <si>
    <t>对表格整体进行了美化处理（比如对很多单元格文字设置了居中，观感更好）</t>
  </si>
  <si>
    <t>2019.6.22更新 版本号：19.6.1</t>
  </si>
  <si>
    <t>将“自定义艺术/手艺”的“技能名”添加至“技能表”的“技艺①/②”的下拉选项
将“自定义其他技能”的“技能名”添加至“技能表”的其他的下拉选项
将“自定义其他技能”的“基础值”改为“请输入”
为自定义技能本职标记增加下拉选框
将“自定义科学或其他技能”“改为自定义其他技能”</t>
  </si>
  <si>
    <t>丛雨在这里祝愿大家！2020新年快乐！天天大成功！无论是跑团还是别的事情都要大成功哦！</t>
  </si>
  <si>
    <t>2019.12.20更新 版本号：19.12.3beta</t>
  </si>
  <si>
    <t xml:space="preserve">增加“魔法可选规则”
-“克苏鲁神话技能的自发用法”
-“对单一目标造成物理伤害”
-“追逐怪物”
-“和死者交流”
</t>
  </si>
  <si>
    <t>已修复【人物卡→护甲区块显示不完全】的问题</t>
  </si>
  <si>
    <t>修复“克苏鲁神话”的“本职标记”不显示问题
修复分配自由本职技能下拉选框无法选择“格斗③”“射击③”“外语③”“自定义”技能的问题</t>
  </si>
  <si>
    <t>现在【人物卡→技能名称】可以选定了
现在【人物卡→疯狂症状出目】（在左下部分）也可以选定了
取悦（原魅惑），导航（原领航）的注释描述已经同步更改</t>
  </si>
  <si>
    <t>更改最顶端注释</t>
  </si>
  <si>
    <t>添加“时代介绍”</t>
  </si>
  <si>
    <t>现在表格所有初始缩放比例调整为100%，电脑看起来会更舒服了吧</t>
  </si>
  <si>
    <t>重新排版</t>
  </si>
  <si>
    <t>删除“将力量与体型相加之后”、“体格的作用”</t>
  </si>
  <si>
    <t>表格大小缩小！</t>
  </si>
  <si>
    <t>为武器表的武器类型下拉框添加空白框格</t>
  </si>
  <si>
    <t>哭哭哭！谢谢你们，因为一直在手机车卡，电脑上的东西我几乎一无所知，我不知道我给电脑车卡的小可爱们带来如此多的难题呜呜呜对不起。
对了，说一句，那个技能注释描述只能电脑看，手机的话WPS是看不到的，貌似手机还不支持这个功能，这个我也没有办法啊，只能等WPS快点跟进吧，然后有【技能注释】这个表让你们查询QwQ，能用的上就好了呢。</t>
  </si>
  <si>
    <t>修复9号职业“文物学家（原作向）”没有“估价”本职标记问题</t>
  </si>
  <si>
    <t>将“性别”改为“性别/性取向”</t>
  </si>
  <si>
    <t>修改san初始值可能超过最大值的bug</t>
  </si>
  <si>
    <t>修复"☆ 二选一""⊙ 二选一""☯ 社交技能""※ 多选，或X选一"不显示问题（这么明显的bug都半年了居然才发现。。）</t>
  </si>
  <si>
    <t>技能注释更新</t>
  </si>
  <si>
    <t>添加新功能“技能查询”</t>
  </si>
  <si>
    <t>2019.12.08更新 版本号：19.12.2beta</t>
  </si>
  <si>
    <t>删除“艺术与手艺”“科学”“射击”“驾驶”“格斗”</t>
  </si>
  <si>
    <t>已修复【人物卡→武器表中的一些文本没有居中】的问题</t>
  </si>
  <si>
    <t>更改理发，酿酒，捕鱼，打字，技术制图的解释</t>
  </si>
  <si>
    <t>修复“自定义职业本职技能”技能下拉选框无法选择“格斗③”“射击③”“外语③”“自定义”技能的问题</t>
  </si>
  <si>
    <t>格斗②③，射击②③，外语②③，科学③的本职技能标记在之前发生了重复和不显示的错误，现在已经可以正常的显示了</t>
  </si>
  <si>
    <t>为额外的职业表添加注释</t>
  </si>
  <si>
    <t>删除自动掷骰部分</t>
  </si>
  <si>
    <t>【射击：弓】更名为【射击：弓术】</t>
  </si>
  <si>
    <t>更改“将力量与体型相加之后”的色块</t>
  </si>
  <si>
    <t>修正唯二可以超过99的错误（可以超过100）</t>
  </si>
  <si>
    <t>已修复【导入时导入的是弓的数据，而骰娘识别的是弓术导致检定弓术时失效】的问题</t>
  </si>
  <si>
    <t>将“特殊伤害解读”的注释格式改为向左对其</t>
  </si>
  <si>
    <t>更改“战斗轮可选规则”的“先攻检定”“击晕”“相杀”“火力压制”“瞄准具”“支架”“在战斗中移动”“完全隐蔽”“击穿掩体”“俯卧”“毒性”“毒性示例”可选规则的注释 / 增加“抵近射击调整”</t>
  </si>
  <si>
    <t>MDice骰娘（惠惠）专属导入，
加入便于电脑复制导入的本文框</t>
  </si>
  <si>
    <t>添加：发明时间</t>
  </si>
  <si>
    <t>呜噫噫呜，有错误请一定要联系我哦，欢迎扩散这份表格！你们的使用是我最大的动力！</t>
  </si>
  <si>
    <t>防具表 载具表更新</t>
  </si>
  <si>
    <t>删除“防护等级”</t>
  </si>
  <si>
    <t>更改“术语解释/规则”的名称与排版</t>
  </si>
  <si>
    <t>添加“MOV与速度对照值”</t>
  </si>
  <si>
    <t>2019.12.03更新 版本号：19.12.1beta</t>
  </si>
  <si>
    <t>修改载具表的大量问题</t>
  </si>
  <si>
    <t>在人物表最下方加入引导内容【骰娘快捷输入见简化卡】
【调查员信息】中，原“性别/性取向”改为“性别”</t>
  </si>
  <si>
    <t>将【分支技能】改为【技能注释】</t>
  </si>
  <si>
    <t>将【属性和掷骰】改为【属性注释】</t>
  </si>
  <si>
    <t>反正我在这随 "便写点" 啥再加几个括号引号你们:也不会发现，完全没得人看更新说明我好伤心</t>
  </si>
  <si>
    <t>shiki Exp10骰娘专属导入，
造成表格体积变大的图片引导已修改，并更加完善引导过程</t>
  </si>
  <si>
    <t>取消除【更新说明】外所有页面的锁定</t>
  </si>
  <si>
    <t>2019.5.9更新 版本号：19.5.1</t>
  </si>
  <si>
    <t>目前快捷输入已经有三种了，具体是哪种，可以看一下简化卡的说明，我尽可能的给大家说的明白，总之，希望可以方便一下大家吧。
有什么问题请随时给我说，在左边就有我的联系方式啦。</t>
  </si>
  <si>
    <t>修改15-19岁年龄调整值的错误</t>
  </si>
  <si>
    <t>缩小“现时间”，“成功率 普通/困难/极难”与“成功标”字号</t>
  </si>
  <si>
    <t>分支技能更新</t>
  </si>
  <si>
    <t>将以下板块重新排版：
可选规则：给技能等级安个保险
格斗、生存、驾驶、社交类、治疗类、维修类、科学、神话等
这是一张展示世界语系的地图（来自维基百科2018）</t>
  </si>
  <si>
    <t>2019.11.26更新 版本号：19.11.4beta</t>
  </si>
  <si>
    <t>已修复【人物表→其他资产表→其他栏目无法选定】的问题</t>
  </si>
  <si>
    <t>汉化语系地图</t>
  </si>
  <si>
    <t>已修复【人物卡→资产→消费水平、其他资产、当前现金不会随年代和信用评级的变化而变化】的问题</t>
  </si>
  <si>
    <t>更新定义：
专业技能：可以转移的技能优势   语言解释
超越人体极限：多调查员协作检定</t>
  </si>
  <si>
    <t>调整了货币之间的汇率（按照19年11月25日当日全球汇率进行调整）</t>
  </si>
  <si>
    <t>将【资产参考】更名为【资产及物价参考】</t>
  </si>
  <si>
    <t>增加“简单易懂英制的长度单位教学~~~”</t>
  </si>
  <si>
    <t>对【人物卡→资产】内的一些本文错误（错字，没有句号逗号等）进行了修复</t>
  </si>
  <si>
    <t>增加“现代物价参考表”</t>
  </si>
  <si>
    <t>首先，你要知道，在人物卡资产栏点击【美元】可以切换货币币种，也就是进行汇率转换计算，那么在此声明一点，除了美元之外的货币数据仅提供参考作用，请不要用别的货币数据去和kp怼。人物卡不是天，我的能力也有限，所以麻烦大家多多结合一下当时的现实情况（比如1920s根本没有人民币，但却做了人民币的汇率换算）。
然后..很抱歉这张卡更新频繁，对不起对不起对不起呜呜呜，请大家谅解，毕竟还处于测试阶段，所以有问题请一定要联系我，不管是大的小的都一定要联系我，让我们一起把人物卡变得更加完美吧！</t>
  </si>
  <si>
    <t>增加“1920年代物价参考表”</t>
  </si>
  <si>
    <t>纠正射程单位
更新武器名称
将“布置”改为“就地”
将武器名称和规则书同步</t>
  </si>
  <si>
    <t>2019.11.25更新 版本号：19.11.3beta</t>
  </si>
  <si>
    <t>将“术语解释”中的：
“+db注释”更改为“英制单位的简易理解方式”
更改“罕见”的注释</t>
  </si>
  <si>
    <t>现已修复【考古学家没有本职技能估价星标显示】问题</t>
  </si>
  <si>
    <t>在“特殊伤害解读”中增加“晕（眩）”</t>
  </si>
  <si>
    <t>2019.11.23更新 版本号：19.11beta</t>
  </si>
  <si>
    <t>将“会造成惩罚骰或奖励骰的情况”改为“远程武器会造成惩罚骰或奖励骰的情况”</t>
  </si>
  <si>
    <t>“技艺”，“格斗”，“驾驶”和“成功标”等下拉框修复</t>
  </si>
  <si>
    <t>更改格斗盾注释颜色
更改工业防护眼镜的注释
更改工业防护眼镜的护甲值
更改文艺复兴头盔的护甲值
更改冰球面罩的护甲值
更改网状的定义
更改格斗盾的注释
更改剑格的注释
将皮肤护甲值改为“视情况”</t>
  </si>
  <si>
    <t>为了规范起见，也为了防止pl误操作，现在除了“自定义技能”，其余技能名称均已锁定</t>
  </si>
  <si>
    <t>在表格最下方的浅字署名更改为神楽桜（丛雨Official）2019.11.23</t>
  </si>
  <si>
    <t>根据规则书Version1907版（最新版本）中的改动，将“魅惑”→“取悦”，“领航”→“导航”
简化卡中的快捷导入会保留全部的翻译。（你仍可以通过快捷导入，使用诸如ra魅惑的指令）</t>
  </si>
  <si>
    <t>为防止刁民偷改数据从而获得额外的技能点或本职技能等情况，除自定义职业外及其相关内容外，其余内容均已锁定</t>
  </si>
  <si>
    <t>更改以下载具乘客数值
地铁                                 缆车
空轨                                 高铁
客船                                 独木舟
木筏                                 货轮
热气球</t>
  </si>
  <si>
    <t>塔系骰娘专属导入，并附图给予复制教程</t>
  </si>
  <si>
    <t>更新排版</t>
  </si>
  <si>
    <t>大家好，我是神楽桜，是骰娘丛雨的master，大家也都叫我丛雨。这是我更改并有意向进行长期更新的第一张卡，有不足的地方请多多谅解，欢迎广泛传播！谢谢你惹！</t>
  </si>
  <si>
    <t>更改四马马车的技能，和常见时代</t>
  </si>
  <si>
    <t>将载具表下的“术语解释”重命名为“术语解释/规则”</t>
  </si>
  <si>
    <t>将2018版本更新放置右侧</t>
  </si>
  <si>
    <t>删除“debug组成员”改为“我要把你的名字写在这里！”</t>
  </si>
  <si>
    <t>2018.4.1更新 版本号：19.4.1</t>
  </si>
  <si>
    <t>修复“剩余经历包点数”bug</t>
  </si>
  <si>
    <t>降低“战斗流程图”的文件大小</t>
  </si>
  <si>
    <t>2019.3.?更新 版本号：19.3.1</t>
  </si>
  <si>
    <t>看下面，这个只是为了照顾非1920*1080屏幕的玩家做的改动（简化）</t>
  </si>
  <si>
    <t>2018.12.12更新 版本号：18.12.1</t>
  </si>
  <si>
    <t>修复：
91号职业没有任意特长的问题
229号职业 聆听，机械维修没有本职标记
75号职业没有社交技能数</t>
  </si>
  <si>
    <t>更新汇率
更新货币单位提示</t>
  </si>
  <si>
    <t>取消格斗②与格斗①绑定标记
取消射击②与射击①绑定标记</t>
  </si>
  <si>
    <t>在“调查员经历”增加：有故事的调查员
并在“剩余职业点”“剩余兴趣点”之后增加了“剩余经历包点”</t>
  </si>
  <si>
    <t>删除现时间的下拉列表，合并为一个格，并改名为“当前时间”</t>
  </si>
  <si>
    <t>将属性的困难极难成功率设置为“如果普通成功率没有数值则变为隐藏”</t>
  </si>
  <si>
    <t>将“今日损失”改为“不定疯狂值”</t>
  </si>
  <si>
    <t>将“移动力调整值”分为“属性调整值”“年龄调整值”“护甲调整值”</t>
  </si>
  <si>
    <t>删除“您的角色可能”
删除“←这个职业 要这样获得技能点→”
删除“将力量与体型相加之后”“体格的作用”（曾在【属性和掷骰】里复制，未删除）</t>
  </si>
  <si>
    <t>将“.st指令快捷输入”从【人物卡】中移动到【简化卡】</t>
  </si>
  <si>
    <t>更
改</t>
  </si>
  <si>
    <t>分离【分支技能】与【资产】，并将资产改名为【资产参考】</t>
  </si>
  <si>
    <t>将所有表格的行列表隐藏</t>
  </si>
  <si>
    <t>将横轴滚轮所占空间缩小（为了给选项卡分出空间）</t>
  </si>
  <si>
    <t>美化人物卡，灵感来源于DND5E角色卡</t>
  </si>
  <si>
    <t>更改版本号格式</t>
  </si>
  <si>
    <t>2018.11.05更新 版本号：18.11.1</t>
  </si>
  <si>
    <t>修复武器表“弓”“电器维修”“炮术”“投掷”技能#REF!问题</t>
  </si>
  <si>
    <t>让“本职标志”跟随“任意特长”变化
为“任意特长数”随已选特长变动，若选择过多则显示“过多！”</t>
  </si>
  <si>
    <t>让自定义职业的本职技能显示本职标志</t>
  </si>
  <si>
    <t>将其他资产表五项设置为顶端左侧对齐</t>
  </si>
  <si>
    <t>修复“自定义职业”的“属性点”非最大值的问题</t>
  </si>
  <si>
    <t>将.st输出移动至【人物卡】</t>
  </si>
  <si>
    <t>分支技能与资产更新</t>
  </si>
  <si>
    <t>将“火焰喷射器”改为“喷射器”</t>
  </si>
  <si>
    <t>将“机关枪”改为“机枪”</t>
  </si>
  <si>
    <t>2018.10.28更新 版本号：18.10.6</t>
  </si>
  <si>
    <t>将临时体力值的数值字体设置为黑色</t>
  </si>
  <si>
    <t>为“调查员信息”添加“当前时间”</t>
  </si>
  <si>
    <t>为“护甲值”与“覆盖部位”设置保护</t>
  </si>
  <si>
    <t>将“护甲类型”设置为“请看护甲表”
将“护甲类型”的字体颜色设置为黑色</t>
  </si>
  <si>
    <t>将人物表设置为即使锁定也可以插入头像</t>
  </si>
  <si>
    <t>将“.st指令快捷输入”设置为即使属性为0也可以使用</t>
  </si>
  <si>
    <t>将母语设置为常亮
将信用评级设置为常亮
将闪避设置为常亮</t>
  </si>
  <si>
    <t>在调查员信息中增加职业</t>
  </si>
  <si>
    <t>增加“当前时间”
增加“调查员伙伴”
-自写框
增加“神话相关”
-自写框</t>
  </si>
  <si>
    <t>改变“.st指令快捷输入”</t>
  </si>
  <si>
    <t>将简化表设置为即使锁定也可以插入头像</t>
  </si>
  <si>
    <t>增加“自定义职业属性”</t>
  </si>
  <si>
    <t>为“自定义职业”增加“职业属性”自动计算
为“自定义职业”增加“技能点”自动计算</t>
  </si>
  <si>
    <t>删除自定义栏</t>
  </si>
  <si>
    <t>增加“注意事项”</t>
  </si>
  <si>
    <t>为“盾”类型增加“注释”
为“格斗盾”增加“注释”
为“盾”类型增加“剑格、护手”和其“注释”</t>
  </si>
  <si>
    <t>将规则书内物品设置为仿宋深蓝字体</t>
  </si>
  <si>
    <t>2018.10.25更新 版本号：18.10.5</t>
  </si>
  <si>
    <t>将职业范围和剩余点数在职业序号为0的时候设置为隐藏</t>
  </si>
  <si>
    <t>将“信用评级”的“成功标志”禁用
将“克苏鲁神话”的“成功标志”禁用</t>
  </si>
  <si>
    <t>修改了几乎所有技能的注释</t>
  </si>
  <si>
    <t>大量修正技能的注释与名称
-“驯兽”没有改为“动物驯养”
-将“作画”改为“美术”
-将“弓术”改为“弓”
-将“机关枪”改为“机枪”
-将“自然学”改为“博物学”
并添加“也译作‘自然学’”</t>
  </si>
  <si>
    <t>修复“技能”会显示“0”的情况（简化卡）</t>
  </si>
  <si>
    <t>增加“.st指令快捷输入”
-“.st指令快捷输入”
-“技能名的改变”
-“注意”
-文本化用“txt框”
（这条函数超长的qwq）</t>
  </si>
  <si>
    <t>将“资产参考表”上移</t>
  </si>
  <si>
    <t>增加“驾驶”
-船
-飞行器</t>
  </si>
  <si>
    <t>增加“学问：”
增加“自定义技能”</t>
  </si>
  <si>
    <t>为“艺术与手艺”增加：
理发
莫里斯舞
歌剧歌唱
粉刷匠和油漆工
吹制玻璃管</t>
  </si>
  <si>
    <t>属性和掷骰更新</t>
  </si>
  <si>
    <t>将“各个属性的数字意味着什么？”重新对照规则书。</t>
  </si>
  <si>
    <t>增加了99-克苏鲁神话的结果：精神分析最大恢复值</t>
  </si>
  <si>
    <t>2018.10.23更新 版本号：18.10.4.1</t>
  </si>
  <si>
    <t>格林：修复人物表职业剩余点数、兴趣剩余点数的bug</t>
  </si>
  <si>
    <t>取消职业信用范围的自动隐藏</t>
  </si>
  <si>
    <t>更改“资产”“单位”的排列</t>
  </si>
  <si>
    <t>修复部分电脑出现的bug</t>
  </si>
  <si>
    <t>职业列表更改</t>
  </si>
  <si>
    <t>隐藏“推荐关系人”与“职业介绍”
修复职业点数计算错误问题并简化算法</t>
  </si>
  <si>
    <t>2018.10.18更新 版本号：18.10.4</t>
  </si>
  <si>
    <t>将“属性”的“不算幸运”和“算幸运”如果是0的话设置为隐藏</t>
  </si>
  <si>
    <t>将“自定义艺术/手艺”的“用法/备注”设置为自动换行
将“自定义科学或其他技能”的“用法/备注”设置为自动换行</t>
  </si>
  <si>
    <t>将“随身物品”的“状态”和“部位”最后三格取消下拉框</t>
  </si>
  <si>
    <t>修复“重伤值”的计算错误，并移动到左侧
增加“临时体力值”</t>
  </si>
  <si>
    <t>将“神话相关”的输入框设置为文本格式
将“法术一览”的输入框设置为文本格式
将“调查员伙伴”的输入框设置为文本格式
将“调查员经历”的输入框设置为文本格式</t>
  </si>
  <si>
    <t>将“技能”的拥有分支技能的技能表现出来。</t>
  </si>
  <si>
    <t>修复“多面骰”的“D2”无效问题</t>
  </si>
  <si>
    <t>将技能成功等级文字化并命名为“技能成功等级与注释”</t>
  </si>
  <si>
    <t>2018.10.13更新 版本号：18.10.3</t>
  </si>
  <si>
    <t>增加“简化卡”</t>
  </si>
  <si>
    <t>修复大量BUG</t>
  </si>
  <si>
    <t>为“技能表”的“信用评级”的“兴趣点”增加提示</t>
  </si>
  <si>
    <t>为其他资产表增加“资产总和”</t>
  </si>
  <si>
    <t>将“您的角色可能”在无属性的情况下设置为隐藏状态</t>
  </si>
  <si>
    <t>将“冷兵器”类型改为“常规兵器”
将“穿刺”改为“贯穿”
将“次数”改为“每轮”
更改“手枪”的注释
更改“霰弹枪”的注释
更改“突击步枪”的注释
更改“冲锋枪”的注释
为特殊武器增加“炸药筒和手雷”的注释
将武器列表全体武器对照规则表修正</t>
  </si>
  <si>
    <t>将【资金参考】合并入【分支技能】、并改名为【分至技能与资产】</t>
  </si>
  <si>
    <t>2018.10.9更新 版本号：18.10.2</t>
  </si>
  <si>
    <t>人
物
表
更
新</t>
  </si>
  <si>
    <t>将“幸运”附表的“消耗规则”改为“大成功”“大失败”次数记录，并将其放置在右侧</t>
  </si>
  <si>
    <t>将“护甲”附表的“覆盖位置”改为“护甲类型”，并将其放置在右侧
为“护甲类型”增加下拉框
为护甲值、覆盖位置增加自动算法
将护甲的mov惩罚算进移动力中</t>
  </si>
  <si>
    <t xml:space="preserve">将其他资产表设置为自动换行
</t>
  </si>
  <si>
    <t>将背景故事全部设置为自动换行</t>
  </si>
  <si>
    <t>将雷达图背景色设置为透明</t>
  </si>
  <si>
    <t>修复“武器表”次数问题</t>
  </si>
  <si>
    <t>简化随身物品
为随身物品的位置标注增加注释</t>
  </si>
  <si>
    <t>更新“伤害加值”、“体格”算法</t>
  </si>
  <si>
    <t>更新“年龄移动力”算法</t>
  </si>
  <si>
    <t>将“调查员伙伴”和“调查员经历”的位置调换</t>
  </si>
  <si>
    <t>为“神话相关”增加和“疯狂与克苏鲁神话”规则、“相信者”规则、“幕间成长”规则的例子
为“神话相关”增加和“累计”，详见习惯恐惧规则</t>
  </si>
  <si>
    <t>更新并纠错“会造成惩罚骰或奖励骰的情况”</t>
  </si>
  <si>
    <t>增加“战斗流程图”“战斗伤害流程图”
增加“脱离近身战斗”</t>
  </si>
  <si>
    <t>将“魔法可选技能”移动到【属性和掷骰】</t>
  </si>
  <si>
    <t>为防具表“术语解释”添加“护甲”</t>
  </si>
  <si>
    <t>为载具表底部增加“交通事故”</t>
  </si>
  <si>
    <t>重新排版、增加“增加POW”</t>
  </si>
  <si>
    <t>分
支
技
能
更
新</t>
  </si>
  <si>
    <t>增加“游戏系统少见规则”
-“幕间成长：90%或更多的技能值”
-“对抗检定平手”
-“超越人类极限：多调查员合作检定”
-“调查员幕间成长（超越100）”</t>
  </si>
  <si>
    <t>疯
狂
表
更
新</t>
  </si>
  <si>
    <t>增加“疯狂与理智少见规则”
-“失败的理智检定”
-“习惯恐惧”
-“潜在疯狂”
-“疯狂的副作用”
-“幻觉与现实认知检定”
-“从疯狂中恢复”</t>
  </si>
  <si>
    <t>2018.10.2更新 版本号：18.10.1</t>
  </si>
  <si>
    <t>合并【防具表】与【载具表】</t>
  </si>
  <si>
    <t>人
物
表
更
改</t>
  </si>
  <si>
    <t>修复大量错误的职业标记  （协助者：战神瓜皮）</t>
  </si>
  <si>
    <t>修复多选项与任意项不显示或不隐藏的问题</t>
  </si>
  <si>
    <t>修复并更新雷达图</t>
  </si>
  <si>
    <t>将“状态”和“精神状态”放置在“耐久”和“理智”的右侧
为人物卡重新排版
为人物卡增加“笔记本”和“浮动笔记本”</t>
  </si>
  <si>
    <t>为技能表增加“格斗③”“射击③”，并增加两个空格</t>
  </si>
  <si>
    <t>增加“自定义科学或其他技能”</t>
  </si>
  <si>
    <t>为“职业范围”和“剩余职业/兴趣点”设置如果没有剩余点数为隐藏状态</t>
  </si>
  <si>
    <t>修复“射击”技能基础值不变化
修复“格斗”技能基础值不变化</t>
  </si>
  <si>
    <t>修复“武器表”成功率非自动运算</t>
  </si>
  <si>
    <t>将“主流货币换算”合并至“资产”
更新汇率</t>
  </si>
  <si>
    <t>为资产单元下拉框增加“软妹币”、日元、澳元、以及各种货币</t>
  </si>
  <si>
    <t>为资产增加“其他资产表”</t>
  </si>
  <si>
    <t>为背景故事增加“关键连接”开关、并为其添加说明、并重新排版
将“个人描述”和“角色外貌”合并</t>
  </si>
  <si>
    <t>修复“推荐关系人”、“职业介绍”在煤油灯职业的问题</t>
  </si>
  <si>
    <t>为“各个属性的数字意味着什么？”中部解释添加了左框
为“各个属性的数字意味着什么？”底部“力量、体质、敏捷、外貌进步检定与惩罚”改变字体颜色</t>
  </si>
  <si>
    <t>资金参考更新</t>
  </si>
  <si>
    <t>修改人民币部分错误
修改日元部分错误</t>
  </si>
  <si>
    <t>2018.9.29更新 版本号：1.18.9.3</t>
  </si>
  <si>
    <t xml:space="preserve">为意志描述增加超过99的描述
为体型描述增加超过99的描述
</t>
  </si>
  <si>
    <t>将MP最大值设置为向下取整</t>
  </si>
  <si>
    <t>修复“技能表”“科学”下拉框错误</t>
  </si>
  <si>
    <t>修复 “消费水平”“其他资产”“当前现金”不跟随信用评级变化
修复现代0信用=0现金的bug
将“生活水平”中的“贫穷”改成“拮据”</t>
  </si>
  <si>
    <t>“意义非凡之地”与“重要之人”的格式设置为水平居中</t>
  </si>
  <si>
    <t>“背景故事栏”设置为自动换行</t>
  </si>
  <si>
    <t>修改“会造成惩罚骰或奖励骰的情况”的色差问题</t>
  </si>
  <si>
    <t>修改“战斗轮可选规则”：“倒地”的删除线问题</t>
  </si>
  <si>
    <t>删除“蒸汽朋克世界观”武器，改为“自定义”</t>
  </si>
  <si>
    <t>增加《克苏鲁煤气灯》1980s职业</t>
  </si>
  <si>
    <t>信
誉
参
照
表
更
新</t>
  </si>
  <si>
    <t>将该表更名为【资金参考】</t>
  </si>
  <si>
    <t>增加维多利亚时期英国信用参照（来自扩展书克苏鲁煤气灯）
增加2010s中国信誉参照（来自泡泡百科）
增加2010s日本信誉参照（来自泡泡百科）
增加2010s澳大利亚信誉参照（来自现实参考）</t>
  </si>
  <si>
    <t>泡泡百科部分：http://www.goddessfantasy.net/bbs/index.php?PHPSESSID=d7c3f914bfe292944d5213ef0c9a7a81&amp;topic=81502.0</t>
  </si>
  <si>
    <t>2018.9.26更新 版本号：1.18.9.2</t>
  </si>
  <si>
    <t>为人物表瘦身，重新排版
修复大量BUG</t>
  </si>
  <si>
    <t>为理智附表增加（理智-今日损失）的结果
为理智增加“不定性疯狂损失值”
为魔法增加“每小时恢复值”</t>
  </si>
  <si>
    <t>删除格斗① 格斗② 的“斗殴”技能
删除射击① 射击② 的“手枪”技能</t>
  </si>
  <si>
    <t>为任意特长表添加下拉选项</t>
  </si>
  <si>
    <t>恢复“调查员伙伴”，并增加其功能
为“理智参考规则”增加疯狂发作状况参考
更新货币汇率，将泰铢改为港币</t>
  </si>
  <si>
    <t>删除“角色口癖”，“生活习惯”；
将“小秘密”改为“难言之隐”添加至“背景故事”，
将“角色设定”改为“角色外貌”添加至“背景故事”。</t>
  </si>
  <si>
    <t>将“追逐轮可选规则”移动至【载具表】
将“属性可选规则”的“看透疯狂”、“精神固化”、“多重理智检定”移动至【疯狂表】</t>
  </si>
  <si>
    <t>为武器列表增加“蒸汽朋克世界观模组”</t>
  </si>
  <si>
    <t>增
加</t>
  </si>
  <si>
    <t>增加【增加防具表】</t>
  </si>
  <si>
    <t>增加【载具表】</t>
  </si>
  <si>
    <t>用过的魔法：</t>
  </si>
  <si>
    <t>魔法
Magic Points</t>
  </si>
  <si>
    <t>技艺①</t>
  </si>
  <si>
    <t>技艺③</t>
  </si>
  <si>
    <t>调查员肖像</t>
  </si>
  <si>
    <t>1月</t>
  </si>
  <si>
    <t>请务必在此填写背景故事！
使用Alt+Enter换行</t>
  </si>
  <si>
    <t>神乐</t>
  </si>
  <si>
    <t>成为了挚友</t>
  </si>
  <si>
    <t>克苏鲁+3，克苏鲁(疯)+5，SAN-6，SAN(信)-8</t>
  </si>
  <si>
    <t>任意特长数</t>
  </si>
  <si>
    <t>总统：
   德怀特·戴维·艾森豪威尔（共和党）</t>
  </si>
  <si>
    <t>电气地铁 圣代冰淇淋 实用水电站 手电 电影摄影机 收音机 霍乱疫苗 啤酒瓶盖 柴油发动机 双向电报 实用的胶卷 块麦片 电报 可口可乐 X射线 卷烟机发明 电影放映机 排球 印名片机 福特车 潜望镜 油印蜡纸发明 阴极射线管 商品阿司匹林 凯洛格牌玉米片 手电筒 钋 镭 摇控器 α粒子 β粒子 打字机 柯达布朗尼相机 齐柏林飞艇 人类血型 跨大西洋电报 汽轮机游船 现代柏油路 铝罐奶粉 爆米花 泰迪熊 卡鲁索电唱机 便宜的肥皂和烹饪用油 飞机 荧光灯 邮戳机 摩托车发动机 热水瓶 农业轨道机械 木棉安全带 电动汽车喇叭 化学泡沫灭火器 狭义相对论 自动点唱机 量产舰艇舷外发动机 动画 电动洗衣机 家用洗洁精 立式吸尘器 饮用纸杯 双层公交车 无线电测向仪 电煎锅 质子和电子 玻璃纸 战壕风衣 汽车自动起动器 麦片 氯气毒气 防毒面具 拉链 机械雨刮器 广义相对论 芥子气 量产拖拉机 电子钟 黄油枪 降落伞 广播电台播音 茶包 罗夏墨迹测验 机器人 胰岛素 实用邮戳机 滑水 百日咳疫苗 纸制鸡蛋托 面巾纸 商用飞机农药喷撒 液体燃料火箭 劳力士防水表 遥控电唱机 面包机 防水玻璃纸 电传打字机 盖革计数器 纯维生素C 彩色电影胶片 透明胶带 音乐汽车喇叭 闪光灯 速冻食品 球形潜水舱 回旋加速器 折叠式雨伞 电动剃须刀 车载收音机 玛氏巧克力棒 变焦镜头 大富翁桌游 商业洗衣店 畅销平装书 里氏震级 磁带录音机 大众汽车 超市推车 带温控器的电熨斗 速溶咖啡 尼龙 圆珠笔 黄热病疫苗 雷达 汽车自动变速箱 充气救生衣 人工授精 青霉素 军用吉普车 原子裂变 火箭筒 凝固汽油弹 水肺 麦角酸二乙酰胺 神经毒气 原子弹 特百惠 计算机 静电复印法 比基尼泳衣 浓缩咖啡机 宝丽来相机 拼字盘 实心电吉他 尼龙扣 晶体管 黑胶唱片 有线电视 电视显像管 汽车自动点火装置 信用卡 复印机 宽荧幕电影 动力转向器 三色停车灯 人行红绿灯 晶体管助听器 氢弹 录像带 DNA双螺旋结构 麻疹疫苗 按动圆珠笔 硅晶体管 核导弹 空对空导弹 迪士尼乐园 特氟龙 卡丁车 地对空核导弹 沙宾疫苗 通讯卫星 呼啦圈 安全带 人工肾脏 避孕药 气象卫星 便携晶体管收音机 安定 砷化镓半导体激光器 三维全息技术 合成器 香烟健康警示 凯夫拉纤维 子午胎 IBM文字处理机 杜比A型降噪器 滑雪板 喇叭裤 绕月载人火箭 人工心脏移植 波音747喷气式客机 互联网 条形码 软盘 帆板 热裤 液晶显示 便携电子计算器 电视游戏 DNA重组技术 电子游戏机 超级计算机 光纤 试管婴儿 魔方 索尼Walkman 杜比C型降噪器 艾滋病毒 强效可卡因 温室效应 CD 暗物质 暗能量 太阳能飞行器 甲型H1N5 流感 希格斯玻色子 引力波</t>
  </si>
  <si>
    <t xml:space="preserve">中国新冠疫苗上市，全民免费注射
美国抗议者冲入白宫
缅甸军事政变
美国停止退出世卫、重新加入巴黎协定
首次奇数年奥运会
</t>
  </si>
  <si>
    <t>?</t>
  </si>
  <si>
    <t>分类</t>
  </si>
  <si>
    <t>总计成长</t>
  </si>
  <si>
    <t>这个表仅作为额外内容，起到辅助记录作用</t>
  </si>
  <si>
    <t>提示当前职业</t>
  </si>
  <si>
    <t>是否停用</t>
  </si>
  <si>
    <t>已用总数</t>
  </si>
  <si>
    <t>剩余</t>
  </si>
  <si>
    <t>最终显示</t>
  </si>
  <si>
    <t>链接</t>
  </si>
  <si>
    <t>Q：本卡是无偿使用的嘛
A：是哒，虽然觉得不太可能但是如果你是花了钱才得到这份人物卡的话，您可能是盗版软件的受害者233</t>
  </si>
  <si>
    <t>七版规则书
仅学习交流使用</t>
  </si>
  <si>
    <t>SHIKI系骰娘开发者</t>
  </si>
  <si>
    <t>感谢名单（均已征得同意）</t>
  </si>
  <si>
    <t>2021.11.06更新 版本号：CY22beta</t>
  </si>
  <si>
    <t>修正了链接，解锁密码在人物卡的下载链接里。
各种小毛病的修复，然后骰娘导入有不能用的，给出提示了。
现在开始接受反馈了，大概。
22年初会按照反馈内容进行一次更新。</t>
  </si>
  <si>
    <t>Q：本卡可以进行改造吗，改造之后可以传播吗
A：可以，但还是希望联系我说明一下</t>
  </si>
  <si>
    <t>电脑推荐使用excel2010及以后版本或WPS打开本卡，使用横轴滚动条可以看见更多东西</t>
  </si>
  <si>
    <t>成长+初始</t>
  </si>
  <si>
    <t>蓄意伤害：就算是货运汽车也可能被完全摧毁，普通汽车几乎没有生路。</t>
  </si>
  <si>
    <t>这种骰娘，在你输入.bot后，开头会出现以下字样之一
1.Dice made in java
2.ZhaoDice
3.OlivaDice（版本3.0.0+）</t>
  </si>
  <si>
    <t>2021.11.23更新 版本号：CY22Preview</t>
  </si>
  <si>
    <t>修正了载具表的错别字，修改了骰娘导入的文本描述。
在此期间更新可能较为频繁，请及时关注左侧人物卡下载链接。</t>
  </si>
  <si>
    <t>仑质（137334701）</t>
  </si>
  <si>
    <t>OlivaDice骰娘开发者</t>
  </si>
  <si>
    <t>赵喵喵（357826834）</t>
  </si>
  <si>
    <t>ZhaoDice骰娘开发者</t>
  </si>
  <si>
    <t>伤疤</t>
  </si>
  <si>
    <t>恐惧</t>
  </si>
  <si>
    <t>之前的版本</t>
  </si>
  <si>
    <t>2022.02.25更新 版本号：CY22.2</t>
  </si>
  <si>
    <t>Sandy_Lab（2248790595）</t>
  </si>
  <si>
    <t>备注</t>
  </si>
  <si>
    <r>
      <t>规则书第三章3-4第四步：创造背景中，对关键连接有这样一段描述，意为“纵观一下你调查员的背景，选出你认为最重要的一个条目。这就是关键连接：它对调查员人生的意义比其他条目都要高。”但规则书并</t>
    </r>
    <r>
      <rPr>
        <charset val="134"/>
        <sz val="11"/>
        <color rgb="FFFF0000"/>
        <rFont val="微软雅黑"/>
      </rPr>
      <t>没有对关键连接使用的背景做出一个限制</t>
    </r>
    <r>
      <rPr>
        <charset val="134"/>
        <sz val="11"/>
        <color rgb="FF36363D"/>
        <rFont val="微软雅黑"/>
      </rPr>
      <t>。因为背景同样也包括出身地、性别、姓名、头像。这种自由度是主持人应该去和玩家商讨创造的，它不应该是由人物卡来添加备注的内容。您可以合理使用规则书内的自由条目，但人物卡的建立之初是为了方便玩家对基础框架的理解，并非规则的制定者。</t>
    </r>
  </si>
  <si>
    <t>关键</t>
  </si>
  <si>
    <t>背景故事</t>
  </si>
  <si>
    <t>删除了简化卡内一些不该出现的内容
更正了武器列表内某些武器的发明时间和某些武器的错别字
增添了建卡页面中的一些描述
优化了人物卡的关键连接部分</t>
  </si>
  <si>
    <t>0</t>
  </si>
  <si>
    <t>已经可以以此为生但依旧不是非常熟练
如果以凭借此技能来谋生至少要达到50</t>
  </si>
  <si>
    <t>请注意，这些解释的描述可能与规则书有所出入，但大体含义相同，如有解释差异请以规则书为准！
详见规则书第四章：技能</t>
  </si>
  <si>
    <t>需要注意的是：艺术与手艺是试做部分，这些技能的注释仅供参考。
玩家也可以添加更多手艺，比如：游戏，木工，油漆工，铁匠等。
具体作用和KP交流好左边是自定义表,在下面写好改技能的备注(用法)</t>
  </si>
  <si>
    <t>注意：
除“规则书内的防护物”的
“注释”、“防具类型”、“护甲值”，
“规则书内的载具”的“载具类型”、“技能”、“移动力”、“体格”、“乘客护甲”、“乘客数”、“注释”外
均为非规则书内容，使用前需要和KP商议</t>
  </si>
  <si>
    <t>再来一遍！！！注意：
除“规则书内的防护物”的
“注释”、“防具类型”、“护甲值”，
“规则书内的载具”的“载具类型”、“技能”、“移动力”、“体格”、“乘客护甲”、“乘客数”、“注释”外
均为非规则书内容，使用前需要和KP商议</t>
  </si>
  <si>
    <t>2022.06.19更新 版本号：CY22.3</t>
  </si>
  <si>
    <t xml:space="preserve">序号214号职业的本职技能可以正常的显示多个“格斗”技能了
防具表 载具表中，现在有多处红字提醒，来说明规则书以外的内容清与KP商议
技能注释中，现在加入了红字提醒来说明部分描述与规则书有出入
</t>
  </si>
  <si>
    <t>喵？</t>
  </si>
  <si>
    <t>丛雨（2224263497），人物卡有任何问题或者建议请及时联系我</t>
  </si>
  <si>
    <t>我的骰娘：丛雨：QQ272594304，但请不要通过骰娘联系我</t>
  </si>
  <si>
    <t>修改了武器列表中5发弹仓的双发半自动12号霰弹枪的时代描述，该枪械由1902年开始就不断大规模产生了接近100年，并由数间枪械制造商生产，直到1998年才停止生产。
修改了更新说明中的部分描述，现在我直接告诉你了表格解锁密码是congyu，所以此类问题请不要再问我了。</t>
  </si>
  <si>
    <t>除上述之外，我将我的署名改成了丛雨，因为大家都叫我这个，也对应了CY这个版本分支。
因为蓝奏云是小云盘，链接略不稳定，链接失效的情况时有发生，这种事情暂时没有办法，可以去各类跑团群找寻资料，获取人物卡更新可以加入联系方式中的群聊。
关于骰娘导入：目前我没有继续同步其他骰系的发展和可能产生的新的导入方式，但是基本上用默认就没问题。</t>
  </si>
  <si>
    <t>2022.12.21更新 版本号：CY22.4</t>
  </si>
  <si>
    <t>更新</t>
  </si>
  <si>
    <t>1920s,现代</t>
  </si>
  <si>
    <t>工作薄及工作表锁定：密码在上方的空白人物卡下载链接中，打开后的简介内。</t>
  </si>
  <si>
    <t>中国元首外交唱响多边主义</t>
  </si>
  <si>
    <t>俄西方矛盾重重关系再恶化</t>
  </si>
  <si>
    <t>中美（拜登）元首举行首次视频会晤</t>
  </si>
  <si>
    <t>疫苗接种助力全球阻击疫情</t>
  </si>
  <si>
    <t>发明仅可查询至2016年</t>
  </si>
  <si>
    <t>总统：
   唐纳德·特朗普（共和党）</t>
  </si>
  <si>
    <t>俄乌冲突风险大</t>
  </si>
  <si>
    <t>全球疫情迎来转折点</t>
  </si>
  <si>
    <t>发现火星“人工运河”</t>
  </si>
  <si>
    <t>极端天气会更多</t>
  </si>
  <si>
    <t>英国女王伊丽莎白二世登基70周年庆典
世界杯</t>
  </si>
  <si>
    <t>疫情逐渐全面放开</t>
  </si>
  <si>
    <t>中华人民共和国73周年</t>
  </si>
  <si>
    <t>第五次全国经济普查</t>
  </si>
  <si>
    <t>中华人民共和国74周年</t>
  </si>
  <si>
    <t>重要铁路线将建成</t>
  </si>
  <si>
    <t>世界第二水电站建成</t>
  </si>
  <si>
    <t>防控政策重大调整</t>
  </si>
  <si>
    <t>修复了武器列表内某些武器的命名错误
人物卡右下侧的时代介绍现在更新至2023年</t>
  </si>
  <si>
    <t>只是一次无关紧要的小更新</t>
  </si>
  <si>
    <t>更新日志</t>
  </si>
  <si>
    <t>示例</t>
  </si>
  <si>
    <t>此处填入成长数值</t>
  </si>
  <si>
    <t>添加批注</t>
  </si>
  <si>
    <t>但也影响了调查员</t>
  </si>
  <si>
    <t>如果需要补充成长属性的相关经历</t>
  </si>
  <si>
    <t>可以解锁工作表后右键单元格</t>
  </si>
  <si>
    <t>有些时候我们的属性没有发生变化</t>
  </si>
  <si>
    <t>此类内容可移动至该表格的最下方进行描述</t>
  </si>
  <si>
    <t>得到了一只听话的小狗</t>
  </si>
  <si>
    <t>示例</t>
  </si>
  <si>
    <t>模组内容经历</t>
  </si>
  <si>
    <t>模组内容经历描述，此类事件一般没有改变属性，但是对调查员的其他方面造成了一些影响。</t>
  </si>
  <si>
    <t>XX欠了你一个大人情</t>
  </si>
  <si>
    <t>得到了一本《XXXX》</t>
  </si>
  <si>
    <t>在XX地区结识了当地的权贵</t>
  </si>
  <si>
    <t>就像这样，点击此单元格可以看到批注</t>
  </si>
  <si>
    <t>成长表现在更加完善了</t>
  </si>
  <si>
    <t>会计，估价，技艺（伪造），历史，图书馆，侦查，妙手，任意一项其他个人或时代特长（如计算机）。</t>
  </si>
  <si>
    <t>动物驯养</t>
  </si>
  <si>
    <t>必须以本职技能点加至范围下限才可以分配兴趣技能点</t>
  </si>
  <si>
    <t>https://congyu.lanzoum.com/iDZGqw7r50b</t>
  </si>
  <si>
    <t>https://congyu.lanzoum.com/i7jb4qh</t>
  </si>
  <si>
    <t>https://congyu.lanzoum.com/i7jb9hi</t>
  </si>
  <si>
    <t>https://congyu.lanzoum.com/i7jbble</t>
  </si>
  <si>
    <t>https://congyu.lanzoum.com/i76887g</t>
  </si>
  <si>
    <t>https://congyu.lanzoum.com/b00nb3n2d</t>
  </si>
  <si>
    <t>两项社交技能（取悦、话术、恐吓、说服），汽车驾驶，格斗（斗殴）或射击，历史，神秘学，心理学，潜行。※经KP允许 可用催眠替换其中一项。</t>
  </si>
  <si>
    <t>选择职业序号为0，则清除职业模板提示和点数计算器。</t>
  </si>
  <si>
    <t>信用评级 (Credit Rating)可不可以使用兴趣点加?
    兴趣技能点可以添加到任意技能(不包含克苏鲁神话)上.
    职业技能点可以点至推荐范围下限, 在守秘人允许情况下, 可以用兴趣点点出推荐范围上限.
    规则书速查-&gt;第三章-创建调查员-3.3 第三步：决定技能并分配技能点
我们当时给Chaosium发了邮件，由主编Mike进行了回复。
allot the points to any skills (which can include adding further points to occupation skills), except Cthulhu Mythos (unless otherwise agreed with the Keeper).”
As the rule says above (p36) - ‘any’ skill except Cthulhu Mythos, - and Credit Rating is included with your Occupation Skills (as you must spend Occupation skill points on Credit Rating).
Thus, you can spend Personal Interest skill points on Credit Rating. Each occupation has a Credit Rating range - you may go above or below this range with the Keeper’s permission.
You must spend points on credit rating from Professional Occupation points.
You may increase credit rating with Personal Interest points with the Keeper's agreement.</t>
  </si>
  <si>
    <t>修改了职业列表中存在的问题：部分职业的本职技能与实际显示不符
改动了部分技能的描述
将链接替换成最新的了</t>
  </si>
  <si>
    <t>2023.01.12更新 版本号：CY23.1</t>
  </si>
  <si>
    <t>2023.04.05更新 版本号：CY23.2</t>
  </si>
  <si>
    <t>2023.04.10更新 版本号：CY23.3Plus</t>
  </si>
  <si>
    <t>2023.09.26更新 版本号：CY23.4</t>
  </si>
  <si>
    <t>换新群了，群号145626992，如果左侧链接打不开了或者有问题可以加群看看群文件。</t>
  </si>
  <si>
    <t>我的群聊：145626992 换新群了</t>
  </si>
  <si>
    <t>下骰姐（2715945014）</t>
  </si>
  <si>
    <t>修复了格斗③技能的错误，这个错误使“矛”技能无法正常的显示初始值，并且在骰娘导入数据时会错误的判断成格斗②的技能，变成四位数字，这太强大了。
修复了拖拉机的体格错误，这个体格之前是负数，这肯定不合理。
CY23.4.1紧急修复自定义职业选择敏捷作为职业属性的问题。
现在人物卡的技能可以正确的在同一行里显示了。（10/17更新）</t>
  </si>
  <si>
    <t>全技能导入，无简化，基本适合全部骰娘</t>
  </si>
  <si>
    <r>
      <t>带有</t>
    </r>
    <r>
      <rPr>
        <charset val="134"/>
        <sz val="10"/>
        <color rgb="FFFF0000"/>
        <rFont val="微软雅黑"/>
      </rPr>
      <t>调查员姓名</t>
    </r>
    <r>
      <rPr>
        <charset val="134"/>
        <sz val="10"/>
        <color rgb="FFFFFFFF"/>
        <rFont val="微软雅黑"/>
      </rPr>
      <t>的全导入</t>
    </r>
  </si>
  <si>
    <t>绝大部分骰娘，包括OlivaDice、Dice!、MDice、塔骰，海豹等。</t>
  </si>
  <si>
    <t>这种骰娘，是“考编”形式的骰娘，也叫“编制骰”，因为无法录入过长指令，所以只能分段导入或者使用此导入。</t>
  </si>
  <si>
    <t>“考编”骰娘短导入</t>
  </si>
  <si>
    <t>骰娘导入栏目进行了更新，因为最近“考编”骰无法适应之前的长导入方式，根据https://github.com/OlivOS-Team/OlivaDiceCore/blob/main/OlivaDiceCore/pcCardData.py#L174规则进行了短导入的设置。</t>
  </si>
  <si>
    <r>
      <t>目前这种骰子无法暗骰，因为目前不能私聊，长指令不能使用（</t>
    </r>
    <r>
      <rPr>
        <charset val="134"/>
        <sz val="11"/>
        <color rgb="FF7030A0"/>
        <rFont val="微软雅黑"/>
      </rPr>
      <t>因此更新了人物卡</t>
    </r>
    <r>
      <rPr>
        <charset val="134"/>
        <sz val="11"/>
        <color rgb="FF36363D"/>
        <rFont val="微软雅黑"/>
      </rPr>
      <t>），无法记录log， 必须at后才能使用，好处就是不会冻结了。</t>
    </r>
  </si>
  <si>
    <t>2023.11.30更新 版本号：CY23.5</t>
  </si>
  <si>
    <t>射程</t>
  </si>
  <si>
    <t>弓</t>
  </si>
  <si>
    <t>常
规
武
器</t>
  </si>
  <si>
    <t>公元前210年</t>
  </si>
  <si>
    <t>绞索：目标需要用一个战技摆脱，
否则每轮受到 1D6 点伤害。只对人类和相近的对手有效。</t>
  </si>
  <si>
    <t>20码</t>
  </si>
  <si>
    <t>手
枪</t>
  </si>
  <si>
    <t>步
枪</t>
  </si>
  <si>
    <t>1890年</t>
  </si>
  <si>
    <t>霰
弹
枪</t>
  </si>
  <si>
    <t>1980年</t>
  </si>
  <si>
    <t>1790年</t>
  </si>
  <si>
    <t>1999年</t>
  </si>
  <si>
    <t>突
击
步
枪</t>
  </si>
  <si>
    <t>单发射击以[步枪]技能判定，
全自动射击以[冲锋枪]技能判定</t>
  </si>
  <si>
    <t>装填武器</t>
  </si>
  <si>
    <t>冲锋枪和机枪的价格为黑市价格
稀有或非法的武器可以在黑市入手。
购买流程是找到卖家，谈妥价钱，钱货交易，拿货走人。
交易可能会被警察干涉，卖家也可能试图打劫或杀死买家。</t>
  </si>
  <si>
    <t>为任何手枪，步枪或霰弹枪装填两发枪弹需要一个行动轮的时间。
用弹匣供弹的武器换弹匣需要一个行动轮的时间；
用弹链供弹的机枪重新装弹需要两个行动轮的时间。</t>
  </si>
  <si>
    <t>冲
锋
枪</t>
  </si>
  <si>
    <t>机
枪</t>
  </si>
  <si>
    <t>特
殊
武
器</t>
  </si>
  <si>
    <t>这些武器通常分三个距离
每超出一个距离便从右边降低一格伤害</t>
  </si>
  <si>
    <t>1975年</t>
  </si>
  <si>
    <t>808年</t>
  </si>
  <si>
    <t>例：炸药筒和手雷：
每枚对 3 码之内的物体造成4D10 点伤害，
（超过 3 码且在）6 码之内的造成 2D10点伤害，
（超过 6 码且在）9 码之内的造成 1D10 点伤害。</t>
  </si>
  <si>
    <t>包皮铁棍(甩棍、大头棍、护身棒)</t>
  </si>
  <si>
    <t>*掷矛</t>
  </si>
  <si>
    <t>*战斗回力镖</t>
  </si>
  <si>
    <t>*遂发枪</t>
  </si>
  <si>
    <t>*.41(10.4mm) 左轮手枪</t>
  </si>
  <si>
    <t>*.58 (14.7mm)1855 年式春田步枪</t>
  </si>
  <si>
    <t>.30 (7.62mm)杠杆式枪机步枪</t>
  </si>
  <si>
    <t>*10 号霰弹枪(双管)</t>
  </si>
  <si>
    <t>*1882 年式加特林</t>
  </si>
  <si>
    <r>
      <rPr>
        <b/>
        <charset val="134"/>
        <sz val="18"/>
        <rFont val="微软雅黑"/>
      </rPr>
      <t>建立攻击次序</t>
    </r>
    <r>
      <rPr>
        <charset val="134"/>
        <sz val="14"/>
        <rFont val="微软雅黑"/>
      </rPr>
      <t xml:space="preserve">
按照DEX降序：
最高的最先行动。
准备好的枪械+50敏捷。</t>
    </r>
  </si>
  <si>
    <r>
      <rPr>
        <b/>
        <charset val="134"/>
        <sz val="18"/>
        <rFont val="微软雅黑"/>
      </rPr>
      <t>突袭</t>
    </r>
    <r>
      <rPr>
        <charset val="134"/>
        <sz val="14"/>
        <rFont val="微软雅黑"/>
      </rPr>
      <t xml:space="preserve">
允许技能检定
目标意识到攻击了吗？
侦查、聆听、心理学</t>
    </r>
  </si>
  <si>
    <r>
      <rPr>
        <b/>
        <charset val="134"/>
        <sz val="18"/>
        <rFont val="微软雅黑"/>
      </rPr>
      <t>如果是战技：</t>
    </r>
    <r>
      <rPr>
        <charset val="134"/>
        <sz val="16"/>
        <rFont val="微软雅黑"/>
      </rPr>
      <t xml:space="preserve">
</t>
    </r>
    <r>
      <rPr>
        <charset val="134"/>
        <sz val="14"/>
        <rFont val="微软雅黑"/>
      </rPr>
      <t>比较体格。
如果攻击方体格较小，每点差别一个惩罚骰。
如果差异在3以上无法发动战技。</t>
    </r>
  </si>
  <si>
    <t>HP归零后</t>
  </si>
  <si>
    <t>战斗不可孤注一骰</t>
  </si>
  <si>
    <r>
      <rPr>
        <b/>
        <charset val="134"/>
        <sz val="14"/>
        <rFont val="微软雅黑"/>
      </rPr>
      <t>极难成功？</t>
    </r>
    <r>
      <rPr>
        <charset val="134"/>
        <sz val="14"/>
        <rFont val="微软雅黑"/>
      </rPr>
      <t xml:space="preserve">
（反击无效）
</t>
    </r>
    <r>
      <rPr>
        <b/>
        <charset val="134"/>
        <sz val="14"/>
        <rFont val="微软雅黑"/>
      </rPr>
      <t xml:space="preserve">
贯穿武器</t>
    </r>
    <r>
      <rPr>
        <charset val="134"/>
        <sz val="14"/>
        <rFont val="微软雅黑"/>
      </rPr>
      <t xml:space="preserve">=最大伤害+最大伤害加值+额外一次武器伤害
</t>
    </r>
    <r>
      <rPr>
        <b/>
        <charset val="134"/>
        <sz val="14"/>
        <rFont val="微软雅黑"/>
      </rPr>
      <t>非贯穿武器</t>
    </r>
    <r>
      <rPr>
        <charset val="134"/>
        <sz val="14"/>
        <rFont val="微软雅黑"/>
      </rPr>
      <t>=最大伤害+最大伤害加值</t>
    </r>
  </si>
  <si>
    <r>
      <rPr>
        <b/>
        <charset val="134"/>
        <sz val="14"/>
        <rFont val="微软雅黑"/>
      </rPr>
      <t>寡不敌众？</t>
    </r>
    <r>
      <rPr>
        <b/>
        <charset val="134"/>
        <sz val="16"/>
        <rFont val="微软雅黑"/>
      </rPr>
      <t xml:space="preserve">
</t>
    </r>
    <r>
      <rPr>
        <charset val="134"/>
        <sz val="11"/>
        <rFont val="微软雅黑"/>
      </rPr>
      <t>当角色在一轮中进行过闪避或反击后，对他们的所有(格斗)后续攻击都有一个奖励骰。
一轮多动的生物不受这个限制
（他们可以反击/闪避等于他们攻击的次数，然后才应用寡不敌众）</t>
    </r>
  </si>
  <si>
    <r>
      <rPr>
        <charset val="134"/>
        <sz val="16"/>
        <rFont val="微软雅黑"/>
      </rPr>
      <t>↑</t>
    </r>
    <r>
      <rPr>
        <charset val="134"/>
        <sz val="11"/>
        <rFont val="微软雅黑"/>
      </rPr>
      <t xml:space="preserve">
</t>
    </r>
    <r>
      <rPr>
        <charset val="134"/>
        <sz val="8"/>
        <rFont val="微软雅黑"/>
      </rPr>
      <t>con检定成功</t>
    </r>
  </si>
  <si>
    <t>此后每轮结束时都必须进行con检定
失败则死亡</t>
  </si>
  <si>
    <r>
      <rPr>
        <b/>
        <charset val="134"/>
        <sz val="14"/>
        <rFont val="微软雅黑"/>
      </rPr>
      <t>重伤恢复</t>
    </r>
    <r>
      <rPr>
        <charset val="134"/>
        <sz val="11"/>
        <rFont val="微软雅黑"/>
      </rPr>
      <t xml:space="preserve">
每周结束时进行一次con检定
失败：无恢复
成功：恢复1D3
极难成功：恢复2D3并清除重伤标记
优良医疗可获得奖励骰(医学)
静养和环境良好可获得奖励骰
环境恶劣获得惩罚骰
</t>
    </r>
  </si>
  <si>
    <t>武器名称前面的*和-：
带*的武器代表这是罕见武器
带-的武器代表这是不合时代的武器（根据人物卡的时代进行判定）</t>
  </si>
  <si>
    <t>如有任何冲突情况请以规则书为准！</t>
  </si>
  <si>
    <t>丛雨 2023/12</t>
  </si>
  <si>
    <r>
      <t>闪避：</t>
    </r>
    <r>
      <rPr>
        <charset val="134"/>
        <sz val="12"/>
        <rFont val="微软雅黑"/>
      </rPr>
      <t xml:space="preserve">成功等级较高的一方胜利。平局防守方胜利。若双方均失败，没有伤害产生
</t>
    </r>
    <r>
      <rPr>
        <b/>
        <charset val="134"/>
        <sz val="12"/>
        <rFont val="微软雅黑"/>
      </rPr>
      <t>反击：</t>
    </r>
    <r>
      <rPr>
        <charset val="134"/>
        <sz val="12"/>
        <rFont val="微软雅黑"/>
      </rPr>
      <t xml:space="preserve">成功等级高的获胜，平局攻击方胜利。均失败没有伤害。
</t>
    </r>
    <r>
      <rPr>
        <b/>
        <charset val="134"/>
        <sz val="12"/>
        <rFont val="微软雅黑"/>
      </rPr>
      <t>战技：</t>
    </r>
    <r>
      <rPr>
        <charset val="134"/>
        <sz val="12"/>
        <rFont val="微软雅黑"/>
      </rPr>
      <t>和反击类似，但不造成伤害，应用战技效果</t>
    </r>
  </si>
  <si>
    <r>
      <t>按DEX次序决定行动</t>
    </r>
    <r>
      <rPr>
        <charset val="134"/>
        <sz val="14"/>
        <rFont val="微软雅黑"/>
      </rPr>
      <t xml:space="preserve">
</t>
    </r>
    <r>
      <rPr>
        <charset val="134"/>
        <sz val="10"/>
        <rFont val="微软雅黑"/>
      </rPr>
      <t>a:发动攻击、逃跑、或战纪
b:防守方选择闪避反击或战技能
c:攻击方和防御方进行对抗</t>
    </r>
  </si>
  <si>
    <t>是：
使用正常DEX次序来战斗。</t>
  </si>
  <si>
    <t>今年应该不会更了~然后隔壁的Plus版本应该之后就停更了（基本上是完善的而且现在车卡教程好多），只会更新这个通用版本了~</t>
  </si>
  <si>
    <t>武器列表页面进行了较大幅度的改动，更换了页面风格，根据人物卡的时代选择能够自动识别武器是否适应当前时代，这个在人物卡的下拉武器栏依旧可以显示，不必再一一对照。且战斗流程的页面进行了优化。
人物卡的某些技能进行了描述重置与核对。</t>
  </si>
  <si>
    <t>2023.12.06更新 版本号：CY23Final</t>
  </si>
  <si>
    <t>月</t>
  </si>
  <si>
    <t>日</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</si>
  <si>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</si>
  <si>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</si>
  <si>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</si>
  <si>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</si>
  <si>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</si>
  <si>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</si>
  <si>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</si>
  <si>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</si>
  <si>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</si>
  <si>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</si>
  <si>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</si>
  <si>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</si>
  <si>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</si>
  <si>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</si>
  <si>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</si>
  <si>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</si>
  <si>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</si>
  <si>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</si>
  <si>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</si>
  <si>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</si>
  <si>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</si>
  <si>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</si>
  <si>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</si>
  <si>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</si>
  <si>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</si>
  <si>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</si>
  <si>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</si>
  <si>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</si>
  <si>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</si>
  <si>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</si>
  <si>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</si>
  <si>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</si>
  <si>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</si>
  <si>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</si>
  <si>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</si>
  <si>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</si>
  <si>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</si>
  <si>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</si>
  <si>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</si>
  <si>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</si>
  <si>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</si>
  <si>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</si>
  <si>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</si>
  <si>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</si>
  <si>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</si>
  <si>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</si>
  <si>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</si>
  <si>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</si>
  <si>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</si>
  <si>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</si>
  <si>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</si>
  <si>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</si>
  <si>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</si>
  <si>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</si>
  <si>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</si>
  <si>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</si>
  <si>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</si>
  <si>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</si>
  <si>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</si>
  <si>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</si>
  <si>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</si>
  <si>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</si>
  <si>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</si>
  <si>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</si>
  <si>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</si>
  <si>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</si>
  <si>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</si>
  <si>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</si>
  <si>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</si>
  <si>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</si>
  <si>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</si>
  <si>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</si>
  <si>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</si>
  <si>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</si>
  <si>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</si>
  <si>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吹真空</t>
  </si>
  <si>
    <t>枪</t>
  </si>
  <si>
    <t>😍</t>
  </si>
  <si>
    <t>🤓</t>
  </si>
  <si>
    <t>审卡</t>
  </si>
  <si>
    <t>本职最高</t>
  </si>
  <si>
    <t>成功率 普通</t>
  </si>
  <si>
    <t>子技能</t>
  </si>
  <si>
    <t>成功率 困难</t>
  </si>
  <si>
    <t>成功率 极难</t>
  </si>
  <si>
    <t>兴趣最高</t>
  </si>
  <si>
    <t>特</t>
  </si>
  <si>
    <t>本职统计</t>
  </si>
  <si>
    <t>人物卡!D16</t>
  </si>
  <si>
    <t>消耗过本职技能点或兴趣技能点的技能</t>
  </si>
  <si>
    <t>兴趣统计</t>
  </si>
  <si>
    <t>全技能统计</t>
  </si>
  <si>
    <t>☑</t>
  </si>
  <si>
    <t>ha</t>
  </si>
  <si>
    <t>特长</t>
  </si>
  <si>
    <t>伤害
加值</t>
  </si>
  <si>
    <t>管家</t>
  </si>
  <si>
    <t>经历包</t>
  </si>
  <si>
    <t>背包格</t>
  </si>
  <si>
    <t>缅甸语</t>
  </si>
  <si>
    <t>中文</t>
  </si>
  <si>
    <t>中国</t>
  </si>
  <si>
    <t>中国她玩</t>
  </si>
  <si>
    <t>中国台湾</t>
  </si>
  <si>
    <t>印度语</t>
  </si>
  <si>
    <t>英语</t>
  </si>
  <si>
    <t>日语</t>
  </si>
  <si>
    <t>法语</t>
  </si>
  <si>
    <t>美国</t>
  </si>
  <si>
    <t>日本</t>
  </si>
  <si>
    <t>日本东京</t>
  </si>
  <si>
    <t>（应包含国家名）</t>
  </si>
  <si>
    <t>啊</t>
  </si>
  <si>
    <t>北京</t>
  </si>
  <si>
    <t>台湾</t>
  </si>
  <si>
    <t>白俄罗斯</t>
  </si>
  <si>
    <t>西撒哈拉</t>
  </si>
  <si>
    <t>印尼</t>
  </si>
  <si>
    <t>（应包含国籍）</t>
  </si>
  <si>
    <t>玻利维亚</t>
  </si>
  <si>
    <t>几内亚</t>
  </si>
  <si>
    <t>马拉维</t>
  </si>
  <si>
    <t>安哥拉</t>
  </si>
  <si>
    <t>密克罗尼西亚</t>
  </si>
  <si>
    <t>摩纳哥</t>
  </si>
  <si>
    <t>摩洛哥</t>
  </si>
  <si>
    <t>信用
评级</t>
  </si>
  <si>
    <t>原始数据</t>
  </si>
  <si>
    <t>↓原始数据↓</t>
  </si>
  <si>
    <t/>
  </si>
  <si>
    <t>🔅</t>
  </si>
  <si>
    <t>🗣️</t>
  </si>
  <si>
    <t>随
身
物
品</t>
  </si>
  <si>
    <t>武器</t>
  </si>
  <si>
    <t>武
器</t>
  </si>
  <si>
    <t>完</t>
  </si>
  <si>
    <t>哈</t>
  </si>
  <si>
    <t>占位</t>
  </si>
  <si>
    <t>神话</t>
  </si>
  <si>
    <t>克苏鲁
神话</t>
  </si>
  <si>
    <t>法</t>
  </si>
  <si>
    <t>法
术
列
表</t>
  </si>
  <si>
    <t>神
话
接
触</t>
  </si>
  <si>
    <t>武
器
⚔️🔫</t>
  </si>
  <si>
    <t>武
器
⚔️
🔫</t>
  </si>
  <si>
    <t>法
术
列
表
🔮</t>
  </si>
  <si>
    <t>神
话
接
触
🐙</t>
  </si>
  <si>
    <t>随
身
物
品
🧺</t>
  </si>
  <si>
    <t>大小</t>
  </si>
  <si>
    <t>火球术</t>
  </si>
  <si>
    <t>修格斯</t>
  </si>
  <si>
    <t>食尸鬼</t>
  </si>
  <si>
    <t>经</t>
  </si>
  <si>
    <t>历</t>
  </si>
  <si>
    <t>经
历
模
组
📜</t>
  </si>
  <si>
    <t>结
识
🤝</t>
  </si>
  <si>
    <t>饿</t>
  </si>
  <si>
    <t>《》</t>
  </si>
  <si>
    <t>（）</t>
  </si>
  <si>
    <t>-电锯</t>
  </si>
  <si>
    <t>好好好</t>
  </si>
  <si>
    <t>嘘嘘</t>
  </si>
  <si>
    <t>牙</t>
  </si>
  <si>
    <t>HP❤️</t>
  </si>
  <si>
    <t>SAN🧠</t>
  </si>
  <si>
    <t>MP🔮</t>
  </si>
  <si>
    <t>MP🔯</t>
  </si>
  <si>
    <t>形象</t>
  </si>
  <si>
    <t xml:space="preserve">
</t>
  </si>
  <si>
    <t>是</t>
  </si>
  <si>
    <t>消耗过本职或兴趣点的技能</t>
  </si>
  <si>
    <t>使用本职或兴趣点的技能</t>
  </si>
  <si>
    <t>使用本职/兴趣点的技能</t>
  </si>
  <si>
    <t>消耗过技能点的技能</t>
  </si>
  <si>
    <t>成长过或加过点的技能</t>
  </si>
  <si>
    <t>经成长/加点提升的技能</t>
  </si>
  <si>
    <t>成长/加点提升的技能</t>
  </si>
  <si>
    <t>加点/成长提升的技能</t>
  </si>
  <si>
    <t>啊=IF($AI103,IF(LARGE($AG$41:$AH$107,AM$40)=$AG103,$AC103,""),"")</t>
  </si>
  <si>
    <t>通过成长或技能点提升的技能</t>
  </si>
  <si>
    <t>成长过或消耗了技能点的技能</t>
  </si>
  <si>
    <t>护甲🔰</t>
  </si>
  <si>
    <t>MOV🦵</t>
  </si>
  <si>
    <t>随身物品🧺</t>
  </si>
  <si>
    <t>aa</t>
  </si>
  <si>
    <t>sss</t>
  </si>
  <si>
    <t>随身武器⚔️🔫</t>
  </si>
  <si>
    <t>雨皇</t>
  </si>
  <si>
    <t>法术列表🔮</t>
  </si>
  <si>
    <t>神话接触🐙</t>
  </si>
  <si>
    <t>哈啊</t>
  </si>
  <si>
    <t>哈哈哈</t>
  </si>
  <si>
    <t>经历模组📜</t>
  </si>
  <si>
    <t>结识调查员🤝</t>
  </si>
  <si>
    <t>会</t>
  </si>
  <si>
    <t>IF(人物卡!F113="","",)</t>
  </si>
  <si>
    <t>改进版更新日志：</t>
  </si>
  <si>
    <t>原作者：
改版作者：
改版更新日志：</t>
  </si>
  <si>
    <t>原作者：丛雨
改版作者QQ：201165371
改版更新日志：</t>
  </si>
  <si>
    <t>原作者：丛雨
改版作者QQ：201165371
改版更新日志：
V1.1 修复了初始教育过高导致的超高母语占用审卡界面“本职最高”和“兴趣最高”的问题</t>
  </si>
  <si>
    <t>原作者：丛雨
改版作者QQ：201165371
改版更新日志：
V1.1 修复了初始教育过高导致的过高“母语”技能占用审卡界面“本职最高”和“兴趣最高”的问题</t>
  </si>
  <si>
    <t>原作者：丛雨
改版作者QQ：201165371
改版更新日志：
V1.1 修复了初始教育过高导致的过高“母语”技能占用审卡界面“本职最高”和“兴趣最高”的问题。现在不使用技能点增加母语时母语会被忽略</t>
  </si>
  <si>
    <t>原作者：丛雨
改版作者QQ：201165371
改版更新日志：
V1.1 修复了初始教育过高导致的过高“母语”技能占用审卡界面“本职最高”和“兴趣最高”的问题。现在不使用技能点增加母语时母语会被忽略
V1.2 彻底修复母语的问题，并且预防了其他技能出现类似的问题，不再采用简单粗暴的方法，而是通过忽略完全没有使用点数的技能来实现</t>
  </si>
  <si>
    <t>原作者：丛雨
改版作者QQ：201165371
改版更新日志：
V1.1 修复了初始教育过高导致的过高“母语”技能占用审卡界面“本职最高”和“兴趣最高”的问题。现在不使用技能点增加母语时母语会被忽略
V1.2 彻底修复母语的问题并优化方法，并且预防了其他技能出现类似的问题。</t>
  </si>
  <si>
    <t>原作者：丛雨
改版作者QQ：201165371
改版更新日志：
V1.1 修复了初始教育过高导致的过高“母语”技能占用审卡界面“本职最高”和“兴趣最高”的问题。现在不使用技能点增加母语时母语会被忽略
V1.2 彻底修复母语的问题并优化方法，并且预防了其他技能出现类似的问题。
         增加了检测是否非法使用本职技能点的功能</t>
  </si>
  <si>
    <t>灵感💡</t>
  </si>
  <si>
    <t>智力🧠</t>
  </si>
  <si>
    <t>知识</t>
  </si>
  <si>
    <t>力量🥊</t>
  </si>
  <si>
    <t>体质💪</t>
  </si>
  <si>
    <t>体型🚹</t>
  </si>
  <si>
    <t>敏捷⚡</t>
  </si>
  <si>
    <t>外貌💄</t>
  </si>
  <si>
    <t>意志😱</t>
  </si>
  <si>
    <t>教育🎓</t>
  </si>
  <si>
    <t>知识📚</t>
  </si>
  <si>
    <t>幸运🍀</t>
  </si>
  <si>
    <t>原作者：丛雨
改版作者QQ：201165371
改版更新日志：
V1.1 修复了初始教育过高导致的过高“母语”技能占用审卡界面“本职最高”和“兴趣最高”的问题。现在不使用技能点增加母语时母语会被忽略
V1.2 彻底修复母语的问题并优化方法，并且预防了其他技能出现类似的问题。
         增加了检测是否非法使用本职技能点的功能
V1.3 为属性添加了图标</t>
  </si>
  <si>
    <t>原作者：丛雨
改版作者QQ：201165371
改版更新日志：
V1.1 修复了初始教育过高导致的过高“母语”技能占用审卡界面“本职最高”和“兴趣最高”的问题。现在不使用技能点增加母语时母语会被忽略
V1.2 彻底修复母语的问题并优化方法，并且预防了其他技能出现类似的问题。
         增加了检测是否非法使用本职技能点的功能
V1.3 为审卡界面的属性添加了图标</t>
  </si>
  <si>
    <t>原作者：丛雨
改版作者QQ：201165371
改版更新日志：
V1.1 修复了初始教育过高导致的过高“母语”技能占用审卡界面“本职最高”和“兴趣最高”的问题。现在不使用技能点增加母语时母语会被忽略
V1.2 彻底修复母语的问题并优化方法，并且预防了其他技能出现类似的问题。
         增加了检测是否非法使用本职技能点的功能
V1.3 为属性添加了图标
         将审卡界面武器显示的识别点从名称改为类型</t>
  </si>
  <si>
    <t>· 允许对物体进行视觉上的遮住，藏匿，或者掩盖，也许通过残骸，衣服或者其他的干涉或促成错觉的材料，也许通过使用一个秘密的嵌板或者隔间
· 任何种类的巨大物件应当增加藏匿的难度
· 妙手包括偷窃，卡牌魔术，以及秘密使用手机</t>
  </si>
  <si>
    <t>原作者：丛雨
改版作者QQ：201165371
改版更新日志：
V1.1 修复了初始教育过高导致的过高“母语”技能占用审卡界面“本职最高”和“兴趣最高”的问题。现在不使用技能点增加母语时母语会被忽略
V1.2 彻底修复母语的问题并优化方法，并且预防了其他技能出现类似的问题。
         增加了检测是否非法使用本职技能点的功能
V1.3 为属性添加了图标
         将审卡界面武器显示的识别点从名称改为类型
         修复原人物卡妙手技能注释中的错别字(残害→残骸)</t>
  </si>
</sst>
</file>

<file path=xl/styles.xml><?xml version="1.0" encoding="utf-8"?>
<styleSheet xmlns="http://schemas.openxmlformats.org/spreadsheetml/2006/main">
  <numFmts count="29">
    <numFmt numFmtId="0" formatCode="General"/>
    <numFmt numFmtId="164" formatCode="[=0]&quot;&quot;;General"/>
    <numFmt numFmtId="165" formatCode="0&quot;年&quot;"/>
    <numFmt numFmtId="49" formatCode="@"/>
    <numFmt numFmtId="166" formatCode="[=1]&quot;☆ 二选一&quot;;[=0]&quot;&quot;"/>
    <numFmt numFmtId="167" formatCode="[=1]&quot;⊙ 二选一&quot;;[=0]&quot;&quot;"/>
    <numFmt numFmtId="168" formatCode="[=0]&quot;&quot;;&quot;☯ 社交技能（&quot;0&quot;项）&quot;"/>
    <numFmt numFmtId="169" formatCode="[=1]&quot;※ 多选，或X选一&quot;;[=0]&quot;&quot;"/>
    <numFmt numFmtId="170" formatCode="\/0_ "/>
    <numFmt numFmtId="1" formatCode="0"/>
    <numFmt numFmtId="171" formatCode="&quot;/&quot;0"/>
    <numFmt numFmtId="172" formatCode="\+0;\-0;&quot;±&quot;0"/>
    <numFmt numFmtId="12" formatCode="#\ ?/?"/>
    <numFmt numFmtId="173" formatCode="0_ "/>
    <numFmt numFmtId="174" formatCode="0_);[Red]\(0\)"/>
    <numFmt numFmtId="175" formatCode="0.0_ "/>
    <numFmt numFmtId="176" formatCode="\$0"/>
    <numFmt numFmtId="177" formatCode="[=0]&quot;无&quot;;General"/>
    <numFmt numFmtId="178" formatCode="[=0]&quot;&quot;;&quot;/&quot;0"/>
    <numFmt numFmtId="20" formatCode="h:mm"/>
    <numFmt numFmtId="179" formatCode="[=32767]&quot;&quot;;General"/>
    <numFmt numFmtId="16" formatCode="d\-mmm"/>
    <numFmt numFmtId="180" formatCode="&quot;[&quot;0&quot;]&quot;"/>
    <numFmt numFmtId="181" formatCode="0.00_);[Red]\(0.00\)"/>
    <numFmt numFmtId="2" formatCode="0.00"/>
    <numFmt numFmtId="182" formatCode="\$#,##0_);[Red]\(\$#,##0\)"/>
    <numFmt numFmtId="14" formatCode="yyyy/m/d"/>
    <numFmt numFmtId="28" formatCode="m&quot;月&quot;d&quot;日&quot;"/>
    <numFmt numFmtId="183" formatCode="[=0]General;&quot;1920s,罕见&quot;"/>
  </numFmts>
  <fonts count="211">
    <font>
      <name val="宋体"/>
      <sz val="11"/>
    </font>
    <font>
      <name val="微软雅黑"/>
      <charset val="134"/>
      <sz val="10"/>
      <color rgb="FF000000"/>
    </font>
    <font>
      <name val="微软雅黑"/>
      <charset val="134"/>
      <sz val="10"/>
      <color rgb="FF65A3D7"/>
    </font>
    <font>
      <name val="微软雅黑"/>
      <charset val="134"/>
      <sz val="10"/>
      <color rgb="FFFFFFFF"/>
    </font>
    <font>
      <name val="微软雅黑"/>
      <charset val="134"/>
      <sz val="10"/>
      <color rgb="FFF2F2F2"/>
    </font>
    <font>
      <name val="微软雅黑"/>
      <charset val="134"/>
      <sz val="9"/>
      <color rgb="FFF2F2F2"/>
    </font>
    <font>
      <name val="微软雅黑"/>
      <b/>
      <charset val="134"/>
      <sz val="12"/>
      <color rgb="FFFFFFFF"/>
    </font>
    <font>
      <name val="微软雅黑"/>
      <charset val="134"/>
      <sz val="11"/>
      <color rgb="FFFFFFFF"/>
    </font>
    <font>
      <name val="微软雅黑"/>
      <charset val="134"/>
      <sz val="11"/>
      <color rgb="FF000000"/>
    </font>
    <font>
      <name val="微软雅黑"/>
      <charset val="134"/>
      <sz val="10"/>
      <color rgb="FF02A5E3"/>
    </font>
    <font>
      <name val="微软雅黑"/>
      <charset val="134"/>
      <sz val="8"/>
      <color rgb="FF000000"/>
    </font>
    <font>
      <name val="微软雅黑"/>
      <charset val="134"/>
      <sz val="10"/>
      <color rgb="FFFF0000"/>
    </font>
    <font>
      <name val="宋体"/>
      <charset val="134"/>
      <sz val="10"/>
      <color rgb="FFFF0000"/>
    </font>
    <font>
      <name val="宋体"/>
      <charset val="134"/>
      <sz val="11"/>
      <color rgb="FF000000"/>
    </font>
    <font>
      <name val="微软雅黑"/>
      <charset val="134"/>
      <sz val="10"/>
    </font>
    <font>
      <name val="微软雅黑"/>
      <charset val="134"/>
      <sz val="8"/>
      <color rgb="FF3F3F3F"/>
    </font>
    <font>
      <name val="宋体"/>
      <charset val="134"/>
      <sz val="11"/>
    </font>
    <font>
      <name val="微软雅黑"/>
      <charset val="134"/>
      <sz val="9"/>
    </font>
    <font>
      <name val="微软雅黑"/>
      <charset val="134"/>
      <sz val="10"/>
      <color rgb="FF3F3F3F"/>
    </font>
    <font>
      <name val="微软雅黑"/>
      <charset val="134"/>
      <sz val="10"/>
      <color rgb="FF595959"/>
    </font>
    <font>
      <name val="微软雅黑"/>
      <charset val="134"/>
      <sz val="9"/>
      <color rgb="FF595959"/>
    </font>
    <font>
      <name val="微软雅黑"/>
      <b/>
      <charset val="134"/>
      <sz val="10"/>
      <color rgb="FFBF0000"/>
    </font>
    <font>
      <name val="微软雅黑"/>
      <charset val="134"/>
      <sz val="9"/>
      <color rgb="FF000000"/>
    </font>
    <font>
      <name val="微软雅黑"/>
      <charset val="134"/>
      <sz val="12"/>
    </font>
    <font>
      <name val="微软雅黑"/>
      <charset val="134"/>
      <sz val="11"/>
    </font>
    <font>
      <name val="微软雅黑"/>
      <charset val="134"/>
      <sz val="24"/>
      <color rgb="FF0C0C0C"/>
    </font>
    <font>
      <name val="微软雅黑"/>
      <charset val="134"/>
      <sz val="9"/>
      <color rgb="FF0D0D0D"/>
    </font>
    <font>
      <name val="微软雅黑"/>
      <charset val="134"/>
      <sz val="10"/>
      <color rgb="FF7F7F7F"/>
    </font>
    <font>
      <name val="微软雅黑"/>
      <charset val="134"/>
      <sz val="10"/>
      <color rgb="FF1F3964"/>
    </font>
    <font>
      <name val="等线"/>
      <charset val="134"/>
      <sz val="11"/>
      <color rgb="FF000000"/>
    </font>
    <font>
      <name val="微软雅黑"/>
      <charset val="134"/>
      <sz val="12"/>
      <color rgb="FF000000"/>
    </font>
    <font>
      <name val="微软雅黑"/>
      <charset val="134"/>
      <sz val="10"/>
      <color rgb="FF2F75B6"/>
    </font>
    <font>
      <name val="微软雅黑"/>
      <charset val="134"/>
      <sz val="1"/>
      <color rgb="FF000000"/>
    </font>
    <font>
      <name val="微软雅黑"/>
      <charset val="134"/>
      <sz val="1"/>
      <color rgb="FFFFFFFF"/>
    </font>
    <font>
      <name val="宋体"/>
      <charset val="134"/>
      <sz val="10"/>
      <color rgb="FF000000"/>
    </font>
    <font>
      <name val="微软雅黑"/>
      <charset val="134"/>
      <sz val="8"/>
      <color rgb="FF2F5597"/>
    </font>
    <font>
      <name val="宋体"/>
      <charset val="134"/>
      <sz val="12"/>
      <color rgb="FF000000"/>
    </font>
    <font>
      <name val="微软雅黑"/>
      <charset val="134"/>
      <sz val="16"/>
      <color rgb="FF000000"/>
    </font>
    <font>
      <name val="微软雅黑"/>
      <charset val="134"/>
      <sz val="9"/>
      <color rgb="FF2F5597"/>
    </font>
    <font>
      <name val="等线"/>
      <charset val="134"/>
      <sz val="10"/>
      <color rgb="FF000000"/>
    </font>
    <font>
      <name val="等线"/>
      <charset val="134"/>
      <sz val="14"/>
      <color rgb="FFBFBFBF"/>
    </font>
    <font>
      <name val="微软雅黑"/>
      <charset val="134"/>
      <sz val="10"/>
      <color rgb="FFC00000"/>
    </font>
    <font>
      <name val="微软雅黑"/>
      <charset val="134"/>
      <sz val="14"/>
      <color rgb="FFC00000"/>
    </font>
    <font>
      <name val="微软雅黑"/>
      <charset val="134"/>
      <sz val="9"/>
      <color rgb="FFBFBFBF"/>
    </font>
    <font>
      <name val="微软雅黑"/>
      <charset val="134"/>
      <sz val="8"/>
      <color rgb="FFFF0000"/>
    </font>
    <font>
      <name val="等线"/>
      <charset val="134"/>
      <sz val="14"/>
      <color rgb="FF00B050"/>
    </font>
    <font>
      <name val="宋体"/>
      <sz val="11"/>
    </font>
    <font>
      <name val="宋体"/>
      <sz val="11"/>
    </font>
    <font>
      <name val="微软雅黑"/>
      <charset val="134"/>
      <sz val="14"/>
      <color rgb="FF000000"/>
    </font>
    <font>
      <name val="宋体"/>
      <b/>
      <sz val="11"/>
      <color rgb="FFBF0000"/>
    </font>
    <font>
      <name val="宋体"/>
      <b/>
      <sz val="11"/>
      <color rgb="FF36363D"/>
    </font>
    <font>
      <name val="宋体"/>
      <sz val="10"/>
    </font>
    <font>
      <name val="微软雅黑"/>
      <b/>
      <charset val="134"/>
      <sz val="12"/>
      <color rgb="FF36363D"/>
    </font>
    <font>
      <name val="宋体"/>
      <b/>
      <sz val="11"/>
    </font>
    <font>
      <name val="宋体"/>
      <sz val="9"/>
    </font>
    <font>
      <name val="宋体"/>
      <sz val="12"/>
    </font>
    <font>
      <name val="宋体"/>
      <sz val="32"/>
    </font>
    <font>
      <name val="宋体"/>
      <sz val="9"/>
      <color rgb="FF000080"/>
    </font>
    <font>
      <name val="宋体"/>
      <sz val="11"/>
      <color rgb="FFC0C0C0"/>
    </font>
    <font>
      <name val="微软雅黑"/>
      <charset val="134"/>
      <sz val="12"/>
      <color rgb="FF008000"/>
    </font>
    <font>
      <name val="微软雅黑"/>
      <b/>
      <charset val="134"/>
      <sz val="12"/>
      <color rgb="FFFF6600"/>
    </font>
    <font>
      <name val="微软雅黑"/>
      <b/>
      <charset val="134"/>
      <sz val="12"/>
      <color rgb="FF0000FF"/>
    </font>
    <font>
      <name val="微软雅黑"/>
      <b/>
      <i/>
      <charset val="134"/>
      <sz val="12"/>
    </font>
    <font>
      <name val="微软雅黑"/>
      <charset val="134"/>
      <sz val="12"/>
      <color rgb="FF36363D"/>
    </font>
    <font>
      <name val="宋体"/>
      <sz val="11"/>
    </font>
    <font>
      <name val="宋体"/>
      <sz val="11"/>
    </font>
    <font>
      <name val="宋体"/>
      <sz val="11"/>
    </font>
    <font>
      <name val="微软雅黑"/>
      <charset val="134"/>
      <sz val="10"/>
      <color rgb="FFBF0000"/>
    </font>
    <font>
      <name val="微软雅黑"/>
      <charset val="134"/>
      <sz val="28"/>
      <color rgb="FF000000"/>
    </font>
    <font>
      <name val="宋体"/>
      <charset val="134"/>
      <sz val="32"/>
      <color rgb="FF000000"/>
    </font>
    <font>
      <name val="宋体"/>
      <charset val="134"/>
      <sz val="11"/>
      <color rgb="FFC00000"/>
    </font>
    <font>
      <name val="微软雅黑"/>
      <b/>
      <charset val="134"/>
      <sz val="10"/>
      <color rgb="FF7030A0"/>
    </font>
    <font>
      <name val="微软雅黑 Light"/>
      <charset val="134"/>
      <sz val="10"/>
      <color rgb="FF000000"/>
    </font>
    <font>
      <name val="微软雅黑"/>
      <charset val="134"/>
      <sz val="18"/>
      <color rgb="FF000000"/>
    </font>
    <font>
      <name val="微软雅黑 Light"/>
      <charset val="134"/>
      <sz val="10"/>
    </font>
    <font>
      <name val="微软雅黑 Light"/>
      <charset val="134"/>
      <sz val="9"/>
      <color rgb="FF000000"/>
    </font>
    <font>
      <name val="微软雅黑 Light"/>
      <charset val="134"/>
      <sz val="11"/>
      <color rgb="FF000000"/>
    </font>
    <font>
      <name val="微软雅黑 Light"/>
      <charset val="134"/>
      <sz val="11"/>
    </font>
    <font>
      <name val="微软雅黑 Light"/>
      <charset val="134"/>
      <sz val="11"/>
      <color rgb="FFFFFFFF"/>
    </font>
    <font>
      <name val="微软雅黑 Light"/>
      <charset val="134"/>
      <sz val="11"/>
      <color rgb="FFC00000"/>
    </font>
    <font>
      <name val="宋体"/>
      <charset val="134"/>
      <sz val="11"/>
      <color rgb="FFFFFFFF"/>
    </font>
    <font>
      <name val="等线"/>
      <charset val="134"/>
      <sz val="11"/>
      <color rgb="FFFFFFFF"/>
    </font>
    <font>
      <name val="等线"/>
      <charset val="134"/>
      <sz val="11"/>
    </font>
    <font>
      <name val="微软雅黑 Light"/>
      <charset val="134"/>
      <sz val="11"/>
      <color rgb="FF000000"/>
    </font>
    <font>
      <name val="微软雅黑 Light"/>
      <charset val="134"/>
      <sz val="14"/>
      <color rgb="FF000000"/>
    </font>
    <font>
      <name val="微软雅黑 Light"/>
      <charset val="134"/>
      <sz val="11"/>
      <color rgb="FFFF0000"/>
    </font>
    <font>
      <name val="等线"/>
      <charset val="134"/>
      <sz val="12"/>
    </font>
    <font>
      <name val="等线"/>
      <charset val="134"/>
      <sz val="12"/>
      <color rgb="FF000000"/>
    </font>
    <font>
      <name val="微软雅黑 Light"/>
      <charset val="134"/>
      <sz val="11"/>
    </font>
    <font>
      <name val="宋体"/>
      <charset val="134"/>
      <sz val="20"/>
    </font>
    <font>
      <name val="宋体"/>
      <charset val="134"/>
      <sz val="14"/>
      <color rgb="FFFF0000"/>
    </font>
    <font>
      <name val="宋体"/>
      <charset val="134"/>
      <sz val="11"/>
      <color rgb="FFFFFFFF"/>
    </font>
    <font>
      <name val="微软雅黑"/>
      <charset val="134"/>
      <sz val="11"/>
      <color rgb="FFFFFFFF"/>
    </font>
    <font>
      <name val="等线"/>
      <charset val="134"/>
      <sz val="8"/>
      <color rgb="FF000000"/>
    </font>
    <font>
      <name val="Calibri"/>
      <sz val="10"/>
      <color indexed="8"/>
    </font>
    <font>
      <name val="等线"/>
      <charset val="134"/>
      <sz val="14"/>
    </font>
    <font>
      <name val="等线"/>
      <charset val="134"/>
      <sz val="14"/>
      <color rgb="FF000000"/>
    </font>
    <font>
      <name val="Calibri"/>
      <sz val="14"/>
      <color indexed="8"/>
    </font>
    <font>
      <name val="等线"/>
      <charset val="134"/>
      <sz val="14"/>
      <color indexed="8"/>
    </font>
    <font>
      <name val="Calibri"/>
      <sz val="10"/>
      <color rgb="FF000000"/>
    </font>
    <font>
      <name val="Calibri"/>
      <sz val="10"/>
    </font>
    <font>
      <name val="Calibri"/>
      <sz val="8"/>
      <color indexed="8"/>
    </font>
    <font>
      <name val="Calibri"/>
      <sz val="8"/>
      <color rgb="FF000000"/>
    </font>
    <font>
      <name val="Calibri"/>
      <sz val="11"/>
      <color rgb="FF000000"/>
    </font>
    <font>
      <name val="Calibri"/>
      <sz val="11"/>
    </font>
    <font>
      <name val="宋体"/>
      <charset val="134"/>
      <sz val="10"/>
    </font>
    <font>
      <name val="等线"/>
      <charset val="134"/>
      <sz val="10"/>
    </font>
    <font>
      <name val="微软雅黑 Light"/>
      <b/>
      <charset val="134"/>
      <sz val="11"/>
      <color rgb="FF000000"/>
    </font>
    <font>
      <name val="微软雅黑"/>
      <charset val="134"/>
      <sz val="10"/>
      <color rgb="FF000000"/>
    </font>
    <font>
      <name val="微软雅黑"/>
      <b/>
      <charset val="134"/>
      <sz val="16"/>
    </font>
    <font>
      <name val="宋体"/>
      <charset val="134"/>
      <sz val="10"/>
    </font>
    <font>
      <name val="宋体"/>
      <charset val="134"/>
      <sz val="10"/>
      <color rgb="FF222222"/>
    </font>
    <font>
      <name val="微软雅黑"/>
      <charset val="134"/>
      <sz val="9"/>
      <color rgb="FFFFFFFF"/>
    </font>
    <font>
      <name val="等线"/>
      <charset val="134"/>
      <sz val="10"/>
      <color rgb="FF7F7F7F"/>
    </font>
    <font>
      <name val="微软雅黑"/>
      <charset val="134"/>
      <sz val="10"/>
      <color rgb="FF333333"/>
    </font>
    <font>
      <name val="微软雅黑 Light"/>
      <b/>
      <charset val="134"/>
      <sz val="12"/>
      <color rgb="FF000000"/>
    </font>
    <font>
      <name val="FZBIAOYSK--GBK1-0"/>
      <sz val="10"/>
      <color rgb="FF000000"/>
    </font>
    <font>
      <name val="微软雅黑"/>
      <charset val="134"/>
      <sz val="11"/>
      <color rgb="FFFF0000"/>
    </font>
    <font>
      <name val="微软雅黑"/>
      <charset val="134"/>
      <sz val="6"/>
      <color rgb="FF000000"/>
    </font>
    <font>
      <name val="微软雅黑"/>
      <charset val="134"/>
      <sz val="12"/>
      <color rgb="FFFFFFFF"/>
    </font>
    <font>
      <name val="微软雅黑"/>
      <charset val="134"/>
      <sz val="20"/>
      <color rgb="FF000000"/>
    </font>
    <font>
      <name val="等线"/>
      <charset val="134"/>
      <sz val="20"/>
      <color rgb="FF000000"/>
    </font>
    <font>
      <name val="等线"/>
      <charset val="134"/>
      <sz val="18"/>
      <color rgb="FF000000"/>
    </font>
    <font>
      <name val="宋体"/>
      <charset val="134"/>
      <sz val="11"/>
      <color rgb="FFFF0000"/>
    </font>
    <font>
      <name val="微软雅黑"/>
      <charset val="134"/>
      <sz val="22"/>
      <color rgb="FF000000"/>
    </font>
    <font>
      <name val="微软雅黑"/>
      <charset val="134"/>
      <sz val="15"/>
    </font>
    <font>
      <name val="微软雅黑"/>
      <charset val="134"/>
      <sz val="16"/>
    </font>
    <font>
      <name val="宋体"/>
      <charset val="134"/>
      <sz val="11"/>
      <color rgb="FF32D3F6"/>
    </font>
    <font>
      <name val="微软雅黑"/>
      <charset val="134"/>
      <sz val="11"/>
      <color rgb="FF32D3F6"/>
    </font>
    <font>
      <name val="微软雅黑"/>
      <b/>
      <charset val="134"/>
      <sz val="12"/>
    </font>
    <font>
      <name val="微软雅黑"/>
      <b/>
      <charset val="134"/>
      <sz val="11"/>
    </font>
    <font>
      <name val="微软雅黑"/>
      <charset val="134"/>
      <sz val="8"/>
    </font>
    <font>
      <name val="微软雅黑 Light"/>
      <charset val="134"/>
      <sz val="12"/>
      <color rgb="FFFFFFFF"/>
    </font>
    <font>
      <name val="微软雅黑 Light"/>
      <charset val="134"/>
      <sz val="12"/>
      <color rgb="FF000000"/>
    </font>
    <font>
      <name val="微软雅黑 Light"/>
      <charset val="134"/>
      <sz val="12"/>
    </font>
    <font>
      <name val="微软雅黑 Light"/>
      <charset val="134"/>
      <sz val="9"/>
    </font>
    <font>
      <name val="微软雅黑 Light"/>
      <b/>
      <charset val="134"/>
      <sz val="18"/>
    </font>
    <font>
      <name val="微软雅黑 Light"/>
      <b/>
      <charset val="134"/>
      <sz val="12"/>
    </font>
    <font>
      <name val="微软雅黑 Light"/>
      <charset val="134"/>
      <sz val="12"/>
      <color rgb="FF2F75B6"/>
    </font>
    <font>
      <name val="宋体"/>
      <charset val="134"/>
      <sz val="9"/>
      <color rgb="FF000000"/>
    </font>
    <font>
      <name val="微软雅黑 Light"/>
      <b/>
      <charset val="134"/>
      <sz val="12"/>
      <color rgb="FFD58B43"/>
    </font>
    <font>
      <name val="微软雅黑 Light"/>
      <charset val="134"/>
      <sz val="12"/>
      <color rgb="FFD58B43"/>
    </font>
    <font>
      <name val="宋体"/>
      <b/>
      <charset val="134"/>
      <sz val="9"/>
      <color rgb="FF000000"/>
    </font>
    <font>
      <name val="微软雅黑"/>
      <b/>
      <charset val="134"/>
      <sz val="12"/>
      <color rgb="FF000000"/>
    </font>
    <font>
      <name val="微软雅黑"/>
      <charset val="134"/>
      <sz val="20"/>
    </font>
    <font>
      <name val="微软雅黑"/>
      <i/>
      <charset val="134"/>
      <sz val="9"/>
      <color rgb="FF000000"/>
    </font>
    <font>
      <name val="微软雅黑"/>
      <b/>
      <charset val="134"/>
      <sz val="11"/>
      <color rgb="FF000000"/>
    </font>
    <font>
      <name val="微软雅黑"/>
      <charset val="134"/>
      <sz val="28"/>
    </font>
    <font>
      <name val="微软雅黑"/>
      <charset val="134"/>
      <sz val="14"/>
      <color rgb="FFFF0000"/>
    </font>
    <font>
      <name val="等线"/>
      <b/>
      <charset val="134"/>
      <sz val="11"/>
      <color rgb="FFFF0000"/>
    </font>
    <font>
      <name val="等线"/>
      <charset val="134"/>
      <sz val="11"/>
      <color rgb="FFFF0000"/>
    </font>
    <font>
      <name val="等线"/>
      <charset val="134"/>
      <sz val="9"/>
      <color rgb="FF000000"/>
    </font>
    <font>
      <name val="等线"/>
      <charset val="134"/>
      <sz val="8"/>
    </font>
    <font>
      <name val="等线"/>
      <charset val="134"/>
      <sz val="7"/>
      <color rgb="FF000000"/>
    </font>
    <font>
      <name val="宋体"/>
      <b/>
      <charset val="134"/>
      <sz val="11"/>
      <color rgb="FFFFFFFF"/>
    </font>
    <font>
      <name val="宋体"/>
      <b/>
      <charset val="134"/>
      <sz val="9"/>
      <color rgb="FFFFFFFF"/>
    </font>
    <font>
      <name val="宋体"/>
      <b/>
      <charset val="134"/>
      <sz val="11"/>
    </font>
    <font>
      <name val="宋体"/>
      <b/>
      <charset val="134"/>
      <sz val="11"/>
    </font>
    <font>
      <name val="宋体"/>
      <b/>
      <charset val="134"/>
      <sz val="9"/>
    </font>
    <font>
      <name val="等线"/>
      <charset val="134"/>
      <sz val="10"/>
      <color rgb="FFFF0000"/>
    </font>
    <font>
      <name val="宋体"/>
      <charset val="134"/>
      <sz val="10"/>
      <color rgb="FF000000"/>
    </font>
    <font>
      <name val="等线"/>
      <charset val="134"/>
      <sz val="36"/>
    </font>
    <font>
      <name val="微软雅黑"/>
      <charset val="134"/>
      <sz val="14"/>
    </font>
    <font>
      <name val="等线"/>
      <charset val="134"/>
      <sz val="26"/>
    </font>
    <font>
      <name val="等线"/>
      <charset val="134"/>
      <sz val="28"/>
    </font>
    <font>
      <name val="等线"/>
      <charset val="134"/>
      <sz val="24"/>
    </font>
    <font>
      <name val="等线"/>
      <charset val="134"/>
      <sz val="22"/>
    </font>
    <font>
      <name val="微软雅黑"/>
      <b/>
      <charset val="134"/>
      <sz val="11"/>
      <color rgb="FFFFFFFF"/>
    </font>
    <font>
      <name val="微软雅黑"/>
      <charset val="134"/>
      <sz val="11"/>
      <color rgb="FFC00000"/>
    </font>
    <font>
      <name val="微软雅黑"/>
      <charset val="134"/>
      <sz val="11"/>
      <color rgb="FF7F5F00"/>
    </font>
    <font>
      <name val="微软雅黑"/>
      <charset val="134"/>
      <sz val="11"/>
      <color rgb="FF1F4E79"/>
    </font>
    <font>
      <name val="微软雅黑"/>
      <charset val="134"/>
      <sz val="10"/>
      <color rgb="FFDEEAF6"/>
    </font>
    <font>
      <name val="微软雅黑"/>
      <charset val="134"/>
      <sz val="11"/>
      <color rgb="FF385623"/>
    </font>
    <font>
      <name val="微软雅黑"/>
      <b/>
      <charset val="134"/>
      <sz val="15"/>
    </font>
    <font>
      <name val="等线"/>
      <b/>
      <charset val="134"/>
      <sz val="12"/>
    </font>
    <font>
      <name val="微软雅黑"/>
      <b/>
      <strike/>
      <charset val="134"/>
      <sz val="15"/>
    </font>
    <font>
      <name val="微软雅黑"/>
      <b/>
      <charset val="134"/>
      <sz val="18"/>
    </font>
    <font>
      <name val="微软雅黑"/>
      <charset val="134"/>
      <sz val="28"/>
      <color rgb="FF000000"/>
    </font>
    <font>
      <name val="微软雅黑"/>
      <charset val="134"/>
      <sz val="11"/>
      <color rgb="FF000000"/>
    </font>
    <font>
      <name val="微软雅黑"/>
      <charset val="134"/>
      <sz val="24"/>
    </font>
    <font>
      <name val="微软雅黑"/>
      <charset val="134"/>
      <sz val="18"/>
    </font>
    <font>
      <name val="微软雅黑"/>
      <charset val="134"/>
      <sz val="22"/>
    </font>
    <font>
      <name val="微软雅黑"/>
      <b/>
      <charset val="134"/>
      <sz val="20"/>
    </font>
    <font>
      <name val="微软雅黑"/>
      <b/>
      <charset val="134"/>
      <sz val="14"/>
    </font>
    <font>
      <name val="微软雅黑"/>
      <charset val="134"/>
      <sz val="26"/>
    </font>
    <font>
      <name val="微软雅黑"/>
      <b/>
      <charset val="134"/>
      <sz val="10"/>
      <color rgb="FFFFFFFF"/>
    </font>
    <font>
      <name val="微软雅黑"/>
      <b/>
      <charset val="134"/>
      <sz val="8"/>
      <color rgb="FFFFFFFF"/>
    </font>
    <font>
      <name val="宋体"/>
      <b/>
      <charset val="134"/>
      <sz val="11"/>
      <color rgb="FFFFFFFF"/>
    </font>
    <font>
      <name val="微软雅黑"/>
      <b/>
      <charset val="134"/>
      <sz val="12"/>
      <color rgb="FF1F3964"/>
    </font>
    <font>
      <name val="微软雅黑"/>
      <charset val="134"/>
      <sz val="9"/>
      <color rgb="FF1F3964"/>
    </font>
    <font>
      <name val="微软雅黑"/>
      <charset val="134"/>
      <sz val="28"/>
      <color rgb="FF1F3964"/>
    </font>
    <font>
      <name val="微软雅黑"/>
      <charset val="134"/>
      <sz val="24"/>
      <color rgb="FF1F3964"/>
    </font>
    <font>
      <name val="微软雅黑"/>
      <charset val="134"/>
      <sz val="11"/>
      <color rgb="FF1F3964"/>
    </font>
    <font>
      <name val="微软雅黑"/>
      <charset val="134"/>
      <sz val="12"/>
      <color rgb="FF1F3964"/>
    </font>
    <font>
      <name val="微软雅黑"/>
      <charset val="134"/>
      <sz val="16"/>
      <color rgb="FF1F3964"/>
    </font>
    <font>
      <name val="等线"/>
      <charset val="134"/>
      <sz val="12"/>
      <color rgb="FFFF0000"/>
    </font>
    <font>
      <name val="等线"/>
      <charset val="134"/>
      <sz val="9"/>
    </font>
    <font>
      <name val="等线"/>
      <charset val="134"/>
      <sz val="14"/>
      <color rgb="FFFF0000"/>
    </font>
    <font>
      <name val="等线"/>
      <charset val="134"/>
      <sz val="18"/>
    </font>
    <font>
      <name val="宋体"/>
      <charset val="134"/>
      <sz val="16"/>
    </font>
    <font>
      <name val="等线"/>
      <charset val="134"/>
      <sz val="16"/>
    </font>
    <font>
      <name val="微软雅黑"/>
      <b/>
      <charset val="134"/>
      <sz val="9"/>
    </font>
    <font>
      <name val="微软雅黑"/>
      <b/>
      <charset val="134"/>
      <sz val="10"/>
    </font>
    <font>
      <name val="微软雅黑"/>
      <i/>
      <charset val="134"/>
      <sz val="9"/>
    </font>
    <font>
      <name val="宋体"/>
      <charset val="134"/>
      <u/>
      <sz val="14"/>
      <color indexed="20"/>
    </font>
    <font>
      <name val="微软雅黑"/>
      <charset val="134"/>
      <u/>
      <sz val="14"/>
      <color rgb="FF0000FF"/>
    </font>
    <font>
      <name val="微软雅黑"/>
      <charset val="134"/>
      <sz val="11"/>
      <color rgb="FF36363D"/>
    </font>
    <font>
      <name val="微软雅黑"/>
      <charset val="134"/>
      <sz val="11"/>
      <color rgb="FFBF0000"/>
    </font>
    <font>
      <name val="微软雅黑"/>
      <strike/>
      <charset val="134"/>
      <sz val="11"/>
      <color rgb="FF000000"/>
    </font>
    <font>
      <name val="微软雅黑"/>
      <charset val="134"/>
      <sz val="7"/>
    </font>
    <font>
      <name val="宋体"/>
      <charset val="134"/>
      <u/>
      <sz val="11"/>
      <color rgb="FF0000FF"/>
    </font>
  </fonts>
  <fills count="96">
    <fill>
      <patternFill patternType="none"/>
    </fill>
    <fill>
      <patternFill patternType="gray125"/>
    </fill>
    <fill>
      <patternFill patternType="solid">
        <fgColor rgb="FF6297C4"/>
        <bgColor indexed="64"/>
      </patternFill>
    </fill>
    <fill>
      <patternFill patternType="solid">
        <fgColor rgb="FFDEEAF6"/>
        <bgColor indexed="64"/>
      </patternFill>
    </fill>
    <fill>
      <patternFill patternType="solid">
        <fgColor rgb="FFDEEBF6"/>
        <bgColor indexed="64"/>
      </patternFill>
    </fill>
    <fill>
      <patternFill patternType="solid">
        <fgColor rgb="FFBED7EE"/>
        <bgColor indexed="64"/>
      </patternFill>
    </fill>
    <fill>
      <patternFill patternType="solid">
        <fgColor rgb="FFDDEBF7"/>
        <bgColor indexed="64"/>
      </patternFill>
    </fill>
    <fill>
      <patternFill patternType="solid">
        <fgColor rgb="FFBDD7EE"/>
        <bgColor indexed="64"/>
      </patternFill>
    </fill>
    <fill>
      <patternFill patternType="solid">
        <fgColor rgb="FFFCE4D6"/>
        <bgColor indexed="64"/>
      </patternFill>
    </fill>
    <fill>
      <patternFill patternType="solid">
        <fgColor rgb="FFC9DFF1"/>
        <bgColor indexed="64"/>
      </patternFill>
    </fill>
    <fill>
      <patternFill patternType="solid">
        <fgColor rgb="FF63973D"/>
        <bgColor indexed="64"/>
      </patternFill>
    </fill>
    <fill>
      <patternFill patternType="solid">
        <fgColor rgb="FF499EA1"/>
        <bgColor indexed="64"/>
      </patternFill>
    </fill>
    <fill>
      <patternFill patternType="solid">
        <fgColor rgb="FFC5E0B3"/>
        <bgColor indexed="64"/>
      </patternFill>
    </fill>
    <fill>
      <patternFill patternType="solid">
        <fgColor rgb="FFBCEDEF"/>
        <bgColor indexed="64"/>
      </patternFill>
    </fill>
    <fill>
      <patternFill patternType="solid">
        <fgColor rgb="FF4176CF"/>
        <bgColor indexed="64"/>
      </patternFill>
    </fill>
    <fill>
      <patternFill patternType="solid">
        <fgColor rgb="FF23AF6B"/>
        <bgColor indexed="64"/>
      </patternFill>
    </fill>
    <fill>
      <patternFill patternType="solid">
        <fgColor rgb="FFB8D0ED"/>
        <bgColor indexed="64"/>
      </patternFill>
    </fill>
    <fill>
      <patternFill patternType="solid">
        <fgColor rgb="FFAEF1D2"/>
        <bgColor indexed="64"/>
      </patternFill>
    </fill>
    <fill>
      <patternFill patternType="solid">
        <fgColor rgb="FF9DC3E5"/>
        <bgColor indexed="64"/>
      </patternFill>
    </fill>
    <fill>
      <patternFill patternType="solid">
        <fgColor rgb="FFFFFFFF"/>
      </patternFill>
    </fill>
    <fill>
      <patternFill patternType="solid">
        <fgColor rgb="FF9DC2E5"/>
        <bgColor indexed="64"/>
      </patternFill>
    </fill>
    <fill>
      <patternFill patternType="solid">
        <fgColor rgb="FF9BC2E6"/>
        <bgColor indexed="64"/>
      </patternFill>
    </fill>
    <fill>
      <patternFill patternType="solid">
        <fgColor rgb="FF85B9E1"/>
        <bgColor indexed="64"/>
      </patternFill>
    </fill>
    <fill>
      <patternFill patternType="solid">
        <fgColor rgb="FF000080"/>
        <bgColor indexed="64"/>
      </patternFill>
    </fill>
    <fill>
      <patternFill patternType="solid">
        <fgColor rgb="FF3399FF"/>
        <bgColor indexed="64"/>
      </patternFill>
    </fill>
    <fill>
      <patternFill patternType="solid">
        <fgColor rgb="FF99CCFF"/>
      </patternFill>
    </fill>
    <fill>
      <patternFill patternType="solid">
        <fgColor rgb="FF99CCFF"/>
        <bgColor indexed="64"/>
      </patternFill>
    </fill>
    <fill>
      <patternFill patternType="solid">
        <fgColor rgb="FFFFFFFF"/>
        <bgColor indexed="64"/>
      </patternFill>
    </fill>
    <fill>
      <patternFill patternType="solid">
        <fgColor rgb="FF3399FF"/>
      </patternFill>
    </fill>
    <fill>
      <patternFill patternType="solid">
        <fgColor rgb="FF00B0F0"/>
        <bgColor indexed="64"/>
      </patternFill>
    </fill>
    <fill>
      <patternFill patternType="solid">
        <fgColor rgb="FF5B9BD5"/>
        <bgColor indexed="64"/>
      </patternFill>
    </fill>
    <fill>
      <patternFill patternType="solid">
        <fgColor rgb="FF2F75B6"/>
        <bgColor indexed="64"/>
      </patternFill>
    </fill>
    <fill>
      <patternFill patternType="solid">
        <fgColor rgb="FF78B64A"/>
        <bgColor indexed="64"/>
      </patternFill>
    </fill>
    <fill>
      <patternFill patternType="solid">
        <fgColor rgb="FFCCFECC"/>
        <bgColor indexed="64"/>
      </patternFill>
    </fill>
    <fill>
      <patternFill patternType="solid">
        <fgColor rgb="FFFFE5E5"/>
        <bgColor indexed="64"/>
      </patternFill>
    </fill>
    <fill>
      <patternFill patternType="solid">
        <fgColor rgb="FFE2EFD9"/>
        <bgColor indexed="64"/>
      </patternFill>
    </fill>
    <fill>
      <patternFill patternType="solid">
        <fgColor rgb="FFA8D08E"/>
        <bgColor indexed="64"/>
      </patternFill>
    </fill>
    <fill>
      <patternFill patternType="solid">
        <fgColor rgb="FFDEEAF6"/>
        <bgColor rgb="FFDEEAF6"/>
      </patternFill>
    </fill>
    <fill>
      <patternFill patternType="solid">
        <fgColor rgb="FFF2F2F2"/>
        <bgColor indexed="64"/>
      </patternFill>
    </fill>
    <fill>
      <patternFill patternType="solid">
        <fgColor rgb="FFC69CFF"/>
        <bgColor indexed="64"/>
      </patternFill>
    </fill>
    <fill>
      <patternFill patternType="solid">
        <fgColor rgb="FFFFD5F6"/>
        <bgColor indexed="64"/>
      </patternFill>
    </fill>
    <fill>
      <patternFill patternType="solid">
        <fgColor rgb="FFFFCFCF"/>
        <bgColor indexed="64"/>
      </patternFill>
    </fill>
    <fill>
      <patternFill patternType="solid">
        <fgColor rgb="FFFFFFCD"/>
        <bgColor indexed="64"/>
      </patternFill>
    </fill>
    <fill>
      <patternFill patternType="solid">
        <fgColor rgb="FFFFFF00"/>
        <bgColor indexed="64"/>
      </patternFill>
    </fill>
    <fill>
      <patternFill patternType="solid">
        <fgColor rgb="FFFBE4D5"/>
        <bgColor indexed="64"/>
      </patternFill>
    </fill>
    <fill>
      <patternFill patternType="solid">
        <fgColor rgb="FF7030A0"/>
        <bgColor indexed="64"/>
      </patternFill>
    </fill>
    <fill>
      <patternFill patternType="solid">
        <fgColor rgb="FF7CB1DE"/>
        <bgColor indexed="64"/>
      </patternFill>
    </fill>
    <fill>
      <patternFill patternType="solid">
        <fgColor rgb="FF5C9BD5"/>
        <bgColor rgb="FF5C9BD5"/>
      </patternFill>
    </fill>
    <fill>
      <patternFill patternType="solid">
        <fgColor rgb="FF5C9BD5"/>
        <bgColor indexed="64"/>
      </patternFill>
    </fill>
    <fill>
      <patternFill patternType="solid">
        <fgColor rgb="FF3788CD"/>
        <bgColor indexed="64"/>
      </patternFill>
    </fill>
    <fill>
      <patternFill patternType="solid">
        <fgColor rgb="FFFF8181"/>
        <bgColor indexed="64"/>
      </patternFill>
    </fill>
    <fill>
      <patternFill patternType="solid">
        <fgColor rgb="FFFCF584"/>
        <bgColor indexed="64"/>
      </patternFill>
    </fill>
    <fill>
      <patternFill patternType="solid">
        <fgColor rgb="FFA3FF71"/>
        <bgColor indexed="64"/>
      </patternFill>
    </fill>
    <fill>
      <patternFill patternType="solid">
        <fgColor rgb="FF81E9FF"/>
        <bgColor indexed="64"/>
      </patternFill>
    </fill>
    <fill>
      <patternFill patternType="solid">
        <fgColor rgb="FFFF81F5"/>
        <bgColor indexed="64"/>
      </patternFill>
    </fill>
    <fill>
      <patternFill patternType="solid">
        <fgColor rgb="FFBD81FF"/>
        <bgColor indexed="64"/>
      </patternFill>
    </fill>
    <fill>
      <patternFill patternType="solid">
        <fgColor rgb="FFC0C0C0"/>
        <bgColor indexed="64"/>
      </patternFill>
    </fill>
    <fill>
      <patternFill patternType="solid">
        <fgColor rgb="FFFFF1C5"/>
        <bgColor indexed="64"/>
      </patternFill>
    </fill>
    <fill>
      <patternFill patternType="solid">
        <fgColor rgb="FFE5FD99"/>
        <bgColor indexed="64"/>
      </patternFill>
    </fill>
    <fill>
      <patternFill patternType="solid">
        <fgColor rgb="FFFFD865"/>
        <bgColor indexed="64"/>
      </patternFill>
    </fill>
    <fill>
      <patternFill patternType="solid">
        <fgColor rgb="FFD8ECD9"/>
        <bgColor indexed="64"/>
      </patternFill>
    </fill>
    <fill>
      <patternFill patternType="solid">
        <fgColor rgb="FF548235"/>
        <bgColor indexed="64"/>
      </patternFill>
    </fill>
    <fill>
      <patternFill patternType="solid">
        <fgColor rgb="FFB6B6B6"/>
        <bgColor indexed="64"/>
      </patternFill>
    </fill>
    <fill>
      <patternFill patternType="solid">
        <fgColor rgb="FFD5FFD6"/>
        <bgColor indexed="64"/>
      </patternFill>
    </fill>
    <fill>
      <patternFill patternType="solid">
        <fgColor rgb="FF2F75B5"/>
        <bgColor indexed="64"/>
      </patternFill>
    </fill>
    <fill>
      <patternFill patternType="solid">
        <fgColor rgb="FFD4D6F7"/>
        <bgColor indexed="64"/>
      </patternFill>
    </fill>
    <fill>
      <patternFill patternType="solid">
        <fgColor rgb="FFD5F4F6"/>
        <bgColor indexed="64"/>
      </patternFill>
    </fill>
    <fill>
      <patternFill patternType="solid">
        <fgColor rgb="FF80BEF8"/>
        <bgColor indexed="64"/>
      </patternFill>
    </fill>
    <fill>
      <patternFill patternType="solid">
        <fgColor rgb="FFBBD8FB"/>
        <bgColor indexed="64"/>
      </patternFill>
    </fill>
    <fill>
      <patternFill patternType="solid">
        <fgColor rgb="FFC4D9FF"/>
        <bgColor indexed="64"/>
      </patternFill>
    </fill>
    <fill>
      <patternFill patternType="solid">
        <fgColor rgb="FFCFF8DF"/>
        <bgColor indexed="64"/>
      </patternFill>
    </fill>
    <fill>
      <patternFill patternType="solid">
        <fgColor rgb="FFC7D5F2"/>
        <bgColor indexed="64"/>
      </patternFill>
    </fill>
    <fill>
      <patternFill patternType="solid">
        <fgColor rgb="FFD1CDF4"/>
        <bgColor indexed="64"/>
      </patternFill>
    </fill>
    <fill>
      <patternFill patternType="solid">
        <fgColor rgb="FFD0FBF3"/>
        <bgColor indexed="64"/>
      </patternFill>
    </fill>
    <fill>
      <patternFill patternType="solid">
        <fgColor rgb="FF3284CA"/>
        <bgColor indexed="64"/>
      </patternFill>
    </fill>
    <fill>
      <patternFill patternType="solid">
        <fgColor rgb="FFD8D8D8"/>
        <bgColor indexed="64"/>
      </patternFill>
    </fill>
    <fill>
      <patternFill patternType="solid">
        <fgColor rgb="FF3D6DBD"/>
        <bgColor indexed="64"/>
      </patternFill>
    </fill>
    <fill>
      <patternFill patternType="solid">
        <fgColor rgb="FF0066FF"/>
        <bgColor indexed="64"/>
      </patternFill>
    </fill>
    <fill>
      <patternFill patternType="solid">
        <fgColor rgb="FFF5F9F1"/>
        <bgColor indexed="64"/>
      </patternFill>
    </fill>
    <fill>
      <patternFill patternType="solid">
        <fgColor rgb="FFC3FBDF"/>
        <bgColor indexed="64"/>
      </patternFill>
    </fill>
    <fill>
      <patternFill patternType="solid">
        <fgColor rgb="FF98DCF8"/>
        <bgColor indexed="64"/>
      </patternFill>
    </fill>
    <fill>
      <patternFill patternType="solid">
        <fgColor rgb="FFFFD1FD"/>
        <bgColor indexed="64"/>
      </patternFill>
    </fill>
    <fill>
      <patternFill patternType="solid">
        <fgColor rgb="FFB5B9FF"/>
        <bgColor indexed="64"/>
      </patternFill>
    </fill>
    <fill>
      <patternFill patternType="solid">
        <fgColor rgb="FFF7CAAC"/>
        <bgColor indexed="64"/>
      </patternFill>
    </fill>
    <fill>
      <patternFill patternType="solid">
        <fgColor rgb="FFF7F7D1"/>
        <bgColor indexed="64"/>
      </patternFill>
    </fill>
    <fill>
      <patternFill patternType="solid">
        <fgColor rgb="FFF79E9E"/>
        <bgColor indexed="64"/>
      </patternFill>
    </fill>
    <fill>
      <patternFill patternType="solid">
        <fgColor rgb="FFBA94FF"/>
        <bgColor indexed="64"/>
      </patternFill>
    </fill>
    <fill>
      <patternFill patternType="solid">
        <fgColor rgb="FFFEE299"/>
        <bgColor indexed="64"/>
      </patternFill>
    </fill>
    <fill>
      <patternFill patternType="solid">
        <fgColor rgb="FFCEFFC1"/>
        <bgColor indexed="64"/>
      </patternFill>
    </fill>
    <fill>
      <patternFill patternType="solid">
        <fgColor rgb="FFBCFFE8"/>
        <bgColor indexed="64"/>
      </patternFill>
    </fill>
    <fill>
      <patternFill patternType="solid">
        <fgColor rgb="FFE4BAFF"/>
        <bgColor indexed="64"/>
      </patternFill>
    </fill>
    <fill>
      <patternFill patternType="solid">
        <fgColor rgb="FFFEB497"/>
        <bgColor indexed="64"/>
      </patternFill>
    </fill>
    <fill>
      <patternFill patternType="solid">
        <fgColor rgb="FFEDEDED"/>
        <bgColor indexed="64"/>
      </patternFill>
    </fill>
    <fill>
      <patternFill patternType="solid">
        <fgColor rgb="FFFFD3D3"/>
        <bgColor indexed="64"/>
      </patternFill>
    </fill>
    <fill>
      <patternFill patternType="solid">
        <fgColor rgb="FFFFEDED"/>
        <bgColor indexed="64"/>
      </patternFill>
    </fill>
    <fill>
      <patternFill patternType="solid">
        <fgColor rgb="FF6DA9DB"/>
        <bgColor indexed="64"/>
      </patternFill>
    </fill>
  </fills>
  <borders count="284">
    <border>
      <left/>
      <right/>
      <top/>
      <bottom/>
      <diagonal/>
    </border>
    <border>
      <left style="medium">
        <color indexed="64"/>
      </left>
      <right style="thin">
        <color rgb="FFBFBFBF"/>
      </right>
      <top style="medium">
        <color indexed="64"/>
      </top>
      <bottom style="thin">
        <color rgb="FFBFBFBF"/>
      </bottom>
      <diagonal/>
    </border>
    <border>
      <left style="thin">
        <color rgb="FFBFBFBF"/>
      </left>
      <right style="thin">
        <color rgb="FFBFBFBF"/>
      </right>
      <top style="medium">
        <color indexed="64"/>
      </top>
      <bottom style="thin">
        <color rgb="FFBFBFBF"/>
      </bottom>
      <diagonal/>
    </border>
    <border>
      <left style="thin">
        <color rgb="FFBFBFBF"/>
      </left>
      <right style="medium">
        <color indexed="64"/>
      </right>
      <top style="medium">
        <color indexed="64"/>
      </top>
      <bottom style="thin">
        <color rgb="FFBFBFBF"/>
      </bottom>
      <diagonal/>
    </border>
    <border>
      <left style="medium">
        <color indexed="64"/>
      </left>
      <right/>
      <top style="medium">
        <color indexed="64"/>
      </top>
      <bottom style="thin">
        <color rgb="FFD8D8D8"/>
      </bottom>
      <diagonal/>
    </border>
    <border>
      <left/>
      <right/>
      <top style="medium">
        <color indexed="64"/>
      </top>
      <bottom style="thin">
        <color rgb="FFD8D8D8"/>
      </bottom>
      <diagonal/>
    </border>
    <border>
      <left/>
      <right style="medium">
        <color indexed="64"/>
      </right>
      <top style="medium">
        <color indexed="64"/>
      </top>
      <bottom style="thin">
        <color rgb="FFD8D8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style="medium">
        <color indexed="64"/>
      </right>
      <top style="thin">
        <color rgb="FFBFBFBF"/>
      </top>
      <bottom style="thin">
        <color rgb="FFBFBFBF"/>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style="medium">
        <color indexed="64"/>
      </right>
      <top/>
      <bottom style="thin">
        <color rgb="FFBFBFBF"/>
      </bottom>
      <diagonal/>
    </border>
    <border>
      <left style="medium">
        <color indexed="64"/>
      </left>
      <right/>
      <top/>
      <bottom/>
      <diagonal/>
    </border>
    <border>
      <left/>
      <right style="medium">
        <color indexed="64"/>
      </right>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style="thin">
        <color rgb="FFBFBFBF"/>
      </left>
      <right style="medium">
        <color indexed="64"/>
      </right>
      <top style="thin">
        <color rgb="FFBFBFBF"/>
      </top>
      <bottom/>
      <diagonal/>
    </border>
    <border>
      <left style="thin">
        <color rgb="FFBFBFBF"/>
      </left>
      <right/>
      <top style="thin">
        <color rgb="FFBFBFBF"/>
      </top>
      <bottom style="thin">
        <color rgb="FFBFBFBF"/>
      </bottom>
      <diagonal/>
    </border>
    <border>
      <left/>
      <right/>
      <top style="thin">
        <color rgb="FFBFBFBF"/>
      </top>
      <bottom/>
      <diagonal/>
    </border>
    <border>
      <left style="medium">
        <color indexed="64"/>
      </left>
      <right style="thin">
        <color rgb="FFBFBFBF"/>
      </right>
      <top style="thin">
        <color rgb="FFBFBFBF"/>
      </top>
      <bottom style="medium">
        <color indexed="64"/>
      </bottom>
      <diagonal/>
    </border>
    <border>
      <left style="thin">
        <color rgb="FFBFBFBF"/>
      </left>
      <right style="thin">
        <color rgb="FFBFBFBF"/>
      </right>
      <top style="thin">
        <color rgb="FFBFBFBF"/>
      </top>
      <bottom style="medium">
        <color indexed="64"/>
      </bottom>
      <diagonal/>
    </border>
    <border>
      <left style="thin">
        <color rgb="FFBFBFBF"/>
      </left>
      <right/>
      <top style="thin">
        <color rgb="FFBFBFBF"/>
      </top>
      <bottom style="medium">
        <color indexed="64"/>
      </bottom>
      <diagonal/>
    </border>
    <border>
      <left/>
      <right style="thin">
        <color rgb="FFBFBFBF"/>
      </right>
      <top style="thin">
        <color rgb="FFBFBFBF"/>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rgb="FFBFBFBF"/>
      </right>
      <top style="thin">
        <color rgb="FFBFBFBF"/>
      </top>
      <bottom style="double">
        <color indexed="64"/>
      </bottom>
      <diagonal/>
    </border>
    <border>
      <left style="thin">
        <color rgb="FFBFBFBF"/>
      </left>
      <right style="thin">
        <color rgb="FFBFBFBF"/>
      </right>
      <top style="thin">
        <color rgb="FFBFBFBF"/>
      </top>
      <bottom style="double">
        <color indexed="64"/>
      </bottom>
      <diagonal/>
    </border>
    <border>
      <left style="thin">
        <color rgb="FFBFBFBF"/>
      </left>
      <right style="medium">
        <color indexed="64"/>
      </right>
      <top style="thin">
        <color rgb="FFBFBFBF"/>
      </top>
      <bottom style="double">
        <color indexed="64"/>
      </bottom>
      <diagonal/>
    </border>
    <border>
      <left style="thin">
        <color rgb="FFBFBFBF"/>
      </left>
      <right/>
      <top style="medium">
        <color indexed="64"/>
      </top>
      <bottom/>
      <diagonal/>
    </border>
    <border>
      <left style="double">
        <color indexed="64"/>
      </left>
      <right/>
      <top style="medium">
        <color indexed="64"/>
      </top>
      <bottom/>
      <diagonal/>
    </border>
    <border>
      <left/>
      <right style="double">
        <color indexed="64"/>
      </right>
      <top/>
      <bottom/>
      <diagonal/>
    </border>
    <border>
      <left style="double">
        <color indexed="64"/>
      </left>
      <right/>
      <top/>
      <bottom/>
      <diagonal/>
    </border>
    <border>
      <left/>
      <right style="thin">
        <color rgb="FFBFBFBF"/>
      </right>
      <top style="medium">
        <color indexed="64"/>
      </top>
      <bottom/>
      <diagonal/>
    </border>
    <border>
      <left/>
      <right style="double">
        <color rgb="FF010000"/>
      </right>
      <top style="medium">
        <color indexed="64"/>
      </top>
      <bottom/>
      <diagonal/>
    </border>
    <border>
      <left style="thin">
        <color rgb="FFBFBFBF"/>
      </left>
      <right/>
      <top/>
      <bottom/>
      <diagonal/>
    </border>
    <border>
      <left style="double">
        <color indexed="64"/>
      </left>
      <right/>
      <top/>
      <bottom style="medium">
        <color indexed="64"/>
      </bottom>
      <diagonal/>
    </border>
    <border>
      <left/>
      <right style="double">
        <color indexed="64"/>
      </right>
      <top/>
      <bottom style="medium">
        <color indexed="64"/>
      </bottom>
      <diagonal/>
    </border>
    <border>
      <left/>
      <right style="thin">
        <color rgb="FFBFBFBF"/>
      </right>
      <top/>
      <bottom style="medium">
        <color indexed="64"/>
      </bottom>
      <diagonal/>
    </border>
    <border>
      <left/>
      <right style="double">
        <color rgb="FF010000"/>
      </right>
      <top/>
      <bottom style="medium">
        <color indexed="64"/>
      </bottom>
      <diagonal/>
    </border>
    <border>
      <left/>
      <right style="thin">
        <color rgb="FFBFBFBF"/>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BFBFBF"/>
      </left>
      <right/>
      <top style="medium">
        <color indexed="64"/>
      </top>
      <bottom style="thin">
        <color rgb="FFBFBFBF"/>
      </bottom>
      <diagonal/>
    </border>
    <border>
      <left style="double">
        <color indexed="64"/>
      </left>
      <right style="thin">
        <color rgb="FFBFBFBF"/>
      </right>
      <top style="thin">
        <color rgb="FFBFBFBF"/>
      </top>
      <bottom style="thin">
        <color rgb="FFBFBFBF"/>
      </bottom>
      <diagonal/>
    </border>
    <border>
      <left/>
      <right style="medium">
        <color indexed="64"/>
      </right>
      <top style="thin">
        <color rgb="FFBFBFBF"/>
      </top>
      <bottom/>
      <diagonal/>
    </border>
    <border>
      <left/>
      <right style="thin">
        <color rgb="FFBFBFBF"/>
      </right>
      <top style="thin">
        <color rgb="FFBFBFBF"/>
      </top>
      <bottom style="thin">
        <color rgb="FFBFBFBF"/>
      </bottom>
      <diagonal/>
    </border>
    <border>
      <left style="medium">
        <color indexed="64"/>
      </left>
      <right/>
      <top style="thin">
        <color rgb="FFBFBFBF"/>
      </top>
      <bottom style="thin">
        <color rgb="FFBFBFBF"/>
      </bottom>
      <diagonal/>
    </border>
    <border>
      <left/>
      <right/>
      <top style="thin">
        <color rgb="FFBFBFBF"/>
      </top>
      <bottom style="thin">
        <color rgb="FFBFBFBF"/>
      </bottom>
      <diagonal/>
    </border>
    <border>
      <left/>
      <right style="medium">
        <color indexed="64"/>
      </right>
      <top style="thin">
        <color rgb="FFBFBFBF"/>
      </top>
      <bottom style="thin">
        <color rgb="FFBFBFBF"/>
      </bottom>
      <diagonal/>
    </border>
    <border>
      <left style="medium">
        <color indexed="64"/>
      </left>
      <right/>
      <top style="thin">
        <color rgb="FFBFBFBF"/>
      </top>
      <bottom/>
      <diagonal/>
    </border>
    <border>
      <left/>
      <right style="thin">
        <color rgb="FFBFBFBF"/>
      </right>
      <top style="thin">
        <color rgb="FFBFBFBF"/>
      </top>
      <bottom/>
      <diagonal/>
    </border>
    <border>
      <left style="medium">
        <color indexed="64"/>
      </left>
      <right/>
      <top style="medium">
        <color indexed="64"/>
      </top>
      <bottom style="thin">
        <color rgb="FFBFBFBF"/>
      </bottom>
      <diagonal/>
    </border>
    <border>
      <left/>
      <right/>
      <top style="medium">
        <color indexed="64"/>
      </top>
      <bottom style="thin">
        <color rgb="FFBFBFBF"/>
      </bottom>
      <diagonal/>
    </border>
    <border>
      <left/>
      <right style="medium">
        <color indexed="64"/>
      </right>
      <top style="medium">
        <color indexed="64"/>
      </top>
      <bottom style="thin">
        <color rgb="FFBFBFBF"/>
      </bottom>
      <diagonal/>
    </border>
    <border>
      <left style="medium">
        <color indexed="64"/>
      </left>
      <right/>
      <top style="thin">
        <color rgb="FFBFBFBF"/>
      </top>
      <bottom style="medium">
        <color indexed="64"/>
      </bottom>
      <diagonal/>
    </border>
    <border>
      <left/>
      <right/>
      <top style="thin">
        <color rgb="FFBFBFBF"/>
      </top>
      <bottom style="medium">
        <color indexed="64"/>
      </bottom>
      <diagonal/>
    </border>
    <border>
      <left/>
      <right style="medium">
        <color indexed="64"/>
      </right>
      <top style="thin">
        <color rgb="FFBFBFBF"/>
      </top>
      <bottom style="medium">
        <color indexed="64"/>
      </bottom>
      <diagonal/>
    </border>
    <border>
      <left style="double">
        <color indexed="64"/>
      </left>
      <right style="thin">
        <color rgb="FFBFBFBF"/>
      </right>
      <top style="thin">
        <color rgb="FFBFBFBF"/>
      </top>
      <bottom style="medium">
        <color indexed="64"/>
      </bottom>
      <diagonal/>
    </border>
    <border>
      <left/>
      <right style="thin">
        <color rgb="FFBFBFBF"/>
      </right>
      <top style="medium">
        <color indexed="64"/>
      </top>
      <bottom style="thin">
        <color rgb="FFBFBFBF"/>
      </bottom>
      <diagonal/>
    </border>
    <border>
      <left style="thin">
        <color rgb="FFBFBFBF"/>
      </left>
      <right style="double">
        <color rgb="FFBFBFBF"/>
      </right>
      <top style="thin">
        <color rgb="FFBFBFBF"/>
      </top>
      <bottom style="thin">
        <color rgb="FFBFBFBF"/>
      </bottom>
      <diagonal/>
    </border>
    <border>
      <left style="thin">
        <color rgb="FFBFBFBF"/>
      </left>
      <right/>
      <top/>
      <bottom style="thin">
        <color rgb="FFBFBFBF"/>
      </bottom>
      <diagonal/>
    </border>
    <border>
      <left/>
      <right style="medium">
        <color indexed="64"/>
      </right>
      <top/>
      <bottom style="thin">
        <color rgb="FFBFBFBF"/>
      </bottom>
      <diagonal/>
    </border>
    <border>
      <left style="thin">
        <color rgb="FFBFBFBF"/>
      </left>
      <right style="thin">
        <color rgb="FFBFBFBF"/>
      </right>
      <top/>
      <bottom/>
      <diagonal/>
    </border>
    <border>
      <left style="thin">
        <color rgb="FFBFBFBF"/>
      </left>
      <right style="medium">
        <color indexed="64"/>
      </right>
      <top/>
      <bottom/>
      <diagonal/>
    </border>
    <border>
      <left style="thin">
        <color rgb="FFBFBFBF"/>
      </left>
      <right style="double">
        <color rgb="FFBFBFBF"/>
      </right>
      <top style="thin">
        <color rgb="FFBFBFBF"/>
      </top>
      <bottom style="medium">
        <color indexed="64"/>
      </bottom>
      <diagonal/>
    </border>
    <border>
      <left style="medium">
        <color indexed="64"/>
      </left>
      <right style="thin">
        <color rgb="FFBFBFBF"/>
      </right>
      <top style="thin">
        <color rgb="FFBFBFBF"/>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rgb="FFBFBFBF"/>
      </bottom>
      <diagonal/>
    </border>
    <border>
      <left/>
      <right/>
      <top/>
      <bottom style="thin">
        <color rgb="FFBFBFBF"/>
      </bottom>
      <diagonal/>
    </border>
    <border>
      <left/>
      <right style="thin">
        <color rgb="FFBFBFBF"/>
      </right>
      <top/>
      <bottom style="thin">
        <color rgb="FFBFBFBF"/>
      </bottom>
      <diagonal/>
    </border>
    <border diagonalDown="1">
      <left/>
      <right/>
      <top/>
      <bottom style="thin">
        <color rgb="FFBFBFBF"/>
      </bottom>
      <diagonal style="thin">
        <color rgb="FFBFBFBF"/>
      </diagonal>
    </border>
    <border diagonalDown="1">
      <left/>
      <right/>
      <top/>
      <bottom/>
      <diagonal style="thin">
        <color rgb="FFBFBFBF"/>
      </diagonal>
    </border>
    <border>
      <left style="thin">
        <color rgb="FFBFBFBF"/>
      </left>
      <right style="medium">
        <color indexed="64"/>
      </right>
      <top/>
      <bottom style="medium">
        <color indexed="64"/>
      </bottom>
      <diagonal/>
    </border>
    <border>
      <left style="medium">
        <color indexed="64"/>
      </left>
      <right style="thin">
        <color rgb="FFBFBFBF"/>
      </right>
      <top/>
      <bottom/>
      <diagonal/>
    </border>
    <border>
      <left style="thick">
        <color indexed="64"/>
      </left>
      <right style="thin">
        <color rgb="FFBFBFBF"/>
      </right>
      <top style="thick">
        <color indexed="64"/>
      </top>
      <bottom style="thin">
        <color rgb="FFBFBFBF"/>
      </bottom>
      <diagonal/>
    </border>
    <border>
      <left style="thin">
        <color rgb="FFBFBFBF"/>
      </left>
      <right style="thin">
        <color rgb="FFBFBFBF"/>
      </right>
      <top style="thick">
        <color indexed="64"/>
      </top>
      <bottom style="thin">
        <color rgb="FFBFBFBF"/>
      </bottom>
      <diagonal/>
    </border>
    <border>
      <left style="thin">
        <color rgb="FFBFBFBF"/>
      </left>
      <right style="thick">
        <color indexed="64"/>
      </right>
      <top style="thick">
        <color indexed="64"/>
      </top>
      <bottom style="thin">
        <color rgb="FFBFBFBF"/>
      </bottom>
      <diagonal/>
    </border>
    <border>
      <left style="thick">
        <color indexed="64"/>
      </left>
      <right/>
      <top style="thick">
        <color indexed="64"/>
      </top>
      <bottom style="thin">
        <color rgb="FFD8D8D8"/>
      </bottom>
      <diagonal/>
    </border>
    <border>
      <left/>
      <right/>
      <top style="thick">
        <color indexed="64"/>
      </top>
      <bottom style="thin">
        <color rgb="FFD8D8D8"/>
      </bottom>
      <diagonal/>
    </border>
    <border>
      <left/>
      <right style="thick">
        <color indexed="64"/>
      </right>
      <top style="thick">
        <color indexed="64"/>
      </top>
      <bottom style="thin">
        <color rgb="FFD8D8D8"/>
      </bottom>
      <diagonal/>
    </border>
    <border>
      <left style="thick">
        <color indexed="64"/>
      </left>
      <right style="thin">
        <color rgb="FFBFBFBF"/>
      </right>
      <top style="thin">
        <color rgb="FFBFBFBF"/>
      </top>
      <bottom style="thin">
        <color rgb="FFBFBFBF"/>
      </bottom>
      <diagonal/>
    </border>
    <border>
      <left style="thin">
        <color rgb="FFBFBFBF"/>
      </left>
      <right style="thick">
        <color indexed="64"/>
      </right>
      <top style="thin">
        <color rgb="FFBFBFBF"/>
      </top>
      <bottom style="thin">
        <color rgb="FFBFBFBF"/>
      </bottom>
      <diagonal/>
    </border>
    <border>
      <left style="thick">
        <color indexed="64"/>
      </left>
      <right style="thin">
        <color rgb="FFBFBFBF"/>
      </right>
      <top/>
      <bottom/>
      <diagonal/>
    </border>
    <border>
      <left style="thin">
        <color rgb="FFBFBFBF"/>
      </left>
      <right style="thick">
        <color indexed="64"/>
      </right>
      <top/>
      <bottom style="thin">
        <color rgb="FFBFBFBF"/>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rgb="FFBFBFBF"/>
      </right>
      <top/>
      <bottom style="thin">
        <color rgb="FFBFBFBF"/>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rgb="FFBFBFBF"/>
      </right>
      <top style="thin">
        <color rgb="FFBFBFBF"/>
      </top>
      <bottom/>
      <diagonal/>
    </border>
    <border>
      <left style="thin">
        <color rgb="FFBFBFBF"/>
      </left>
      <right style="thick">
        <color indexed="64"/>
      </right>
      <top style="thin">
        <color rgb="FFBFBFBF"/>
      </top>
      <bottom/>
      <diagonal/>
    </border>
    <border>
      <left/>
      <right/>
      <top style="thick">
        <color indexed="64"/>
      </top>
      <bottom/>
      <diagonal/>
    </border>
    <border>
      <left/>
      <right style="thick">
        <color indexed="64"/>
      </right>
      <top style="thick">
        <color indexed="64"/>
      </top>
      <bottom/>
      <diagonal/>
    </border>
    <border>
      <left style="thick">
        <color indexed="64"/>
      </left>
      <right style="thin">
        <color rgb="FFBFBFBF"/>
      </right>
      <top/>
      <bottom style="thick">
        <color indexed="64"/>
      </bottom>
      <diagonal/>
    </border>
    <border>
      <left style="thin">
        <color rgb="FFBFBFBF"/>
      </left>
      <right style="thin">
        <color rgb="FFBFBFBF"/>
      </right>
      <top style="thin">
        <color rgb="FFBFBFBF"/>
      </top>
      <bottom style="thick">
        <color indexed="64"/>
      </bottom>
      <diagonal/>
    </border>
    <border>
      <left style="thin">
        <color rgb="FFBFBFBF"/>
      </left>
      <right style="thin">
        <color rgb="FFBFBFBF"/>
      </right>
      <top/>
      <bottom style="thick">
        <color indexed="64"/>
      </bottom>
      <diagonal/>
    </border>
    <border>
      <left style="thin">
        <color rgb="FFBFBFBF"/>
      </left>
      <right/>
      <top/>
      <bottom style="thick">
        <color indexed="64"/>
      </bottom>
      <diagonal/>
    </border>
    <border>
      <left/>
      <right/>
      <top/>
      <bottom style="thick">
        <color indexed="64"/>
      </bottom>
      <diagonal/>
    </border>
    <border>
      <left style="thin">
        <color rgb="FFBFBFBF"/>
      </left>
      <right style="thick">
        <color indexed="64"/>
      </right>
      <top style="thin">
        <color rgb="FFBFBFBF"/>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bottom/>
      <diagonal/>
    </border>
    <border>
      <left style="thick">
        <color indexed="64"/>
      </left>
      <right/>
      <top style="thick">
        <color indexed="64"/>
      </top>
      <bottom/>
      <diagonal/>
    </border>
    <border>
      <left/>
      <right/>
      <top style="thick">
        <color indexed="64"/>
      </top>
      <bottom style="medium">
        <color indexed="64"/>
      </bottom>
      <diagonal/>
    </border>
    <border>
      <left style="double">
        <color indexed="64"/>
      </left>
      <right/>
      <top style="thick">
        <color indexed="64"/>
      </top>
      <bottom/>
      <diagonal/>
    </border>
    <border>
      <left/>
      <right style="thin">
        <color rgb="FFBFBFBF"/>
      </right>
      <top style="thick">
        <color indexed="64"/>
      </top>
      <bottom/>
      <diagonal/>
    </border>
    <border>
      <left/>
      <right style="double">
        <color rgb="FF010000"/>
      </right>
      <top style="thick">
        <color indexed="64"/>
      </top>
      <bottom/>
      <diagonal/>
    </border>
    <border>
      <left style="thin">
        <color rgb="FFBFBFBF"/>
      </left>
      <right/>
      <top style="thick">
        <color indexed="64"/>
      </top>
      <bottom/>
      <diagonal/>
    </border>
    <border>
      <left style="thick">
        <color indexed="64"/>
      </left>
      <right/>
      <top/>
      <bottom style="medium">
        <color indexed="64"/>
      </bottom>
      <diagonal/>
    </border>
    <border>
      <left style="thick">
        <color indexed="64"/>
      </left>
      <right/>
      <top/>
      <bottom style="thick">
        <color indexed="64"/>
      </bottom>
      <diagonal/>
    </border>
    <border>
      <left/>
      <right style="thin">
        <color rgb="FFBFBFBF"/>
      </right>
      <top/>
      <bottom style="thick">
        <color indexed="64"/>
      </bottom>
      <diagonal/>
    </border>
    <border>
      <left style="double">
        <color indexed="64"/>
      </left>
      <right/>
      <top/>
      <bottom style="thick">
        <color indexed="64"/>
      </bottom>
      <diagonal/>
    </border>
    <border>
      <left/>
      <right style="double">
        <color indexed="64"/>
      </right>
      <top/>
      <bottom style="thick">
        <color indexed="64"/>
      </bottom>
      <diagonal/>
    </border>
    <border>
      <left/>
      <right style="double">
        <color rgb="FF010000"/>
      </right>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ck">
        <color indexed="64"/>
      </right>
      <top style="thick">
        <color indexed="64"/>
      </top>
      <bottom/>
      <diagonal/>
    </border>
    <border>
      <left style="thick">
        <color indexed="64"/>
      </left>
      <right style="thick">
        <color indexed="64"/>
      </right>
      <top style="thick">
        <color indexed="64"/>
      </top>
      <bottom style="thick">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top style="thin">
        <color indexed="64"/>
      </top>
      <bottom/>
      <diagonal/>
    </border>
    <border>
      <left/>
      <right/>
      <top style="thin">
        <color indexed="64"/>
      </top>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ck">
        <color indexed="64"/>
      </right>
      <top style="thin">
        <color indexed="64"/>
      </top>
      <bottom/>
      <diagonal/>
    </border>
    <border>
      <left style="thin">
        <color indexed="64"/>
      </left>
      <right/>
      <top style="thin">
        <color indexed="64"/>
      </top>
      <bottom/>
      <diagonal/>
    </border>
    <border>
      <left style="thick">
        <color indexed="64"/>
      </left>
      <right style="thick">
        <color indexed="64"/>
      </right>
      <top/>
      <bottom style="thick">
        <color indexed="64"/>
      </bottom>
      <diagonal/>
    </border>
    <border>
      <left style="thin">
        <color indexed="64"/>
      </left>
      <right/>
      <top style="thin">
        <color indexed="64"/>
      </top>
      <bottom style="thick">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right style="thin">
        <color rgb="FFBFBFBF"/>
      </right>
      <top style="thick">
        <color indexed="64"/>
      </top>
      <bottom style="thin">
        <color rgb="FFBFBFBF"/>
      </bottom>
      <diagonal/>
    </border>
    <border>
      <left style="thick">
        <color indexed="64"/>
      </left>
      <right/>
      <top style="thin">
        <color rgb="FFBFBFBF"/>
      </top>
      <bottom style="thin">
        <color rgb="FFBFBFBF"/>
      </bottom>
      <diagonal/>
    </border>
    <border>
      <left/>
      <right style="thick">
        <color indexed="64"/>
      </right>
      <top style="thin">
        <color rgb="FFBFBFBF"/>
      </top>
      <bottom style="thin">
        <color rgb="FFBFBFBF"/>
      </bottom>
      <diagonal/>
    </border>
    <border>
      <left style="thick">
        <color indexed="64"/>
      </left>
      <right/>
      <top style="thin">
        <color rgb="FFBFBFBF"/>
      </top>
      <bottom style="thick">
        <color indexed="64"/>
      </bottom>
      <diagonal/>
    </border>
    <border>
      <left style="thick">
        <color indexed="64"/>
      </left>
      <right style="thin">
        <color rgb="FFBFBFBF"/>
      </right>
      <top style="thin">
        <color rgb="FFBFBFBF"/>
      </top>
      <bottom style="thick">
        <color indexed="64"/>
      </bottom>
      <diagonal/>
    </border>
    <border>
      <left/>
      <right style="thin">
        <color rgb="FFBFBFBF"/>
      </right>
      <top style="thin">
        <color rgb="FFBFBFBF"/>
      </top>
      <bottom style="thick">
        <color indexed="64"/>
      </bottom>
      <diagonal/>
    </border>
    <border>
      <left/>
      <right style="thick">
        <color indexed="64"/>
      </right>
      <top style="thin">
        <color rgb="FFBFBFBF"/>
      </top>
      <bottom style="thick">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diagonal/>
    </border>
    <border>
      <left/>
      <right style="thick">
        <color indexed="64"/>
      </right>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7F7F7F"/>
      </left>
      <right/>
      <top/>
      <bottom/>
      <diagonal/>
    </border>
    <border>
      <left style="thin">
        <color rgb="FF7F7F7F"/>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ck">
        <color indexed="64"/>
      </right>
      <top/>
      <bottom/>
      <diagonal/>
    </border>
    <border>
      <left style="medium">
        <color indexed="64"/>
      </left>
      <right style="thick">
        <color indexed="64"/>
      </right>
      <top style="medium">
        <color indexed="64"/>
      </top>
      <bottom/>
      <diagonal/>
    </border>
    <border>
      <left style="medium">
        <color indexed="64"/>
      </left>
      <right style="thick">
        <color indexed="64"/>
      </right>
      <top/>
      <bottom style="medium">
        <color indexed="64"/>
      </bottom>
      <diagonal/>
    </border>
    <border>
      <left/>
      <right style="thick">
        <color indexed="64"/>
      </right>
      <top style="medium">
        <color indexed="64"/>
      </top>
      <bottom/>
      <diagonal/>
    </border>
    <border>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rgb="FFBFBFBF"/>
      </top>
      <bottom style="thin">
        <color rgb="FFCFCDCD"/>
      </bottom>
      <diagonal/>
    </border>
    <border>
      <left style="medium">
        <color indexed="64"/>
      </left>
      <right/>
      <top style="thin">
        <color rgb="FFCFCDCD"/>
      </top>
      <bottom/>
      <diagonal/>
    </border>
    <border>
      <left/>
      <right/>
      <top style="thin">
        <color rgb="FFBFBFBF"/>
      </top>
      <bottom style="thin">
        <color rgb="FFCFCDCD"/>
      </bottom>
      <diagonal/>
    </border>
    <border>
      <left/>
      <right/>
      <top style="thin">
        <color rgb="FFCFCDCD"/>
      </top>
      <bottom/>
      <diagonal/>
    </border>
    <border>
      <left style="medium">
        <color indexed="64"/>
      </left>
      <right/>
      <top style="thin">
        <color rgb="FFCFCDCD"/>
      </top>
      <bottom style="medium">
        <color indexed="64"/>
      </bottom>
      <diagonal/>
    </border>
    <border>
      <left/>
      <right/>
      <top style="thin">
        <color rgb="FFCFCDCD"/>
      </top>
      <bottom style="medium">
        <color indexed="64"/>
      </bottom>
      <diagonal/>
    </border>
    <border>
      <left style="medium">
        <color indexed="64"/>
      </left>
      <right/>
      <top/>
      <bottom style="thin">
        <color rgb="FF7F7F7F"/>
      </bottom>
      <diagonal/>
    </border>
    <border>
      <left/>
      <right/>
      <top/>
      <bottom style="thin">
        <color rgb="FF7F7F7F"/>
      </bottom>
      <diagonal/>
    </border>
    <border>
      <left/>
      <right style="medium">
        <color indexed="64"/>
      </right>
      <top/>
      <bottom style="thin">
        <color rgb="FF7F7F7F"/>
      </bottom>
      <diagonal/>
    </border>
    <border>
      <left style="medium">
        <color indexed="64"/>
      </left>
      <right/>
      <top style="thin">
        <color rgb="FF7F7F7F"/>
      </top>
      <bottom/>
      <diagonal/>
    </border>
    <border>
      <left/>
      <right/>
      <top style="thin">
        <color rgb="FF7F7F7F"/>
      </top>
      <bottom/>
      <diagonal/>
    </border>
    <border>
      <left style="thin">
        <color rgb="FF7F7F7F"/>
      </left>
      <right/>
      <top style="thin">
        <color rgb="FF7F7F7F"/>
      </top>
      <bottom/>
      <diagonal/>
    </border>
    <border>
      <left/>
      <right style="medium">
        <color indexed="64"/>
      </right>
      <top style="thin">
        <color rgb="FF7F7F7F"/>
      </top>
      <bottom/>
      <diagonal/>
    </border>
    <border>
      <left/>
      <right style="thin">
        <color rgb="FF7F7F7F"/>
      </right>
      <top/>
      <bottom/>
      <diagonal/>
    </border>
    <border>
      <left style="thin">
        <color rgb="FF7F7F7F"/>
      </left>
      <right/>
      <top/>
      <bottom style="thin">
        <color rgb="FF7F7F7F"/>
      </bottom>
      <diagonal/>
    </border>
    <border>
      <left/>
      <right style="thin">
        <color rgb="FF7F7F7F"/>
      </right>
      <top/>
      <bottom style="thin">
        <color rgb="FF7F7F7F"/>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rgb="FFBFBFBF"/>
      </left>
      <right style="thin">
        <color rgb="FFBFBFBF"/>
      </right>
      <top/>
      <bottom style="medium">
        <color indexed="64"/>
      </bottom>
      <diagonal/>
    </border>
    <border>
      <left style="thick">
        <color rgb="FFC0C0C0"/>
      </left>
      <right/>
      <top/>
      <bottom/>
      <diagonal/>
    </border>
    <border>
      <left style="thick">
        <color rgb="FFFF66CC"/>
      </left>
      <right style="thin">
        <color indexed="64"/>
      </right>
      <top/>
      <bottom style="thin">
        <color indexed="64"/>
      </bottom>
      <diagonal/>
    </border>
    <border>
      <left style="thin">
        <color indexed="64"/>
      </left>
      <right style="thin">
        <color indexed="64"/>
      </right>
      <top/>
      <bottom/>
      <diagonal/>
    </border>
    <border>
      <left style="thick">
        <color rgb="FFFF8787"/>
      </left>
      <right/>
      <top/>
      <bottom/>
      <diagonal/>
    </border>
    <border>
      <left/>
      <right style="thick">
        <color rgb="FFFCF584"/>
      </right>
      <top/>
      <bottom/>
      <diagonal/>
    </border>
    <border>
      <left/>
      <right style="thick">
        <color rgb="FF8DFF81"/>
      </right>
      <top/>
      <bottom/>
      <diagonal/>
    </border>
    <border>
      <left/>
      <right style="thick">
        <color rgb="FFA3FF71"/>
      </right>
      <top/>
      <bottom/>
      <diagonal/>
    </border>
    <border>
      <left style="thick">
        <color rgb="FF81E9FF"/>
      </left>
      <right/>
      <top/>
      <bottom/>
      <diagonal/>
    </border>
    <border>
      <left/>
      <right style="thick">
        <color rgb="FFBD81FF"/>
      </right>
      <top/>
      <bottom/>
      <diagonal/>
    </border>
    <border>
      <left/>
      <right style="thick">
        <color rgb="FFC0C0C0"/>
      </right>
      <top/>
      <bottom/>
      <diagonal/>
    </border>
    <border>
      <left style="thick">
        <color rgb="FFFFF1C5"/>
      </left>
      <right/>
      <top/>
      <bottom/>
      <diagonal/>
    </border>
    <border>
      <left/>
      <right style="thick">
        <color rgb="FF81E9FF"/>
      </right>
      <top/>
      <bottom/>
      <diagonal/>
    </border>
    <border>
      <left style="thick">
        <color rgb="FF8DFF81"/>
      </left>
      <right/>
      <top style="thick">
        <color rgb="FF8DFF81"/>
      </top>
      <bottom/>
      <diagonal/>
    </border>
    <border>
      <left/>
      <right/>
      <top style="thick">
        <color rgb="FF8DFF81"/>
      </top>
      <bottom/>
      <diagonal/>
    </border>
    <border>
      <left/>
      <right style="thick">
        <color rgb="FFA3FF71"/>
      </right>
      <top style="thick">
        <color rgb="FF8DFF81"/>
      </top>
      <bottom/>
      <diagonal/>
    </border>
    <border>
      <left/>
      <right/>
      <top style="thick">
        <color rgb="FFB6B6B6"/>
      </top>
      <bottom/>
      <diagonal/>
    </border>
    <border>
      <left/>
      <right style="thick">
        <color rgb="FFB6B6B6"/>
      </right>
      <top style="thick">
        <color rgb="FFB6B6B6"/>
      </top>
      <bottom/>
      <diagonal/>
    </border>
    <border>
      <left/>
      <right/>
      <top/>
      <bottom style="thick">
        <color rgb="FF81E9FF"/>
      </bottom>
      <diagonal/>
    </border>
    <border>
      <left/>
      <right style="thick">
        <color rgb="FFA3FF71"/>
      </right>
      <top/>
      <bottom style="thick">
        <color rgb="FF81E9FF"/>
      </bottom>
      <diagonal/>
    </border>
    <border>
      <left/>
      <right style="thick">
        <color rgb="FF81E9FF"/>
      </right>
      <top/>
      <bottom style="thick">
        <color rgb="FF81E9FF"/>
      </bottom>
      <diagonal/>
    </border>
    <border>
      <left/>
      <right style="thick">
        <color rgb="FFB6B6B6"/>
      </right>
      <top/>
      <bottom/>
      <diagonal/>
    </border>
    <border>
      <left/>
      <right/>
      <top style="thick">
        <color rgb="FFFF8787"/>
      </top>
      <bottom/>
      <diagonal/>
    </border>
    <border>
      <left style="thick">
        <color rgb="FFFF8787"/>
      </left>
      <right/>
      <top style="thick">
        <color rgb="FFFF8787"/>
      </top>
      <bottom/>
      <diagonal/>
    </border>
    <border>
      <left/>
      <right/>
      <top/>
      <bottom style="thick">
        <color rgb="FFB6B6B6"/>
      </bottom>
      <diagonal/>
    </border>
    <border>
      <left/>
      <right/>
      <top style="thick">
        <color rgb="FFA3FF71"/>
      </top>
      <bottom/>
      <diagonal/>
    </border>
    <border>
      <left/>
      <right style="mediumDashed">
        <color rgb="FFC0C0C0"/>
      </right>
      <top/>
      <bottom/>
      <diagonal/>
    </border>
    <border>
      <left/>
      <right style="thick">
        <color rgb="FFFF8787"/>
      </right>
      <top/>
      <bottom/>
      <diagonal/>
    </border>
    <border>
      <left/>
      <right/>
      <top/>
      <bottom style="thick">
        <color rgb="FFFF8787"/>
      </bottom>
      <diagonal/>
    </border>
    <border>
      <left/>
      <right/>
      <top/>
      <bottom style="thick">
        <color rgb="FFA3FF71"/>
      </bottom>
      <diagonal/>
    </border>
    <border>
      <left/>
      <right style="thick">
        <color rgb="FFA3FF71"/>
      </right>
      <top/>
      <bottom style="thick">
        <color rgb="FFA3FF71"/>
      </bottom>
      <diagonal/>
    </border>
    <border>
      <left style="thick">
        <color rgb="FFA3FF71"/>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rgb="FF7F7F7F"/>
      </right>
      <top style="thin">
        <color rgb="FF7F7F7F"/>
      </top>
      <bottom/>
      <diagonal/>
    </border>
    <border>
      <left style="medium">
        <color indexed="64"/>
      </left>
      <right/>
      <top style="thin">
        <color rgb="FF7F7F7F"/>
      </top>
      <bottom style="medium">
        <color indexed="64"/>
      </bottom>
      <diagonal/>
    </border>
    <border>
      <left/>
      <right/>
      <top style="thin">
        <color rgb="FF7F7F7F"/>
      </top>
      <bottom style="medium">
        <color indexed="64"/>
      </bottom>
      <diagonal/>
    </border>
    <border>
      <left/>
      <right style="thin">
        <color rgb="FF7F7F7F"/>
      </right>
      <top style="thin">
        <color rgb="FF7F7F7F"/>
      </top>
      <bottom style="medium">
        <color indexed="64"/>
      </bottom>
      <diagonal/>
    </border>
    <border>
      <left style="thin">
        <color rgb="FF7F7F7F"/>
      </left>
      <right/>
      <top/>
      <bottom style="medium">
        <color indexed="64"/>
      </bottom>
      <diagonal/>
    </border>
    <border>
      <left/>
      <right/>
      <top style="thin">
        <color rgb="FF7F7F7F"/>
      </top>
      <bottom style="thin">
        <color rgb="FFBFBFBF"/>
      </bottom>
      <diagonal/>
    </border>
    <border>
      <left/>
      <right style="medium">
        <color indexed="64"/>
      </right>
      <top style="thin">
        <color rgb="FF7F7F7F"/>
      </top>
      <bottom style="thin">
        <color rgb="FFBFBFBF"/>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thin">
        <color rgb="FFA5A5A5"/>
      </top>
      <bottom/>
      <diagonal/>
    </border>
    <border>
      <left style="thin">
        <color rgb="FFA5A5A5"/>
      </left>
      <right/>
      <top style="thin">
        <color rgb="FFA5A5A5"/>
      </top>
      <bottom/>
      <diagonal/>
    </border>
    <border>
      <left/>
      <right/>
      <top style="thin">
        <color rgb="FFA5A5A5"/>
      </top>
      <bottom/>
      <diagonal/>
    </border>
    <border>
      <left/>
      <right style="medium">
        <color indexed="64"/>
      </right>
      <top style="thin">
        <color rgb="FFA5A5A5"/>
      </top>
      <bottom/>
      <diagonal/>
    </border>
    <border>
      <left style="medium">
        <color indexed="64"/>
      </left>
      <right/>
      <top/>
      <bottom style="thin">
        <color rgb="FFA5A5A5"/>
      </bottom>
      <diagonal/>
    </border>
    <border>
      <left style="thin">
        <color rgb="FFA5A5A5"/>
      </left>
      <right/>
      <top/>
      <bottom style="thin">
        <color rgb="FFA5A5A5"/>
      </bottom>
      <diagonal/>
    </border>
    <border>
      <left/>
      <right/>
      <top/>
      <bottom style="thin">
        <color rgb="FFA5A5A5"/>
      </bottom>
      <diagonal/>
    </border>
    <border>
      <left/>
      <right style="medium">
        <color indexed="64"/>
      </right>
      <top/>
      <bottom style="thin">
        <color rgb="FFA5A5A5"/>
      </bottom>
      <diagonal/>
    </border>
    <border>
      <left style="thin">
        <color rgb="FFA5A5A5"/>
      </left>
      <right/>
      <top/>
      <bottom/>
      <diagonal/>
    </border>
    <border>
      <left style="thin">
        <color rgb="FFBFBFBF"/>
      </left>
      <right/>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style="thin">
        <color rgb="FF7F7F7F"/>
      </top>
      <bottom style="thin">
        <color rgb="FF7F7F7F"/>
      </bottom>
      <diagonal/>
    </border>
    <border>
      <left/>
      <right style="medium">
        <color indexed="64"/>
      </right>
      <top style="thin">
        <color rgb="FF7F7F7F"/>
      </top>
      <bottom style="thin">
        <color rgb="FF7F7F7F"/>
      </bottom>
      <diagonal/>
    </border>
    <border>
      <left style="thin">
        <color rgb="FF7F7F7F"/>
      </left>
      <right style="thin">
        <color rgb="FF7F7F7F"/>
      </right>
      <top/>
      <bottom style="thin">
        <color rgb="FF7F7F7F"/>
      </bottom>
      <diagonal/>
    </border>
    <border>
      <left/>
      <right style="thin">
        <color rgb="FF7F7F7F"/>
      </right>
      <top/>
      <bottom style="medium">
        <color indexed="64"/>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rgb="FF7F7F7F"/>
      </left>
      <right style="medium">
        <color indexed="64"/>
      </right>
      <top style="medium">
        <color indexed="64"/>
      </top>
      <bottom/>
      <diagonal/>
    </border>
    <border>
      <left style="thin">
        <color rgb="FF7F7F7F"/>
      </left>
      <right style="medium">
        <color indexed="64"/>
      </right>
      <top/>
      <bottom style="medium">
        <color indexed="64"/>
      </bottom>
      <diagonal/>
    </border>
    <border>
      <left style="thin">
        <color rgb="FFBFBFBF"/>
      </left>
      <right style="medium">
        <color indexed="64"/>
      </right>
      <top style="medium">
        <color indexed="64"/>
      </top>
      <bottom/>
      <diagonal/>
    </border>
  </borders>
  <cellStyleXfs count="7">
    <xf numFmtId="0" fontId="0" fillId="0" borderId="0">
      <alignment vertical="center"/>
    </xf>
    <xf numFmtId="0" fontId="13" fillId="5" borderId="0">
      <alignment vertical="bottom"/>
      <protection locked="0" hidden="0"/>
    </xf>
    <xf numFmtId="0" fontId="80" fillId="48" borderId="0">
      <alignment vertical="bottom"/>
      <protection locked="0" hidden="0"/>
    </xf>
    <xf numFmtId="0" fontId="80" fillId="18" borderId="0">
      <alignment vertical="bottom"/>
      <protection locked="0" hidden="0"/>
    </xf>
    <xf numFmtId="0" fontId="13" fillId="3" borderId="0">
      <alignment vertical="bottom"/>
      <protection locked="0" hidden="0"/>
    </xf>
    <xf numFmtId="0" fontId="82" fillId="0" borderId="0">
      <alignment vertical="bottom"/>
      <protection locked="0" hidden="0"/>
    </xf>
    <xf numFmtId="0" fontId="210" fillId="0" borderId="0">
      <alignment vertical="bottom"/>
      <protection locked="0" hidden="0"/>
    </xf>
  </cellStyleXfs>
  <cellXfs count="4250">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164" fontId="5" fillId="2" borderId="5" xfId="0" applyNumberFormat="1" applyFont="1" applyFill="1" applyBorder="1" applyAlignment="1">
      <alignment horizontal="center" vertical="center"/>
    </xf>
    <xf numFmtId="0" fontId="6" fillId="2" borderId="5" xfId="0" applyFont="1" applyFill="1" applyBorder="1" applyAlignment="1">
      <alignment horizontal="center" vertical="center"/>
    </xf>
    <xf numFmtId="0" fontId="4" fillId="2" borderId="5" xfId="0" applyFont="1" applyFill="1" applyBorder="1" applyAlignment="1">
      <alignment horizontal="right" vertical="center"/>
    </xf>
    <xf numFmtId="164" fontId="4" fillId="2" borderId="5" xfId="0" applyNumberFormat="1" applyFont="1" applyFill="1" applyBorder="1" applyAlignment="1">
      <alignment horizontal="center" vertical="center"/>
    </xf>
    <xf numFmtId="164" fontId="4" fillId="2" borderId="6" xfId="0" applyNumberFormat="1" applyFont="1" applyFill="1" applyBorder="1" applyAlignment="1">
      <alignment horizontal="center" vertical="center"/>
    </xf>
    <xf numFmtId="0" fontId="1" fillId="3" borderId="7" xfId="0" applyFont="1" applyFill="1" applyBorder="1" applyAlignment="1">
      <alignment horizontal="center" vertical="center"/>
      <protection locked="0" hidden="0"/>
    </xf>
    <xf numFmtId="0" fontId="1" fillId="3" borderId="8" xfId="0" applyFont="1" applyFill="1" applyBorder="1" applyAlignment="1">
      <alignment horizontal="center" vertical="center"/>
      <protection locked="0" hidden="0"/>
    </xf>
    <xf numFmtId="0" fontId="1" fillId="3" borderId="9" xfId="0" applyFont="1" applyFill="1" applyBorder="1" applyAlignment="1">
      <alignment horizontal="center" vertical="center"/>
      <protection locked="0" hidden="0"/>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protection locked="0" hidden="0"/>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4" xfId="0" applyFont="1" applyFill="1" applyBorder="1" applyAlignment="1">
      <alignment horizontal="center" vertical="center" wrapText="1"/>
      <protection locked="0" hidden="0"/>
    </xf>
    <xf numFmtId="0" fontId="1" fillId="3" borderId="11" xfId="0" applyNumberFormat="1" applyFont="1" applyFill="1" applyBorder="1" applyAlignment="1">
      <alignment horizontal="center" vertical="center"/>
    </xf>
    <xf numFmtId="0" fontId="1" fillId="0" borderId="14" xfId="0" applyFont="1" applyFill="1" applyBorder="1" applyAlignment="1">
      <alignment horizontal="center" vertical="center" wrapText="1"/>
    </xf>
    <xf numFmtId="0" fontId="1" fillId="0" borderId="14" xfId="0" applyFont="1" applyFill="1" applyBorder="1" applyAlignment="1">
      <alignment horizontal="center" vertical="center" wrapText="1"/>
      <protection locked="0" hidden="0"/>
    </xf>
    <xf numFmtId="0" fontId="1" fillId="0" borderId="14" xfId="0" applyNumberFormat="1" applyFont="1" applyFill="1" applyBorder="1" applyAlignment="1">
      <alignment horizontal="center" vertical="center"/>
    </xf>
    <xf numFmtId="0" fontId="1" fillId="3" borderId="14" xfId="0" applyNumberFormat="1" applyFont="1" applyFill="1" applyBorder="1" applyAlignment="1">
      <alignment horizontal="center" vertical="center"/>
    </xf>
    <xf numFmtId="0" fontId="1" fillId="3" borderId="15" xfId="0" applyNumberFormat="1" applyFont="1" applyFill="1" applyBorder="1" applyAlignment="1">
      <alignment horizontal="center" vertical="center"/>
    </xf>
    <xf numFmtId="0" fontId="1" fillId="3" borderId="16" xfId="0" applyFont="1" applyFill="1" applyBorder="1" applyAlignment="1">
      <alignment horizontal="center" vertical="center"/>
      <protection locked="0" hidden="0"/>
    </xf>
    <xf numFmtId="0" fontId="1" fillId="3" borderId="0" xfId="0" applyFont="1" applyFill="1" applyAlignment="1">
      <alignment horizontal="center" vertical="center"/>
      <protection locked="0" hidden="0"/>
    </xf>
    <xf numFmtId="0" fontId="1" fillId="3" borderId="17" xfId="0" applyFont="1" applyFill="1" applyBorder="1" applyAlignment="1">
      <alignment horizontal="center" vertical="center"/>
      <protection locked="0" hidden="0"/>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1" xfId="0" applyFont="1" applyFill="1" applyBorder="1" applyAlignment="1">
      <alignment horizontal="center" vertical="center"/>
      <protection locked="0" hidden="0"/>
    </xf>
    <xf numFmtId="0" fontId="1" fillId="3" borderId="11" xfId="0" applyNumberFormat="1" applyFont="1" applyFill="1" applyBorder="1" applyAlignment="1">
      <alignment horizontal="center" vertical="center"/>
      <protection locked="0" hidden="0"/>
    </xf>
    <xf numFmtId="0" fontId="1" fillId="3" borderId="12" xfId="0" applyNumberFormat="1" applyFont="1" applyFill="1" applyBorder="1" applyAlignment="1">
      <alignment horizontal="center" vertical="center"/>
      <protection locked="0" hidden="0"/>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1" xfId="0" applyFont="1" applyFill="1" applyBorder="1" applyAlignment="1">
      <alignment horizontal="center" vertical="center" wrapText="1"/>
      <protection locked="0" hidden="0"/>
    </xf>
    <xf numFmtId="0" fontId="1" fillId="0" borderId="11" xfId="0" applyFont="1" applyFill="1" applyBorder="1" applyAlignment="1">
      <alignment horizontal="center" vertical="center" wrapText="1"/>
    </xf>
    <xf numFmtId="0" fontId="1" fillId="0" borderId="11" xfId="0" applyFont="1" applyFill="1" applyBorder="1" applyAlignment="1">
      <alignment horizontal="center" vertical="center" wrapText="1"/>
      <protection locked="0" hidden="0"/>
    </xf>
    <xf numFmtId="0" fontId="1" fillId="0" borderId="11" xfId="0" applyNumberFormat="1" applyFont="1" applyFill="1" applyBorder="1" applyAlignment="1">
      <alignment horizontal="center" vertical="center"/>
    </xf>
    <xf numFmtId="0" fontId="1" fillId="3" borderId="12" xfId="0" applyNumberFormat="1" applyFont="1" applyFill="1" applyBorder="1" applyAlignment="1">
      <alignment horizontal="center" vertical="center"/>
    </xf>
    <xf numFmtId="0" fontId="1" fillId="0" borderId="11" xfId="0" applyFont="1" applyFill="1" applyBorder="1" applyAlignment="1">
      <alignment horizontal="center" vertical="center"/>
      <protection locked="0" hidden="0"/>
    </xf>
    <xf numFmtId="0" fontId="1" fillId="0" borderId="11" xfId="0" applyNumberFormat="1" applyFont="1" applyFill="1" applyBorder="1" applyAlignment="1">
      <alignment horizontal="center" vertical="center"/>
      <protection locked="0" hidden="0"/>
    </xf>
    <xf numFmtId="0" fontId="1" fillId="0" borderId="12" xfId="0" applyNumberFormat="1" applyFont="1" applyFill="1" applyBorder="1" applyAlignment="1">
      <alignment horizontal="center" vertical="center"/>
      <protection locked="0" hidden="0"/>
    </xf>
    <xf numFmtId="0" fontId="1" fillId="0" borderId="10" xfId="0" applyFont="1" applyFill="1" applyBorder="1" applyAlignment="1">
      <alignment horizontal="center" vertical="center" wrapText="1"/>
    </xf>
    <xf numFmtId="0" fontId="1" fillId="0" borderId="12" xfId="0" applyNumberFormat="1" applyFont="1" applyFill="1" applyBorder="1" applyAlignment="1">
      <alignment horizontal="center" vertical="center"/>
    </xf>
    <xf numFmtId="0" fontId="8" fillId="0" borderId="10"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3" borderId="11" xfId="0" applyNumberFormat="1" applyFont="1" applyFill="1" applyBorder="1" applyAlignment="1">
      <alignment horizontal="center" vertical="center"/>
      <protection locked="0" hidden="0"/>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18" xfId="0" applyFont="1" applyFill="1" applyBorder="1" applyAlignment="1">
      <alignment horizontal="center" vertical="center" wrapText="1"/>
      <protection locked="0" hidden="0"/>
    </xf>
    <xf numFmtId="0" fontId="1" fillId="0" borderId="18" xfId="0" applyNumberFormat="1" applyFont="1" applyFill="1" applyBorder="1" applyAlignment="1">
      <alignment horizontal="center" vertical="center"/>
    </xf>
    <xf numFmtId="0" fontId="1" fillId="0" borderId="20" xfId="0" applyNumberFormat="1" applyFont="1" applyFill="1" applyBorder="1" applyAlignment="1">
      <alignment horizontal="center" vertical="center"/>
    </xf>
    <xf numFmtId="0" fontId="1" fillId="0" borderId="21" xfId="0" applyNumberFormat="1" applyFont="1" applyFill="1" applyBorder="1" applyAlignment="1">
      <alignment horizontal="center" vertical="center"/>
    </xf>
    <xf numFmtId="0" fontId="9" fillId="3" borderId="19"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19" xfId="0" applyFont="1" applyFill="1" applyBorder="1" applyAlignment="1">
      <alignment horizontal="center" vertical="center"/>
      <protection locked="0" hidden="0"/>
    </xf>
    <xf numFmtId="0" fontId="9" fillId="3" borderId="22" xfId="0" applyFont="1" applyFill="1" applyBorder="1" applyAlignment="1">
      <alignment horizontal="center" vertical="center"/>
      <protection locked="0" hidden="0"/>
    </xf>
    <xf numFmtId="0" fontId="9" fillId="3" borderId="11" xfId="0" applyNumberFormat="1" applyFont="1" applyFill="1" applyBorder="1" applyAlignment="1">
      <alignment horizontal="center" vertical="center"/>
    </xf>
    <xf numFmtId="0" fontId="9" fillId="3" borderId="12" xfId="0" applyNumberFormat="1" applyFont="1" applyFill="1" applyBorder="1" applyAlignment="1">
      <alignment horizontal="center" vertical="center"/>
    </xf>
    <xf numFmtId="0" fontId="8" fillId="3" borderId="11" xfId="0" applyNumberFormat="1" applyFont="1" applyFill="1" applyBorder="1" applyAlignment="1">
      <alignment horizontal="center" vertical="center" wrapText="1"/>
    </xf>
    <xf numFmtId="0" fontId="8" fillId="3" borderId="12" xfId="0" applyNumberFormat="1" applyFont="1" applyFill="1" applyBorder="1" applyAlignment="1">
      <alignment horizontal="center" vertical="center" wrapText="1"/>
    </xf>
    <xf numFmtId="0" fontId="10" fillId="0" borderId="0" xfId="0" applyFont="1" applyFill="1" applyBorder="1" applyAlignment="1">
      <alignment vertical="center" wrapText="1"/>
    </xf>
    <xf numFmtId="0" fontId="1" fillId="3" borderId="23"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24" xfId="0" applyFont="1" applyFill="1" applyBorder="1" applyAlignment="1">
      <alignment horizontal="right" vertical="center"/>
      <protection locked="0" hidden="0"/>
    </xf>
    <xf numFmtId="0" fontId="1" fillId="3" borderId="25" xfId="0" applyFont="1" applyFill="1" applyBorder="1" applyAlignment="1">
      <alignment horizontal="right" vertical="center"/>
      <protection locked="0" hidden="0"/>
    </xf>
    <xf numFmtId="165" fontId="1" fillId="3" borderId="26" xfId="0" applyNumberFormat="1" applyFont="1" applyFill="1" applyBorder="1" applyAlignment="1">
      <alignment horizontal="left" vertical="center"/>
      <protection locked="0" hidden="0"/>
    </xf>
    <xf numFmtId="165" fontId="1" fillId="3" borderId="24" xfId="0" applyNumberFormat="1" applyFont="1" applyFill="1" applyBorder="1" applyAlignment="1">
      <alignment horizontal="left" vertical="center"/>
      <protection locked="0" hidden="0"/>
    </xf>
    <xf numFmtId="0" fontId="1" fillId="3" borderId="26" xfId="0" applyFont="1" applyFill="1" applyBorder="1" applyAlignment="1">
      <alignment horizontal="left" vertical="center"/>
      <protection locked="0" hidden="0"/>
    </xf>
    <xf numFmtId="0" fontId="1" fillId="3" borderId="24" xfId="0" applyFont="1" applyFill="1" applyBorder="1" applyAlignment="1">
      <alignment horizontal="left" vertical="center"/>
      <protection locked="0" hidden="0"/>
    </xf>
    <xf numFmtId="49" fontId="1" fillId="3" borderId="24" xfId="0" applyNumberFormat="1" applyFont="1" applyFill="1" applyBorder="1" applyAlignment="1">
      <alignment horizontal="center" vertical="center"/>
      <protection locked="0" hidden="0"/>
    </xf>
    <xf numFmtId="49" fontId="1" fillId="3" borderId="27" xfId="0" applyNumberFormat="1" applyFont="1" applyFill="1" applyBorder="1" applyAlignment="1">
      <alignment horizontal="center" vertical="center"/>
      <protection locked="0" hidden="0"/>
    </xf>
    <xf numFmtId="0" fontId="1" fillId="3" borderId="23"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4" xfId="0" applyFont="1" applyFill="1" applyBorder="1" applyAlignment="1">
      <alignment horizontal="center" vertical="center" wrapText="1"/>
      <protection locked="0" hidden="0"/>
    </xf>
    <xf numFmtId="0" fontId="1" fillId="3" borderId="24" xfId="0" applyNumberFormat="1" applyFont="1" applyFill="1" applyBorder="1" applyAlignment="1">
      <alignment horizontal="center" vertical="center"/>
    </xf>
    <xf numFmtId="0" fontId="1" fillId="0" borderId="24" xfId="0" applyFont="1" applyFill="1" applyBorder="1" applyAlignment="1">
      <alignment horizontal="center" vertical="center" wrapText="1"/>
    </xf>
    <xf numFmtId="0" fontId="1" fillId="0" borderId="24" xfId="0" applyFont="1" applyFill="1" applyBorder="1" applyAlignment="1">
      <alignment horizontal="center" vertical="center" wrapText="1"/>
      <protection locked="0" hidden="0"/>
    </xf>
    <xf numFmtId="0" fontId="1" fillId="0" borderId="24" xfId="0" applyNumberFormat="1" applyFont="1" applyFill="1" applyBorder="1" applyAlignment="1">
      <alignment horizontal="center" vertical="center"/>
    </xf>
    <xf numFmtId="0" fontId="1" fillId="0" borderId="25" xfId="0" applyNumberFormat="1" applyFont="1" applyFill="1" applyBorder="1" applyAlignment="1">
      <alignment horizontal="center" vertical="center"/>
    </xf>
    <xf numFmtId="0" fontId="9" fillId="3" borderId="28"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28" xfId="0" applyFont="1" applyFill="1" applyBorder="1" applyAlignment="1">
      <alignment horizontal="center" vertical="center"/>
      <protection locked="0" hidden="0"/>
    </xf>
    <xf numFmtId="0" fontId="9" fillId="3" borderId="29" xfId="0" applyFont="1" applyFill="1" applyBorder="1" applyAlignment="1">
      <alignment horizontal="center" vertical="center"/>
      <protection locked="0" hidden="0"/>
    </xf>
    <xf numFmtId="0" fontId="9" fillId="3" borderId="24" xfId="0" applyNumberFormat="1" applyFont="1" applyFill="1" applyBorder="1" applyAlignment="1">
      <alignment horizontal="center" vertical="center"/>
    </xf>
    <xf numFmtId="0" fontId="9" fillId="3" borderId="27" xfId="0" applyNumberFormat="1" applyFont="1" applyFill="1" applyBorder="1" applyAlignment="1">
      <alignment horizontal="center" vertical="center"/>
    </xf>
    <xf numFmtId="0" fontId="1" fillId="3" borderId="30" xfId="0" applyFont="1" applyFill="1" applyBorder="1" applyAlignment="1">
      <alignment horizontal="center" vertical="center"/>
      <protection locked="0" hidden="0"/>
    </xf>
    <xf numFmtId="0" fontId="1" fillId="3" borderId="29" xfId="0" applyFont="1" applyFill="1" applyBorder="1" applyAlignment="1">
      <alignment horizontal="center" vertical="center"/>
      <protection locked="0" hidden="0"/>
    </xf>
    <xf numFmtId="0" fontId="1" fillId="3" borderId="31" xfId="0" applyFont="1" applyFill="1" applyBorder="1" applyAlignment="1">
      <alignment horizontal="center" vertical="center"/>
      <protection locked="0" hidden="0"/>
    </xf>
    <xf numFmtId="0" fontId="8" fillId="3" borderId="32"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3" borderId="33" xfId="0" applyNumberFormat="1" applyFont="1" applyFill="1" applyBorder="1" applyAlignment="1">
      <alignment horizontal="center" vertical="center" wrapText="1"/>
    </xf>
    <xf numFmtId="0" fontId="8" fillId="3" borderId="34" xfId="0" applyNumberFormat="1" applyFont="1" applyFill="1" applyBorder="1" applyAlignment="1">
      <alignment horizontal="center" vertical="center" wrapText="1"/>
    </xf>
    <xf numFmtId="0" fontId="11" fillId="0" borderId="0" xfId="0" applyFont="1" applyFill="1" applyAlignment="1">
      <alignment horizontal="right" vertical="bottom"/>
    </xf>
    <xf numFmtId="164" fontId="11" fillId="0" borderId="0" xfId="0" applyNumberFormat="1" applyFont="1" applyFill="1" applyAlignment="1">
      <alignment horizontal="left" vertical="bottom"/>
    </xf>
    <xf numFmtId="166" fontId="12" fillId="0" borderId="0" xfId="0" applyNumberFormat="1" applyFont="1" applyFill="1" applyAlignment="1">
      <alignment horizontal="center" vertical="center"/>
    </xf>
    <xf numFmtId="0" fontId="1" fillId="0" borderId="29" xfId="0" applyFont="1" applyFill="1" applyBorder="1" applyAlignment="1">
      <alignment horizontal="center" vertical="center"/>
    </xf>
    <xf numFmtId="167" fontId="12" fillId="0" borderId="29" xfId="0" applyNumberFormat="1" applyFont="1" applyFill="1" applyBorder="1" applyAlignment="1">
      <alignment horizontal="center" vertical="center"/>
    </xf>
    <xf numFmtId="167" fontId="12" fillId="0" borderId="0" xfId="0" applyNumberFormat="1" applyFont="1" applyFill="1" applyAlignment="1">
      <alignment horizontal="center" vertical="center"/>
    </xf>
    <xf numFmtId="168" fontId="12" fillId="0" borderId="0" xfId="0" applyNumberFormat="1" applyFont="1" applyFill="1" applyAlignment="1">
      <alignment horizontal="center" vertical="center"/>
    </xf>
    <xf numFmtId="168" fontId="12" fillId="0" borderId="29" xfId="0" applyNumberFormat="1" applyFont="1" applyFill="1" applyBorder="1" applyAlignment="1">
      <alignment horizontal="center" vertical="center"/>
    </xf>
    <xf numFmtId="0" fontId="11" fillId="0" borderId="29" xfId="0" applyFont="1" applyFill="1" applyBorder="1" applyAlignment="1">
      <alignment horizontal="center" vertical="center"/>
    </xf>
    <xf numFmtId="169" fontId="12" fillId="0" borderId="29" xfId="0" applyNumberFormat="1" applyFont="1" applyFill="1" applyBorder="1" applyAlignment="1">
      <alignment horizontal="center" vertical="center"/>
    </xf>
    <xf numFmtId="169" fontId="12" fillId="0" borderId="0" xfId="0" applyNumberFormat="1" applyFont="1" applyFill="1" applyAlignment="1">
      <alignment horizontal="center" vertical="center"/>
    </xf>
    <xf numFmtId="0" fontId="13" fillId="0" borderId="17" xfId="0" applyFont="1" applyBorder="1">
      <alignment vertical="center"/>
    </xf>
    <xf numFmtId="0" fontId="13" fillId="0" borderId="0" xfId="0" applyFont="1" applyBorder="1">
      <alignment vertical="center"/>
    </xf>
    <xf numFmtId="170" fontId="1" fillId="0" borderId="0" xfId="0" applyNumberFormat="1" applyFont="1" applyFill="1" applyBorder="1" applyAlignment="1">
      <alignment vertical="center" wrapText="1"/>
      <protection locked="0" hidden="0"/>
    </xf>
    <xf numFmtId="170" fontId="1" fillId="0" borderId="0" xfId="0" applyNumberFormat="1" applyFont="1" applyFill="1" applyBorder="1">
      <alignment vertical="center"/>
      <protection locked="0" hidden="0"/>
    </xf>
    <xf numFmtId="0" fontId="1" fillId="4" borderId="7" xfId="0" applyFont="1" applyFill="1" applyBorder="1" applyAlignment="1">
      <alignment horizontal="center" vertical="center" wrapText="1"/>
    </xf>
    <xf numFmtId="0" fontId="1" fillId="4" borderId="8" xfId="0" applyFont="1" applyFill="1" applyBorder="1" applyAlignment="1">
      <alignment horizontal="center" vertical="center" wrapText="1"/>
    </xf>
    <xf numFmtId="1" fontId="1" fillId="4" borderId="8" xfId="0" applyNumberFormat="1" applyFont="1" applyFill="1" applyBorder="1" applyAlignment="1">
      <alignment horizontal="right" vertical="center" wrapText="1"/>
      <protection locked="0" hidden="0"/>
    </xf>
    <xf numFmtId="170" fontId="1" fillId="4" borderId="8" xfId="0" applyNumberFormat="1" applyFont="1" applyFill="1" applyBorder="1" applyAlignment="1">
      <alignment horizontal="left" vertical="center" wrapText="1"/>
    </xf>
    <xf numFmtId="170" fontId="14" fillId="4" borderId="35" xfId="0" applyNumberFormat="1" applyFont="1" applyFill="1" applyBorder="1" applyAlignment="1">
      <alignment horizontal="center" vertical="center" wrapText="1"/>
    </xf>
    <xf numFmtId="170" fontId="14" fillId="4" borderId="8" xfId="0" applyNumberFormat="1" applyFont="1" applyFill="1" applyBorder="1" applyAlignment="1">
      <alignment horizontal="center" vertical="center" wrapText="1"/>
    </xf>
    <xf numFmtId="0" fontId="1" fillId="5" borderId="36"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8" xfId="0" applyFont="1" applyFill="1" applyBorder="1" applyAlignment="1">
      <alignment horizontal="right" vertical="center"/>
      <protection locked="0" hidden="0"/>
    </xf>
    <xf numFmtId="170" fontId="1" fillId="5" borderId="8" xfId="0" applyNumberFormat="1" applyFont="1" applyFill="1" applyBorder="1" applyAlignment="1">
      <alignment horizontal="left" vertical="center"/>
    </xf>
    <xf numFmtId="170" fontId="14" fillId="5" borderId="35" xfId="0" applyNumberFormat="1" applyFont="1" applyFill="1" applyBorder="1" applyAlignment="1">
      <alignment horizontal="center" vertical="center"/>
    </xf>
    <xf numFmtId="170" fontId="14" fillId="5" borderId="37" xfId="0" applyNumberFormat="1" applyFont="1" applyFill="1" applyBorder="1" applyAlignment="1">
      <alignment horizontal="center" vertical="center"/>
    </xf>
    <xf numFmtId="0" fontId="1" fillId="6" borderId="38"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0" xfId="0" applyNumberFormat="1" applyFont="1" applyFill="1" applyAlignment="1">
      <alignment horizontal="right" vertical="center" wrapText="1"/>
      <protection locked="0" hidden="0"/>
    </xf>
    <xf numFmtId="171" fontId="1" fillId="6" borderId="8" xfId="0" applyNumberFormat="1" applyFont="1" applyFill="1" applyBorder="1" applyAlignment="1">
      <alignment horizontal="left" vertical="center" wrapText="1"/>
    </xf>
    <xf numFmtId="171" fontId="1" fillId="6" borderId="39" xfId="0" applyNumberFormat="1" applyFont="1" applyFill="1" applyBorder="1" applyAlignment="1">
      <alignment horizontal="left" vertical="center" wrapText="1"/>
    </xf>
    <xf numFmtId="0" fontId="15" fillId="6" borderId="8" xfId="0" applyFont="1" applyFill="1" applyBorder="1" applyAlignment="1">
      <alignment vertical="center" wrapText="1"/>
    </xf>
    <xf numFmtId="0" fontId="15" fillId="6" borderId="40" xfId="0" applyFont="1" applyFill="1" applyBorder="1" applyAlignment="1">
      <alignment vertical="center" wrapText="1"/>
    </xf>
    <xf numFmtId="0" fontId="1" fillId="7" borderId="8"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4" fillId="7" borderId="0" xfId="0" applyFont="1" applyFill="1" applyAlignment="1">
      <alignment horizontal="center" vertical="center" wrapText="1"/>
    </xf>
    <xf numFmtId="172" fontId="14" fillId="7" borderId="41" xfId="0" applyNumberFormat="1" applyFont="1" applyFill="1" applyBorder="1" applyAlignment="1">
      <alignment horizontal="center" vertical="center"/>
    </xf>
    <xf numFmtId="172" fontId="14" fillId="7" borderId="0" xfId="0" applyNumberFormat="1" applyFont="1" applyFill="1" applyAlignment="1">
      <alignment horizontal="center" vertical="center"/>
    </xf>
    <xf numFmtId="0" fontId="1" fillId="3" borderId="38"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8" xfId="0" applyFont="1" applyFill="1" applyBorder="1" applyAlignment="1">
      <alignment horizontal="center" vertical="center" wrapText="1"/>
    </xf>
    <xf numFmtId="0" fontId="1" fillId="3" borderId="39" xfId="0" applyFont="1" applyFill="1" applyBorder="1" applyAlignment="1">
      <alignment horizontal="center" vertical="center" wrapText="1"/>
    </xf>
    <xf numFmtId="0" fontId="1" fillId="3" borderId="8" xfId="0" applyFont="1" applyFill="1" applyBorder="1" applyAlignment="1">
      <alignment horizontal="center" vertical="center" wrapText="1"/>
      <protection locked="0" hidden="0"/>
    </xf>
    <xf numFmtId="0" fontId="1" fillId="3" borderId="9" xfId="0" applyFont="1" applyFill="1" applyBorder="1" applyAlignment="1">
      <alignment horizontal="center" vertical="center" wrapText="1"/>
      <protection locked="0" hidden="0"/>
    </xf>
    <xf numFmtId="0" fontId="16" fillId="0" borderId="0" xfId="0" applyBorder="1">
      <alignment vertical="center"/>
    </xf>
    <xf numFmtId="0" fontId="1" fillId="4" borderId="30" xfId="0" applyFont="1" applyFill="1" applyBorder="1" applyAlignment="1">
      <alignment horizontal="center" vertical="center" wrapText="1"/>
    </xf>
    <xf numFmtId="0" fontId="1" fillId="4" borderId="29" xfId="0" applyFont="1" applyFill="1" applyBorder="1" applyAlignment="1">
      <alignment horizontal="center" vertical="center" wrapText="1"/>
    </xf>
    <xf numFmtId="1" fontId="1" fillId="4" borderId="29" xfId="0" applyNumberFormat="1" applyFont="1" applyFill="1" applyBorder="1" applyAlignment="1">
      <alignment horizontal="right" vertical="center" wrapText="1"/>
      <protection locked="0" hidden="0"/>
    </xf>
    <xf numFmtId="170" fontId="1" fillId="4" borderId="29" xfId="0" applyNumberFormat="1" applyFont="1" applyFill="1" applyBorder="1" applyAlignment="1">
      <alignment horizontal="left" vertical="center" wrapText="1"/>
    </xf>
    <xf numFmtId="0" fontId="17" fillId="4" borderId="28" xfId="0" applyFont="1" applyFill="1" applyBorder="1" applyAlignment="1">
      <alignment horizontal="center" vertical="center"/>
      <protection locked="0" hidden="0"/>
    </xf>
    <xf numFmtId="0" fontId="17" fillId="4" borderId="29" xfId="0" applyFont="1" applyFill="1" applyBorder="1" applyAlignment="1">
      <alignment horizontal="center" vertical="center"/>
      <protection locked="0" hidden="0"/>
    </xf>
    <xf numFmtId="0" fontId="1" fillId="5" borderId="42" xfId="0" applyFont="1" applyFill="1" applyBorder="1" applyAlignment="1">
      <alignment horizontal="center" vertical="center" wrapText="1"/>
    </xf>
    <xf numFmtId="0" fontId="1" fillId="5" borderId="29" xfId="0" applyFont="1" applyFill="1" applyBorder="1" applyAlignment="1">
      <alignment horizontal="center" vertical="center" wrapText="1"/>
    </xf>
    <xf numFmtId="0" fontId="1" fillId="5" borderId="29" xfId="0" applyFont="1" applyFill="1" applyBorder="1" applyAlignment="1">
      <alignment horizontal="right" vertical="center"/>
      <protection locked="0" hidden="0"/>
    </xf>
    <xf numFmtId="170" fontId="1" fillId="5" borderId="29" xfId="0" applyNumberFormat="1" applyFont="1" applyFill="1" applyBorder="1" applyAlignment="1">
      <alignment horizontal="left" vertical="center"/>
    </xf>
    <xf numFmtId="0" fontId="17" fillId="5" borderId="28" xfId="0" applyFont="1" applyFill="1" applyBorder="1" applyAlignment="1">
      <alignment horizontal="center" vertical="center"/>
      <protection locked="0" hidden="0"/>
    </xf>
    <xf numFmtId="0" fontId="17" fillId="5" borderId="43" xfId="0" applyFont="1" applyFill="1" applyBorder="1" applyAlignment="1">
      <alignment horizontal="center" vertical="center"/>
      <protection locked="0" hidden="0"/>
    </xf>
    <xf numFmtId="0" fontId="1" fillId="6" borderId="42" xfId="0" applyFont="1" applyFill="1" applyBorder="1" applyAlignment="1">
      <alignment horizontal="center" vertical="center" wrapText="1"/>
    </xf>
    <xf numFmtId="0" fontId="1" fillId="6" borderId="29" xfId="0" applyFont="1" applyFill="1" applyBorder="1" applyAlignment="1">
      <alignment horizontal="center" vertical="center" wrapText="1"/>
    </xf>
    <xf numFmtId="0" fontId="1" fillId="6" borderId="29" xfId="0" applyNumberFormat="1" applyFont="1" applyFill="1" applyBorder="1" applyAlignment="1">
      <alignment horizontal="right" vertical="center" wrapText="1"/>
      <protection locked="0" hidden="0"/>
    </xf>
    <xf numFmtId="171" fontId="1" fillId="6" borderId="29" xfId="0" applyNumberFormat="1" applyFont="1" applyFill="1" applyBorder="1" applyAlignment="1">
      <alignment horizontal="left" vertical="center" wrapText="1"/>
    </xf>
    <xf numFmtId="171" fontId="1" fillId="6" borderId="44" xfId="0" applyNumberFormat="1" applyFont="1" applyFill="1" applyBorder="1" applyAlignment="1">
      <alignment horizontal="left" vertical="center" wrapText="1"/>
    </xf>
    <xf numFmtId="0" fontId="18" fillId="6" borderId="29" xfId="0" applyFont="1" applyFill="1" applyBorder="1" applyAlignment="1">
      <alignment horizontal="center" vertical="center" wrapText="1"/>
    </xf>
    <xf numFmtId="0" fontId="18" fillId="6" borderId="45" xfId="0" applyFont="1" applyFill="1" applyBorder="1" applyAlignment="1">
      <alignment horizontal="center" vertical="center" wrapText="1"/>
    </xf>
    <xf numFmtId="0" fontId="1" fillId="7" borderId="29" xfId="0" applyFont="1" applyFill="1" applyBorder="1" applyAlignment="1">
      <alignment horizontal="center" vertical="center" wrapText="1"/>
    </xf>
    <xf numFmtId="0" fontId="14" fillId="7" borderId="29" xfId="0" applyFont="1" applyFill="1" applyBorder="1" applyAlignment="1">
      <alignment horizontal="center" vertical="center" wrapText="1"/>
    </xf>
    <xf numFmtId="172" fontId="14" fillId="7" borderId="28" xfId="0" applyNumberFormat="1" applyFont="1" applyFill="1" applyBorder="1" applyAlignment="1">
      <alignment horizontal="center" vertical="center"/>
    </xf>
    <xf numFmtId="172" fontId="14" fillId="7" borderId="29" xfId="0" applyNumberFormat="1" applyFont="1" applyFill="1" applyBorder="1" applyAlignment="1">
      <alignment horizontal="center" vertical="center"/>
    </xf>
    <xf numFmtId="0" fontId="1" fillId="3" borderId="42"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4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9" fillId="4" borderId="30" xfId="0" applyNumberFormat="1" applyFont="1" applyFill="1" applyBorder="1" applyAlignment="1">
      <alignment horizontal="center" vertical="center"/>
    </xf>
    <xf numFmtId="0" fontId="19" fillId="4" borderId="29" xfId="0" applyNumberFormat="1" applyFont="1" applyFill="1" applyBorder="1" applyAlignment="1">
      <alignment horizontal="center" vertical="center"/>
    </xf>
    <xf numFmtId="0" fontId="19" fillId="4" borderId="29" xfId="0" applyNumberFormat="1" applyFont="1" applyFill="1" applyBorder="1" applyAlignment="1">
      <alignment horizontal="center" vertical="center"/>
      <protection locked="0" hidden="0"/>
    </xf>
    <xf numFmtId="0" fontId="19" fillId="4" borderId="44" xfId="0" applyNumberFormat="1" applyFont="1" applyFill="1" applyBorder="1" applyAlignment="1">
      <alignment horizontal="center" vertical="center"/>
      <protection locked="0" hidden="0"/>
    </xf>
    <xf numFmtId="0" fontId="14" fillId="4" borderId="29" xfId="0" applyNumberFormat="1" applyFont="1" applyFill="1" applyBorder="1" applyAlignment="1">
      <alignment horizontal="center" vertical="center"/>
      <protection locked="0" hidden="0"/>
    </xf>
    <xf numFmtId="170" fontId="19" fillId="5" borderId="42" xfId="0" applyNumberFormat="1" applyFont="1" applyFill="1" applyBorder="1" applyAlignment="1">
      <alignment horizontal="center" vertical="center"/>
    </xf>
    <xf numFmtId="170" fontId="19" fillId="5" borderId="29" xfId="0" applyNumberFormat="1" applyFont="1" applyFill="1" applyBorder="1" applyAlignment="1">
      <alignment horizontal="center" vertical="center"/>
    </xf>
    <xf numFmtId="0" fontId="14" fillId="5" borderId="29" xfId="0" applyNumberFormat="1" applyFont="1" applyFill="1" applyBorder="1" applyAlignment="1">
      <alignment horizontal="center" vertical="center"/>
      <protection locked="0" hidden="0"/>
    </xf>
    <xf numFmtId="12" fontId="19" fillId="5" borderId="28" xfId="0" applyNumberFormat="1" applyFont="1" applyFill="1" applyBorder="1" applyAlignment="1">
      <alignment horizontal="center" vertical="center"/>
    </xf>
    <xf numFmtId="12" fontId="19" fillId="5" borderId="29" xfId="0" applyNumberFormat="1" applyFont="1" applyFill="1" applyBorder="1" applyAlignment="1">
      <alignment horizontal="center" vertical="center"/>
    </xf>
    <xf numFmtId="173" fontId="14" fillId="5" borderId="29" xfId="0" applyNumberFormat="1" applyFont="1" applyFill="1" applyBorder="1" applyAlignment="1">
      <alignment horizontal="center" vertical="center"/>
      <protection locked="0" hidden="0"/>
    </xf>
    <xf numFmtId="173" fontId="14" fillId="5" borderId="43" xfId="0" applyNumberFormat="1" applyFont="1" applyFill="1" applyBorder="1" applyAlignment="1">
      <alignment horizontal="center" vertical="center"/>
      <protection locked="0" hidden="0"/>
    </xf>
    <xf numFmtId="0" fontId="19" fillId="6" borderId="42" xfId="0" applyFont="1" applyFill="1" applyBorder="1" applyAlignment="1">
      <alignment horizontal="center" vertical="center" wrapText="1"/>
    </xf>
    <xf numFmtId="0" fontId="19" fillId="6" borderId="29" xfId="0" applyFont="1" applyFill="1" applyBorder="1" applyAlignment="1">
      <alignment horizontal="center" vertical="center" wrapText="1"/>
    </xf>
    <xf numFmtId="0" fontId="14" fillId="6" borderId="29" xfId="0" applyNumberFormat="1" applyFont="1" applyFill="1" applyBorder="1" applyAlignment="1">
      <alignment horizontal="center" vertical="center" wrapText="1"/>
      <protection locked="0" hidden="0"/>
    </xf>
    <xf numFmtId="0" fontId="14" fillId="6" borderId="45" xfId="0" applyNumberFormat="1" applyFont="1" applyFill="1" applyBorder="1" applyAlignment="1">
      <alignment horizontal="center" vertical="center" wrapText="1"/>
      <protection locked="0" hidden="0"/>
    </xf>
    <xf numFmtId="0" fontId="20" fillId="7" borderId="29" xfId="0" applyNumberFormat="1" applyFont="1" applyFill="1" applyBorder="1" applyAlignment="1">
      <alignment horizontal="center" vertical="center"/>
    </xf>
    <xf numFmtId="0" fontId="20" fillId="7" borderId="29" xfId="0" applyNumberFormat="1" applyFont="1" applyFill="1" applyBorder="1" applyAlignment="1">
      <alignment horizontal="center" vertical="center"/>
      <protection locked="0" hidden="0"/>
    </xf>
    <xf numFmtId="0" fontId="20" fillId="7" borderId="44" xfId="0" applyNumberFormat="1" applyFont="1" applyFill="1" applyBorder="1" applyAlignment="1">
      <alignment horizontal="center" vertical="center"/>
      <protection locked="0" hidden="0"/>
    </xf>
    <xf numFmtId="0" fontId="19" fillId="3" borderId="42" xfId="0" applyNumberFormat="1" applyFont="1" applyFill="1" applyBorder="1" applyAlignment="1">
      <alignment horizontal="center" vertical="center"/>
    </xf>
    <xf numFmtId="0" fontId="19" fillId="3" borderId="29" xfId="0" applyNumberFormat="1" applyFont="1" applyFill="1" applyBorder="1" applyAlignment="1">
      <alignment horizontal="center" vertical="center"/>
    </xf>
    <xf numFmtId="0" fontId="14" fillId="3" borderId="47" xfId="0" applyNumberFormat="1" applyFont="1" applyFill="1" applyBorder="1" applyAlignment="1">
      <alignment horizontal="center" vertical="center"/>
      <protection locked="0" hidden="0"/>
    </xf>
    <xf numFmtId="0" fontId="14" fillId="3" borderId="48" xfId="0" applyNumberFormat="1" applyFont="1" applyFill="1" applyBorder="1" applyAlignment="1">
      <alignment horizontal="center" vertical="center"/>
      <protection locked="0" hidden="0"/>
    </xf>
    <xf numFmtId="0" fontId="21" fillId="0" borderId="0" xfId="0" applyFont="1" applyFill="1" applyBorder="1" applyAlignment="1">
      <alignment horizontal="center" vertical="center"/>
    </xf>
    <xf numFmtId="0" fontId="3" fillId="2" borderId="49" xfId="0" applyFont="1" applyFill="1" applyBorder="1" applyAlignment="1">
      <alignment horizontal="center" vertical="center"/>
    </xf>
    <xf numFmtId="0" fontId="16" fillId="0" borderId="17" xfId="0" applyBorder="1">
      <alignment vertical="center"/>
    </xf>
    <xf numFmtId="0" fontId="13" fillId="0" borderId="0" xfId="0" applyFont="1" applyFill="1" applyBorder="1">
      <alignment vertical="center"/>
    </xf>
    <xf numFmtId="0" fontId="22" fillId="5" borderId="10" xfId="0" applyFont="1" applyFill="1" applyBorder="1" applyAlignment="1">
      <alignment horizontal="center" vertical="center"/>
    </xf>
    <xf numFmtId="0" fontId="22" fillId="5" borderId="11" xfId="0" applyFont="1" applyFill="1" applyBorder="1" applyAlignment="1">
      <alignment horizontal="center" vertical="center"/>
    </xf>
    <xf numFmtId="0" fontId="1" fillId="5" borderId="11" xfId="0" applyFont="1" applyFill="1" applyBorder="1" applyAlignment="1">
      <alignment horizontal="center" vertical="center"/>
    </xf>
    <xf numFmtId="0" fontId="1" fillId="5" borderId="21" xfId="0" applyFont="1" applyFill="1" applyBorder="1" applyAlignment="1">
      <alignment horizontal="center" vertical="center"/>
    </xf>
    <xf numFmtId="0" fontId="22" fillId="5" borderId="50" xfId="0" applyFont="1" applyFill="1" applyBorder="1" applyAlignment="1">
      <alignment horizontal="center" vertical="center"/>
    </xf>
    <xf numFmtId="0" fontId="22" fillId="5" borderId="21" xfId="0" applyFont="1" applyFill="1" applyBorder="1" applyAlignment="1">
      <alignment horizontal="center" vertical="center"/>
    </xf>
    <xf numFmtId="0" fontId="1" fillId="5" borderId="12" xfId="0" applyFont="1" applyFill="1" applyBorder="1" applyAlignment="1">
      <alignment horizontal="center" vertical="center"/>
    </xf>
    <xf numFmtId="49" fontId="1" fillId="0" borderId="10" xfId="0" applyNumberFormat="1" applyFont="1" applyFill="1" applyBorder="1" applyAlignment="1">
      <alignment horizontal="center" vertical="center"/>
      <protection locked="0" hidden="0"/>
    </xf>
    <xf numFmtId="49" fontId="1" fillId="0" borderId="11" xfId="0" applyNumberFormat="1" applyFont="1" applyFill="1" applyBorder="1" applyAlignment="1">
      <alignment horizontal="center" vertical="center"/>
      <protection locked="0" hidden="0"/>
    </xf>
    <xf numFmtId="164" fontId="23" fillId="0" borderId="11" xfId="0" applyNumberFormat="1" applyFont="1" applyFill="1" applyBorder="1" applyAlignment="1">
      <alignment horizontal="center" vertical="center"/>
    </xf>
    <xf numFmtId="174" fontId="1" fillId="0" borderId="11" xfId="0" applyNumberFormat="1" applyFont="1" applyFill="1" applyBorder="1" applyAlignment="1">
      <alignment horizontal="center" vertical="center"/>
      <protection locked="0" hidden="0"/>
    </xf>
    <xf numFmtId="174" fontId="1" fillId="0" borderId="11" xfId="0" applyNumberFormat="1" applyFont="1" applyFill="1" applyBorder="1" applyAlignment="1">
      <alignment horizontal="center" vertical="center"/>
    </xf>
    <xf numFmtId="0" fontId="1" fillId="0" borderId="50" xfId="0" applyNumberFormat="1" applyFont="1" applyFill="1" applyBorder="1" applyAlignment="1">
      <alignment horizontal="center" vertical="center"/>
      <protection locked="0" hidden="0"/>
    </xf>
    <xf numFmtId="174" fontId="1" fillId="0" borderId="12" xfId="0" applyNumberFormat="1" applyFont="1" applyFill="1" applyBorder="1" applyAlignment="1">
      <alignment horizontal="center" vertical="center"/>
    </xf>
    <xf numFmtId="0" fontId="13" fillId="0" borderId="29" xfId="0" applyFont="1" applyBorder="1">
      <alignment vertical="center"/>
    </xf>
    <xf numFmtId="0" fontId="13" fillId="0" borderId="31" xfId="0" applyFont="1" applyBorder="1">
      <alignment vertical="center"/>
    </xf>
    <xf numFmtId="0" fontId="1" fillId="4" borderId="11" xfId="0" applyNumberFormat="1" applyFont="1" applyFill="1" applyBorder="1" applyAlignment="1">
      <alignment horizontal="center" vertical="center"/>
      <protection locked="0" hidden="0"/>
    </xf>
    <xf numFmtId="49" fontId="1" fillId="4" borderId="10" xfId="0" applyNumberFormat="1" applyFont="1" applyFill="1" applyBorder="1" applyAlignment="1">
      <alignment horizontal="center" vertical="center"/>
      <protection locked="0" hidden="0"/>
    </xf>
    <xf numFmtId="49" fontId="1" fillId="4" borderId="11" xfId="0" applyNumberFormat="1" applyFont="1" applyFill="1" applyBorder="1" applyAlignment="1">
      <alignment horizontal="center" vertical="center"/>
      <protection locked="0" hidden="0"/>
    </xf>
    <xf numFmtId="164" fontId="23" fillId="4" borderId="11" xfId="0" applyNumberFormat="1" applyFont="1" applyFill="1" applyBorder="1" applyAlignment="1">
      <alignment horizontal="center" vertical="center"/>
    </xf>
    <xf numFmtId="0" fontId="1" fillId="4" borderId="11" xfId="0" applyNumberFormat="1" applyFont="1" applyFill="1" applyBorder="1" applyAlignment="1">
      <alignment horizontal="center" vertical="center"/>
    </xf>
    <xf numFmtId="174" fontId="1" fillId="4" borderId="11" xfId="0" applyNumberFormat="1" applyFont="1" applyFill="1" applyBorder="1" applyAlignment="1">
      <alignment horizontal="center" vertical="center"/>
      <protection locked="0" hidden="0"/>
    </xf>
    <xf numFmtId="174" fontId="1" fillId="4" borderId="11" xfId="0" applyNumberFormat="1" applyFont="1" applyFill="1" applyBorder="1" applyAlignment="1">
      <alignment horizontal="center" vertical="center"/>
    </xf>
    <xf numFmtId="0" fontId="1" fillId="4" borderId="21" xfId="0" applyNumberFormat="1" applyFont="1" applyFill="1" applyBorder="1" applyAlignment="1">
      <alignment horizontal="center" vertical="center"/>
    </xf>
    <xf numFmtId="0" fontId="1" fillId="4" borderId="50" xfId="0" applyNumberFormat="1" applyFont="1" applyFill="1" applyBorder="1" applyAlignment="1">
      <alignment horizontal="center" vertical="center"/>
      <protection locked="0" hidden="0"/>
    </xf>
    <xf numFmtId="174" fontId="1" fillId="4" borderId="12" xfId="0" applyNumberFormat="1"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24" fillId="5" borderId="16" xfId="0" applyFont="1" applyFill="1" applyBorder="1" applyAlignment="1">
      <alignment horizontal="center" vertical="center"/>
    </xf>
    <xf numFmtId="0" fontId="24" fillId="5" borderId="0" xfId="0" applyFont="1" applyFill="1" applyBorder="1" applyAlignment="1">
      <alignment horizontal="center" vertical="center"/>
    </xf>
    <xf numFmtId="0" fontId="24" fillId="4" borderId="19" xfId="0" applyFont="1" applyFill="1" applyBorder="1" applyAlignment="1">
      <alignment horizontal="center" vertical="center"/>
      <protection locked="0" hidden="0"/>
    </xf>
    <xf numFmtId="0" fontId="24" fillId="4" borderId="22" xfId="0" applyFont="1" applyFill="1" applyBorder="1" applyAlignment="1">
      <alignment horizontal="center" vertical="center"/>
      <protection locked="0" hidden="0"/>
    </xf>
    <xf numFmtId="0" fontId="24" fillId="4" borderId="51" xfId="0" applyFont="1" applyFill="1" applyBorder="1" applyAlignment="1">
      <alignment horizontal="center" vertical="center"/>
      <protection locked="0" hidden="0"/>
    </xf>
    <xf numFmtId="0" fontId="1" fillId="4" borderId="21" xfId="0" applyNumberFormat="1" applyFont="1" applyFill="1" applyBorder="1" applyAlignment="1">
      <alignment horizontal="center" vertical="center"/>
      <protection locked="0" hidden="0"/>
    </xf>
    <xf numFmtId="0" fontId="1" fillId="4" borderId="52" xfId="0" applyNumberFormat="1" applyFont="1" applyFill="1" applyBorder="1" applyAlignment="1">
      <alignment horizontal="center" vertical="center"/>
      <protection locked="0" hidden="0"/>
    </xf>
    <xf numFmtId="164" fontId="25" fillId="8" borderId="16" xfId="0" applyNumberFormat="1" applyFont="1" applyFill="1" applyBorder="1" applyAlignment="1">
      <alignment horizontal="center" vertical="center"/>
    </xf>
    <xf numFmtId="164" fontId="25" fillId="8" borderId="0" xfId="0" applyNumberFormat="1" applyFont="1" applyFill="1" applyBorder="1" applyAlignment="1">
      <alignment horizontal="center" vertical="center"/>
    </xf>
    <xf numFmtId="164" fontId="25" fillId="8" borderId="46" xfId="0" applyNumberFormat="1" applyFont="1" applyFill="1" applyBorder="1" applyAlignment="1">
      <alignment horizontal="center" vertical="center"/>
    </xf>
    <xf numFmtId="0" fontId="24" fillId="0" borderId="41" xfId="0" applyFont="1" applyFill="1" applyBorder="1" applyAlignment="1">
      <alignment horizontal="center" vertical="center"/>
      <protection locked="0" hidden="0"/>
    </xf>
    <xf numFmtId="0" fontId="24" fillId="0" borderId="0" xfId="0" applyFont="1" applyFill="1" applyBorder="1" applyAlignment="1">
      <alignment horizontal="center" vertical="center"/>
      <protection locked="0" hidden="0"/>
    </xf>
    <xf numFmtId="0" fontId="24" fillId="0" borderId="17" xfId="0" applyFont="1" applyFill="1" applyBorder="1" applyAlignment="1">
      <alignment horizontal="center" vertical="center"/>
      <protection locked="0" hidden="0"/>
    </xf>
    <xf numFmtId="0" fontId="1" fillId="0" borderId="11" xfId="0" applyNumberFormat="1" applyFont="1" applyFill="1" applyBorder="1" applyAlignment="1">
      <alignment horizontal="right" vertical="center"/>
      <protection locked="0" hidden="0"/>
    </xf>
    <xf numFmtId="0" fontId="1" fillId="0" borderId="21" xfId="0" applyNumberFormat="1" applyFont="1" applyFill="1" applyBorder="1" applyAlignment="1">
      <alignment horizontal="right" vertical="center"/>
      <protection locked="0" hidden="0"/>
    </xf>
    <xf numFmtId="49" fontId="1" fillId="0" borderId="52" xfId="0" applyNumberFormat="1" applyFont="1" applyFill="1" applyBorder="1" applyAlignment="1">
      <alignment vertical="center" wrapText="1"/>
      <protection locked="0" hidden="0"/>
    </xf>
    <xf numFmtId="49" fontId="1" fillId="0" borderId="11" xfId="0" applyNumberFormat="1" applyFont="1" applyFill="1" applyBorder="1" applyAlignment="1">
      <alignment vertical="center" wrapText="1"/>
      <protection locked="0" hidden="0"/>
    </xf>
    <xf numFmtId="0" fontId="1" fillId="4" borderId="11" xfId="0" applyNumberFormat="1" applyFont="1" applyFill="1" applyBorder="1" applyAlignment="1">
      <alignment horizontal="right" vertical="center"/>
      <protection locked="0" hidden="0"/>
    </xf>
    <xf numFmtId="0" fontId="1" fillId="4" borderId="21" xfId="0" applyNumberFormat="1" applyFont="1" applyFill="1" applyBorder="1" applyAlignment="1">
      <alignment horizontal="right" vertical="center"/>
      <protection locked="0" hidden="0"/>
    </xf>
    <xf numFmtId="174" fontId="1" fillId="4" borderId="52" xfId="0" applyNumberFormat="1" applyFont="1" applyFill="1" applyBorder="1">
      <alignment vertical="center"/>
      <protection locked="0" hidden="0"/>
    </xf>
    <xf numFmtId="174" fontId="1" fillId="4" borderId="11" xfId="0" applyNumberFormat="1" applyFont="1" applyFill="1" applyBorder="1">
      <alignment vertical="center"/>
      <protection locked="0" hidden="0"/>
    </xf>
    <xf numFmtId="164" fontId="26" fillId="9" borderId="16" xfId="0" applyNumberFormat="1" applyFont="1" applyFill="1" applyBorder="1" applyAlignment="1">
      <alignment horizontal="center" vertical="center"/>
      <protection locked="0" hidden="0"/>
    </xf>
    <xf numFmtId="164" fontId="26" fillId="9" borderId="0" xfId="0" applyNumberFormat="1" applyFont="1" applyFill="1" applyBorder="1" applyAlignment="1">
      <alignment horizontal="center" vertical="center"/>
      <protection locked="0" hidden="0"/>
    </xf>
    <xf numFmtId="164" fontId="26" fillId="9" borderId="46" xfId="0" applyNumberFormat="1" applyFont="1" applyFill="1" applyBorder="1" applyAlignment="1">
      <alignment horizontal="center" vertical="center"/>
      <protection locked="0" hidden="0"/>
    </xf>
    <xf numFmtId="0" fontId="27" fillId="5" borderId="30" xfId="0" applyFont="1" applyFill="1" applyBorder="1" applyAlignment="1">
      <alignment horizontal="center" vertical="center"/>
    </xf>
    <xf numFmtId="0" fontId="27" fillId="5" borderId="29" xfId="0" applyFont="1" applyFill="1" applyBorder="1" applyAlignment="1">
      <alignment horizontal="center" vertical="center"/>
    </xf>
    <xf numFmtId="0" fontId="27" fillId="5" borderId="31" xfId="0" applyFont="1" applyFill="1" applyBorder="1" applyAlignment="1">
      <alignment horizontal="center" vertical="center"/>
    </xf>
    <xf numFmtId="0" fontId="1" fillId="0" borderId="21" xfId="0" applyNumberFormat="1" applyFont="1" applyFill="1" applyBorder="1" applyAlignment="1">
      <alignment horizontal="center" vertical="center"/>
      <protection locked="0" hidden="0"/>
    </xf>
    <xf numFmtId="0" fontId="1" fillId="0" borderId="52" xfId="0" applyNumberFormat="1" applyFont="1" applyFill="1" applyBorder="1" applyAlignment="1">
      <alignment horizontal="center" vertical="center"/>
      <protection locked="0" hidden="0"/>
    </xf>
    <xf numFmtId="0" fontId="7" fillId="2" borderId="1" xfId="0" applyFont="1" applyFill="1" applyBorder="1" applyAlignment="1">
      <alignment horizontal="center" vertical="center"/>
      <protection locked="0" hidden="0"/>
    </xf>
    <xf numFmtId="0" fontId="7" fillId="2" borderId="2" xfId="0" applyFont="1" applyFill="1" applyBorder="1" applyAlignment="1">
      <alignment horizontal="center" vertical="center"/>
      <protection locked="0" hidden="0"/>
    </xf>
    <xf numFmtId="0" fontId="7" fillId="2" borderId="3" xfId="0" applyFont="1" applyFill="1" applyBorder="1" applyAlignment="1">
      <alignment horizontal="center" vertical="center"/>
      <protection locked="0" hidden="0"/>
    </xf>
    <xf numFmtId="0" fontId="7" fillId="10" borderId="1" xfId="0" applyFont="1" applyFill="1" applyBorder="1" applyAlignment="1">
      <alignment horizontal="center" vertical="center"/>
      <protection locked="1" hidden="1"/>
    </xf>
    <xf numFmtId="0" fontId="7" fillId="10" borderId="2" xfId="0" applyFont="1" applyFill="1" applyBorder="1" applyAlignment="1">
      <alignment horizontal="center" vertical="center"/>
      <protection locked="1" hidden="1"/>
    </xf>
    <xf numFmtId="0" fontId="7" fillId="10" borderId="3" xfId="0" applyFont="1" applyFill="1" applyBorder="1" applyAlignment="1">
      <alignment horizontal="center" vertical="center"/>
      <protection locked="1" hidden="1"/>
    </xf>
    <xf numFmtId="0" fontId="7" fillId="11" borderId="1" xfId="0" applyFont="1" applyFill="1" applyBorder="1" applyAlignment="1">
      <alignment horizontal="center" vertical="center"/>
      <protection locked="1" hidden="1"/>
    </xf>
    <xf numFmtId="0" fontId="7" fillId="11" borderId="2" xfId="0" applyFont="1" applyFill="1" applyBorder="1" applyAlignment="1">
      <alignment horizontal="center" vertical="center"/>
      <protection locked="1" hidden="1"/>
    </xf>
    <xf numFmtId="0" fontId="7" fillId="11" borderId="3" xfId="0" applyFont="1" applyFill="1" applyBorder="1" applyAlignment="1">
      <alignment horizontal="center" vertical="center"/>
      <protection locked="1" hidden="1"/>
    </xf>
    <xf numFmtId="0" fontId="8" fillId="5" borderId="10" xfId="0" applyFont="1" applyFill="1" applyBorder="1" applyAlignment="1">
      <alignment horizontal="center" vertical="center"/>
      <protection locked="1" hidden="1"/>
    </xf>
    <xf numFmtId="0" fontId="8" fillId="5" borderId="11" xfId="0" applyFont="1" applyFill="1" applyBorder="1" applyAlignment="1">
      <alignment horizontal="center" vertical="center"/>
      <protection locked="1" hidden="1"/>
    </xf>
    <xf numFmtId="0" fontId="8" fillId="5" borderId="11" xfId="0" applyFont="1" applyFill="1" applyBorder="1">
      <alignment vertical="center"/>
      <protection locked="1" hidden="1"/>
    </xf>
    <xf numFmtId="0" fontId="8" fillId="5" borderId="12" xfId="0" applyFont="1" applyFill="1" applyBorder="1">
      <alignment vertical="center"/>
      <protection locked="1" hidden="1"/>
    </xf>
    <xf numFmtId="0" fontId="8" fillId="12" borderId="53" xfId="0" applyFont="1" applyFill="1" applyBorder="1" applyAlignment="1">
      <alignment horizontal="center" vertical="center" wrapText="1"/>
      <protection locked="1" hidden="1"/>
    </xf>
    <xf numFmtId="0" fontId="8" fillId="12" borderId="54" xfId="0" applyFont="1" applyFill="1" applyBorder="1" applyAlignment="1">
      <alignment horizontal="center" vertical="center"/>
      <protection locked="1" hidden="1"/>
    </xf>
    <xf numFmtId="0" fontId="8" fillId="12" borderId="55" xfId="0" applyFont="1" applyFill="1" applyBorder="1" applyAlignment="1">
      <alignment horizontal="center" vertical="center"/>
      <protection locked="1" hidden="1"/>
    </xf>
    <xf numFmtId="0" fontId="1" fillId="13" borderId="53" xfId="0" applyFont="1" applyFill="1" applyBorder="1" applyAlignment="1">
      <alignment horizontal="center" vertical="center" wrapText="1"/>
      <protection locked="1" hidden="1"/>
    </xf>
    <xf numFmtId="0" fontId="1" fillId="13" borderId="54" xfId="0" applyFont="1" applyFill="1" applyBorder="1" applyAlignment="1">
      <alignment horizontal="center" vertical="center"/>
      <protection locked="1" hidden="1"/>
    </xf>
    <xf numFmtId="0" fontId="1" fillId="13" borderId="55" xfId="0" applyFont="1" applyFill="1" applyBorder="1" applyAlignment="1">
      <alignment horizontal="center" vertical="center"/>
      <protection locked="1" hidden="1"/>
    </xf>
    <xf numFmtId="49" fontId="14" fillId="0" borderId="10" xfId="0" applyNumberFormat="1" applyFont="1" applyFill="1" applyBorder="1" applyAlignment="1">
      <alignment horizontal="center" vertical="center"/>
      <protection locked="0" hidden="0"/>
    </xf>
    <xf numFmtId="49" fontId="14" fillId="0" borderId="11" xfId="0" applyNumberFormat="1" applyFont="1" applyFill="1" applyBorder="1" applyAlignment="1">
      <alignment horizontal="center" vertical="center"/>
      <protection locked="0" hidden="0"/>
    </xf>
    <xf numFmtId="49" fontId="8" fillId="0" borderId="11" xfId="0" applyNumberFormat="1" applyFont="1" applyFill="1" applyBorder="1" applyAlignment="1">
      <alignment horizontal="center" vertical="center"/>
      <protection locked="0" hidden="1"/>
    </xf>
    <xf numFmtId="49" fontId="8" fillId="0" borderId="12" xfId="0" applyNumberFormat="1" applyFont="1" applyFill="1" applyBorder="1" applyAlignment="1">
      <alignment horizontal="center" vertical="center"/>
      <protection locked="0" hidden="1"/>
    </xf>
    <xf numFmtId="49" fontId="14" fillId="0" borderId="53" xfId="0" applyNumberFormat="1" applyFont="1" applyFill="1" applyBorder="1" applyAlignment="1">
      <alignment horizontal="center" vertical="center"/>
      <protection locked="0" hidden="0"/>
    </xf>
    <xf numFmtId="49" fontId="14" fillId="0" borderId="54" xfId="0" applyNumberFormat="1" applyFont="1" applyFill="1" applyBorder="1" applyAlignment="1">
      <alignment horizontal="center" vertical="center"/>
      <protection locked="0" hidden="0"/>
    </xf>
    <xf numFmtId="49" fontId="14" fillId="0" borderId="55" xfId="0" applyNumberFormat="1" applyFont="1" applyFill="1" applyBorder="1" applyAlignment="1">
      <alignment horizontal="center" vertical="center"/>
      <protection locked="0" hidden="0"/>
    </xf>
    <xf numFmtId="49" fontId="8" fillId="0" borderId="53" xfId="0" applyNumberFormat="1" applyFont="1" applyFill="1" applyBorder="1" applyAlignment="1">
      <alignment horizontal="center" vertical="center"/>
      <protection locked="0" hidden="1"/>
    </xf>
    <xf numFmtId="49" fontId="8" fillId="0" borderId="54" xfId="0" applyNumberFormat="1" applyFont="1" applyFill="1" applyBorder="1" applyAlignment="1">
      <alignment horizontal="center" vertical="center"/>
      <protection locked="0" hidden="1"/>
    </xf>
    <xf numFmtId="49" fontId="8" fillId="0" borderId="21" xfId="0" applyNumberFormat="1" applyFont="1" applyFill="1" applyBorder="1" applyAlignment="1">
      <alignment horizontal="center" vertical="center"/>
      <protection locked="0" hidden="1"/>
    </xf>
    <xf numFmtId="49" fontId="8" fillId="0" borderId="55" xfId="0" applyNumberFormat="1" applyFont="1" applyFill="1" applyBorder="1" applyAlignment="1">
      <alignment horizontal="center" vertical="center"/>
      <protection locked="0" hidden="1"/>
    </xf>
    <xf numFmtId="0" fontId="1" fillId="4" borderId="52" xfId="0" applyNumberFormat="1" applyFont="1" applyFill="1" applyBorder="1" applyAlignment="1">
      <alignment horizontal="left" vertical="center"/>
      <protection locked="0" hidden="0"/>
    </xf>
    <xf numFmtId="0" fontId="1" fillId="4" borderId="11" xfId="0" applyNumberFormat="1" applyFont="1" applyFill="1" applyBorder="1" applyAlignment="1">
      <alignment horizontal="left" vertical="center"/>
      <protection locked="0" hidden="0"/>
    </xf>
    <xf numFmtId="0" fontId="8" fillId="12" borderId="53" xfId="0" applyFont="1" applyFill="1" applyBorder="1" applyAlignment="1">
      <alignment horizontal="center" vertical="center"/>
      <protection locked="1" hidden="1"/>
    </xf>
    <xf numFmtId="0" fontId="8" fillId="12" borderId="52" xfId="0" applyFont="1" applyFill="1" applyBorder="1" applyAlignment="1">
      <alignment horizontal="center" vertical="center"/>
      <protection locked="1" hidden="1"/>
    </xf>
    <xf numFmtId="0" fontId="8" fillId="12" borderId="21" xfId="0" applyFont="1" applyFill="1" applyBorder="1" applyAlignment="1">
      <alignment horizontal="center" vertical="center"/>
      <protection locked="1" hidden="1"/>
    </xf>
    <xf numFmtId="0" fontId="8" fillId="13" borderId="53" xfId="0" applyFont="1" applyFill="1" applyBorder="1" applyAlignment="1">
      <alignment horizontal="center" vertical="center"/>
    </xf>
    <xf numFmtId="0" fontId="8" fillId="13" borderId="54" xfId="0" applyFont="1" applyFill="1" applyBorder="1" applyAlignment="1">
      <alignment horizontal="center" vertical="center"/>
    </xf>
    <xf numFmtId="0" fontId="8" fillId="13" borderId="21" xfId="0" applyFont="1" applyFill="1" applyBorder="1" applyAlignment="1">
      <alignment horizontal="center" vertical="center"/>
    </xf>
    <xf numFmtId="0" fontId="8" fillId="13" borderId="55" xfId="0" applyFont="1" applyFill="1" applyBorder="1" applyAlignment="1">
      <alignment horizontal="center" vertical="center"/>
    </xf>
    <xf numFmtId="175" fontId="14" fillId="0" borderId="53" xfId="0" applyNumberFormat="1" applyFont="1" applyFill="1" applyBorder="1" applyAlignment="1">
      <alignment horizontal="center" vertical="center"/>
      <protection locked="0" hidden="0"/>
    </xf>
    <xf numFmtId="175" fontId="14" fillId="0" borderId="54" xfId="0" applyNumberFormat="1" applyFont="1" applyFill="1" applyBorder="1" applyAlignment="1">
      <alignment horizontal="center" vertical="center"/>
      <protection locked="0" hidden="0"/>
    </xf>
    <xf numFmtId="175" fontId="14" fillId="0" borderId="52" xfId="0" applyNumberFormat="1" applyFont="1" applyFill="1" applyBorder="1" applyAlignment="1">
      <alignment horizontal="center" vertical="center"/>
      <protection locked="0" hidden="0"/>
    </xf>
    <xf numFmtId="173" fontId="8" fillId="0" borderId="21" xfId="0" applyNumberFormat="1" applyFont="1" applyFill="1" applyBorder="1" applyAlignment="1">
      <alignment horizontal="center" vertical="center"/>
      <protection locked="0" hidden="1"/>
    </xf>
    <xf numFmtId="173" fontId="8" fillId="0" borderId="54" xfId="0" applyNumberFormat="1" applyFont="1" applyFill="1" applyBorder="1" applyAlignment="1">
      <alignment horizontal="center" vertical="center"/>
      <protection locked="0" hidden="1"/>
    </xf>
    <xf numFmtId="173" fontId="8" fillId="0" borderId="55" xfId="0" applyNumberFormat="1" applyFont="1" applyFill="1" applyBorder="1" applyAlignment="1">
      <alignment horizontal="center" vertical="center"/>
      <protection locked="0" hidden="1"/>
    </xf>
    <xf numFmtId="49" fontId="1" fillId="0" borderId="56" xfId="0" applyNumberFormat="1" applyFont="1" applyFill="1" applyBorder="1" applyAlignment="1">
      <alignment horizontal="left" vertical="top"/>
      <protection locked="0" hidden="0"/>
    </xf>
    <xf numFmtId="49" fontId="1" fillId="0" borderId="22" xfId="0" applyNumberFormat="1" applyFont="1" applyFill="1" applyBorder="1" applyAlignment="1">
      <alignment horizontal="left" vertical="top"/>
      <protection locked="0" hidden="0"/>
    </xf>
    <xf numFmtId="49" fontId="1" fillId="0" borderId="57" xfId="0" applyNumberFormat="1" applyFont="1" applyFill="1" applyBorder="1" applyAlignment="1">
      <alignment horizontal="left" vertical="top"/>
      <protection locked="0" hidden="0"/>
    </xf>
    <xf numFmtId="49" fontId="1" fillId="0" borderId="51" xfId="0" applyNumberFormat="1" applyFont="1" applyFill="1" applyBorder="1" applyAlignment="1">
      <alignment horizontal="left" vertical="top"/>
      <protection locked="0" hidden="0"/>
    </xf>
    <xf numFmtId="0" fontId="8" fillId="12" borderId="10" xfId="0" applyFont="1" applyFill="1" applyBorder="1" applyAlignment="1">
      <alignment horizontal="center" vertical="center"/>
    </xf>
    <xf numFmtId="0" fontId="8" fillId="12" borderId="11" xfId="0" applyFont="1" applyFill="1" applyBorder="1" applyAlignment="1">
      <alignment horizontal="center" vertical="center"/>
    </xf>
    <xf numFmtId="0" fontId="8" fillId="12" borderId="12" xfId="0" applyFont="1" applyFill="1" applyBorder="1" applyAlignment="1">
      <alignment horizontal="center" vertical="center"/>
    </xf>
    <xf numFmtId="49" fontId="1" fillId="0" borderId="16" xfId="0" applyNumberFormat="1" applyFont="1" applyFill="1" applyBorder="1" applyAlignment="1">
      <alignment horizontal="left" vertical="top"/>
      <protection locked="0" hidden="0"/>
    </xf>
    <xf numFmtId="49" fontId="1" fillId="0" borderId="0" xfId="0" applyNumberFormat="1" applyFont="1" applyFill="1" applyAlignment="1">
      <alignment horizontal="left" vertical="top"/>
      <protection locked="0" hidden="0"/>
    </xf>
    <xf numFmtId="49" fontId="1" fillId="0" borderId="46" xfId="0" applyNumberFormat="1" applyFont="1" applyFill="1" applyBorder="1" applyAlignment="1">
      <alignment horizontal="left" vertical="top"/>
      <protection locked="0" hidden="0"/>
    </xf>
    <xf numFmtId="49" fontId="1" fillId="0" borderId="17" xfId="0" applyNumberFormat="1" applyFont="1" applyFill="1" applyBorder="1" applyAlignment="1">
      <alignment horizontal="left" vertical="top"/>
      <protection locked="0" hidden="0"/>
    </xf>
    <xf numFmtId="0" fontId="1" fillId="0" borderId="52" xfId="0" applyNumberFormat="1" applyFont="1" applyFill="1" applyBorder="1" applyAlignment="1">
      <alignment horizontal="left" vertical="center"/>
      <protection locked="0" hidden="0"/>
    </xf>
    <xf numFmtId="0" fontId="1" fillId="0" borderId="11" xfId="0" applyNumberFormat="1" applyFont="1" applyFill="1" applyBorder="1" applyAlignment="1">
      <alignment horizontal="left" vertical="center"/>
      <protection locked="0" hidden="0"/>
    </xf>
    <xf numFmtId="0" fontId="1" fillId="0" borderId="52" xfId="0" applyNumberFormat="1" applyFont="1" applyFill="1" applyBorder="1">
      <alignment vertical="center"/>
      <protection locked="0" hidden="0"/>
    </xf>
    <xf numFmtId="0" fontId="1" fillId="0" borderId="11" xfId="0" applyNumberFormat="1" applyFont="1" applyFill="1" applyBorder="1">
      <alignment vertical="center"/>
      <protection locked="0" hidden="0"/>
    </xf>
    <xf numFmtId="49" fontId="1" fillId="0" borderId="30" xfId="0" applyNumberFormat="1" applyFont="1" applyFill="1" applyBorder="1" applyAlignment="1">
      <alignment horizontal="left" vertical="top"/>
      <protection locked="0" hidden="0"/>
    </xf>
    <xf numFmtId="49" fontId="1" fillId="0" borderId="29" xfId="0" applyNumberFormat="1" applyFont="1" applyFill="1" applyBorder="1" applyAlignment="1">
      <alignment horizontal="left" vertical="top"/>
      <protection locked="0" hidden="0"/>
    </xf>
    <xf numFmtId="49" fontId="1" fillId="0" borderId="44" xfId="0" applyNumberFormat="1" applyFont="1" applyFill="1" applyBorder="1" applyAlignment="1">
      <alignment horizontal="left" vertical="top"/>
      <protection locked="0" hidden="0"/>
    </xf>
    <xf numFmtId="49" fontId="1" fillId="0" borderId="31" xfId="0" applyNumberFormat="1" applyFont="1" applyFill="1" applyBorder="1" applyAlignment="1">
      <alignment horizontal="left" vertical="top"/>
      <protection locked="0" hidden="0"/>
    </xf>
    <xf numFmtId="0" fontId="1" fillId="4" borderId="52" xfId="0" applyNumberFormat="1" applyFont="1" applyFill="1" applyBorder="1">
      <alignment vertical="center"/>
      <protection locked="0" hidden="0"/>
    </xf>
    <xf numFmtId="0" fontId="1" fillId="4" borderId="11" xfId="0" applyNumberFormat="1" applyFont="1" applyFill="1" applyBorder="1">
      <alignment vertical="center"/>
      <protection locked="0" hidden="0"/>
    </xf>
    <xf numFmtId="0" fontId="7" fillId="14" borderId="58" xfId="0" applyFont="1" applyFill="1" applyBorder="1" applyAlignment="1">
      <alignment horizontal="center" vertical="center" wrapText="1"/>
    </xf>
    <xf numFmtId="0" fontId="7" fillId="14" borderId="59" xfId="0" applyFont="1" applyFill="1" applyBorder="1" applyAlignment="1">
      <alignment horizontal="center" vertical="center"/>
    </xf>
    <xf numFmtId="0" fontId="7" fillId="14" borderId="60" xfId="0" applyFont="1" applyFill="1" applyBorder="1" applyAlignment="1">
      <alignment horizontal="center" vertical="center"/>
    </xf>
    <xf numFmtId="0" fontId="7" fillId="15" borderId="58" xfId="0" applyFont="1" applyFill="1" applyBorder="1" applyAlignment="1">
      <alignment horizontal="center" vertical="center" wrapText="1"/>
    </xf>
    <xf numFmtId="0" fontId="7" fillId="15" borderId="59" xfId="0" applyFont="1" applyFill="1" applyBorder="1" applyAlignment="1">
      <alignment horizontal="center" vertical="center"/>
    </xf>
    <xf numFmtId="0" fontId="7" fillId="15" borderId="60" xfId="0" applyFont="1" applyFill="1" applyBorder="1" applyAlignment="1">
      <alignment horizontal="center" vertical="center"/>
    </xf>
    <xf numFmtId="0" fontId="8" fillId="16" borderId="56" xfId="0" applyFont="1" applyFill="1" applyBorder="1" applyAlignment="1">
      <alignment horizontal="center" vertical="center" wrapText="1"/>
    </xf>
    <xf numFmtId="0" fontId="8" fillId="16" borderId="22" xfId="0" applyFont="1" applyFill="1" applyBorder="1" applyAlignment="1">
      <alignment horizontal="center" vertical="center"/>
    </xf>
    <xf numFmtId="0" fontId="8" fillId="16" borderId="51" xfId="0" applyFont="1" applyFill="1" applyBorder="1" applyAlignment="1">
      <alignment horizontal="center" vertical="center"/>
    </xf>
    <xf numFmtId="0" fontId="8" fillId="17" borderId="53" xfId="0" applyFont="1" applyFill="1" applyBorder="1" applyAlignment="1">
      <alignment horizontal="center" vertical="center"/>
    </xf>
    <xf numFmtId="0" fontId="8" fillId="17" borderId="54" xfId="0" applyFont="1" applyFill="1" applyBorder="1" applyAlignment="1">
      <alignment horizontal="center" vertical="center"/>
    </xf>
    <xf numFmtId="0" fontId="8" fillId="17" borderId="21" xfId="0" applyFont="1" applyFill="1" applyBorder="1" applyAlignment="1">
      <alignment horizontal="center" vertical="center"/>
    </xf>
    <xf numFmtId="0" fontId="8" fillId="17" borderId="55" xfId="0" applyFont="1" applyFill="1" applyBorder="1" applyAlignment="1">
      <alignment horizontal="center" vertical="center"/>
    </xf>
    <xf numFmtId="49" fontId="8" fillId="0" borderId="61" xfId="0" applyNumberFormat="1" applyFont="1" applyFill="1" applyBorder="1" applyAlignment="1">
      <alignment horizontal="center" vertical="center"/>
      <protection locked="0" hidden="0"/>
    </xf>
    <xf numFmtId="49" fontId="8" fillId="0" borderId="62" xfId="0" applyNumberFormat="1" applyFont="1" applyFill="1" applyBorder="1" applyAlignment="1">
      <alignment horizontal="center" vertical="center"/>
      <protection locked="0" hidden="0"/>
    </xf>
    <xf numFmtId="49" fontId="8" fillId="0" borderId="63" xfId="0" applyNumberFormat="1" applyFont="1" applyFill="1" applyBorder="1" applyAlignment="1">
      <alignment horizontal="center" vertical="center"/>
      <protection locked="0" hidden="0"/>
    </xf>
    <xf numFmtId="49" fontId="8" fillId="0" borderId="25" xfId="0" applyNumberFormat="1" applyFont="1" applyFill="1" applyBorder="1" applyAlignment="1">
      <alignment horizontal="center" vertical="center"/>
      <protection locked="0" hidden="0"/>
    </xf>
    <xf numFmtId="0" fontId="1" fillId="0" borderId="52" xfId="0" applyNumberFormat="1" applyFont="1" applyFill="1" applyBorder="1" applyAlignment="1">
      <alignment vertical="center" wrapText="1"/>
      <protection locked="0" hidden="0"/>
    </xf>
    <xf numFmtId="0" fontId="1" fillId="0" borderId="11" xfId="0" applyNumberFormat="1" applyFont="1" applyFill="1" applyBorder="1" applyAlignment="1">
      <alignment vertical="center" wrapText="1"/>
      <protection locked="0" hidden="0"/>
    </xf>
    <xf numFmtId="0" fontId="7" fillId="2" borderId="1" xfId="0" applyFont="1" applyFill="1" applyBorder="1" applyAlignment="1">
      <alignment horizontal="center" vertical="center" wrapText="1"/>
    </xf>
    <xf numFmtId="0" fontId="23" fillId="4" borderId="2"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23" fillId="4" borderId="11" xfId="0" applyFont="1" applyFill="1" applyBorder="1" applyAlignment="1">
      <alignment horizontal="center" vertical="center" wrapText="1"/>
    </xf>
    <xf numFmtId="0" fontId="23" fillId="4" borderId="12" xfId="0" applyFont="1" applyFill="1" applyBorder="1" applyAlignment="1">
      <alignment horizontal="center" vertical="center" wrapText="1"/>
    </xf>
    <xf numFmtId="0" fontId="28" fillId="4" borderId="11" xfId="0" applyNumberFormat="1" applyFont="1" applyFill="1" applyBorder="1" applyAlignment="1">
      <alignment horizontal="center" vertical="center"/>
      <protection locked="0" hidden="0"/>
    </xf>
    <xf numFmtId="0" fontId="28" fillId="4" borderId="21" xfId="0" applyNumberFormat="1" applyFont="1" applyFill="1" applyBorder="1" applyAlignment="1">
      <alignment horizontal="center" vertical="center"/>
      <protection locked="0" hidden="0"/>
    </xf>
    <xf numFmtId="0" fontId="28" fillId="4" borderId="52" xfId="0" applyNumberFormat="1" applyFont="1" applyFill="1" applyBorder="1" applyAlignment="1">
      <alignment horizontal="center" vertical="center"/>
      <protection locked="0" hidden="0"/>
    </xf>
    <xf numFmtId="0" fontId="14" fillId="0" borderId="11" xfId="0" applyNumberFormat="1" applyFont="1" applyFill="1" applyBorder="1" applyAlignment="1">
      <alignment horizontal="center" vertical="center"/>
    </xf>
    <xf numFmtId="0" fontId="28" fillId="0" borderId="11" xfId="0" applyNumberFormat="1" applyFont="1" applyFill="1" applyBorder="1" applyAlignment="1">
      <alignment horizontal="center" vertical="center"/>
      <protection locked="0" hidden="0"/>
    </xf>
    <xf numFmtId="0" fontId="28" fillId="0" borderId="21" xfId="0" applyNumberFormat="1" applyFont="1" applyFill="1" applyBorder="1" applyAlignment="1">
      <alignment horizontal="center" vertical="center"/>
      <protection locked="0" hidden="0"/>
    </xf>
    <xf numFmtId="0" fontId="28" fillId="0" borderId="52" xfId="0" applyNumberFormat="1" applyFont="1" applyFill="1" applyBorder="1" applyAlignment="1">
      <alignment horizontal="center" vertical="center"/>
      <protection locked="0" hidden="0"/>
    </xf>
    <xf numFmtId="0" fontId="7" fillId="2" borderId="23" xfId="0" applyFont="1" applyFill="1" applyBorder="1" applyAlignment="1">
      <alignment horizontal="center" vertical="center" wrapText="1"/>
    </xf>
    <xf numFmtId="0" fontId="23" fillId="4" borderId="24" xfId="0" applyFont="1" applyFill="1" applyBorder="1" applyAlignment="1">
      <alignment horizontal="center" vertical="center" wrapText="1"/>
    </xf>
    <xf numFmtId="0" fontId="23" fillId="4" borderId="27" xfId="0" applyFont="1" applyFill="1" applyBorder="1" applyAlignment="1">
      <alignment horizontal="center" vertical="center" wrapText="1"/>
    </xf>
    <xf numFmtId="0" fontId="29" fillId="4" borderId="10" xfId="0" applyNumberFormat="1" applyFont="1" applyFill="1" applyBorder="1" applyAlignment="1">
      <alignment horizontal="left" vertical="top" wrapText="1"/>
    </xf>
    <xf numFmtId="0" fontId="29" fillId="4" borderId="11" xfId="0" applyNumberFormat="1" applyFont="1" applyFill="1" applyBorder="1" applyAlignment="1">
      <alignment horizontal="left" vertical="top" wrapText="1"/>
    </xf>
    <xf numFmtId="0" fontId="29" fillId="4" borderId="12" xfId="0" applyNumberFormat="1" applyFont="1" applyFill="1" applyBorder="1" applyAlignment="1">
      <alignment horizontal="left" vertical="top" wrapText="1"/>
    </xf>
    <xf numFmtId="164" fontId="30" fillId="4" borderId="11" xfId="0" applyNumberFormat="1" applyFont="1" applyFill="1" applyBorder="1" applyAlignment="1">
      <alignment horizontal="center" vertical="center"/>
      <protection locked="0" hidden="0"/>
    </xf>
    <xf numFmtId="0" fontId="28" fillId="4" borderId="11" xfId="0" applyNumberFormat="1" applyFont="1" applyFill="1" applyBorder="1" applyAlignment="1">
      <alignment horizontal="right" vertical="center"/>
      <protection locked="0" hidden="0"/>
    </xf>
    <xf numFmtId="0" fontId="28" fillId="4" borderId="21" xfId="0" applyNumberFormat="1" applyFont="1" applyFill="1" applyBorder="1" applyAlignment="1">
      <alignment horizontal="right" vertical="center"/>
      <protection locked="0" hidden="0"/>
    </xf>
    <xf numFmtId="0" fontId="28" fillId="4" borderId="52" xfId="0" applyNumberFormat="1" applyFont="1" applyFill="1" applyBorder="1" applyAlignment="1">
      <alignment horizontal="left" vertical="center"/>
      <protection locked="0" hidden="0"/>
    </xf>
    <xf numFmtId="0" fontId="28" fillId="4" borderId="11" xfId="0" applyNumberFormat="1" applyFont="1" applyFill="1" applyBorder="1" applyAlignment="1">
      <alignment horizontal="left" vertical="center"/>
      <protection locked="0" hidden="0"/>
    </xf>
    <xf numFmtId="164" fontId="30" fillId="0" borderId="11" xfId="0" applyNumberFormat="1" applyFont="1" applyFill="1" applyBorder="1" applyAlignment="1">
      <alignment horizontal="center" vertical="center"/>
      <protection locked="0" hidden="0"/>
    </xf>
    <xf numFmtId="0" fontId="31" fillId="0" borderId="11" xfId="0" applyNumberFormat="1" applyFont="1" applyFill="1" applyBorder="1" applyAlignment="1">
      <alignment horizontal="center" vertical="center"/>
      <protection locked="0" hidden="0"/>
    </xf>
    <xf numFmtId="0" fontId="31" fillId="0" borderId="21" xfId="0" applyNumberFormat="1" applyFont="1" applyFill="1" applyBorder="1" applyAlignment="1">
      <alignment horizontal="center" vertical="center"/>
      <protection locked="0" hidden="0"/>
    </xf>
    <xf numFmtId="0" fontId="31" fillId="0" borderId="52" xfId="0" applyNumberFormat="1" applyFont="1" applyFill="1" applyBorder="1" applyAlignment="1">
      <alignment horizontal="center" vertical="center"/>
      <protection locked="0" hidden="0"/>
    </xf>
    <xf numFmtId="49" fontId="1" fillId="4" borderId="23" xfId="0" applyNumberFormat="1" applyFont="1" applyFill="1" applyBorder="1" applyAlignment="1">
      <alignment horizontal="center" vertical="center"/>
      <protection locked="0" hidden="0"/>
    </xf>
    <xf numFmtId="49" fontId="1" fillId="4" borderId="24" xfId="0" applyNumberFormat="1" applyFont="1" applyFill="1" applyBorder="1" applyAlignment="1">
      <alignment horizontal="center" vertical="center"/>
      <protection locked="0" hidden="0"/>
    </xf>
    <xf numFmtId="164" fontId="23" fillId="4" borderId="24" xfId="0" applyNumberFormat="1" applyFont="1" applyFill="1" applyBorder="1" applyAlignment="1">
      <alignment horizontal="center" vertical="center"/>
    </xf>
    <xf numFmtId="0" fontId="1" fillId="4" borderId="24" xfId="0" applyNumberFormat="1" applyFont="1" applyFill="1" applyBorder="1" applyAlignment="1">
      <alignment horizontal="right" vertical="center"/>
      <protection locked="0" hidden="0"/>
    </xf>
    <xf numFmtId="0" fontId="1" fillId="4" borderId="25" xfId="0" applyNumberFormat="1" applyFont="1" applyFill="1" applyBorder="1" applyAlignment="1">
      <alignment horizontal="right" vertical="center"/>
      <protection locked="0" hidden="0"/>
    </xf>
    <xf numFmtId="0" fontId="1" fillId="4" borderId="26" xfId="0" applyNumberFormat="1" applyFont="1" applyFill="1" applyBorder="1">
      <alignment vertical="center"/>
      <protection locked="0" hidden="0"/>
    </xf>
    <xf numFmtId="0" fontId="1" fillId="4" borderId="24" xfId="0" applyNumberFormat="1" applyFont="1" applyFill="1" applyBorder="1">
      <alignment vertical="center"/>
      <protection locked="0" hidden="0"/>
    </xf>
    <xf numFmtId="0" fontId="1" fillId="4" borderId="24" xfId="0" applyNumberFormat="1" applyFont="1" applyFill="1" applyBorder="1" applyAlignment="1">
      <alignment horizontal="center" vertical="center"/>
    </xf>
    <xf numFmtId="0" fontId="1" fillId="4" borderId="24" xfId="0" applyNumberFormat="1" applyFont="1" applyFill="1" applyBorder="1" applyAlignment="1">
      <alignment horizontal="center" vertical="center"/>
      <protection locked="0" hidden="0"/>
    </xf>
    <xf numFmtId="174" fontId="1" fillId="4" borderId="24" xfId="0" applyNumberFormat="1" applyFont="1" applyFill="1" applyBorder="1" applyAlignment="1">
      <alignment horizontal="center" vertical="center"/>
    </xf>
    <xf numFmtId="0" fontId="1" fillId="4" borderId="25" xfId="0" applyNumberFormat="1" applyFont="1" applyFill="1" applyBorder="1" applyAlignment="1">
      <alignment horizontal="center" vertical="center"/>
    </xf>
    <xf numFmtId="0" fontId="1" fillId="4" borderId="64" xfId="0" applyNumberFormat="1" applyFont="1" applyFill="1" applyBorder="1" applyAlignment="1">
      <alignment horizontal="center" vertical="center"/>
      <protection locked="0" hidden="0"/>
    </xf>
    <xf numFmtId="164" fontId="30" fillId="4" borderId="24" xfId="0" applyNumberFormat="1" applyFont="1" applyFill="1" applyBorder="1" applyAlignment="1">
      <alignment horizontal="center" vertical="center"/>
      <protection locked="0" hidden="0"/>
    </xf>
    <xf numFmtId="0" fontId="31" fillId="4" borderId="24" xfId="0" applyNumberFormat="1" applyFont="1" applyFill="1" applyBorder="1" applyAlignment="1">
      <alignment horizontal="center" vertical="center"/>
      <protection locked="0" hidden="0"/>
    </xf>
    <xf numFmtId="174" fontId="1" fillId="4" borderId="24" xfId="0" applyNumberFormat="1" applyFont="1" applyFill="1" applyBorder="1" applyAlignment="1">
      <alignment horizontal="center" vertical="center"/>
      <protection locked="0" hidden="0"/>
    </xf>
    <xf numFmtId="174" fontId="1" fillId="4" borderId="27" xfId="0" applyNumberFormat="1" applyFont="1" applyFill="1" applyBorder="1" applyAlignment="1">
      <alignment horizontal="center" vertical="center"/>
    </xf>
    <xf numFmtId="0" fontId="32" fillId="0" borderId="0" xfId="0" applyFont="1" applyFill="1" applyAlignment="1">
      <alignment horizontal="left" vertical="center" indent="10"/>
      <protection locked="1" hidden="1"/>
    </xf>
    <xf numFmtId="0" fontId="11" fillId="0" borderId="0" xfId="0" applyFont="1" applyFill="1" applyAlignment="1">
      <alignment horizontal="left" vertical="top"/>
    </xf>
    <xf numFmtId="0" fontId="1" fillId="0" borderId="0" xfId="0" applyFont="1" applyFill="1" applyAlignment="1">
      <alignment horizontal="left" vertical="center"/>
    </xf>
    <xf numFmtId="0" fontId="11" fillId="0" borderId="0" xfId="0" applyNumberFormat="1" applyFont="1" applyFill="1" applyAlignment="1">
      <alignment horizontal="left" vertical="top" wrapText="1"/>
    </xf>
    <xf numFmtId="0" fontId="1" fillId="0" borderId="0" xfId="0" applyFont="1" applyFill="1">
      <alignment vertical="center"/>
    </xf>
    <xf numFmtId="0" fontId="33" fillId="0" borderId="0" xfId="0" applyFont="1" applyFill="1" applyAlignment="1">
      <alignment horizontal="left" vertical="center" indent="10"/>
      <protection locked="1" hidden="1"/>
    </xf>
    <xf numFmtId="0" fontId="22" fillId="18" borderId="10" xfId="0" applyNumberFormat="1" applyFont="1" applyFill="1" applyBorder="1" applyAlignment="1">
      <alignment horizontal="center" vertical="center"/>
    </xf>
    <xf numFmtId="0" fontId="22" fillId="18" borderId="11" xfId="0" applyNumberFormat="1" applyFont="1" applyFill="1" applyBorder="1" applyAlignment="1">
      <alignment horizontal="center" vertical="center"/>
    </xf>
    <xf numFmtId="0" fontId="22" fillId="18" borderId="11" xfId="0" applyFont="1" applyFill="1" applyBorder="1" applyAlignment="1">
      <alignment horizontal="center" vertical="center"/>
    </xf>
    <xf numFmtId="0" fontId="22" fillId="18" borderId="12" xfId="0" applyFont="1" applyFill="1" applyBorder="1" applyAlignment="1">
      <alignment horizontal="center" vertical="center"/>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4" fillId="0" borderId="11" xfId="0" applyFont="1" applyFill="1" applyBorder="1" applyAlignment="1">
      <alignment horizontal="center" vertical="center"/>
      <protection locked="0" hidden="0"/>
    </xf>
    <xf numFmtId="0" fontId="24" fillId="0" borderId="12" xfId="0" applyFont="1" applyFill="1" applyBorder="1" applyAlignment="1">
      <alignment horizontal="center" vertical="center"/>
      <protection locked="0" hidden="0"/>
    </xf>
    <xf numFmtId="0" fontId="32" fillId="0" borderId="0" xfId="0" applyFont="1" applyFill="1" applyBorder="1" applyAlignment="1">
      <alignment horizontal="left" vertical="center" indent="10"/>
      <protection locked="1" hidden="1"/>
    </xf>
    <xf numFmtId="0" fontId="22" fillId="3" borderId="10" xfId="0" applyNumberFormat="1" applyFont="1" applyFill="1" applyBorder="1" applyAlignment="1">
      <alignment horizontal="center" vertical="center"/>
      <protection locked="0" hidden="0"/>
    </xf>
    <xf numFmtId="0" fontId="22" fillId="3" borderId="11" xfId="0" applyNumberFormat="1" applyFont="1" applyFill="1" applyBorder="1" applyAlignment="1">
      <alignment horizontal="center" vertical="center"/>
      <protection locked="0" hidden="0"/>
    </xf>
    <xf numFmtId="0" fontId="22" fillId="3" borderId="11" xfId="0" applyNumberFormat="1" applyFont="1" applyFill="1" applyBorder="1" applyAlignment="1">
      <alignment horizontal="center" vertical="center"/>
    </xf>
    <xf numFmtId="174" fontId="22" fillId="3" borderId="11" xfId="0" applyNumberFormat="1" applyFont="1" applyFill="1" applyBorder="1" applyAlignment="1">
      <alignment horizontal="center" vertical="center"/>
    </xf>
    <xf numFmtId="0" fontId="22" fillId="3" borderId="12" xfId="0" applyNumberFormat="1" applyFont="1" applyFill="1" applyBorder="1" applyAlignment="1">
      <alignment horizontal="center" vertical="center"/>
    </xf>
    <xf numFmtId="0" fontId="22" fillId="0" borderId="10" xfId="0" applyNumberFormat="1" applyFont="1" applyBorder="1" applyAlignment="1">
      <alignment horizontal="center" vertical="center"/>
      <protection locked="0" hidden="0"/>
    </xf>
    <xf numFmtId="0" fontId="22" fillId="0" borderId="11" xfId="0" applyNumberFormat="1" applyFont="1" applyBorder="1" applyAlignment="1">
      <alignment horizontal="center" vertical="center"/>
      <protection locked="0" hidden="0"/>
    </xf>
    <xf numFmtId="0" fontId="22" fillId="0" borderId="11" xfId="0" applyFont="1" applyFill="1" applyBorder="1" applyAlignment="1">
      <alignment horizontal="center" vertical="center"/>
    </xf>
    <xf numFmtId="0" fontId="22" fillId="0" borderId="11" xfId="0" applyNumberFormat="1" applyFont="1" applyBorder="1" applyAlignment="1">
      <alignment horizontal="center" vertical="center" wrapText="1"/>
    </xf>
    <xf numFmtId="0" fontId="22" fillId="0" borderId="11" xfId="0" applyNumberFormat="1" applyFont="1" applyBorder="1" applyAlignment="1">
      <alignment horizontal="center" vertical="center"/>
    </xf>
    <xf numFmtId="0" fontId="22" fillId="0" borderId="12" xfId="0" applyNumberFormat="1" applyFont="1" applyBorder="1" applyAlignment="1">
      <alignment horizontal="center" vertical="center"/>
    </xf>
    <xf numFmtId="0" fontId="22" fillId="3" borderId="11" xfId="0" applyNumberFormat="1" applyFont="1" applyFill="1" applyBorder="1" applyAlignment="1">
      <alignment horizontal="center" vertical="center"/>
    </xf>
    <xf numFmtId="0" fontId="22" fillId="3" borderId="12" xfId="0" applyNumberFormat="1" applyFont="1" applyFill="1" applyBorder="1" applyAlignment="1">
      <alignment horizontal="center" vertical="center"/>
    </xf>
    <xf numFmtId="0" fontId="22" fillId="3" borderId="10"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4" fillId="3" borderId="11" xfId="0" applyFont="1" applyFill="1" applyBorder="1" applyAlignment="1">
      <alignment horizontal="center" vertical="center"/>
      <protection locked="0" hidden="0"/>
    </xf>
    <xf numFmtId="0" fontId="24" fillId="3" borderId="12" xfId="0" applyFont="1" applyFill="1" applyBorder="1" applyAlignment="1">
      <alignment horizontal="center" vertical="center"/>
      <protection locked="0" hidden="0"/>
    </xf>
    <xf numFmtId="0" fontId="1" fillId="0" borderId="0" xfId="0" applyFont="1" applyFill="1" applyBorder="1" applyAlignment="1">
      <alignment horizontal="center" vertical="center"/>
    </xf>
    <xf numFmtId="0" fontId="22" fillId="3" borderId="11" xfId="0" applyNumberFormat="1" applyFont="1" applyFill="1" applyBorder="1" applyAlignment="1">
      <alignment horizontal="center" vertical="center"/>
      <protection locked="0" hidden="1"/>
    </xf>
    <xf numFmtId="0" fontId="22" fillId="3" borderId="12" xfId="0" applyNumberFormat="1" applyFont="1" applyFill="1" applyBorder="1" applyAlignment="1">
      <alignment horizontal="center" vertical="center"/>
      <protection locked="0" hidden="0"/>
    </xf>
    <xf numFmtId="174" fontId="22" fillId="0" borderId="11" xfId="0" applyNumberFormat="1" applyFont="1" applyFill="1" applyBorder="1" applyAlignment="1">
      <alignment horizontal="center" vertical="center"/>
    </xf>
    <xf numFmtId="174" fontId="22" fillId="0" borderId="12" xfId="0" applyNumberFormat="1" applyFont="1" applyFill="1" applyBorder="1" applyAlignment="1">
      <alignment horizontal="center" vertical="center"/>
    </xf>
    <xf numFmtId="0" fontId="1" fillId="19" borderId="0" xfId="0" applyFont="1" applyFill="1" applyAlignment="1">
      <alignment horizontal="center" vertical="center"/>
    </xf>
    <xf numFmtId="0" fontId="22" fillId="0" borderId="23" xfId="0" applyNumberFormat="1" applyFont="1" applyBorder="1" applyAlignment="1">
      <alignment horizontal="center" vertical="center"/>
      <protection locked="0" hidden="0"/>
    </xf>
    <xf numFmtId="0" fontId="22" fillId="0" borderId="24" xfId="0" applyNumberFormat="1" applyFont="1" applyBorder="1" applyAlignment="1">
      <alignment horizontal="center" vertical="center"/>
      <protection locked="0" hidden="0"/>
    </xf>
    <xf numFmtId="0" fontId="22" fillId="0" borderId="24" xfId="0" applyNumberFormat="1" applyFont="1" applyBorder="1" applyAlignment="1">
      <alignment horizontal="center" vertical="center"/>
      <protection locked="0" hidden="1"/>
    </xf>
    <xf numFmtId="0" fontId="22" fillId="0" borderId="24" xfId="0" applyNumberFormat="1" applyFont="1" applyFill="1" applyBorder="1" applyAlignment="1">
      <alignment horizontal="center" vertical="center"/>
      <protection locked="0" hidden="0"/>
    </xf>
    <xf numFmtId="0" fontId="22" fillId="0" borderId="27" xfId="0" applyNumberFormat="1" applyFont="1" applyFill="1" applyBorder="1" applyAlignment="1">
      <alignment horizontal="center" vertical="center"/>
      <protection locked="0" hidden="0"/>
    </xf>
    <xf numFmtId="0" fontId="22" fillId="0" borderId="23" xfId="0" applyFont="1" applyFill="1" applyBorder="1" applyAlignment="1">
      <alignment horizontal="center" vertical="center" wrapText="1"/>
    </xf>
    <xf numFmtId="0" fontId="22" fillId="0" borderId="24" xfId="0" applyFont="1" applyFill="1" applyBorder="1" applyAlignment="1">
      <alignment horizontal="center" vertical="center" wrapText="1"/>
    </xf>
    <xf numFmtId="174" fontId="22" fillId="0" borderId="24" xfId="0" applyNumberFormat="1" applyFont="1" applyFill="1" applyBorder="1" applyAlignment="1">
      <alignment horizontal="center" vertical="center"/>
    </xf>
    <xf numFmtId="174" fontId="22" fillId="0" borderId="27" xfId="0" applyNumberFormat="1" applyFont="1" applyFill="1" applyBorder="1" applyAlignment="1">
      <alignment horizontal="center" vertical="center"/>
    </xf>
    <xf numFmtId="0" fontId="1" fillId="0" borderId="0" xfId="0" applyFont="1" applyFill="1" applyBorder="1">
      <alignment vertical="center"/>
    </xf>
    <xf numFmtId="0" fontId="34" fillId="0" borderId="0" xfId="0" applyFont="1" applyFill="1" applyBorder="1" applyAlignment="1">
      <alignment horizontal="left" vertical="center"/>
    </xf>
    <xf numFmtId="0" fontId="3" fillId="2" borderId="58" xfId="0" applyFont="1" applyFill="1" applyBorder="1" applyAlignment="1">
      <alignment horizontal="center" vertical="center"/>
    </xf>
    <xf numFmtId="0" fontId="3" fillId="2" borderId="59" xfId="0" applyFont="1" applyFill="1" applyBorder="1" applyAlignment="1">
      <alignment horizontal="center" vertical="center"/>
    </xf>
    <xf numFmtId="0" fontId="3" fillId="2" borderId="65" xfId="0" applyFont="1" applyFill="1" applyBorder="1" applyAlignment="1">
      <alignment horizontal="center" vertical="center"/>
    </xf>
    <xf numFmtId="0" fontId="3" fillId="2" borderId="49" xfId="0" applyFont="1" applyFill="1" applyBorder="1" applyAlignment="1">
      <alignment horizontal="center" vertical="center" wrapText="1"/>
    </xf>
    <xf numFmtId="0" fontId="3" fillId="2" borderId="60" xfId="0" applyFont="1" applyFill="1" applyBorder="1" applyAlignment="1">
      <alignment horizontal="center" vertical="center"/>
    </xf>
    <xf numFmtId="0" fontId="22" fillId="20" borderId="10" xfId="0" applyFont="1" applyFill="1" applyBorder="1" applyAlignment="1">
      <alignment horizontal="center" vertical="center"/>
    </xf>
    <xf numFmtId="0" fontId="22" fillId="20" borderId="11" xfId="0" applyFont="1" applyFill="1" applyBorder="1" applyAlignment="1">
      <alignment horizontal="center" vertical="center"/>
    </xf>
    <xf numFmtId="0" fontId="22" fillId="20" borderId="66" xfId="0" applyFont="1" applyFill="1" applyBorder="1" applyAlignment="1">
      <alignment horizontal="center" vertical="center"/>
    </xf>
    <xf numFmtId="0" fontId="22" fillId="20" borderId="52" xfId="0" applyFont="1" applyFill="1" applyBorder="1" applyAlignment="1">
      <alignment horizontal="center" vertical="center"/>
    </xf>
    <xf numFmtId="0" fontId="22" fillId="20" borderId="12" xfId="0" applyFont="1" applyFill="1" applyBorder="1" applyAlignment="1">
      <alignment horizontal="center" vertical="center"/>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22" fillId="4" borderId="11" xfId="0" applyFont="1" applyFill="1" applyBorder="1" applyAlignment="1">
      <alignment horizontal="center" vertical="center" wrapText="1"/>
      <protection locked="0" hidden="0"/>
    </xf>
    <xf numFmtId="0" fontId="24" fillId="4" borderId="19" xfId="0" applyFont="1" applyFill="1" applyBorder="1" applyAlignment="1">
      <alignment horizontal="center" vertical="center" wrapText="1"/>
      <protection locked="0" hidden="0"/>
    </xf>
    <xf numFmtId="0" fontId="24" fillId="4" borderId="51" xfId="0" applyFont="1" applyFill="1" applyBorder="1" applyAlignment="1">
      <alignment horizontal="center" vertical="center" wrapText="1"/>
      <protection locked="0" hidden="0"/>
    </xf>
    <xf numFmtId="0" fontId="29" fillId="4" borderId="23" xfId="0" applyNumberFormat="1" applyFont="1" applyFill="1" applyBorder="1" applyAlignment="1">
      <alignment horizontal="left" vertical="top" wrapText="1"/>
    </xf>
    <xf numFmtId="0" fontId="29" fillId="4" borderId="24" xfId="0" applyNumberFormat="1" applyFont="1" applyFill="1" applyBorder="1" applyAlignment="1">
      <alignment horizontal="left" vertical="top" wrapText="1"/>
    </xf>
    <xf numFmtId="0" fontId="29" fillId="4" borderId="27" xfId="0" applyNumberFormat="1" applyFont="1" applyFill="1" applyBorder="1" applyAlignment="1">
      <alignment horizontal="left" vertical="top" wrapText="1"/>
    </xf>
    <xf numFmtId="0" fontId="22" fillId="3" borderId="10" xfId="0" applyNumberFormat="1" applyFont="1" applyFill="1" applyBorder="1" applyAlignment="1">
      <alignment horizontal="center" vertical="center"/>
    </xf>
    <xf numFmtId="0" fontId="22" fillId="3" borderId="66" xfId="0" applyNumberFormat="1" applyFont="1" applyFill="1" applyBorder="1" applyAlignment="1">
      <alignment horizontal="center" vertical="center"/>
      <protection locked="0" hidden="0"/>
    </xf>
    <xf numFmtId="0" fontId="22" fillId="3" borderId="52" xfId="0" applyNumberFormat="1" applyFont="1" applyFill="1" applyBorder="1" applyAlignment="1">
      <alignment horizontal="center" vertical="center"/>
      <protection locked="0" hidden="0"/>
    </xf>
    <xf numFmtId="0" fontId="22" fillId="3" borderId="11" xfId="0" applyNumberFormat="1" applyFont="1" applyFill="1" applyBorder="1" applyAlignment="1">
      <alignment horizontal="center" vertical="center" wrapText="1"/>
      <protection locked="0" hidden="0"/>
    </xf>
    <xf numFmtId="0" fontId="22" fillId="3" borderId="12" xfId="0" applyNumberFormat="1" applyFont="1" applyFill="1" applyBorder="1" applyAlignment="1">
      <alignment horizontal="center" vertical="center" wrapText="1"/>
      <protection locked="0" hidden="0"/>
    </xf>
    <xf numFmtId="0" fontId="24" fillId="4" borderId="67" xfId="0" applyFont="1" applyFill="1" applyBorder="1" applyAlignment="1">
      <alignment horizontal="center" vertical="center" wrapText="1"/>
      <protection locked="0" hidden="0"/>
    </xf>
    <xf numFmtId="0" fontId="24" fillId="4" borderId="68" xfId="0" applyFont="1" applyFill="1" applyBorder="1" applyAlignment="1">
      <alignment horizontal="center" vertical="center" wrapText="1"/>
      <protection locked="0" hidden="0"/>
    </xf>
    <xf numFmtId="174" fontId="3" fillId="0" borderId="0" xfId="0" applyNumberFormat="1" applyFont="1" applyFill="1" applyBorder="1" applyAlignment="1">
      <alignment horizontal="center" vertical="center"/>
    </xf>
    <xf numFmtId="0" fontId="22" fillId="0" borderId="10" xfId="0" applyFont="1" applyFill="1" applyBorder="1" applyAlignment="1">
      <alignment horizontal="left" vertical="top" wrapText="1"/>
    </xf>
    <xf numFmtId="0" fontId="22" fillId="0" borderId="11" xfId="0" applyFont="1" applyFill="1" applyBorder="1" applyAlignment="1">
      <alignment horizontal="left" vertical="top" wrapText="1"/>
    </xf>
    <xf numFmtId="0" fontId="22" fillId="0" borderId="66" xfId="0" applyFont="1" applyFill="1" applyBorder="1" applyAlignment="1">
      <alignment horizontal="left" vertical="top" wrapText="1"/>
    </xf>
    <xf numFmtId="0" fontId="35" fillId="0" borderId="52" xfId="0" applyFont="1" applyFill="1" applyBorder="1" applyAlignment="1">
      <alignment horizontal="left" vertical="top" wrapText="1"/>
      <protection locked="0" hidden="0"/>
    </xf>
    <xf numFmtId="0" fontId="35" fillId="0" borderId="11" xfId="0" applyFont="1" applyFill="1" applyBorder="1" applyAlignment="1">
      <alignment horizontal="left" vertical="top" wrapText="1"/>
      <protection locked="0" hidden="0"/>
    </xf>
    <xf numFmtId="0" fontId="35" fillId="0" borderId="12" xfId="0" applyFont="1" applyFill="1" applyBorder="1" applyAlignment="1">
      <alignment horizontal="left" vertical="top" wrapText="1"/>
      <protection locked="0" hidden="0"/>
    </xf>
    <xf numFmtId="0" fontId="22" fillId="0" borderId="11" xfId="0" applyFont="1" applyFill="1" applyBorder="1" applyAlignment="1">
      <alignment horizontal="center" vertical="center" wrapText="1"/>
      <protection locked="0" hidden="0"/>
    </xf>
    <xf numFmtId="0" fontId="36" fillId="0" borderId="19" xfId="0" applyFont="1" applyFill="1" applyBorder="1" applyAlignment="1">
      <alignment horizontal="center" vertical="center"/>
      <protection locked="0" hidden="0"/>
    </xf>
    <xf numFmtId="0" fontId="36" fillId="0" borderId="51" xfId="0" applyFont="1" applyFill="1" applyBorder="1" applyAlignment="1">
      <alignment horizontal="center" vertical="center"/>
      <protection locked="0" hidden="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36" fillId="0" borderId="67" xfId="0" applyFont="1" applyFill="1" applyBorder="1" applyAlignment="1">
      <alignment horizontal="center" vertical="center"/>
      <protection locked="0" hidden="0"/>
    </xf>
    <xf numFmtId="0" fontId="36" fillId="0" borderId="68" xfId="0" applyFont="1" applyFill="1" applyBorder="1" applyAlignment="1">
      <alignment horizontal="center" vertical="center"/>
      <protection locked="0" hidden="0"/>
    </xf>
    <xf numFmtId="165" fontId="37" fillId="0" borderId="10" xfId="0" applyNumberFormat="1" applyFont="1" applyFill="1" applyBorder="1" applyAlignment="1">
      <alignment horizontal="center" vertical="center"/>
    </xf>
    <xf numFmtId="165" fontId="37" fillId="0" borderId="11" xfId="0" applyNumberFormat="1" applyFont="1" applyFill="1" applyBorder="1" applyAlignment="1">
      <alignment horizontal="center" vertical="center"/>
    </xf>
    <xf numFmtId="0" fontId="1" fillId="4" borderId="18" xfId="0" applyFont="1" applyFill="1" applyBorder="1" applyAlignment="1">
      <alignment horizontal="center" vertical="center" wrapText="1"/>
    </xf>
    <xf numFmtId="164" fontId="1" fillId="4" borderId="18" xfId="0" applyNumberFormat="1" applyFont="1" applyFill="1" applyBorder="1" applyAlignment="1">
      <alignment horizontal="center" vertical="center" wrapText="1"/>
    </xf>
    <xf numFmtId="0" fontId="1" fillId="4" borderId="20" xfId="0" applyFont="1" applyFill="1" applyBorder="1" applyAlignment="1">
      <alignment horizontal="center" vertical="center" wrapText="1"/>
    </xf>
    <xf numFmtId="0" fontId="22" fillId="3" borderId="11" xfId="0" applyFont="1" applyFill="1" applyBorder="1" applyAlignment="1">
      <alignment horizontal="center" vertical="center" wrapText="1"/>
      <protection locked="0" hidden="0"/>
    </xf>
    <xf numFmtId="0" fontId="36" fillId="3" borderId="11" xfId="0" applyFont="1" applyFill="1" applyBorder="1" applyAlignment="1">
      <alignment horizontal="center" vertical="center"/>
      <protection locked="0" hidden="0"/>
    </xf>
    <xf numFmtId="0" fontId="36" fillId="3" borderId="12" xfId="0" applyFont="1" applyFill="1" applyBorder="1" applyAlignment="1">
      <alignment horizontal="center" vertical="center"/>
      <protection locked="0" hidden="0"/>
    </xf>
    <xf numFmtId="165" fontId="37" fillId="0" borderId="18" xfId="0" applyNumberFormat="1" applyFont="1" applyFill="1" applyBorder="1" applyAlignment="1">
      <alignment horizontal="center" vertical="center"/>
    </xf>
    <xf numFmtId="164" fontId="1" fillId="0" borderId="69" xfId="0" applyNumberFormat="1" applyFont="1" applyFill="1" applyBorder="1" applyAlignment="1">
      <alignment horizontal="center" vertical="center" wrapText="1"/>
    </xf>
    <xf numFmtId="164" fontId="1" fillId="0" borderId="70" xfId="0" applyNumberFormat="1" applyFont="1" applyFill="1" applyBorder="1" applyAlignment="1">
      <alignment horizontal="center" vertical="center" wrapText="1"/>
    </xf>
    <xf numFmtId="165" fontId="37" fillId="0" borderId="14" xfId="0" applyNumberFormat="1" applyFont="1" applyFill="1" applyBorder="1" applyAlignment="1">
      <alignment horizontal="center" vertical="center"/>
    </xf>
    <xf numFmtId="164" fontId="1" fillId="4" borderId="14" xfId="0" applyNumberFormat="1" applyFont="1" applyFill="1" applyBorder="1" applyAlignment="1">
      <alignment horizontal="center" vertical="center" wrapText="1"/>
    </xf>
    <xf numFmtId="164" fontId="1" fillId="4" borderId="15" xfId="0" applyNumberFormat="1" applyFont="1" applyFill="1" applyBorder="1" applyAlignment="1">
      <alignment horizontal="center" vertical="center" wrapText="1"/>
    </xf>
    <xf numFmtId="0" fontId="22" fillId="0" borderId="23" xfId="0" applyFont="1" applyFill="1" applyBorder="1" applyAlignment="1">
      <alignment horizontal="left" vertical="top" wrapText="1"/>
    </xf>
    <xf numFmtId="0" fontId="22" fillId="0" borderId="24" xfId="0" applyFont="1" applyFill="1" applyBorder="1" applyAlignment="1">
      <alignment horizontal="left" vertical="top" wrapText="1"/>
    </xf>
    <xf numFmtId="0" fontId="22" fillId="0" borderId="71" xfId="0" applyFont="1" applyFill="1" applyBorder="1" applyAlignment="1">
      <alignment horizontal="left" vertical="top" wrapText="1"/>
    </xf>
    <xf numFmtId="0" fontId="35" fillId="0" borderId="26" xfId="0" applyFont="1" applyFill="1" applyBorder="1" applyAlignment="1">
      <alignment horizontal="left" vertical="top" wrapText="1"/>
      <protection locked="0" hidden="0"/>
    </xf>
    <xf numFmtId="0" fontId="35" fillId="0" borderId="24" xfId="0" applyFont="1" applyFill="1" applyBorder="1" applyAlignment="1">
      <alignment horizontal="left" vertical="top" wrapText="1"/>
      <protection locked="0" hidden="0"/>
    </xf>
    <xf numFmtId="0" fontId="35" fillId="0" borderId="27" xfId="0" applyFont="1" applyFill="1" applyBorder="1" applyAlignment="1">
      <alignment horizontal="left" vertical="top" wrapText="1"/>
      <protection locked="0" hidden="0"/>
    </xf>
    <xf numFmtId="0" fontId="36" fillId="0" borderId="11" xfId="0" applyFont="1" applyFill="1" applyBorder="1" applyAlignment="1">
      <alignment horizontal="center" vertical="center"/>
      <protection locked="0" hidden="0"/>
    </xf>
    <xf numFmtId="0" fontId="36" fillId="0" borderId="12" xfId="0" applyFont="1" applyFill="1" applyBorder="1" applyAlignment="1">
      <alignment horizontal="center" vertical="center"/>
      <protection locked="0" hidden="0"/>
    </xf>
    <xf numFmtId="0" fontId="8" fillId="21" borderId="53" xfId="0" applyFont="1" applyFill="1" applyBorder="1" applyAlignment="1">
      <alignment horizontal="center" vertical="center"/>
    </xf>
    <xf numFmtId="0" fontId="8" fillId="21" borderId="54" xfId="0" applyFont="1" applyFill="1" applyBorder="1" applyAlignment="1">
      <alignment horizontal="center" vertical="center"/>
    </xf>
    <xf numFmtId="0" fontId="8" fillId="21" borderId="55" xfId="0" applyFont="1" applyFill="1" applyBorder="1" applyAlignment="1">
      <alignment horizontal="center" vertical="center"/>
    </xf>
    <xf numFmtId="0" fontId="29" fillId="4" borderId="56" xfId="0" applyFont="1" applyFill="1" applyBorder="1" applyAlignment="1">
      <alignment horizontal="center" vertical="top" wrapText="1"/>
    </xf>
    <xf numFmtId="0" fontId="29" fillId="4" borderId="22" xfId="0" applyFont="1" applyFill="1" applyBorder="1" applyAlignment="1">
      <alignment horizontal="center" vertical="top" wrapText="1"/>
    </xf>
    <xf numFmtId="0" fontId="29" fillId="4" borderId="51" xfId="0" applyFont="1" applyFill="1" applyBorder="1" applyAlignment="1">
      <alignment horizontal="center" vertical="top" wrapText="1"/>
    </xf>
    <xf numFmtId="0" fontId="1" fillId="5" borderId="10" xfId="0" applyFont="1" applyFill="1" applyBorder="1" applyAlignment="1">
      <alignment horizontal="center" vertical="center"/>
    </xf>
    <xf numFmtId="0" fontId="29" fillId="4" borderId="16" xfId="0" applyFont="1" applyFill="1" applyBorder="1" applyAlignment="1">
      <alignment horizontal="center" vertical="top" wrapText="1"/>
    </xf>
    <xf numFmtId="0" fontId="29" fillId="4" borderId="0" xfId="0" applyFont="1" applyFill="1" applyBorder="1" applyAlignment="1">
      <alignment horizontal="center" vertical="top" wrapText="1"/>
    </xf>
    <xf numFmtId="0" fontId="29" fillId="4" borderId="17" xfId="0" applyFont="1" applyFill="1" applyBorder="1" applyAlignment="1">
      <alignment horizontal="center" vertical="top" wrapText="1"/>
    </xf>
    <xf numFmtId="0" fontId="1" fillId="0" borderId="10" xfId="0" applyFont="1" applyFill="1" applyBorder="1" applyAlignment="1">
      <alignment horizontal="center" vertical="top" wrapText="1"/>
      <protection locked="0" hidden="0"/>
    </xf>
    <xf numFmtId="0" fontId="1" fillId="0" borderId="11" xfId="0" applyFont="1" applyFill="1" applyBorder="1" applyAlignment="1">
      <alignment horizontal="center" vertical="top" wrapText="1"/>
      <protection locked="0" hidden="0"/>
    </xf>
    <xf numFmtId="0" fontId="14" fillId="0" borderId="0" xfId="0" applyFont="1" applyFill="1">
      <alignment vertical="center"/>
    </xf>
    <xf numFmtId="176" fontId="1" fillId="0" borderId="23" xfId="0" applyNumberFormat="1" applyFont="1" applyFill="1" applyBorder="1" applyAlignment="1">
      <alignment horizontal="center" vertical="center"/>
      <protection locked="0" hidden="0"/>
    </xf>
    <xf numFmtId="176" fontId="1" fillId="0" borderId="24" xfId="0" applyNumberFormat="1" applyFont="1" applyFill="1" applyBorder="1" applyAlignment="1">
      <alignment horizontal="center" vertical="center"/>
      <protection locked="0" hidden="0"/>
    </xf>
    <xf numFmtId="176" fontId="1" fillId="0" borderId="27" xfId="0" applyNumberFormat="1" applyFont="1" applyFill="1" applyBorder="1" applyAlignment="1">
      <alignment horizontal="center" vertical="center"/>
      <protection locked="0" hidden="0"/>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72" xfId="0" applyFont="1" applyFill="1" applyBorder="1" applyAlignment="1">
      <alignment horizontal="center" vertical="center"/>
    </xf>
    <xf numFmtId="0" fontId="1" fillId="0" borderId="18" xfId="0" applyFont="1" applyFill="1" applyBorder="1" applyAlignment="1">
      <alignment horizontal="center" vertical="center"/>
    </xf>
    <xf numFmtId="0" fontId="22" fillId="0" borderId="18" xfId="0" applyFont="1" applyFill="1" applyBorder="1" applyAlignment="1">
      <alignment horizontal="center" vertical="center" wrapText="1"/>
      <protection locked="0" hidden="0"/>
    </xf>
    <xf numFmtId="0" fontId="36" fillId="0" borderId="18" xfId="0" applyFont="1" applyFill="1" applyBorder="1" applyAlignment="1">
      <alignment horizontal="center" vertical="center"/>
      <protection locked="0" hidden="0"/>
    </xf>
    <xf numFmtId="0" fontId="36" fillId="0" borderId="20" xfId="0" applyFont="1" applyFill="1" applyBorder="1" applyAlignment="1">
      <alignment horizontal="center" vertical="center"/>
      <protection locked="0" hidden="0"/>
    </xf>
    <xf numFmtId="0" fontId="38" fillId="0" borderId="73" xfId="0" applyFont="1" applyFill="1" applyBorder="1" applyAlignment="1">
      <alignment horizontal="left" vertical="top" wrapText="1"/>
      <protection locked="0" hidden="0"/>
    </xf>
    <xf numFmtId="0" fontId="14" fillId="18" borderId="72" xfId="0" applyFont="1" applyFill="1" applyBorder="1" applyAlignment="1">
      <alignment horizontal="center" vertical="center"/>
    </xf>
    <xf numFmtId="0" fontId="14" fillId="18" borderId="18" xfId="0" applyFont="1" applyFill="1" applyBorder="1" applyAlignment="1">
      <alignment horizontal="center" vertical="center"/>
    </xf>
    <xf numFmtId="0" fontId="14" fillId="18" borderId="57" xfId="0" applyFont="1" applyFill="1" applyBorder="1" applyAlignment="1">
      <alignment horizontal="center" vertical="center"/>
    </xf>
    <xf numFmtId="0" fontId="14" fillId="18" borderId="20" xfId="0" applyFont="1" applyFill="1" applyBorder="1" applyAlignment="1">
      <alignment horizontal="center" vertical="center"/>
    </xf>
    <xf numFmtId="0" fontId="22" fillId="5" borderId="16" xfId="0" applyNumberFormat="1" applyFont="1" applyFill="1" applyBorder="1" applyAlignment="1">
      <alignment horizontal="center" vertical="center" wrapText="1"/>
      <protection locked="0" hidden="0"/>
    </xf>
    <xf numFmtId="0" fontId="22" fillId="5" borderId="0" xfId="0" applyNumberFormat="1" applyFont="1" applyFill="1" applyBorder="1" applyAlignment="1">
      <alignment horizontal="center" vertical="center" wrapText="1"/>
      <protection locked="0" hidden="0"/>
    </xf>
    <xf numFmtId="0" fontId="22" fillId="5" borderId="41" xfId="0" applyNumberFormat="1" applyFont="1" applyFill="1" applyBorder="1" applyAlignment="1">
      <alignment horizontal="center" vertical="center" wrapText="1"/>
      <protection locked="0" hidden="0"/>
    </xf>
    <xf numFmtId="0" fontId="22" fillId="5" borderId="46" xfId="0" applyNumberFormat="1" applyFont="1" applyFill="1" applyBorder="1" applyAlignment="1">
      <alignment horizontal="center" vertical="center" wrapText="1"/>
      <protection locked="0" hidden="0"/>
    </xf>
    <xf numFmtId="0" fontId="22" fillId="0" borderId="41" xfId="0" applyNumberFormat="1" applyFont="1" applyFill="1" applyBorder="1" applyAlignment="1">
      <alignment horizontal="center" vertical="center" wrapText="1"/>
      <protection locked="0" hidden="0"/>
    </xf>
    <xf numFmtId="0" fontId="22" fillId="0" borderId="0" xfId="0" applyNumberFormat="1" applyFont="1" applyFill="1" applyBorder="1" applyAlignment="1">
      <alignment horizontal="center" vertical="center" wrapText="1"/>
      <protection locked="0" hidden="0"/>
    </xf>
    <xf numFmtId="0" fontId="22" fillId="0" borderId="46" xfId="0" applyNumberFormat="1" applyFont="1" applyFill="1" applyBorder="1" applyAlignment="1">
      <alignment horizontal="center" vertical="center" wrapText="1"/>
      <protection locked="0" hidden="0"/>
    </xf>
    <xf numFmtId="0" fontId="22" fillId="0" borderId="17" xfId="0" applyNumberFormat="1" applyFont="1" applyFill="1" applyBorder="1" applyAlignment="1">
      <alignment horizontal="center" vertical="center" wrapText="1"/>
      <protection locked="0" hidden="0"/>
    </xf>
    <xf numFmtId="0" fontId="22" fillId="18" borderId="16" xfId="0" applyNumberFormat="1" applyFont="1" applyFill="1" applyBorder="1" applyAlignment="1">
      <alignment horizontal="center" vertical="center" wrapText="1"/>
      <protection locked="0" hidden="0"/>
    </xf>
    <xf numFmtId="0" fontId="22" fillId="18" borderId="0" xfId="0" applyNumberFormat="1" applyFont="1" applyFill="1" applyBorder="1" applyAlignment="1">
      <alignment horizontal="center" vertical="center" wrapText="1"/>
      <protection locked="0" hidden="0"/>
    </xf>
    <xf numFmtId="0" fontId="22" fillId="18" borderId="41" xfId="0" applyNumberFormat="1" applyFont="1" applyFill="1" applyBorder="1" applyAlignment="1">
      <alignment horizontal="center" vertical="center" wrapText="1"/>
      <protection locked="0" hidden="0"/>
    </xf>
    <xf numFmtId="0" fontId="22" fillId="18" borderId="46" xfId="0" applyNumberFormat="1" applyFont="1" applyFill="1" applyBorder="1" applyAlignment="1">
      <alignment horizontal="center" vertical="center" wrapText="1"/>
      <protection locked="0" hidden="0"/>
    </xf>
    <xf numFmtId="0" fontId="22" fillId="3" borderId="41" xfId="0" applyNumberFormat="1" applyFont="1" applyFill="1" applyBorder="1" applyAlignment="1">
      <alignment horizontal="center" vertical="center" wrapText="1"/>
      <protection locked="0" hidden="0"/>
    </xf>
    <xf numFmtId="0" fontId="22" fillId="3" borderId="0" xfId="0" applyNumberFormat="1" applyFont="1" applyFill="1" applyBorder="1" applyAlignment="1">
      <alignment horizontal="center" vertical="center" wrapText="1"/>
      <protection locked="0" hidden="0"/>
    </xf>
    <xf numFmtId="0" fontId="22" fillId="3" borderId="46" xfId="0" applyNumberFormat="1" applyFont="1" applyFill="1" applyBorder="1" applyAlignment="1">
      <alignment horizontal="center" vertical="center" wrapText="1"/>
      <protection locked="0" hidden="0"/>
    </xf>
    <xf numFmtId="0" fontId="22" fillId="3" borderId="17" xfId="0" applyNumberFormat="1" applyFont="1" applyFill="1" applyBorder="1" applyAlignment="1">
      <alignment horizontal="center" vertical="center" wrapText="1"/>
      <protection locked="0" hidden="0"/>
    </xf>
    <xf numFmtId="0" fontId="1" fillId="0" borderId="17" xfId="0" applyFont="1" applyFill="1" applyBorder="1" applyAlignment="1">
      <alignment horizontal="center" vertical="center"/>
    </xf>
    <xf numFmtId="0" fontId="1" fillId="5" borderId="16" xfId="0" applyFont="1" applyFill="1" applyBorder="1" applyAlignment="1">
      <alignment horizontal="center" vertical="center"/>
      <protection locked="0" hidden="0"/>
    </xf>
    <xf numFmtId="0" fontId="1" fillId="5" borderId="0" xfId="0" applyFont="1" applyFill="1" applyBorder="1" applyAlignment="1">
      <alignment horizontal="center" vertical="center"/>
      <protection locked="0" hidden="0"/>
    </xf>
    <xf numFmtId="0" fontId="1" fillId="5" borderId="41" xfId="0" applyFont="1" applyFill="1" applyBorder="1" applyAlignment="1">
      <alignment horizontal="center" vertical="center"/>
      <protection locked="0" hidden="0"/>
    </xf>
    <xf numFmtId="0" fontId="1" fillId="5" borderId="46" xfId="0" applyFont="1" applyFill="1" applyBorder="1" applyAlignment="1">
      <alignment horizontal="center" vertical="center"/>
      <protection locked="0" hidden="0"/>
    </xf>
    <xf numFmtId="0" fontId="1" fillId="0" borderId="41" xfId="0" applyFont="1" applyFill="1" applyBorder="1" applyAlignment="1">
      <alignment horizontal="center" vertical="center"/>
      <protection locked="0" hidden="0"/>
    </xf>
    <xf numFmtId="0" fontId="1" fillId="0" borderId="0" xfId="0" applyFont="1" applyFill="1" applyBorder="1" applyAlignment="1">
      <alignment horizontal="center" vertical="center"/>
      <protection locked="0" hidden="0"/>
    </xf>
    <xf numFmtId="0" fontId="1" fillId="0" borderId="46" xfId="0" applyFont="1" applyFill="1" applyBorder="1" applyAlignment="1">
      <alignment horizontal="center" vertical="center"/>
      <protection locked="0" hidden="0"/>
    </xf>
    <xf numFmtId="0" fontId="1" fillId="0" borderId="17" xfId="0" applyFont="1" applyFill="1" applyBorder="1" applyAlignment="1">
      <alignment horizontal="center" vertical="center"/>
      <protection locked="0" hidden="0"/>
    </xf>
    <xf numFmtId="0" fontId="1" fillId="5" borderId="30" xfId="0" applyFont="1" applyFill="1" applyBorder="1" applyAlignment="1">
      <alignment horizontal="center" vertical="center"/>
      <protection locked="0" hidden="0"/>
    </xf>
    <xf numFmtId="0" fontId="1" fillId="5" borderId="29" xfId="0" applyFont="1" applyFill="1" applyBorder="1" applyAlignment="1">
      <alignment horizontal="center" vertical="center"/>
      <protection locked="0" hidden="0"/>
    </xf>
    <xf numFmtId="0" fontId="1" fillId="5" borderId="28" xfId="0" applyFont="1" applyFill="1" applyBorder="1" applyAlignment="1">
      <alignment horizontal="center" vertical="center"/>
      <protection locked="0" hidden="0"/>
    </xf>
    <xf numFmtId="0" fontId="1" fillId="5" borderId="44" xfId="0" applyFont="1" applyFill="1" applyBorder="1" applyAlignment="1">
      <alignment horizontal="center" vertical="center"/>
      <protection locked="0" hidden="0"/>
    </xf>
    <xf numFmtId="0" fontId="1" fillId="0" borderId="28" xfId="0" applyFont="1" applyFill="1" applyBorder="1" applyAlignment="1">
      <alignment horizontal="center" vertical="center"/>
      <protection locked="0" hidden="0"/>
    </xf>
    <xf numFmtId="0" fontId="1" fillId="0" borderId="29" xfId="0" applyFont="1" applyFill="1" applyBorder="1" applyAlignment="1">
      <alignment horizontal="center" vertical="center"/>
      <protection locked="0" hidden="0"/>
    </xf>
    <xf numFmtId="0" fontId="1" fillId="0" borderId="44" xfId="0" applyFont="1" applyFill="1" applyBorder="1" applyAlignment="1">
      <alignment horizontal="center" vertical="center"/>
      <protection locked="0" hidden="0"/>
    </xf>
    <xf numFmtId="0" fontId="1" fillId="0" borderId="31" xfId="0" applyFont="1" applyFill="1" applyBorder="1" applyAlignment="1">
      <alignment horizontal="center" vertical="center"/>
      <protection locked="0" hidden="0"/>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49" fontId="1" fillId="20" borderId="72" xfId="0" applyNumberFormat="1" applyFont="1" applyFill="1" applyBorder="1" applyAlignment="1">
      <alignment horizontal="center" vertical="top" wrapText="1"/>
    </xf>
    <xf numFmtId="49" fontId="1" fillId="20" borderId="18" xfId="0" applyNumberFormat="1" applyFont="1" applyFill="1" applyBorder="1" applyAlignment="1">
      <alignment horizontal="center" vertical="top" wrapText="1"/>
    </xf>
    <xf numFmtId="49" fontId="1" fillId="20" borderId="57" xfId="0" applyNumberFormat="1" applyFont="1" applyFill="1" applyBorder="1" applyAlignment="1">
      <alignment horizontal="center" vertical="top"/>
    </xf>
    <xf numFmtId="49" fontId="1" fillId="20" borderId="18" xfId="0" applyNumberFormat="1" applyFont="1" applyFill="1" applyBorder="1" applyAlignment="1">
      <alignment horizontal="center" vertical="top"/>
    </xf>
    <xf numFmtId="49" fontId="1" fillId="20" borderId="20" xfId="0" applyNumberFormat="1" applyFont="1" applyFill="1" applyBorder="1" applyAlignment="1">
      <alignment horizontal="center" vertical="top"/>
    </xf>
    <xf numFmtId="0" fontId="1" fillId="22" borderId="53" xfId="0" applyFont="1" applyFill="1" applyBorder="1" applyAlignment="1">
      <alignment horizontal="center" vertical="center"/>
    </xf>
    <xf numFmtId="0" fontId="1" fillId="22" borderId="54" xfId="0" applyFont="1" applyFill="1" applyBorder="1" applyAlignment="1">
      <alignment horizontal="center" vertical="center"/>
    </xf>
    <xf numFmtId="0" fontId="1" fillId="22" borderId="52" xfId="0" applyFont="1" applyFill="1" applyBorder="1" applyAlignment="1">
      <alignment horizontal="center" vertical="center"/>
    </xf>
    <xf numFmtId="0" fontId="1" fillId="22" borderId="55" xfId="0" applyFont="1" applyFill="1" applyBorder="1" applyAlignment="1">
      <alignment horizontal="center" vertical="center"/>
    </xf>
    <xf numFmtId="49" fontId="1" fillId="0" borderId="16" xfId="0" applyNumberFormat="1" applyFont="1" applyFill="1" applyBorder="1" applyAlignment="1">
      <alignment horizontal="center" vertical="center" wrapText="1"/>
      <protection locked="0" hidden="0"/>
    </xf>
    <xf numFmtId="49" fontId="1" fillId="0" borderId="0" xfId="0" applyNumberFormat="1" applyFont="1" applyFill="1" applyBorder="1" applyAlignment="1">
      <alignment horizontal="center" vertical="center" wrapText="1"/>
      <protection locked="0" hidden="0"/>
    </xf>
    <xf numFmtId="49" fontId="1" fillId="0" borderId="46" xfId="0" applyNumberFormat="1" applyFont="1" applyFill="1" applyBorder="1" applyAlignment="1">
      <alignment horizontal="center" vertical="center" wrapText="1"/>
      <protection locked="0" hidden="0"/>
    </xf>
    <xf numFmtId="49" fontId="1" fillId="0" borderId="17" xfId="0" applyNumberFormat="1" applyFont="1" applyFill="1" applyBorder="1" applyAlignment="1">
      <alignment horizontal="center" vertical="center" wrapText="1"/>
      <protection locked="0" hidden="0"/>
    </xf>
    <xf numFmtId="0" fontId="8" fillId="5" borderId="74" xfId="1" applyFont="1" applyFill="1" applyBorder="1" applyAlignment="1">
      <alignment horizontal="center" vertical="center"/>
    </xf>
    <xf numFmtId="0" fontId="8" fillId="5" borderId="75" xfId="1" applyFont="1" applyFill="1" applyBorder="1" applyAlignment="1">
      <alignment horizontal="center" vertical="center"/>
    </xf>
    <xf numFmtId="0" fontId="8" fillId="5" borderId="76" xfId="1" applyFont="1" applyFill="1" applyBorder="1" applyAlignment="1">
      <alignment horizontal="center" vertical="center"/>
    </xf>
    <xf numFmtId="0" fontId="8" fillId="5" borderId="77" xfId="1" applyFont="1" applyFill="1" applyBorder="1" applyAlignment="1">
      <alignment horizontal="center" vertical="center"/>
    </xf>
    <xf numFmtId="0" fontId="1" fillId="5" borderId="67" xfId="0" applyFont="1" applyFill="1" applyBorder="1" applyAlignment="1">
      <alignment horizontal="center" vertical="center"/>
    </xf>
    <xf numFmtId="0" fontId="1" fillId="5" borderId="75" xfId="0" applyFont="1" applyFill="1" applyBorder="1" applyAlignment="1">
      <alignment horizontal="center" vertical="center"/>
    </xf>
    <xf numFmtId="0" fontId="1" fillId="5" borderId="76" xfId="0" applyFont="1" applyFill="1" applyBorder="1" applyAlignment="1">
      <alignment horizontal="center" vertical="center"/>
    </xf>
    <xf numFmtId="0" fontId="1" fillId="5" borderId="68" xfId="0" applyFont="1" applyFill="1" applyBorder="1" applyAlignment="1">
      <alignment horizontal="center" vertical="center"/>
    </xf>
    <xf numFmtId="49" fontId="1" fillId="3" borderId="16" xfId="0" applyNumberFormat="1" applyFont="1" applyFill="1" applyBorder="1" applyAlignment="1">
      <alignment horizontal="center" vertical="center" wrapText="1"/>
      <protection locked="0" hidden="0"/>
    </xf>
    <xf numFmtId="49" fontId="1" fillId="3" borderId="0" xfId="0" applyNumberFormat="1" applyFont="1" applyFill="1" applyBorder="1" applyAlignment="1">
      <alignment horizontal="center" vertical="center" wrapText="1"/>
      <protection locked="0" hidden="0"/>
    </xf>
    <xf numFmtId="49" fontId="1" fillId="3" borderId="46" xfId="0" applyNumberFormat="1" applyFont="1" applyFill="1" applyBorder="1" applyAlignment="1">
      <alignment horizontal="center" vertical="center" wrapText="1"/>
      <protection locked="0" hidden="0"/>
    </xf>
    <xf numFmtId="49" fontId="1" fillId="3" borderId="17" xfId="0" applyNumberFormat="1" applyFont="1" applyFill="1" applyBorder="1" applyAlignment="1">
      <alignment horizontal="center" vertical="center" wrapText="1"/>
      <protection locked="0" hidden="0"/>
    </xf>
    <xf numFmtId="49" fontId="10" fillId="3" borderId="0" xfId="0" applyNumberFormat="1" applyFont="1" applyFill="1" applyBorder="1" applyAlignment="1">
      <alignment horizontal="center" vertical="center" wrapText="1"/>
      <protection locked="0" hidden="0"/>
    </xf>
    <xf numFmtId="49" fontId="10" fillId="3" borderId="78" xfId="0" applyNumberFormat="1" applyFont="1" applyFill="1" applyBorder="1" applyAlignment="1">
      <alignment horizontal="center" vertical="center" wrapText="1"/>
      <protection locked="0" hidden="0"/>
    </xf>
    <xf numFmtId="49" fontId="10" fillId="3" borderId="41" xfId="0" applyNumberFormat="1" applyFont="1" applyFill="1" applyBorder="1" applyAlignment="1">
      <alignment horizontal="center" vertical="center" wrapText="1"/>
      <protection locked="0" hidden="0"/>
    </xf>
    <xf numFmtId="49" fontId="10" fillId="3" borderId="46" xfId="0" applyNumberFormat="1" applyFont="1" applyFill="1" applyBorder="1" applyAlignment="1">
      <alignment horizontal="center" vertical="center" wrapText="1"/>
      <protection locked="0" hidden="0"/>
    </xf>
    <xf numFmtId="49" fontId="10" fillId="0" borderId="0" xfId="0" applyNumberFormat="1" applyFont="1" applyFill="1" applyBorder="1" applyAlignment="1">
      <alignment horizontal="center" vertical="center" wrapText="1"/>
      <protection locked="0" hidden="0"/>
    </xf>
    <xf numFmtId="49" fontId="10" fillId="0" borderId="78" xfId="0" applyNumberFormat="1" applyFont="1" applyFill="1" applyBorder="1" applyAlignment="1">
      <alignment horizontal="center" vertical="center" wrapText="1"/>
      <protection locked="0" hidden="0"/>
    </xf>
    <xf numFmtId="49" fontId="10" fillId="0" borderId="41" xfId="0" applyNumberFormat="1" applyFont="1" applyFill="1" applyBorder="1" applyAlignment="1">
      <alignment horizontal="center" vertical="center" wrapText="1"/>
      <protection locked="0" hidden="0"/>
    </xf>
    <xf numFmtId="49" fontId="10" fillId="0" borderId="46" xfId="0" applyNumberFormat="1" applyFont="1" applyFill="1" applyBorder="1" applyAlignment="1">
      <alignment horizontal="center" vertical="center" wrapText="1"/>
      <protection locked="0" hidden="0"/>
    </xf>
    <xf numFmtId="49" fontId="22" fillId="3" borderId="0" xfId="0" applyNumberFormat="1" applyFont="1" applyFill="1" applyBorder="1" applyAlignment="1">
      <alignment horizontal="center" vertical="center" wrapText="1"/>
      <protection locked="0" hidden="0"/>
    </xf>
    <xf numFmtId="49" fontId="22" fillId="3" borderId="78" xfId="0" applyNumberFormat="1" applyFont="1" applyFill="1" applyBorder="1" applyAlignment="1">
      <alignment horizontal="center" vertical="center" wrapText="1"/>
      <protection locked="0" hidden="0"/>
    </xf>
    <xf numFmtId="49" fontId="22" fillId="3" borderId="41" xfId="0" applyNumberFormat="1" applyFont="1" applyFill="1" applyBorder="1" applyAlignment="1">
      <alignment horizontal="center" vertical="center" wrapText="1"/>
      <protection locked="0" hidden="0"/>
    </xf>
    <xf numFmtId="49" fontId="22" fillId="3" borderId="46" xfId="0" applyNumberFormat="1" applyFont="1" applyFill="1" applyBorder="1" applyAlignment="1">
      <alignment horizontal="center" vertical="center" wrapText="1"/>
      <protection locked="0" hidden="0"/>
    </xf>
    <xf numFmtId="49" fontId="22" fillId="0" borderId="0" xfId="0" applyNumberFormat="1" applyFont="1" applyFill="1" applyBorder="1" applyAlignment="1">
      <alignment horizontal="center" vertical="center" wrapText="1"/>
      <protection locked="0" hidden="0"/>
    </xf>
    <xf numFmtId="49" fontId="22" fillId="0" borderId="78" xfId="0" applyNumberFormat="1" applyFont="1" applyFill="1" applyBorder="1" applyAlignment="1">
      <alignment horizontal="center" vertical="center" wrapText="1"/>
      <protection locked="0" hidden="0"/>
    </xf>
    <xf numFmtId="49" fontId="22" fillId="0" borderId="41" xfId="0" applyNumberFormat="1" applyFont="1" applyFill="1" applyBorder="1" applyAlignment="1">
      <alignment horizontal="center" vertical="center" wrapText="1"/>
      <protection locked="0" hidden="0"/>
    </xf>
    <xf numFmtId="49" fontId="22" fillId="0" borderId="46" xfId="0" applyNumberFormat="1" applyFont="1" applyFill="1" applyBorder="1" applyAlignment="1">
      <alignment horizontal="center" vertical="center" wrapText="1"/>
      <protection locked="0" hidden="0"/>
    </xf>
    <xf numFmtId="0" fontId="1" fillId="0" borderId="0" xfId="0" applyFont="1" applyFill="1" applyAlignment="1">
      <alignment horizontal="center" vertical="center"/>
    </xf>
    <xf numFmtId="0" fontId="29" fillId="4" borderId="30" xfId="0" applyFont="1" applyFill="1" applyBorder="1" applyAlignment="1">
      <alignment horizontal="center" vertical="top" wrapText="1"/>
    </xf>
    <xf numFmtId="0" fontId="29" fillId="4" borderId="29" xfId="0" applyFont="1" applyFill="1" applyBorder="1" applyAlignment="1">
      <alignment horizontal="center" vertical="top" wrapText="1"/>
    </xf>
    <xf numFmtId="0" fontId="29" fillId="4" borderId="31" xfId="0" applyFont="1" applyFill="1" applyBorder="1" applyAlignment="1">
      <alignment horizontal="center" vertical="top" wrapText="1"/>
    </xf>
    <xf numFmtId="0" fontId="8" fillId="21" borderId="58" xfId="0" applyFont="1" applyFill="1" applyBorder="1" applyAlignment="1">
      <alignment horizontal="center" vertical="center"/>
    </xf>
    <xf numFmtId="0" fontId="8" fillId="21" borderId="59" xfId="0" applyFont="1" applyFill="1" applyBorder="1" applyAlignment="1">
      <alignment horizontal="center" vertical="center"/>
    </xf>
    <xf numFmtId="0" fontId="8" fillId="21" borderId="60" xfId="0" applyFont="1" applyFill="1" applyBorder="1" applyAlignment="1">
      <alignment horizontal="center" vertical="center"/>
    </xf>
    <xf numFmtId="0" fontId="39" fillId="4" borderId="56" xfId="0" applyFont="1" applyFill="1" applyBorder="1" applyAlignment="1">
      <alignment horizontal="left" vertical="top" wrapText="1"/>
    </xf>
    <xf numFmtId="0" fontId="39" fillId="4" borderId="22" xfId="0" applyFont="1" applyFill="1" applyBorder="1" applyAlignment="1">
      <alignment horizontal="left" vertical="top" wrapText="1"/>
    </xf>
    <xf numFmtId="0" fontId="39" fillId="4" borderId="51" xfId="0" applyFont="1" applyFill="1" applyBorder="1" applyAlignment="1">
      <alignment horizontal="left" vertical="top" wrapText="1"/>
    </xf>
    <xf numFmtId="0" fontId="39" fillId="4" borderId="16" xfId="0" applyFont="1" applyFill="1" applyBorder="1" applyAlignment="1">
      <alignment horizontal="left" vertical="top" wrapText="1"/>
    </xf>
    <xf numFmtId="0" fontId="39" fillId="4" borderId="0" xfId="0" applyFont="1" applyFill="1" applyBorder="1" applyAlignment="1">
      <alignment horizontal="left" vertical="top" wrapText="1"/>
    </xf>
    <xf numFmtId="0" fontId="39" fillId="4" borderId="17" xfId="0" applyFont="1" applyFill="1" applyBorder="1" applyAlignment="1">
      <alignment horizontal="left" vertical="top" wrapText="1"/>
    </xf>
    <xf numFmtId="49" fontId="1" fillId="3" borderId="30" xfId="0" applyNumberFormat="1" applyFont="1" applyFill="1" applyBorder="1" applyAlignment="1">
      <alignment horizontal="center" vertical="center" wrapText="1"/>
      <protection locked="0" hidden="0"/>
    </xf>
    <xf numFmtId="49" fontId="1" fillId="3" borderId="29" xfId="0" applyNumberFormat="1" applyFont="1" applyFill="1" applyBorder="1" applyAlignment="1">
      <alignment horizontal="center" vertical="center" wrapText="1"/>
      <protection locked="0" hidden="0"/>
    </xf>
    <xf numFmtId="49" fontId="1" fillId="3" borderId="44" xfId="0" applyNumberFormat="1" applyFont="1" applyFill="1" applyBorder="1" applyAlignment="1">
      <alignment horizontal="center" vertical="center" wrapText="1"/>
      <protection locked="0" hidden="0"/>
    </xf>
    <xf numFmtId="49" fontId="22" fillId="3" borderId="29" xfId="0" applyNumberFormat="1" applyFont="1" applyFill="1" applyBorder="1" applyAlignment="1">
      <alignment horizontal="center" vertical="center" wrapText="1"/>
      <protection locked="0" hidden="0"/>
    </xf>
    <xf numFmtId="49" fontId="22" fillId="3" borderId="28" xfId="0" applyNumberFormat="1" applyFont="1" applyFill="1" applyBorder="1" applyAlignment="1">
      <alignment horizontal="center" vertical="center" wrapText="1"/>
      <protection locked="0" hidden="0"/>
    </xf>
    <xf numFmtId="49" fontId="22" fillId="3" borderId="44" xfId="0" applyNumberFormat="1" applyFont="1" applyFill="1" applyBorder="1" applyAlignment="1">
      <alignment horizontal="center" vertical="center" wrapText="1"/>
      <protection locked="0" hidden="0"/>
    </xf>
    <xf numFmtId="49" fontId="1" fillId="3" borderId="31" xfId="0" applyNumberFormat="1" applyFont="1" applyFill="1" applyBorder="1" applyAlignment="1">
      <alignment horizontal="center" vertical="center" wrapText="1"/>
      <protection locked="0" hidden="0"/>
    </xf>
    <xf numFmtId="0" fontId="13" fillId="0" borderId="0" xfId="0" applyFont="1">
      <alignment vertical="center"/>
    </xf>
    <xf numFmtId="49" fontId="1" fillId="3" borderId="74" xfId="0" applyNumberFormat="1" applyFont="1" applyFill="1" applyBorder="1" applyAlignment="1">
      <alignment horizontal="center" vertical="center" wrapText="1"/>
      <protection locked="0" hidden="0"/>
    </xf>
    <xf numFmtId="49" fontId="1" fillId="3" borderId="75" xfId="0" applyNumberFormat="1" applyFont="1" applyFill="1" applyBorder="1" applyAlignment="1">
      <alignment horizontal="center" vertical="center" wrapText="1"/>
      <protection locked="0" hidden="0"/>
    </xf>
    <xf numFmtId="49" fontId="1" fillId="3" borderId="76" xfId="0" applyNumberFormat="1" applyFont="1" applyFill="1" applyBorder="1" applyAlignment="1">
      <alignment horizontal="center" vertical="center" wrapText="1"/>
      <protection locked="0" hidden="0"/>
    </xf>
    <xf numFmtId="49" fontId="1" fillId="3" borderId="68" xfId="0" applyNumberFormat="1" applyFont="1" applyFill="1" applyBorder="1" applyAlignment="1">
      <alignment horizontal="center" vertical="center" wrapText="1"/>
      <protection locked="0" hidden="0"/>
    </xf>
    <xf numFmtId="0" fontId="3" fillId="2" borderId="7" xfId="2" applyFont="1" applyFill="1" applyBorder="1" applyAlignment="1">
      <alignment horizontal="center" vertical="center"/>
    </xf>
    <xf numFmtId="0" fontId="3" fillId="2" borderId="8" xfId="2" applyFont="1" applyFill="1" applyBorder="1" applyAlignment="1">
      <alignment horizontal="center" vertical="center"/>
    </xf>
    <xf numFmtId="0" fontId="3" fillId="2" borderId="9" xfId="2" applyFont="1" applyFill="1" applyBorder="1" applyAlignment="1">
      <alignment horizontal="center" vertical="center"/>
    </xf>
    <xf numFmtId="49" fontId="1" fillId="0" borderId="13" xfId="0" applyNumberFormat="1" applyFont="1" applyFill="1" applyBorder="1" applyAlignment="1">
      <alignment horizontal="center" vertical="center" wrapText="1"/>
      <protection locked="0" hidden="0"/>
    </xf>
    <xf numFmtId="49" fontId="1" fillId="0" borderId="14" xfId="0" applyNumberFormat="1" applyFont="1" applyFill="1" applyBorder="1" applyAlignment="1">
      <alignment horizontal="center" vertical="center" wrapText="1"/>
      <protection locked="0" hidden="0"/>
    </xf>
    <xf numFmtId="49" fontId="1" fillId="0" borderId="67" xfId="0" applyNumberFormat="1" applyFont="1" applyFill="1" applyBorder="1" applyAlignment="1">
      <alignment horizontal="center" vertical="center" wrapText="1"/>
      <protection locked="0" hidden="0"/>
    </xf>
    <xf numFmtId="49" fontId="8" fillId="0" borderId="76" xfId="0" applyNumberFormat="1" applyFont="1" applyFill="1" applyBorder="1" applyAlignment="1">
      <alignment horizontal="center" vertical="center" wrapText="1"/>
      <protection locked="0" hidden="0"/>
    </xf>
    <xf numFmtId="49" fontId="8" fillId="0" borderId="14" xfId="0" applyNumberFormat="1" applyFont="1" applyFill="1" applyBorder="1" applyAlignment="1">
      <alignment horizontal="center" vertical="center" wrapText="1"/>
      <protection locked="0" hidden="0"/>
    </xf>
    <xf numFmtId="0" fontId="22" fillId="0" borderId="76" xfId="0" applyNumberFormat="1" applyFont="1" applyFill="1" applyBorder="1" applyAlignment="1">
      <alignment horizontal="left" vertical="top" wrapText="1"/>
      <protection locked="0" hidden="0"/>
    </xf>
    <xf numFmtId="0" fontId="22" fillId="0" borderId="14" xfId="0" applyNumberFormat="1" applyFont="1" applyFill="1" applyBorder="1" applyAlignment="1">
      <alignment horizontal="left" vertical="top" wrapText="1"/>
      <protection locked="0" hidden="0"/>
    </xf>
    <xf numFmtId="0" fontId="22" fillId="0" borderId="15" xfId="0" applyNumberFormat="1" applyFont="1" applyFill="1" applyBorder="1" applyAlignment="1">
      <alignment horizontal="left" vertical="top" wrapText="1"/>
      <protection locked="0" hidden="0"/>
    </xf>
    <xf numFmtId="0" fontId="14" fillId="20" borderId="53" xfId="3" applyFont="1" applyFill="1" applyBorder="1" applyAlignment="1">
      <alignment horizontal="center" vertical="center"/>
    </xf>
    <xf numFmtId="0" fontId="14" fillId="20" borderId="54" xfId="3" applyFont="1" applyFill="1" applyBorder="1" applyAlignment="1">
      <alignment horizontal="center" vertical="center"/>
    </xf>
    <xf numFmtId="0" fontId="14" fillId="20" borderId="21" xfId="3" applyFont="1" applyFill="1" applyBorder="1" applyAlignment="1">
      <alignment horizontal="center" vertical="center"/>
    </xf>
    <xf numFmtId="0" fontId="14" fillId="20" borderId="52" xfId="3" applyFont="1" applyFill="1" applyBorder="1" applyAlignment="1">
      <alignment horizontal="center" vertical="center"/>
    </xf>
    <xf numFmtId="49" fontId="1" fillId="20" borderId="21" xfId="0" applyNumberFormat="1" applyFont="1" applyFill="1" applyBorder="1" applyAlignment="1">
      <alignment horizontal="center" vertical="center" wrapText="1"/>
    </xf>
    <xf numFmtId="49" fontId="1" fillId="20" borderId="54" xfId="0" applyNumberFormat="1" applyFont="1" applyFill="1" applyBorder="1" applyAlignment="1">
      <alignment horizontal="center" vertical="center" wrapText="1"/>
    </xf>
    <xf numFmtId="49" fontId="1" fillId="20" borderId="55"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protection locked="0" hidden="0"/>
    </xf>
    <xf numFmtId="49" fontId="1" fillId="0" borderId="11" xfId="0" applyNumberFormat="1" applyFont="1" applyFill="1" applyBorder="1" applyAlignment="1">
      <alignment horizontal="center" vertical="center" wrapText="1"/>
      <protection locked="0" hidden="0"/>
    </xf>
    <xf numFmtId="49" fontId="1" fillId="0" borderId="21" xfId="0" applyNumberFormat="1" applyFont="1" applyFill="1" applyBorder="1" applyAlignment="1">
      <alignment horizontal="center" vertical="center" wrapText="1"/>
      <protection locked="0" hidden="0"/>
    </xf>
    <xf numFmtId="49" fontId="8" fillId="0" borderId="52" xfId="0" applyNumberFormat="1" applyFont="1" applyFill="1" applyBorder="1" applyAlignment="1">
      <alignment horizontal="center" vertical="center" wrapText="1"/>
      <protection locked="0" hidden="0"/>
    </xf>
    <xf numFmtId="49" fontId="8" fillId="0" borderId="11" xfId="0" applyNumberFormat="1" applyFont="1" applyFill="1" applyBorder="1" applyAlignment="1">
      <alignment horizontal="center" vertical="center" wrapText="1"/>
      <protection locked="0" hidden="0"/>
    </xf>
    <xf numFmtId="0" fontId="22" fillId="0" borderId="11" xfId="0" applyNumberFormat="1" applyFont="1" applyFill="1" applyBorder="1" applyAlignment="1">
      <alignment horizontal="left" vertical="top" wrapText="1"/>
      <protection locked="0" hidden="0"/>
    </xf>
    <xf numFmtId="0" fontId="22" fillId="0" borderId="12" xfId="0" applyNumberFormat="1" applyFont="1" applyFill="1" applyBorder="1" applyAlignment="1">
      <alignment horizontal="left" vertical="top" wrapText="1"/>
      <protection locked="0" hidden="0"/>
    </xf>
    <xf numFmtId="49" fontId="22" fillId="0" borderId="16" xfId="0" applyNumberFormat="1" applyFont="1" applyFill="1" applyBorder="1" applyAlignment="1">
      <alignment horizontal="center" vertical="center" wrapText="1"/>
      <protection locked="0" hidden="0"/>
    </xf>
    <xf numFmtId="49" fontId="22" fillId="0" borderId="70" xfId="0" applyNumberFormat="1" applyFont="1" applyFill="1" applyBorder="1" applyAlignment="1">
      <alignment horizontal="center" vertical="center" wrapText="1"/>
      <protection locked="0" hidden="0"/>
    </xf>
    <xf numFmtId="49" fontId="22" fillId="3" borderId="16" xfId="0" applyNumberFormat="1" applyFont="1" applyFill="1" applyBorder="1" applyAlignment="1">
      <alignment horizontal="center" vertical="center" wrapText="1"/>
      <protection locked="0" hidden="0"/>
    </xf>
    <xf numFmtId="49" fontId="22" fillId="3" borderId="70" xfId="0" applyNumberFormat="1" applyFont="1" applyFill="1" applyBorder="1" applyAlignment="1">
      <alignment horizontal="center" vertical="center" wrapText="1"/>
      <protection locked="0" hidden="0"/>
    </xf>
    <xf numFmtId="49" fontId="1" fillId="0" borderId="23" xfId="0" applyNumberFormat="1" applyFont="1" applyFill="1" applyBorder="1" applyAlignment="1">
      <alignment horizontal="center" vertical="center" wrapText="1"/>
      <protection locked="0" hidden="0"/>
    </xf>
    <xf numFmtId="49" fontId="1" fillId="0" borderId="24" xfId="0" applyNumberFormat="1" applyFont="1" applyFill="1" applyBorder="1" applyAlignment="1">
      <alignment horizontal="center" vertical="center" wrapText="1"/>
      <protection locked="0" hidden="0"/>
    </xf>
    <xf numFmtId="49" fontId="1" fillId="0" borderId="25" xfId="0" applyNumberFormat="1" applyFont="1" applyFill="1" applyBorder="1" applyAlignment="1">
      <alignment horizontal="center" vertical="center" wrapText="1"/>
      <protection locked="0" hidden="0"/>
    </xf>
    <xf numFmtId="49" fontId="8" fillId="0" borderId="26" xfId="0" applyNumberFormat="1" applyFont="1" applyFill="1" applyBorder="1" applyAlignment="1">
      <alignment horizontal="center" vertical="center" wrapText="1"/>
      <protection locked="0" hidden="0"/>
    </xf>
    <xf numFmtId="49" fontId="8" fillId="0" borderId="24" xfId="0" applyNumberFormat="1" applyFont="1" applyFill="1" applyBorder="1" applyAlignment="1">
      <alignment horizontal="center" vertical="center" wrapText="1"/>
      <protection locked="0" hidden="0"/>
    </xf>
    <xf numFmtId="0" fontId="22" fillId="0" borderId="24" xfId="0" applyNumberFormat="1" applyFont="1" applyFill="1" applyBorder="1" applyAlignment="1">
      <alignment horizontal="left" vertical="top" wrapText="1"/>
      <protection locked="0" hidden="0"/>
    </xf>
    <xf numFmtId="0" fontId="22" fillId="0" borderId="27" xfId="0" applyNumberFormat="1" applyFont="1" applyFill="1" applyBorder="1" applyAlignment="1">
      <alignment horizontal="left" vertical="top" wrapText="1"/>
      <protection locked="0" hidden="0"/>
    </xf>
    <xf numFmtId="0" fontId="22" fillId="0" borderId="11" xfId="0" applyFont="1" applyFill="1" applyBorder="1" applyAlignment="1">
      <alignment horizontal="center" vertical="center"/>
    </xf>
    <xf numFmtId="0" fontId="22" fillId="0" borderId="12" xfId="0" applyFont="1" applyFill="1" applyBorder="1">
      <alignment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0" fontId="40" fillId="0" borderId="0" xfId="0" applyNumberFormat="1" applyFont="1" applyBorder="1" applyAlignment="1">
      <alignment vertical="top"/>
    </xf>
    <xf numFmtId="0" fontId="22" fillId="0" borderId="12" xfId="0" applyFont="1" applyFill="1" applyBorder="1" applyAlignment="1">
      <alignment horizontal="center" vertical="center" wrapText="1"/>
    </xf>
    <xf numFmtId="0" fontId="22" fillId="0" borderId="10" xfId="0" applyFont="1" applyFill="1" applyBorder="1" applyAlignment="1">
      <alignment horizontal="center" vertical="center"/>
    </xf>
    <xf numFmtId="0" fontId="22" fillId="0" borderId="12" xfId="0" applyFont="1" applyFill="1" applyBorder="1" applyAlignment="1">
      <alignment horizontal="center" vertical="center"/>
    </xf>
    <xf numFmtId="49" fontId="22" fillId="0" borderId="30" xfId="0" applyNumberFormat="1" applyFont="1" applyFill="1" applyBorder="1" applyAlignment="1">
      <alignment horizontal="center" vertical="center" wrapText="1"/>
      <protection locked="0" hidden="0"/>
    </xf>
    <xf numFmtId="49" fontId="22" fillId="0" borderId="28" xfId="0" applyNumberFormat="1" applyFont="1" applyFill="1" applyBorder="1" applyAlignment="1">
      <alignment horizontal="center" vertical="center" wrapText="1"/>
      <protection locked="0" hidden="0"/>
    </xf>
    <xf numFmtId="49" fontId="22" fillId="0" borderId="79" xfId="0" applyNumberFormat="1" applyFont="1" applyFill="1" applyBorder="1" applyAlignment="1">
      <alignment horizontal="center" vertical="center" wrapText="1"/>
      <protection locked="0" hidden="0"/>
    </xf>
    <xf numFmtId="0" fontId="39" fillId="4" borderId="74" xfId="0" applyFont="1" applyFill="1" applyBorder="1" applyAlignment="1">
      <alignment horizontal="left" vertical="top" wrapText="1"/>
    </xf>
    <xf numFmtId="0" fontId="39" fillId="4" borderId="75" xfId="0" applyFont="1" applyFill="1" applyBorder="1" applyAlignment="1">
      <alignment horizontal="left" vertical="top" wrapText="1"/>
    </xf>
    <xf numFmtId="0" fontId="39" fillId="4" borderId="68" xfId="0" applyFont="1" applyFill="1" applyBorder="1" applyAlignment="1">
      <alignment horizontal="left" vertical="top" wrapText="1"/>
    </xf>
    <xf numFmtId="0" fontId="22" fillId="0" borderId="72" xfId="0" applyFont="1" applyFill="1" applyBorder="1" applyAlignment="1">
      <alignment horizontal="center" vertical="center"/>
    </xf>
    <xf numFmtId="0" fontId="22" fillId="0" borderId="18" xfId="0" applyFont="1" applyFill="1" applyBorder="1" applyAlignment="1">
      <alignment horizontal="center" vertical="center"/>
    </xf>
    <xf numFmtId="0" fontId="22" fillId="0" borderId="20" xfId="0" applyFont="1" applyFill="1" applyBorder="1" applyAlignment="1">
      <alignment horizontal="center" vertical="center"/>
    </xf>
    <xf numFmtId="49" fontId="1" fillId="20" borderId="10" xfId="0" applyNumberFormat="1" applyFont="1" applyFill="1" applyBorder="1" applyAlignment="1">
      <alignment horizontal="center" vertical="top" wrapText="1"/>
    </xf>
    <xf numFmtId="49" fontId="1" fillId="20" borderId="11" xfId="0" applyNumberFormat="1" applyFont="1" applyFill="1" applyBorder="1" applyAlignment="1">
      <alignment horizontal="center" vertical="top" wrapText="1"/>
    </xf>
    <xf numFmtId="49" fontId="1" fillId="20" borderId="11" xfId="0" applyNumberFormat="1" applyFont="1" applyFill="1" applyBorder="1" applyAlignment="1">
      <alignment horizontal="center" vertical="top"/>
    </xf>
    <xf numFmtId="49" fontId="1" fillId="20" borderId="12" xfId="0" applyNumberFormat="1" applyFont="1" applyFill="1" applyBorder="1" applyAlignment="1">
      <alignment horizontal="center" vertical="top"/>
    </xf>
    <xf numFmtId="0" fontId="24" fillId="5" borderId="53" xfId="0" applyFont="1" applyFill="1" applyBorder="1" applyAlignment="1">
      <alignment horizontal="right" vertical="top"/>
    </xf>
    <xf numFmtId="0" fontId="24" fillId="5" borderId="54" xfId="0" applyFont="1" applyFill="1" applyBorder="1" applyAlignment="1">
      <alignment horizontal="right" vertical="top"/>
    </xf>
    <xf numFmtId="0" fontId="24" fillId="5" borderId="52" xfId="0" applyFont="1" applyFill="1" applyBorder="1" applyAlignment="1">
      <alignment horizontal="right" vertical="top"/>
    </xf>
    <xf numFmtId="0" fontId="24" fillId="5" borderId="21" xfId="0" applyFont="1" applyFill="1" applyBorder="1" applyAlignment="1">
      <alignment horizontal="left" vertical="top"/>
      <protection locked="0" hidden="0"/>
    </xf>
    <xf numFmtId="0" fontId="24" fillId="5" borderId="54" xfId="0" applyFont="1" applyFill="1" applyBorder="1" applyAlignment="1">
      <alignment horizontal="left" vertical="top"/>
      <protection locked="0" hidden="0"/>
    </xf>
    <xf numFmtId="0" fontId="24" fillId="5" borderId="52" xfId="0" applyFont="1" applyFill="1" applyBorder="1" applyAlignment="1">
      <alignment horizontal="left" vertical="top"/>
      <protection locked="0" hidden="0"/>
    </xf>
    <xf numFmtId="0" fontId="24" fillId="5" borderId="21" xfId="0" applyFont="1" applyFill="1" applyBorder="1" applyAlignment="1">
      <alignment horizontal="right" vertical="top"/>
    </xf>
    <xf numFmtId="165" fontId="23" fillId="5" borderId="21" xfId="0" applyNumberFormat="1" applyFont="1" applyFill="1" applyBorder="1" applyAlignment="1">
      <alignment horizontal="left" vertical="top"/>
      <protection locked="0" hidden="0"/>
    </xf>
    <xf numFmtId="165" fontId="23" fillId="5" borderId="54" xfId="0" applyNumberFormat="1" applyFont="1" applyFill="1" applyBorder="1" applyAlignment="1">
      <alignment horizontal="left" vertical="top"/>
      <protection locked="0" hidden="0"/>
    </xf>
    <xf numFmtId="165" fontId="23" fillId="5" borderId="55" xfId="0" applyNumberFormat="1" applyFont="1" applyFill="1" applyBorder="1" applyAlignment="1">
      <alignment horizontal="left" vertical="top"/>
      <protection locked="0" hidden="0"/>
    </xf>
    <xf numFmtId="49" fontId="1" fillId="0" borderId="72" xfId="0" applyNumberFormat="1" applyFont="1" applyFill="1" applyBorder="1" applyAlignment="1">
      <alignment horizontal="center" vertical="center" wrapText="1"/>
      <protection locked="0" hidden="0"/>
    </xf>
    <xf numFmtId="49" fontId="1" fillId="0" borderId="18" xfId="0" applyNumberFormat="1" applyFont="1" applyFill="1" applyBorder="1" applyAlignment="1">
      <alignment horizontal="center" vertical="center" wrapText="1"/>
      <protection locked="0" hidden="0"/>
    </xf>
    <xf numFmtId="49" fontId="1" fillId="0" borderId="19" xfId="0" applyNumberFormat="1" applyFont="1" applyFill="1" applyBorder="1" applyAlignment="1">
      <alignment horizontal="center" vertical="center" wrapText="1"/>
      <protection locked="0" hidden="0"/>
    </xf>
    <xf numFmtId="49" fontId="1" fillId="0" borderId="57" xfId="0" applyNumberFormat="1" applyFont="1" applyFill="1" applyBorder="1" applyAlignment="1">
      <alignment horizontal="center" vertical="center" wrapText="1"/>
      <protection locked="0" hidden="0"/>
    </xf>
    <xf numFmtId="49" fontId="1" fillId="0" borderId="20" xfId="0" applyNumberFormat="1" applyFont="1" applyFill="1" applyBorder="1" applyAlignment="1">
      <alignment horizontal="center" vertical="center" wrapText="1"/>
      <protection locked="0" hidden="0"/>
    </xf>
    <xf numFmtId="164" fontId="24" fillId="4" borderId="56" xfId="0" applyNumberFormat="1" applyFont="1" applyFill="1" applyBorder="1" applyAlignment="1">
      <alignment horizontal="center" vertical="top" wrapText="1"/>
    </xf>
    <xf numFmtId="164" fontId="24" fillId="4" borderId="22" xfId="0" applyNumberFormat="1" applyFont="1" applyFill="1" applyBorder="1" applyAlignment="1">
      <alignment horizontal="center" vertical="top" wrapText="1"/>
    </xf>
    <xf numFmtId="164" fontId="24" fillId="4" borderId="51" xfId="0" applyNumberFormat="1" applyFont="1" applyFill="1" applyBorder="1" applyAlignment="1">
      <alignment horizontal="center" vertical="top" wrapText="1"/>
    </xf>
    <xf numFmtId="0" fontId="1" fillId="0" borderId="12" xfId="0" applyFont="1" applyFill="1" applyBorder="1" applyAlignment="1">
      <alignment horizontal="center" vertical="center"/>
    </xf>
    <xf numFmtId="49" fontId="1" fillId="3" borderId="80" xfId="0" applyNumberFormat="1" applyFont="1" applyFill="1" applyBorder="1" applyAlignment="1">
      <alignment horizontal="center" vertical="center" wrapText="1"/>
      <protection locked="0" hidden="0"/>
    </xf>
    <xf numFmtId="49" fontId="1" fillId="3" borderId="69" xfId="0" applyNumberFormat="1" applyFont="1" applyFill="1" applyBorder="1" applyAlignment="1">
      <alignment horizontal="center" vertical="center" wrapText="1"/>
      <protection locked="0" hidden="0"/>
    </xf>
    <xf numFmtId="49" fontId="1" fillId="3" borderId="41" xfId="0" applyNumberFormat="1" applyFont="1" applyFill="1" applyBorder="1" applyAlignment="1">
      <alignment horizontal="center" vertical="center" wrapText="1"/>
      <protection locked="0" hidden="0"/>
    </xf>
    <xf numFmtId="49" fontId="1" fillId="3" borderId="70" xfId="0" applyNumberFormat="1" applyFont="1" applyFill="1" applyBorder="1" applyAlignment="1">
      <alignment horizontal="center" vertical="center" wrapText="1"/>
      <protection locked="0" hidden="0"/>
    </xf>
    <xf numFmtId="164" fontId="24" fillId="4" borderId="16" xfId="0" applyNumberFormat="1" applyFont="1" applyFill="1" applyBorder="1" applyAlignment="1">
      <alignment horizontal="center" vertical="top" wrapText="1"/>
    </xf>
    <xf numFmtId="164" fontId="24" fillId="4" borderId="0" xfId="0" applyNumberFormat="1" applyFont="1" applyFill="1" applyBorder="1" applyAlignment="1">
      <alignment horizontal="center" vertical="top" wrapText="1"/>
    </xf>
    <xf numFmtId="164" fontId="24" fillId="4" borderId="17" xfId="0" applyNumberFormat="1" applyFont="1" applyFill="1" applyBorder="1" applyAlignment="1">
      <alignment horizontal="center" vertical="top" wrapText="1"/>
    </xf>
    <xf numFmtId="49" fontId="1" fillId="0" borderId="80" xfId="0" applyNumberFormat="1" applyFont="1" applyFill="1" applyBorder="1" applyAlignment="1">
      <alignment horizontal="center" vertical="center" wrapText="1"/>
      <protection locked="0" hidden="0"/>
    </xf>
    <xf numFmtId="49" fontId="1" fillId="0" borderId="69" xfId="0" applyNumberFormat="1" applyFont="1" applyFill="1" applyBorder="1" applyAlignment="1">
      <alignment horizontal="center" vertical="center" wrapText="1"/>
      <protection locked="0" hidden="0"/>
    </xf>
    <xf numFmtId="49" fontId="1" fillId="0" borderId="41" xfId="0" applyNumberFormat="1" applyFont="1" applyFill="1" applyBorder="1" applyAlignment="1">
      <alignment horizontal="center" vertical="center" wrapText="1"/>
      <protection locked="0" hidden="0"/>
    </xf>
    <xf numFmtId="49" fontId="1" fillId="0" borderId="70" xfId="0" applyNumberFormat="1" applyFont="1" applyFill="1" applyBorder="1" applyAlignment="1">
      <alignment horizontal="center" vertical="center" wrapText="1"/>
      <protection locked="0" hidden="0"/>
    </xf>
    <xf numFmtId="0" fontId="1" fillId="0" borderId="12" xfId="0" applyFont="1" applyFill="1" applyBorder="1" applyAlignment="1">
      <alignment horizontal="center" vertical="center" wrapText="1"/>
    </xf>
    <xf numFmtId="0" fontId="1" fillId="0" borderId="10" xfId="0" applyFont="1" applyFill="1" applyBorder="1" applyAlignment="1">
      <alignment horizontal="left" vertical="center"/>
    </xf>
    <xf numFmtId="0" fontId="1" fillId="0" borderId="11" xfId="0" applyFont="1" applyFill="1" applyBorder="1" applyAlignment="1">
      <alignment horizontal="left" vertical="center"/>
    </xf>
    <xf numFmtId="0" fontId="1" fillId="0" borderId="12" xfId="0" applyFont="1" applyFill="1" applyBorder="1" applyAlignment="1">
      <alignment horizontal="left" vertical="center"/>
    </xf>
    <xf numFmtId="0" fontId="1" fillId="4" borderId="11" xfId="0" applyFont="1" applyFill="1" applyBorder="1" applyAlignment="1">
      <alignment horizontal="center" vertical="center"/>
    </xf>
    <xf numFmtId="1" fontId="41" fillId="4" borderId="11" xfId="0" applyNumberFormat="1" applyFont="1" applyFill="1" applyBorder="1" applyAlignment="1">
      <alignment horizontal="center" vertical="center"/>
      <protection locked="0" hidden="0"/>
    </xf>
    <xf numFmtId="1" fontId="41" fillId="4" borderId="12" xfId="0" applyNumberFormat="1" applyFont="1" applyFill="1" applyBorder="1" applyAlignment="1">
      <alignment horizontal="center" vertical="center"/>
      <protection locked="0" hidden="0"/>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22" fillId="3" borderId="11" xfId="4" applyFont="1" applyFill="1" applyBorder="1" applyAlignment="1">
      <alignment horizontal="center" vertical="center"/>
    </xf>
    <xf numFmtId="0" fontId="22" fillId="3" borderId="12" xfId="4" applyFont="1" applyFill="1" applyBorder="1" applyAlignment="1">
      <alignment horizontal="center" vertical="center"/>
    </xf>
    <xf numFmtId="164" fontId="42" fillId="3" borderId="11" xfId="4" applyNumberFormat="1" applyFont="1" applyFill="1" applyBorder="1" applyAlignment="1">
      <alignment horizontal="center" vertical="center"/>
    </xf>
    <xf numFmtId="164" fontId="42" fillId="3" borderId="12" xfId="4" applyNumberFormat="1" applyFont="1" applyFill="1" applyBorder="1" applyAlignment="1">
      <alignment horizontal="center" vertical="center"/>
    </xf>
    <xf numFmtId="164" fontId="24" fillId="4" borderId="74" xfId="0" applyNumberFormat="1" applyFont="1" applyFill="1" applyBorder="1" applyAlignment="1">
      <alignment horizontal="center" vertical="top" wrapText="1"/>
    </xf>
    <xf numFmtId="164" fontId="24" fillId="4" borderId="75" xfId="0" applyNumberFormat="1" applyFont="1" applyFill="1" applyBorder="1" applyAlignment="1">
      <alignment horizontal="center" vertical="top" wrapText="1"/>
    </xf>
    <xf numFmtId="164" fontId="24" fillId="4" borderId="68" xfId="0" applyNumberFormat="1" applyFont="1" applyFill="1" applyBorder="1" applyAlignment="1">
      <alignment horizontal="center" vertical="top" wrapText="1"/>
    </xf>
    <xf numFmtId="0" fontId="1" fillId="5" borderId="53" xfId="0" applyFont="1" applyFill="1" applyBorder="1" applyAlignment="1">
      <alignment horizontal="center" vertical="center"/>
    </xf>
    <xf numFmtId="0" fontId="1" fillId="5" borderId="54" xfId="0" applyFont="1" applyFill="1" applyBorder="1" applyAlignment="1">
      <alignment horizontal="center" vertical="center"/>
    </xf>
    <xf numFmtId="0" fontId="1" fillId="5" borderId="52" xfId="0" applyFont="1" applyFill="1" applyBorder="1" applyAlignment="1">
      <alignment horizontal="center" vertical="center"/>
    </xf>
    <xf numFmtId="0" fontId="1" fillId="5" borderId="55"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7" xfId="0" applyFont="1" applyFill="1" applyBorder="1" applyAlignment="1">
      <alignment horizontal="center" vertical="center"/>
    </xf>
    <xf numFmtId="49" fontId="1" fillId="0" borderId="30" xfId="0" applyNumberFormat="1" applyFont="1" applyFill="1" applyBorder="1" applyAlignment="1">
      <alignment horizontal="center" vertical="center" wrapText="1"/>
      <protection locked="0" hidden="0"/>
    </xf>
    <xf numFmtId="49" fontId="1" fillId="0" borderId="29" xfId="0" applyNumberFormat="1" applyFont="1" applyFill="1" applyBorder="1" applyAlignment="1">
      <alignment horizontal="center" vertical="center" wrapText="1"/>
      <protection locked="0" hidden="0"/>
    </xf>
    <xf numFmtId="49" fontId="1" fillId="0" borderId="28" xfId="0" applyNumberFormat="1" applyFont="1" applyFill="1" applyBorder="1" applyAlignment="1">
      <alignment horizontal="center" vertical="center" wrapText="1"/>
      <protection locked="0" hidden="0"/>
    </xf>
    <xf numFmtId="49" fontId="1" fillId="0" borderId="44" xfId="0" applyNumberFormat="1" applyFont="1" applyFill="1" applyBorder="1" applyAlignment="1">
      <alignment horizontal="center" vertical="center" wrapText="1"/>
      <protection locked="0" hidden="0"/>
    </xf>
    <xf numFmtId="49" fontId="1" fillId="0" borderId="31" xfId="0" applyNumberFormat="1" applyFont="1" applyFill="1" applyBorder="1" applyAlignment="1">
      <alignment horizontal="center" vertical="center" wrapText="1"/>
      <protection locked="0" hidden="0"/>
    </xf>
    <xf numFmtId="0" fontId="14" fillId="4" borderId="25" xfId="0" applyFont="1" applyFill="1" applyBorder="1" applyAlignment="1">
      <alignment horizontal="center" vertical="center"/>
      <protection locked="0" hidden="0"/>
    </xf>
    <xf numFmtId="0" fontId="14" fillId="4" borderId="62" xfId="0" applyFont="1" applyFill="1" applyBorder="1" applyAlignment="1">
      <alignment horizontal="center" vertical="center"/>
      <protection locked="0" hidden="0"/>
    </xf>
    <xf numFmtId="0" fontId="14" fillId="4" borderId="63" xfId="0" applyFont="1" applyFill="1" applyBorder="1" applyAlignment="1">
      <alignment horizontal="center" vertical="center"/>
      <protection locked="0" hidden="0"/>
    </xf>
    <xf numFmtId="0" fontId="14" fillId="4" borderId="61" xfId="0" applyFont="1" applyFill="1" applyBorder="1" applyAlignment="1">
      <alignment horizontal="center" vertical="center"/>
      <protection locked="0" hidden="0"/>
    </xf>
    <xf numFmtId="0" fontId="41" fillId="0" borderId="0" xfId="0" applyFont="1" applyFill="1" applyAlignment="1">
      <alignment horizontal="center" vertical="center"/>
    </xf>
    <xf numFmtId="0" fontId="11" fillId="0" borderId="0" xfId="0" applyFont="1" applyFill="1" applyBorder="1" applyAlignment="1">
      <alignment horizontal="center" vertical="center"/>
    </xf>
    <xf numFmtId="0" fontId="43" fillId="0" borderId="0" xfId="0" applyFont="1" applyFill="1" applyBorder="1" applyAlignment="1">
      <alignment vertical="top" wrapText="1"/>
    </xf>
    <xf numFmtId="0" fontId="44" fillId="0" borderId="8" xfId="0" applyFont="1" applyFill="1" applyBorder="1" applyAlignment="1">
      <alignment horizontal="center" vertical="center"/>
    </xf>
    <xf numFmtId="0" fontId="45" fillId="0" borderId="0" xfId="0" applyFont="1" applyAlignment="1">
      <alignment horizontal="center" vertical="top"/>
    </xf>
    <xf numFmtId="0" fontId="40" fillId="0" borderId="0" xfId="0" applyNumberFormat="1" applyFont="1" applyAlignment="1">
      <alignment horizontal="center" vertical="top" wrapText="1"/>
    </xf>
    <xf numFmtId="0" fontId="40" fillId="0" borderId="0" xfId="0" applyNumberFormat="1" applyFont="1" applyAlignment="1">
      <alignment horizontal="center" vertical="top"/>
    </xf>
    <xf numFmtId="0" fontId="1" fillId="0" borderId="0" xfId="0" applyFont="1">
      <alignment vertical="center"/>
    </xf>
    <xf numFmtId="0" fontId="40" fillId="0" borderId="0" xfId="0" applyNumberFormat="1" applyFont="1" applyAlignment="1">
      <alignment vertical="top"/>
    </xf>
    <xf numFmtId="0" fontId="11" fillId="0" borderId="0" xfId="0" applyFont="1" applyFill="1" applyAlignment="1">
      <alignment vertical="bottom"/>
    </xf>
    <xf numFmtId="164" fontId="46" fillId="0" borderId="0" xfId="0" applyNumberFormat="1">
      <alignment vertical="center"/>
    </xf>
    <xf numFmtId="164" fontId="47" fillId="0" borderId="0" xfId="0" applyNumberFormat="1" applyBorder="1">
      <alignment vertical="center"/>
    </xf>
    <xf numFmtId="164" fontId="3" fillId="23" borderId="81" xfId="0" applyNumberFormat="1" applyFont="1" applyFill="1" applyBorder="1" applyAlignment="1">
      <alignment horizontal="center" vertical="center"/>
    </xf>
    <xf numFmtId="164" fontId="3" fillId="23" borderId="82" xfId="0" applyNumberFormat="1" applyFont="1" applyFill="1" applyBorder="1" applyAlignment="1">
      <alignment horizontal="center" vertical="center"/>
    </xf>
    <xf numFmtId="164" fontId="3" fillId="23" borderId="83" xfId="0" applyNumberFormat="1" applyFont="1" applyFill="1" applyBorder="1" applyAlignment="1">
      <alignment horizontal="center" vertical="center"/>
    </xf>
    <xf numFmtId="164" fontId="4" fillId="23" borderId="84" xfId="0" applyNumberFormat="1" applyFont="1" applyFill="1" applyBorder="1" applyAlignment="1">
      <alignment horizontal="center" vertical="center"/>
    </xf>
    <xf numFmtId="164" fontId="4" fillId="23" borderId="85" xfId="0" applyNumberFormat="1" applyFont="1" applyFill="1" applyBorder="1" applyAlignment="1">
      <alignment horizontal="center" vertical="center"/>
    </xf>
    <xf numFmtId="164" fontId="5" fillId="23" borderId="85" xfId="0" applyNumberFormat="1" applyFont="1" applyFill="1" applyBorder="1" applyAlignment="1">
      <alignment horizontal="center" vertical="center"/>
    </xf>
    <xf numFmtId="164" fontId="6" fillId="23" borderId="85" xfId="0" applyNumberFormat="1" applyFont="1" applyFill="1" applyBorder="1" applyAlignment="1">
      <alignment horizontal="center" vertical="center"/>
    </xf>
    <xf numFmtId="164" fontId="4" fillId="23" borderId="85" xfId="0" applyNumberFormat="1" applyFont="1" applyFill="1" applyBorder="1" applyAlignment="1">
      <alignment horizontal="right" vertical="center"/>
    </xf>
    <xf numFmtId="164" fontId="4" fillId="23" borderId="86" xfId="0" applyNumberFormat="1" applyFont="1" applyFill="1" applyBorder="1" applyAlignment="1">
      <alignment horizontal="center" vertical="center"/>
    </xf>
    <xf numFmtId="164" fontId="1" fillId="0" borderId="87" xfId="0" applyNumberFormat="1" applyFont="1" applyFill="1" applyBorder="1" applyAlignment="1">
      <alignment horizontal="center" vertical="center"/>
    </xf>
    <xf numFmtId="164" fontId="1" fillId="0" borderId="11" xfId="0" applyNumberFormat="1" applyFont="1" applyFill="1" applyBorder="1" applyAlignment="1">
      <alignment horizontal="center" vertical="center"/>
    </xf>
    <xf numFmtId="164" fontId="1" fillId="0" borderId="11" xfId="0" applyNumberFormat="1" applyFont="1" applyFill="1" applyBorder="1" applyAlignment="1">
      <alignment horizontal="center" vertical="center"/>
      <protection locked="0" hidden="0"/>
    </xf>
    <xf numFmtId="164" fontId="1" fillId="0" borderId="88" xfId="0" applyNumberFormat="1" applyFont="1" applyFill="1" applyBorder="1" applyAlignment="1">
      <alignment horizontal="center" vertical="center"/>
      <protection locked="0" hidden="0"/>
    </xf>
    <xf numFmtId="164" fontId="1" fillId="24" borderId="89" xfId="0" applyNumberFormat="1" applyFont="1" applyFill="1" applyBorder="1" applyAlignment="1">
      <alignment horizontal="center" vertical="center"/>
    </xf>
    <xf numFmtId="0" fontId="1" fillId="24" borderId="14" xfId="0" applyNumberFormat="1" applyFont="1" applyFill="1" applyBorder="1" applyAlignment="1">
      <alignment horizontal="center" vertical="center" wrapText="1"/>
      <protection locked="0" hidden="0"/>
    </xf>
    <xf numFmtId="0" fontId="1" fillId="24" borderId="14" xfId="0" applyNumberFormat="1" applyFont="1" applyFill="1" applyBorder="1" applyAlignment="1">
      <alignment horizontal="center" vertical="center"/>
      <protection locked="0" hidden="0"/>
    </xf>
    <xf numFmtId="164" fontId="1" fillId="25" borderId="69" xfId="0" applyNumberFormat="1" applyFont="1" applyFill="1" applyBorder="1" applyAlignment="1">
      <alignment horizontal="center" vertical="center"/>
    </xf>
    <xf numFmtId="0" fontId="1" fillId="25" borderId="11" xfId="0" applyNumberFormat="1" applyFont="1" applyFill="1" applyBorder="1" applyAlignment="1">
      <alignment horizontal="center" vertical="center" wrapText="1"/>
      <protection locked="0" hidden="0"/>
    </xf>
    <xf numFmtId="0" fontId="1" fillId="26" borderId="14" xfId="0" applyNumberFormat="1" applyFont="1" applyFill="1" applyBorder="1" applyAlignment="1">
      <alignment horizontal="center" vertical="center"/>
      <protection locked="0" hidden="0"/>
    </xf>
    <xf numFmtId="164" fontId="1" fillId="24" borderId="69" xfId="0" applyNumberFormat="1" applyFont="1" applyFill="1" applyBorder="1" applyAlignment="1">
      <alignment horizontal="center" vertical="center"/>
    </xf>
    <xf numFmtId="0" fontId="1" fillId="24" borderId="90" xfId="0" applyNumberFormat="1" applyFont="1" applyFill="1" applyBorder="1" applyAlignment="1">
      <alignment horizontal="center" vertical="center"/>
      <protection locked="0" hidden="0"/>
    </xf>
    <xf numFmtId="164" fontId="8" fillId="26" borderId="91" xfId="0" applyNumberFormat="1" applyFont="1" applyFill="1" applyBorder="1" applyAlignment="1">
      <alignment horizontal="center" vertical="center" wrapText="1"/>
      <protection locked="0" hidden="0"/>
    </xf>
    <xf numFmtId="164" fontId="8" fillId="26" borderId="92" xfId="0" applyNumberFormat="1" applyFont="1" applyFill="1" applyBorder="1" applyAlignment="1">
      <alignment horizontal="center" vertical="center" wrapText="1"/>
      <protection locked="0" hidden="0"/>
    </xf>
    <xf numFmtId="164" fontId="8" fillId="27" borderId="92" xfId="0" applyNumberFormat="1" applyFont="1" applyFill="1" applyBorder="1" applyAlignment="1">
      <alignment horizontal="center" vertical="center" wrapText="1"/>
      <protection locked="0" hidden="0"/>
    </xf>
    <xf numFmtId="164" fontId="8" fillId="26" borderId="93" xfId="0" applyNumberFormat="1" applyFont="1" applyFill="1" applyBorder="1" applyAlignment="1">
      <alignment horizontal="center" vertical="center" wrapText="1"/>
      <protection locked="0" hidden="0"/>
    </xf>
    <xf numFmtId="164" fontId="1" fillId="26" borderId="87" xfId="0" applyNumberFormat="1" applyFont="1" applyFill="1" applyBorder="1" applyAlignment="1">
      <alignment horizontal="center" vertical="center"/>
    </xf>
    <xf numFmtId="164" fontId="1" fillId="26" borderId="11" xfId="0" applyNumberFormat="1" applyFont="1" applyFill="1" applyBorder="1" applyAlignment="1">
      <alignment horizontal="center" vertical="center"/>
    </xf>
    <xf numFmtId="164" fontId="1" fillId="26" borderId="11" xfId="0" applyNumberFormat="1" applyFont="1" applyFill="1" applyBorder="1" applyAlignment="1">
      <alignment horizontal="center" vertical="center"/>
      <protection locked="0" hidden="0"/>
    </xf>
    <xf numFmtId="164" fontId="1" fillId="26" borderId="88" xfId="0" applyNumberFormat="1" applyFont="1" applyFill="1" applyBorder="1" applyAlignment="1">
      <alignment horizontal="center" vertical="center"/>
      <protection locked="0" hidden="0"/>
    </xf>
    <xf numFmtId="164" fontId="1" fillId="24" borderId="94" xfId="0" applyNumberFormat="1" applyFont="1" applyFill="1" applyBorder="1" applyAlignment="1">
      <alignment horizontal="center" vertical="center"/>
    </xf>
    <xf numFmtId="0" fontId="1" fillId="24" borderId="11" xfId="0" applyNumberFormat="1" applyFont="1" applyFill="1" applyBorder="1" applyAlignment="1">
      <alignment horizontal="center" vertical="center" wrapText="1"/>
      <protection locked="0" hidden="0"/>
    </xf>
    <xf numFmtId="164" fontId="1" fillId="25" borderId="14" xfId="0" applyNumberFormat="1" applyFont="1" applyFill="1" applyBorder="1" applyAlignment="1">
      <alignment horizontal="center" vertical="center"/>
    </xf>
    <xf numFmtId="164" fontId="1" fillId="24" borderId="14" xfId="0" applyNumberFormat="1" applyFont="1" applyFill="1" applyBorder="1" applyAlignment="1">
      <alignment horizontal="center" vertical="center"/>
    </xf>
    <xf numFmtId="164" fontId="8" fillId="26" borderId="95" xfId="0" applyNumberFormat="1" applyFont="1" applyFill="1" applyBorder="1" applyAlignment="1">
      <alignment horizontal="center" vertical="center" wrapText="1"/>
      <protection locked="0" hidden="0"/>
    </xf>
    <xf numFmtId="164" fontId="8" fillId="26" borderId="96" xfId="0" applyNumberFormat="1" applyFont="1" applyFill="1" applyBorder="1" applyAlignment="1">
      <alignment horizontal="center" vertical="center" wrapText="1"/>
      <protection locked="0" hidden="0"/>
    </xf>
    <xf numFmtId="164" fontId="8" fillId="27" borderId="96" xfId="0" applyNumberFormat="1" applyFont="1" applyFill="1" applyBorder="1" applyAlignment="1">
      <alignment horizontal="center" vertical="center" wrapText="1"/>
      <protection locked="0" hidden="0"/>
    </xf>
    <xf numFmtId="164" fontId="8" fillId="26" borderId="97" xfId="0" applyNumberFormat="1" applyFont="1" applyFill="1" applyBorder="1" applyAlignment="1">
      <alignment horizontal="center" vertical="center" wrapText="1"/>
      <protection locked="0" hidden="0"/>
    </xf>
    <xf numFmtId="164" fontId="1" fillId="27" borderId="11" xfId="0" applyNumberFormat="1" applyFont="1" applyFill="1" applyBorder="1" applyAlignment="1">
      <alignment horizontal="center" vertical="center"/>
      <protection locked="0" hidden="0"/>
    </xf>
    <xf numFmtId="0" fontId="1" fillId="27" borderId="11" xfId="0" applyNumberFormat="1" applyFont="1" applyFill="1" applyBorder="1" applyAlignment="1">
      <alignment horizontal="center" vertical="center"/>
      <protection locked="0" hidden="0"/>
    </xf>
    <xf numFmtId="0" fontId="1" fillId="27" borderId="88" xfId="0" applyNumberFormat="1" applyFont="1" applyFill="1" applyBorder="1" applyAlignment="1">
      <alignment horizontal="center" vertical="center"/>
      <protection locked="0" hidden="0"/>
    </xf>
    <xf numFmtId="164" fontId="1" fillId="25" borderId="98" xfId="0" applyNumberFormat="1" applyFont="1" applyFill="1" applyBorder="1" applyAlignment="1">
      <alignment horizontal="center" vertical="center"/>
    </xf>
    <xf numFmtId="164" fontId="1" fillId="24" borderId="18" xfId="0" applyNumberFormat="1" applyFont="1" applyFill="1" applyBorder="1" applyAlignment="1">
      <alignment horizontal="center" vertical="center"/>
    </xf>
    <xf numFmtId="164" fontId="1" fillId="25" borderId="18" xfId="0" applyNumberFormat="1" applyFont="1" applyFill="1" applyBorder="1" applyAlignment="1">
      <alignment horizontal="center" vertical="center"/>
    </xf>
    <xf numFmtId="0" fontId="1" fillId="26" borderId="90" xfId="0" applyNumberFormat="1" applyFont="1" applyFill="1" applyBorder="1" applyAlignment="1">
      <alignment horizontal="center" vertical="center"/>
      <protection locked="0" hidden="0"/>
    </xf>
    <xf numFmtId="164" fontId="8" fillId="27" borderId="95" xfId="0" applyNumberFormat="1" applyFont="1" applyFill="1" applyBorder="1" applyAlignment="1">
      <alignment horizontal="center" vertical="center" wrapText="1"/>
      <protection locked="0" hidden="0"/>
    </xf>
    <xf numFmtId="164" fontId="8" fillId="27" borderId="97" xfId="0" applyNumberFormat="1" applyFont="1" applyFill="1" applyBorder="1" applyAlignment="1">
      <alignment horizontal="center" vertical="center" wrapText="1"/>
      <protection locked="0" hidden="0"/>
    </xf>
    <xf numFmtId="164" fontId="1" fillId="25" borderId="94" xfId="0" applyNumberFormat="1" applyFont="1" applyFill="1" applyBorder="1" applyAlignment="1">
      <alignment horizontal="center" vertical="center"/>
    </xf>
    <xf numFmtId="164" fontId="1" fillId="0" borderId="98" xfId="0" applyNumberFormat="1" applyFont="1" applyFill="1" applyBorder="1" applyAlignment="1">
      <alignment horizontal="center" vertical="center"/>
    </xf>
    <xf numFmtId="164" fontId="1" fillId="0" borderId="18" xfId="0" applyNumberFormat="1" applyFont="1" applyFill="1" applyBorder="1" applyAlignment="1">
      <alignment horizontal="center" vertical="center"/>
    </xf>
    <xf numFmtId="164" fontId="1" fillId="27" borderId="18" xfId="0" applyNumberFormat="1" applyFont="1" applyFill="1" applyBorder="1" applyAlignment="1">
      <alignment horizontal="center" vertical="center"/>
      <protection locked="0" hidden="0"/>
    </xf>
    <xf numFmtId="164" fontId="1" fillId="27" borderId="99" xfId="0" applyNumberFormat="1" applyFont="1" applyFill="1" applyBorder="1" applyAlignment="1">
      <alignment horizontal="center" vertical="center"/>
      <protection locked="0" hidden="0"/>
    </xf>
    <xf numFmtId="164" fontId="1" fillId="24" borderId="98" xfId="0" applyNumberFormat="1" applyFont="1" applyFill="1" applyBorder="1" applyAlignment="1">
      <alignment horizontal="center" vertical="center"/>
    </xf>
    <xf numFmtId="164" fontId="9" fillId="3" borderId="19" xfId="0" applyNumberFormat="1" applyFont="1" applyFill="1" applyBorder="1" applyAlignment="1">
      <alignment horizontal="center" vertical="center"/>
    </xf>
    <xf numFmtId="0" fontId="9" fillId="3" borderId="19" xfId="0" applyNumberFormat="1" applyFont="1" applyFill="1" applyBorder="1" applyAlignment="1">
      <alignment horizontal="center" vertical="center"/>
      <protection locked="0" hidden="0"/>
    </xf>
    <xf numFmtId="0" fontId="9" fillId="3" borderId="22" xfId="0" applyNumberFormat="1" applyFont="1" applyFill="1" applyBorder="1" applyAlignment="1">
      <alignment horizontal="center" vertical="center"/>
      <protection locked="0" hidden="0"/>
    </xf>
    <xf numFmtId="0" fontId="9" fillId="3" borderId="11" xfId="0" applyNumberFormat="1" applyFont="1" applyFill="1" applyBorder="1" applyAlignment="1">
      <alignment horizontal="center" vertical="center"/>
      <protection locked="0" hidden="0"/>
    </xf>
    <xf numFmtId="0" fontId="9" fillId="3" borderId="88" xfId="0" applyNumberFormat="1" applyFont="1" applyFill="1" applyBorder="1" applyAlignment="1">
      <alignment horizontal="center" vertical="center"/>
      <protection locked="0" hidden="0"/>
    </xf>
    <xf numFmtId="164" fontId="1" fillId="26" borderId="81" xfId="0" applyNumberFormat="1" applyFont="1" applyFill="1" applyBorder="1" applyAlignment="1">
      <alignment horizontal="center" vertical="center" wrapText="1"/>
    </xf>
    <xf numFmtId="164" fontId="1" fillId="26" borderId="82" xfId="0" applyNumberFormat="1" applyFont="1" applyFill="1" applyBorder="1" applyAlignment="1">
      <alignment horizontal="center" vertical="center" wrapText="1"/>
    </xf>
    <xf numFmtId="164" fontId="46" fillId="0" borderId="100" xfId="0" applyNumberFormat="1" applyBorder="1" applyAlignment="1">
      <alignment horizontal="center" vertical="center" wrapText="1"/>
      <protection locked="0" hidden="0"/>
    </xf>
    <xf numFmtId="164" fontId="46" fillId="0" borderId="101" xfId="0" applyNumberFormat="1" applyBorder="1" applyAlignment="1">
      <alignment horizontal="center" vertical="center" wrapText="1"/>
      <protection locked="0" hidden="0"/>
    </xf>
    <xf numFmtId="164" fontId="1" fillId="24" borderId="102" xfId="0" applyNumberFormat="1" applyFont="1" applyFill="1" applyBorder="1" applyAlignment="1">
      <alignment horizontal="center" vertical="center"/>
    </xf>
    <xf numFmtId="0" fontId="1" fillId="24" borderId="103" xfId="0" applyNumberFormat="1" applyFont="1" applyFill="1" applyBorder="1" applyAlignment="1">
      <alignment horizontal="center" vertical="center" wrapText="1"/>
      <protection locked="0" hidden="0"/>
    </xf>
    <xf numFmtId="0" fontId="1" fillId="24" borderId="103" xfId="0" applyNumberFormat="1" applyFont="1" applyFill="1" applyBorder="1" applyAlignment="1">
      <alignment horizontal="center" vertical="center"/>
      <protection locked="0" hidden="0"/>
    </xf>
    <xf numFmtId="164" fontId="1" fillId="25" borderId="104" xfId="0" applyNumberFormat="1" applyFont="1" applyFill="1" applyBorder="1" applyAlignment="1">
      <alignment horizontal="center" vertical="center"/>
    </xf>
    <xf numFmtId="0" fontId="1" fillId="25" borderId="103" xfId="0" applyNumberFormat="1" applyFont="1" applyFill="1" applyBorder="1" applyAlignment="1">
      <alignment horizontal="center" vertical="center" wrapText="1"/>
      <protection locked="0" hidden="0"/>
    </xf>
    <xf numFmtId="0" fontId="1" fillId="26" borderId="104" xfId="0" applyNumberFormat="1" applyFont="1" applyFill="1" applyBorder="1" applyAlignment="1">
      <alignment horizontal="center" vertical="center"/>
      <protection locked="0" hidden="0"/>
    </xf>
    <xf numFmtId="164" fontId="9" fillId="3" borderId="105" xfId="0" applyNumberFormat="1" applyFont="1" applyFill="1" applyBorder="1" applyAlignment="1">
      <alignment horizontal="center" vertical="center"/>
    </xf>
    <xf numFmtId="0" fontId="9" fillId="3" borderId="105" xfId="0" applyNumberFormat="1" applyFont="1" applyFill="1" applyBorder="1" applyAlignment="1">
      <alignment horizontal="center" vertical="center"/>
      <protection locked="0" hidden="0"/>
    </xf>
    <xf numFmtId="0" fontId="9" fillId="3" borderId="106" xfId="0" applyNumberFormat="1" applyFont="1" applyFill="1" applyBorder="1" applyAlignment="1">
      <alignment horizontal="center" vertical="center"/>
      <protection locked="0" hidden="0"/>
    </xf>
    <xf numFmtId="0" fontId="9" fillId="3" borderId="103" xfId="0" applyNumberFormat="1" applyFont="1" applyFill="1" applyBorder="1" applyAlignment="1">
      <alignment horizontal="center" vertical="center"/>
      <protection locked="0" hidden="0"/>
    </xf>
    <xf numFmtId="0" fontId="9" fillId="3" borderId="107" xfId="0" applyNumberFormat="1" applyFont="1" applyFill="1" applyBorder="1" applyAlignment="1">
      <alignment horizontal="center" vertical="center"/>
      <protection locked="0" hidden="0"/>
    </xf>
    <xf numFmtId="164" fontId="8" fillId="26" borderId="108" xfId="0" applyNumberFormat="1" applyFont="1" applyFill="1" applyBorder="1" applyAlignment="1">
      <alignment horizontal="center" vertical="center" wrapText="1"/>
      <protection locked="0" hidden="0"/>
    </xf>
    <xf numFmtId="164" fontId="8" fillId="26" borderId="109" xfId="0" applyNumberFormat="1" applyFont="1" applyFill="1" applyBorder="1" applyAlignment="1">
      <alignment horizontal="center" vertical="center" wrapText="1"/>
      <protection locked="0" hidden="0"/>
    </xf>
    <xf numFmtId="164" fontId="8" fillId="27" borderId="109" xfId="0" applyNumberFormat="1" applyFont="1" applyFill="1" applyBorder="1" applyAlignment="1">
      <alignment horizontal="center" vertical="center" wrapText="1"/>
      <protection locked="0" hidden="0"/>
    </xf>
    <xf numFmtId="164" fontId="8" fillId="26" borderId="110" xfId="0" applyNumberFormat="1" applyFont="1" applyFill="1" applyBorder="1" applyAlignment="1">
      <alignment horizontal="center" vertical="center" wrapText="1"/>
      <protection locked="0" hidden="0"/>
    </xf>
    <xf numFmtId="164" fontId="1" fillId="26" borderId="98" xfId="0" applyNumberFormat="1" applyFont="1" applyFill="1" applyBorder="1" applyAlignment="1">
      <alignment horizontal="center" vertical="center" wrapText="1"/>
    </xf>
    <xf numFmtId="164" fontId="1" fillId="26" borderId="18" xfId="0" applyNumberFormat="1" applyFont="1" applyFill="1" applyBorder="1" applyAlignment="1">
      <alignment horizontal="center" vertical="center" wrapText="1"/>
    </xf>
    <xf numFmtId="164" fontId="46" fillId="0" borderId="0" xfId="0" applyNumberFormat="1" applyBorder="1" applyAlignment="1">
      <alignment horizontal="center" vertical="center" wrapText="1"/>
      <protection locked="0" hidden="0"/>
    </xf>
    <xf numFmtId="164" fontId="46" fillId="0" borderId="111" xfId="0" applyNumberFormat="1" applyBorder="1" applyAlignment="1">
      <alignment horizontal="center" vertical="center" wrapText="1"/>
      <protection locked="0" hidden="0"/>
    </xf>
    <xf numFmtId="164" fontId="46" fillId="0" borderId="0" xfId="0" applyNumberFormat="1" applyBorder="1">
      <alignment vertical="center"/>
    </xf>
    <xf numFmtId="164" fontId="48" fillId="27" borderId="112" xfId="0" applyNumberFormat="1" applyFont="1" applyFill="1" applyBorder="1" applyAlignment="1">
      <alignment horizontal="center" vertical="center" wrapText="1"/>
    </xf>
    <xf numFmtId="164" fontId="48" fillId="27" borderId="100" xfId="0" applyNumberFormat="1" applyFont="1" applyFill="1" applyBorder="1" applyAlignment="1">
      <alignment horizontal="center" vertical="center" wrapText="1"/>
    </xf>
    <xf numFmtId="1" fontId="1" fillId="27" borderId="100" xfId="0" applyNumberFormat="1" applyFont="1" applyFill="1" applyBorder="1" applyAlignment="1">
      <alignment horizontal="right" vertical="center" wrapText="1"/>
      <protection locked="0" hidden="0"/>
    </xf>
    <xf numFmtId="170" fontId="1" fillId="27" borderId="100" xfId="0" applyNumberFormat="1" applyFont="1" applyFill="1" applyBorder="1" applyAlignment="1">
      <alignment horizontal="left" vertical="center" wrapText="1"/>
      <protection locked="0" hidden="0"/>
    </xf>
    <xf numFmtId="164" fontId="14" fillId="27" borderId="113" xfId="0" applyNumberFormat="1" applyFont="1" applyFill="1" applyBorder="1" applyAlignment="1">
      <alignment horizontal="center" vertical="center" wrapText="1"/>
    </xf>
    <xf numFmtId="164" fontId="48" fillId="26" borderId="114" xfId="0" applyNumberFormat="1" applyFont="1" applyFill="1" applyBorder="1" applyAlignment="1">
      <alignment horizontal="center" vertical="center" wrapText="1"/>
    </xf>
    <xf numFmtId="164" fontId="48" fillId="26" borderId="100" xfId="0" applyNumberFormat="1" applyFont="1" applyFill="1" applyBorder="1" applyAlignment="1">
      <alignment horizontal="center" vertical="center" wrapText="1"/>
    </xf>
    <xf numFmtId="0" fontId="1" fillId="26" borderId="100" xfId="0" applyFont="1" applyFill="1" applyBorder="1" applyAlignment="1">
      <alignment horizontal="right" vertical="center"/>
      <protection locked="0" hidden="0"/>
    </xf>
    <xf numFmtId="170" fontId="1" fillId="26" borderId="100" xfId="0" applyNumberFormat="1" applyFont="1" applyFill="1" applyBorder="1" applyAlignment="1">
      <alignment horizontal="left" vertical="center"/>
      <protection locked="0" hidden="0"/>
    </xf>
    <xf numFmtId="164" fontId="14" fillId="26" borderId="113" xfId="0" applyNumberFormat="1" applyFont="1" applyFill="1" applyBorder="1" applyAlignment="1">
      <alignment horizontal="center" vertical="center"/>
    </xf>
    <xf numFmtId="164" fontId="48" fillId="27" borderId="114" xfId="0" applyNumberFormat="1" applyFont="1" applyFill="1" applyBorder="1" applyAlignment="1">
      <alignment horizontal="center" vertical="center" wrapText="1"/>
    </xf>
    <xf numFmtId="0" fontId="1" fillId="27" borderId="100" xfId="0" applyNumberFormat="1" applyFont="1" applyFill="1" applyBorder="1" applyAlignment="1">
      <alignment horizontal="right" vertical="center" wrapText="1"/>
      <protection locked="0" hidden="0"/>
    </xf>
    <xf numFmtId="171" fontId="1" fillId="27" borderId="100" xfId="0" applyNumberFormat="1" applyFont="1" applyFill="1" applyBorder="1" applyAlignment="1">
      <alignment horizontal="left" vertical="center" wrapText="1"/>
      <protection locked="0" hidden="0"/>
    </xf>
    <xf numFmtId="171" fontId="1" fillId="27" borderId="115" xfId="0" applyNumberFormat="1" applyFont="1" applyFill="1" applyBorder="1" applyAlignment="1">
      <alignment horizontal="left" vertical="center" wrapText="1"/>
      <protection locked="0" hidden="0"/>
    </xf>
    <xf numFmtId="164" fontId="15" fillId="27" borderId="100" xfId="0" applyNumberFormat="1" applyFont="1" applyFill="1" applyBorder="1" applyAlignment="1">
      <alignment vertical="center" wrapText="1"/>
    </xf>
    <xf numFmtId="164" fontId="15" fillId="27" borderId="116" xfId="0" applyNumberFormat="1" applyFont="1" applyFill="1" applyBorder="1" applyAlignment="1">
      <alignment vertical="center" wrapText="1"/>
    </xf>
    <xf numFmtId="0" fontId="14" fillId="26" borderId="100" xfId="0" applyNumberFormat="1" applyFont="1" applyFill="1" applyBorder="1" applyAlignment="1">
      <alignment horizontal="center" vertical="center" wrapText="1"/>
      <protection locked="0" hidden="0"/>
    </xf>
    <xf numFmtId="164" fontId="14" fillId="26" borderId="117" xfId="0" applyNumberFormat="1" applyFont="1" applyFill="1" applyBorder="1" applyAlignment="1">
      <alignment horizontal="center" vertical="center"/>
    </xf>
    <xf numFmtId="164" fontId="14" fillId="26" borderId="100" xfId="0" applyNumberFormat="1" applyFont="1" applyFill="1" applyBorder="1" applyAlignment="1">
      <alignment horizontal="center" vertical="center"/>
    </xf>
    <xf numFmtId="164" fontId="30" fillId="27" borderId="114" xfId="0" applyNumberFormat="1" applyFont="1" applyFill="1" applyBorder="1" applyAlignment="1">
      <alignment horizontal="center" vertical="center" wrapText="1"/>
    </xf>
    <xf numFmtId="164" fontId="30" fillId="27" borderId="100" xfId="0" applyNumberFormat="1" applyFont="1" applyFill="1" applyBorder="1" applyAlignment="1">
      <alignment horizontal="center" vertical="center" wrapText="1"/>
    </xf>
    <xf numFmtId="164" fontId="1" fillId="27" borderId="100" xfId="0" applyNumberFormat="1" applyFont="1" applyFill="1" applyBorder="1" applyAlignment="1">
      <alignment horizontal="center" vertical="center" wrapText="1"/>
      <protection locked="0" hidden="0"/>
    </xf>
    <xf numFmtId="164" fontId="1" fillId="27" borderId="115" xfId="0" applyNumberFormat="1" applyFont="1" applyFill="1" applyBorder="1" applyAlignment="1">
      <alignment horizontal="center" vertical="center" wrapText="1"/>
      <protection locked="0" hidden="0"/>
    </xf>
    <xf numFmtId="164" fontId="1" fillId="27" borderId="100" xfId="0" applyNumberFormat="1" applyFont="1" applyFill="1" applyBorder="1" applyAlignment="1">
      <alignment horizontal="center" vertical="center" wrapText="1"/>
    </xf>
    <xf numFmtId="164" fontId="1" fillId="27" borderId="101" xfId="0" applyNumberFormat="1" applyFont="1" applyFill="1" applyBorder="1" applyAlignment="1">
      <alignment horizontal="center" vertical="center" wrapText="1"/>
    </xf>
    <xf numFmtId="164" fontId="48" fillId="27" borderId="118" xfId="0" applyNumberFormat="1" applyFont="1" applyFill="1" applyBorder="1" applyAlignment="1">
      <alignment horizontal="center" vertical="center" wrapText="1"/>
    </xf>
    <xf numFmtId="164" fontId="48" fillId="27" borderId="29" xfId="0" applyNumberFormat="1" applyFont="1" applyFill="1" applyBorder="1" applyAlignment="1">
      <alignment horizontal="center" vertical="center" wrapText="1"/>
    </xf>
    <xf numFmtId="1" fontId="1" fillId="27" borderId="29" xfId="0" applyNumberFormat="1" applyFont="1" applyFill="1" applyBorder="1" applyAlignment="1">
      <alignment horizontal="right" vertical="center" wrapText="1"/>
      <protection locked="0" hidden="0"/>
    </xf>
    <xf numFmtId="170" fontId="1" fillId="27" borderId="29" xfId="0" applyNumberFormat="1" applyFont="1" applyFill="1" applyBorder="1" applyAlignment="1">
      <alignment horizontal="left" vertical="center" wrapText="1"/>
      <protection locked="0" hidden="0"/>
    </xf>
    <xf numFmtId="164" fontId="48" fillId="26" borderId="42" xfId="0" applyNumberFormat="1" applyFont="1" applyFill="1" applyBorder="1" applyAlignment="1">
      <alignment horizontal="center" vertical="center" wrapText="1"/>
    </xf>
    <xf numFmtId="164" fontId="48" fillId="26" borderId="29" xfId="0" applyNumberFormat="1" applyFont="1" applyFill="1" applyBorder="1" applyAlignment="1">
      <alignment horizontal="center" vertical="center" wrapText="1"/>
    </xf>
    <xf numFmtId="0" fontId="1" fillId="26" borderId="29" xfId="0" applyFont="1" applyFill="1" applyBorder="1" applyAlignment="1">
      <alignment horizontal="right" vertical="center"/>
      <protection locked="0" hidden="0"/>
    </xf>
    <xf numFmtId="170" fontId="1" fillId="26" borderId="29" xfId="0" applyNumberFormat="1" applyFont="1" applyFill="1" applyBorder="1" applyAlignment="1">
      <alignment horizontal="left" vertical="center"/>
      <protection locked="0" hidden="0"/>
    </xf>
    <xf numFmtId="164" fontId="48" fillId="27" borderId="42" xfId="0" applyNumberFormat="1" applyFont="1" applyFill="1" applyBorder="1" applyAlignment="1">
      <alignment horizontal="center" vertical="center" wrapText="1"/>
    </xf>
    <xf numFmtId="0" fontId="1" fillId="27" borderId="29" xfId="0" applyNumberFormat="1" applyFont="1" applyFill="1" applyBorder="1" applyAlignment="1">
      <alignment horizontal="right" vertical="center" wrapText="1"/>
      <protection locked="0" hidden="0"/>
    </xf>
    <xf numFmtId="171" fontId="1" fillId="27" borderId="29" xfId="0" applyNumberFormat="1" applyFont="1" applyFill="1" applyBorder="1" applyAlignment="1">
      <alignment horizontal="left" vertical="center" wrapText="1"/>
      <protection locked="0" hidden="0"/>
    </xf>
    <xf numFmtId="171" fontId="1" fillId="27" borderId="44" xfId="0" applyNumberFormat="1" applyFont="1" applyFill="1" applyBorder="1" applyAlignment="1">
      <alignment horizontal="left" vertical="center" wrapText="1"/>
      <protection locked="0" hidden="0"/>
    </xf>
    <xf numFmtId="0" fontId="18" fillId="27" borderId="29" xfId="0" applyNumberFormat="1" applyFont="1" applyFill="1" applyBorder="1" applyAlignment="1">
      <alignment horizontal="center" vertical="center" wrapText="1"/>
      <protection locked="0" hidden="0"/>
    </xf>
    <xf numFmtId="0" fontId="18" fillId="27" borderId="45" xfId="0" applyNumberFormat="1" applyFont="1" applyFill="1" applyBorder="1" applyAlignment="1">
      <alignment horizontal="center" vertical="center" wrapText="1"/>
      <protection locked="0" hidden="0"/>
    </xf>
    <xf numFmtId="0" fontId="14" fillId="26" borderId="29" xfId="0" applyNumberFormat="1" applyFont="1" applyFill="1" applyBorder="1" applyAlignment="1">
      <alignment horizontal="center" vertical="center" wrapText="1"/>
      <protection locked="0" hidden="0"/>
    </xf>
    <xf numFmtId="172" fontId="14" fillId="26" borderId="28" xfId="0" applyNumberFormat="1" applyFont="1" applyFill="1" applyBorder="1" applyAlignment="1">
      <alignment horizontal="center" vertical="center"/>
      <protection locked="0" hidden="0"/>
    </xf>
    <xf numFmtId="172" fontId="14" fillId="26" borderId="29" xfId="0" applyNumberFormat="1" applyFont="1" applyFill="1" applyBorder="1" applyAlignment="1">
      <alignment horizontal="center" vertical="center"/>
      <protection locked="0" hidden="0"/>
    </xf>
    <xf numFmtId="164" fontId="30" fillId="27" borderId="42" xfId="0" applyNumberFormat="1" applyFont="1" applyFill="1" applyBorder="1" applyAlignment="1">
      <alignment horizontal="center" vertical="center" wrapText="1"/>
    </xf>
    <xf numFmtId="164" fontId="30" fillId="27" borderId="29" xfId="0" applyNumberFormat="1" applyFont="1" applyFill="1" applyBorder="1" applyAlignment="1">
      <alignment horizontal="center" vertical="center" wrapText="1"/>
    </xf>
    <xf numFmtId="164" fontId="1" fillId="27" borderId="0" xfId="0" applyNumberFormat="1" applyFont="1" applyFill="1" applyAlignment="1">
      <alignment horizontal="center" vertical="center" wrapText="1"/>
      <protection locked="0" hidden="0"/>
    </xf>
    <xf numFmtId="164" fontId="1" fillId="27" borderId="46" xfId="0" applyNumberFormat="1" applyFont="1" applyFill="1" applyBorder="1" applyAlignment="1">
      <alignment horizontal="center" vertical="center" wrapText="1"/>
      <protection locked="0" hidden="0"/>
    </xf>
    <xf numFmtId="164" fontId="1" fillId="27" borderId="111" xfId="0" applyNumberFormat="1" applyFont="1" applyFill="1" applyBorder="1" applyAlignment="1">
      <alignment horizontal="center" vertical="center" wrapText="1"/>
      <protection locked="0" hidden="0"/>
    </xf>
    <xf numFmtId="164" fontId="19" fillId="27" borderId="119" xfId="0" applyNumberFormat="1" applyFont="1" applyFill="1" applyBorder="1" applyAlignment="1">
      <alignment horizontal="center" vertical="center"/>
    </xf>
    <xf numFmtId="164" fontId="19" fillId="27" borderId="106" xfId="0" applyNumberFormat="1" applyFont="1" applyFill="1" applyBorder="1" applyAlignment="1">
      <alignment horizontal="center" vertical="center"/>
    </xf>
    <xf numFmtId="0" fontId="19" fillId="27" borderId="106" xfId="0" applyNumberFormat="1" applyFont="1" applyFill="1" applyBorder="1" applyAlignment="1">
      <alignment horizontal="center" vertical="center"/>
      <protection locked="0" hidden="0"/>
    </xf>
    <xf numFmtId="0" fontId="19" fillId="27" borderId="120" xfId="0" applyNumberFormat="1" applyFont="1" applyFill="1" applyBorder="1" applyAlignment="1">
      <alignment horizontal="center" vertical="center"/>
      <protection locked="0" hidden="0"/>
    </xf>
    <xf numFmtId="164" fontId="19" fillId="26" borderId="121" xfId="0" applyNumberFormat="1" applyFont="1" applyFill="1" applyBorder="1" applyAlignment="1">
      <alignment horizontal="center" vertical="center"/>
    </xf>
    <xf numFmtId="164" fontId="19" fillId="26" borderId="106" xfId="0" applyNumberFormat="1" applyFont="1" applyFill="1" applyBorder="1" applyAlignment="1">
      <alignment horizontal="center" vertical="center"/>
    </xf>
    <xf numFmtId="0" fontId="14" fillId="26" borderId="106" xfId="0" applyNumberFormat="1" applyFont="1" applyFill="1" applyBorder="1" applyAlignment="1">
      <alignment horizontal="center" vertical="center"/>
      <protection locked="0" hidden="0"/>
    </xf>
    <xf numFmtId="164" fontId="19" fillId="26" borderId="105" xfId="0" applyNumberFormat="1" applyFont="1" applyFill="1" applyBorder="1" applyAlignment="1">
      <alignment horizontal="center" vertical="center"/>
    </xf>
    <xf numFmtId="0" fontId="14" fillId="26" borderId="122" xfId="0" applyNumberFormat="1" applyFont="1" applyFill="1" applyBorder="1" applyAlignment="1">
      <alignment horizontal="center" vertical="center"/>
      <protection locked="0" hidden="0"/>
    </xf>
    <xf numFmtId="164" fontId="19" fillId="27" borderId="121" xfId="0" applyNumberFormat="1" applyFont="1" applyFill="1" applyBorder="1" applyAlignment="1">
      <alignment horizontal="center" vertical="center" wrapText="1"/>
    </xf>
    <xf numFmtId="164" fontId="19" fillId="27" borderId="106" xfId="0" applyNumberFormat="1" applyFont="1" applyFill="1" applyBorder="1" applyAlignment="1">
      <alignment horizontal="center" vertical="center" wrapText="1"/>
    </xf>
    <xf numFmtId="164" fontId="14" fillId="27" borderId="106" xfId="0" applyNumberFormat="1" applyFont="1" applyFill="1" applyBorder="1" applyAlignment="1">
      <alignment horizontal="center" vertical="center" wrapText="1"/>
      <protection locked="0" hidden="0"/>
    </xf>
    <xf numFmtId="164" fontId="14" fillId="27" borderId="123" xfId="0" applyNumberFormat="1" applyFont="1" applyFill="1" applyBorder="1" applyAlignment="1">
      <alignment horizontal="center" vertical="center" wrapText="1"/>
      <protection locked="0" hidden="0"/>
    </xf>
    <xf numFmtId="164" fontId="20" fillId="26" borderId="106" xfId="0" applyNumberFormat="1" applyFont="1" applyFill="1" applyBorder="1" applyAlignment="1">
      <alignment horizontal="center" vertical="center"/>
    </xf>
    <xf numFmtId="164" fontId="20" fillId="26" borderId="106" xfId="0" applyNumberFormat="1" applyFont="1" applyFill="1" applyBorder="1" applyAlignment="1">
      <alignment horizontal="center" vertical="center"/>
      <protection locked="0" hidden="0"/>
    </xf>
    <xf numFmtId="164" fontId="19" fillId="27" borderId="121" xfId="0" applyNumberFormat="1" applyFont="1" applyFill="1" applyBorder="1" applyAlignment="1">
      <alignment horizontal="center" vertical="center"/>
    </xf>
    <xf numFmtId="164" fontId="14" fillId="27" borderId="124" xfId="0" applyNumberFormat="1" applyFont="1" applyFill="1" applyBorder="1" applyAlignment="1">
      <alignment horizontal="center" vertical="center"/>
      <protection locked="0" hidden="0"/>
    </xf>
    <xf numFmtId="164" fontId="14" fillId="27" borderId="125" xfId="0" applyNumberFormat="1" applyFont="1" applyFill="1" applyBorder="1" applyAlignment="1">
      <alignment horizontal="center" vertical="center"/>
      <protection locked="0" hidden="0"/>
    </xf>
    <xf numFmtId="164" fontId="21" fillId="0" borderId="0" xfId="0" applyNumberFormat="1" applyFont="1" applyFill="1" applyBorder="1" applyAlignment="1">
      <alignment horizontal="center" vertical="center"/>
    </xf>
    <xf numFmtId="164" fontId="16" fillId="0" borderId="0" xfId="0" applyNumberFormat="1" applyBorder="1">
      <alignment vertical="center"/>
    </xf>
    <xf numFmtId="164" fontId="1" fillId="0" borderId="0" xfId="0" applyNumberFormat="1" applyFont="1" applyFill="1" applyBorder="1" applyAlignment="1">
      <alignment horizontal="center" vertical="center"/>
    </xf>
    <xf numFmtId="164" fontId="46" fillId="28" borderId="91" xfId="0" applyNumberFormat="1" applyFill="1" applyBorder="1" applyAlignment="1">
      <alignment horizontal="center" vertical="center"/>
    </xf>
    <xf numFmtId="164" fontId="46" fillId="28" borderId="92" xfId="0" applyNumberFormat="1" applyFill="1" applyBorder="1" applyAlignment="1">
      <alignment horizontal="center" vertical="center"/>
    </xf>
    <xf numFmtId="0" fontId="46" fillId="0" borderId="92" xfId="0" applyNumberFormat="1" applyBorder="1" applyAlignment="1">
      <alignment horizontal="center" vertical="center"/>
      <protection locked="0" hidden="0"/>
    </xf>
    <xf numFmtId="164" fontId="46" fillId="0" borderId="92" xfId="0" applyNumberFormat="1" applyBorder="1" applyAlignment="1">
      <alignment horizontal="left" vertical="center"/>
      <protection locked="0" hidden="0"/>
    </xf>
    <xf numFmtId="164" fontId="46" fillId="0" borderId="93" xfId="0" applyNumberFormat="1" applyBorder="1" applyAlignment="1">
      <alignment horizontal="left" vertical="center"/>
      <protection locked="0" hidden="0"/>
    </xf>
    <xf numFmtId="164" fontId="46" fillId="25" borderId="126" xfId="0" applyNumberFormat="1" applyFill="1" applyBorder="1" applyAlignment="1">
      <alignment horizontal="center" vertical="center"/>
    </xf>
    <xf numFmtId="164" fontId="46" fillId="25" borderId="127" xfId="0" applyNumberFormat="1" applyFill="1" applyBorder="1" applyAlignment="1">
      <alignment horizontal="center" vertical="center"/>
    </xf>
    <xf numFmtId="0" fontId="46" fillId="0" borderId="127" xfId="0" applyNumberFormat="1" applyBorder="1" applyAlignment="1">
      <alignment horizontal="center" vertical="center"/>
      <protection locked="0" hidden="0"/>
    </xf>
    <xf numFmtId="164" fontId="46" fillId="0" borderId="127" xfId="0" applyNumberFormat="1" applyBorder="1" applyAlignment="1">
      <alignment horizontal="left" vertical="center"/>
      <protection locked="0" hidden="0"/>
    </xf>
    <xf numFmtId="164" fontId="46" fillId="0" borderId="128" xfId="0" applyNumberFormat="1" applyBorder="1" applyAlignment="1">
      <alignment horizontal="left" vertical="center"/>
      <protection locked="0" hidden="0"/>
    </xf>
    <xf numFmtId="164" fontId="49" fillId="0" borderId="129" xfId="0" applyNumberFormat="1" applyFont="1" applyBorder="1" applyAlignment="1">
      <alignment horizontal="center" vertical="center"/>
      <protection locked="0" hidden="0"/>
    </xf>
    <xf numFmtId="164" fontId="11" fillId="0" borderId="129" xfId="0" applyNumberFormat="1" applyFont="1" applyFill="1" applyBorder="1" applyAlignment="1">
      <alignment horizontal="left" vertical="top"/>
      <protection locked="0" hidden="0"/>
    </xf>
    <xf numFmtId="164" fontId="11" fillId="0" borderId="101" xfId="0" applyNumberFormat="1" applyFont="1" applyFill="1" applyBorder="1" applyAlignment="1">
      <alignment horizontal="left" vertical="top" wrapText="1"/>
      <protection locked="0" hidden="0"/>
    </xf>
    <xf numFmtId="164" fontId="11" fillId="0" borderId="129" xfId="0" applyNumberFormat="1" applyFont="1" applyFill="1" applyBorder="1" applyAlignment="1">
      <alignment horizontal="left" vertical="top" wrapText="1"/>
      <protection locked="0" hidden="0"/>
    </xf>
    <xf numFmtId="164" fontId="11" fillId="0" borderId="130" xfId="0" applyNumberFormat="1" applyFont="1" applyFill="1" applyBorder="1" applyAlignment="1">
      <alignment horizontal="left" vertical="top" wrapText="1"/>
      <protection locked="0" hidden="0"/>
    </xf>
    <xf numFmtId="164" fontId="50" fillId="25" borderId="112" xfId="0" applyNumberFormat="1" applyFont="1" applyFill="1" applyBorder="1" applyAlignment="1">
      <alignment horizontal="center" vertical="center"/>
    </xf>
    <xf numFmtId="164" fontId="46" fillId="25" borderId="91" xfId="0" applyNumberFormat="1" applyFill="1" applyBorder="1" applyAlignment="1">
      <alignment horizontal="center" vertical="center"/>
    </xf>
    <xf numFmtId="164" fontId="46" fillId="25" borderId="92" xfId="0" applyNumberFormat="1" applyFill="1" applyBorder="1" applyAlignment="1">
      <alignment horizontal="center" vertical="center"/>
    </xf>
    <xf numFmtId="164" fontId="46" fillId="0" borderId="92" xfId="0" applyNumberFormat="1" applyBorder="1" applyAlignment="1">
      <alignment horizontal="center" vertical="center"/>
      <protection locked="0" hidden="0"/>
    </xf>
    <xf numFmtId="164" fontId="46" fillId="0" borderId="93" xfId="0" applyNumberFormat="1" applyBorder="1" applyAlignment="1">
      <alignment horizontal="center" vertical="center"/>
      <protection locked="0" hidden="0"/>
    </xf>
    <xf numFmtId="164" fontId="46" fillId="28" borderId="131" xfId="0" applyNumberFormat="1" applyFill="1" applyBorder="1" applyAlignment="1">
      <alignment horizontal="center" vertical="center" wrapText="1"/>
    </xf>
    <xf numFmtId="0" fontId="46" fillId="0" borderId="132" xfId="0" applyNumberFormat="1" applyBorder="1" applyAlignment="1">
      <alignment horizontal="center" vertical="center"/>
      <protection locked="0" hidden="0"/>
    </xf>
    <xf numFmtId="164" fontId="51" fillId="0" borderId="92" xfId="0" applyNumberFormat="1" applyFont="1" applyBorder="1" applyAlignment="1">
      <alignment horizontal="left" vertical="top" wrapText="1"/>
      <protection locked="0" hidden="0"/>
    </xf>
    <xf numFmtId="164" fontId="51" fillId="0" borderId="93" xfId="0" applyNumberFormat="1" applyFont="1" applyBorder="1" applyAlignment="1">
      <alignment horizontal="left" vertical="top" wrapText="1"/>
      <protection locked="0" hidden="0"/>
    </xf>
    <xf numFmtId="164" fontId="23" fillId="19" borderId="133" xfId="0" applyNumberFormat="1" applyFont="1" applyFill="1" applyBorder="1" applyAlignment="1">
      <alignment horizontal="right" vertical="top" wrapText="1"/>
      <protection locked="0" hidden="0"/>
    </xf>
    <xf numFmtId="164" fontId="52" fillId="19" borderId="134" xfId="0" applyNumberFormat="1" applyFont="1" applyFill="1" applyBorder="1" applyAlignment="1">
      <alignment horizontal="left" vertical="top" wrapText="1"/>
      <protection locked="0" hidden="0"/>
    </xf>
    <xf numFmtId="164" fontId="53" fillId="19" borderId="135" xfId="0" applyNumberFormat="1" applyFont="1" applyFill="1" applyBorder="1" applyAlignment="1">
      <alignment horizontal="left" vertical="top" wrapText="1"/>
      <protection locked="0" hidden="0"/>
    </xf>
    <xf numFmtId="164" fontId="53" fillId="19" borderId="136" xfId="0" applyNumberFormat="1" applyFont="1" applyFill="1" applyBorder="1" applyAlignment="1">
      <alignment horizontal="left" vertical="top" wrapText="1"/>
      <protection locked="0" hidden="0"/>
    </xf>
    <xf numFmtId="164" fontId="53" fillId="19" borderId="137" xfId="0" applyNumberFormat="1" applyFont="1" applyFill="1" applyBorder="1" applyAlignment="1">
      <alignment horizontal="left" vertical="top" wrapText="1"/>
      <protection locked="0" hidden="0"/>
    </xf>
    <xf numFmtId="164" fontId="53" fillId="19" borderId="138" xfId="0" applyNumberFormat="1" applyFont="1" applyFill="1" applyBorder="1" applyAlignment="1">
      <alignment horizontal="left" vertical="top" wrapText="1"/>
      <protection locked="0" hidden="0"/>
    </xf>
    <xf numFmtId="164" fontId="46" fillId="28" borderId="137" xfId="0" applyNumberFormat="1" applyFill="1" applyBorder="1" applyAlignment="1">
      <alignment horizontal="center" vertical="center"/>
    </xf>
    <xf numFmtId="164" fontId="46" fillId="28" borderId="96" xfId="0" applyNumberFormat="1" applyFill="1" applyBorder="1" applyAlignment="1">
      <alignment horizontal="center" vertical="center"/>
    </xf>
    <xf numFmtId="0" fontId="46" fillId="0" borderId="96" xfId="0" applyNumberFormat="1" applyBorder="1" applyAlignment="1">
      <alignment horizontal="center" vertical="center"/>
      <protection locked="0" hidden="0"/>
    </xf>
    <xf numFmtId="0" fontId="46" fillId="0" borderId="139" xfId="0" applyNumberFormat="1" applyBorder="1" applyAlignment="1">
      <alignment horizontal="center" vertical="center"/>
      <protection locked="0" hidden="0"/>
    </xf>
    <xf numFmtId="164" fontId="46" fillId="0" borderId="95" xfId="0" applyNumberFormat="1" applyBorder="1" applyAlignment="1">
      <alignment horizontal="center" vertical="center"/>
      <protection locked="0" hidden="0"/>
    </xf>
    <xf numFmtId="164" fontId="46" fillId="0" borderId="96" xfId="0" applyNumberFormat="1" applyBorder="1" applyAlignment="1">
      <alignment horizontal="center" vertical="center"/>
      <protection locked="0" hidden="0"/>
    </xf>
    <xf numFmtId="164" fontId="51" fillId="0" borderId="96" xfId="0" applyNumberFormat="1" applyFont="1" applyBorder="1" applyAlignment="1">
      <alignment horizontal="left" vertical="top" wrapText="1"/>
      <protection locked="0" hidden="0"/>
    </xf>
    <xf numFmtId="164" fontId="51" fillId="0" borderId="97" xfId="0" applyNumberFormat="1" applyFont="1" applyBorder="1" applyAlignment="1">
      <alignment horizontal="left" vertical="top" wrapText="1"/>
      <protection locked="0" hidden="0"/>
    </xf>
    <xf numFmtId="164" fontId="46" fillId="0" borderId="91" xfId="0" applyNumberFormat="1" applyBorder="1" applyAlignment="1">
      <alignment horizontal="center" vertical="center"/>
    </xf>
    <xf numFmtId="164" fontId="46" fillId="0" borderId="92" xfId="0" applyNumberFormat="1" applyBorder="1" applyAlignment="1">
      <alignment horizontal="center" vertical="center"/>
    </xf>
    <xf numFmtId="164" fontId="46" fillId="0" borderId="93" xfId="0" applyNumberFormat="1" applyBorder="1" applyAlignment="1">
      <alignment horizontal="center" vertical="center"/>
    </xf>
    <xf numFmtId="164" fontId="46" fillId="25" borderId="137" xfId="0" applyNumberFormat="1" applyFill="1" applyBorder="1" applyAlignment="1">
      <alignment horizontal="center" vertical="center"/>
    </xf>
    <xf numFmtId="164" fontId="46" fillId="25" borderId="96" xfId="0" applyNumberFormat="1" applyFill="1" applyBorder="1" applyAlignment="1">
      <alignment horizontal="center" vertical="center"/>
    </xf>
    <xf numFmtId="164" fontId="46" fillId="0" borderId="95" xfId="0" applyNumberFormat="1" applyBorder="1" applyAlignment="1">
      <alignment horizontal="left" vertical="top" wrapText="1"/>
      <protection locked="0" hidden="0"/>
    </xf>
    <xf numFmtId="164" fontId="46" fillId="0" borderId="96" xfId="0" applyNumberFormat="1" applyBorder="1" applyAlignment="1">
      <alignment horizontal="left" vertical="top" wrapText="1"/>
      <protection locked="0" hidden="0"/>
    </xf>
    <xf numFmtId="164" fontId="46" fillId="0" borderId="97" xfId="0" applyNumberFormat="1" applyBorder="1" applyAlignment="1">
      <alignment horizontal="left" vertical="top" wrapText="1"/>
      <protection locked="0" hidden="0"/>
    </xf>
    <xf numFmtId="164" fontId="46" fillId="0" borderId="126" xfId="0" applyNumberFormat="1" applyBorder="1" applyAlignment="1">
      <alignment horizontal="center" vertical="center"/>
      <protection locked="0" hidden="0"/>
    </xf>
    <xf numFmtId="164" fontId="46" fillId="0" borderId="127" xfId="0" applyNumberFormat="1" applyBorder="1" applyAlignment="1">
      <alignment horizontal="center" vertical="center"/>
      <protection locked="0" hidden="0"/>
    </xf>
    <xf numFmtId="164" fontId="51" fillId="0" borderId="127" xfId="0" applyNumberFormat="1" applyFont="1" applyBorder="1" applyAlignment="1">
      <alignment horizontal="left" vertical="top" wrapText="1"/>
      <protection locked="0" hidden="0"/>
    </xf>
    <xf numFmtId="164" fontId="51" fillId="0" borderId="128" xfId="0" applyNumberFormat="1" applyFont="1" applyBorder="1" applyAlignment="1">
      <alignment horizontal="left" vertical="top" wrapText="1"/>
      <protection locked="0" hidden="0"/>
    </xf>
    <xf numFmtId="164" fontId="46" fillId="28" borderId="137" xfId="0" applyNumberFormat="1" applyFill="1" applyBorder="1" applyAlignment="1">
      <alignment horizontal="center" vertical="center" wrapText="1"/>
    </xf>
    <xf numFmtId="164" fontId="54" fillId="0" borderId="130" xfId="0" applyNumberFormat="1" applyFont="1" applyBorder="1" applyAlignment="1">
      <alignment horizontal="left" vertical="top" wrapText="1"/>
      <protection locked="0" hidden="0"/>
    </xf>
    <xf numFmtId="164" fontId="46" fillId="25" borderId="137" xfId="0" applyNumberFormat="1" applyFill="1" applyBorder="1" applyAlignment="1">
      <alignment horizontal="center" vertical="center" wrapText="1"/>
    </xf>
    <xf numFmtId="164" fontId="53" fillId="19" borderId="133" xfId="0" applyNumberFormat="1" applyFont="1" applyFill="1" applyBorder="1" applyAlignment="1">
      <alignment horizontal="left" vertical="top" wrapText="1"/>
      <protection locked="0" hidden="0"/>
    </xf>
    <xf numFmtId="164" fontId="53" fillId="19" borderId="134" xfId="0" applyNumberFormat="1" applyFont="1" applyFill="1" applyBorder="1" applyAlignment="1">
      <alignment horizontal="left" vertical="top" wrapText="1"/>
      <protection locked="0" hidden="0"/>
    </xf>
    <xf numFmtId="164" fontId="53" fillId="19" borderId="140" xfId="0" applyNumberFormat="1" applyFont="1" applyFill="1" applyBorder="1" applyAlignment="1">
      <alignment horizontal="left" vertical="top" wrapText="1"/>
      <protection locked="0" hidden="0"/>
    </xf>
    <xf numFmtId="164" fontId="53" fillId="19" borderId="141" xfId="0" applyNumberFormat="1" applyFont="1" applyFill="1" applyBorder="1" applyAlignment="1">
      <alignment horizontal="left" vertical="top" wrapText="1"/>
      <protection locked="0" hidden="0"/>
    </xf>
    <xf numFmtId="164" fontId="46" fillId="25" borderId="140" xfId="0" applyNumberFormat="1" applyFill="1" applyBorder="1" applyAlignment="1">
      <alignment horizontal="center" vertical="center"/>
    </xf>
    <xf numFmtId="0" fontId="46" fillId="0" borderId="142" xfId="0" applyNumberFormat="1" applyBorder="1" applyAlignment="1">
      <alignment horizontal="center" vertical="center"/>
      <protection locked="0" hidden="0"/>
    </xf>
    <xf numFmtId="164" fontId="54" fillId="0" borderId="129" xfId="0" applyNumberFormat="1" applyFont="1" applyBorder="1" applyAlignment="1">
      <alignment horizontal="left" vertical="top" wrapText="1"/>
      <protection locked="0" hidden="0"/>
    </xf>
    <xf numFmtId="0" fontId="30" fillId="26" borderId="91" xfId="0" applyNumberFormat="1" applyFont="1" applyFill="1" applyBorder="1" applyAlignment="1">
      <alignment horizontal="center" vertical="center"/>
    </xf>
    <xf numFmtId="0" fontId="30" fillId="26" borderId="92" xfId="0" applyNumberFormat="1" applyFont="1" applyFill="1" applyBorder="1" applyAlignment="1">
      <alignment horizontal="center" vertical="center"/>
    </xf>
    <xf numFmtId="0" fontId="30" fillId="26" borderId="132" xfId="0" applyNumberFormat="1" applyFont="1" applyFill="1" applyBorder="1" applyAlignment="1">
      <alignment horizontal="center" vertical="center"/>
    </xf>
    <xf numFmtId="0" fontId="30" fillId="24" borderId="91" xfId="0" applyNumberFormat="1" applyFont="1" applyFill="1" applyBorder="1" applyAlignment="1">
      <alignment horizontal="center" vertical="center"/>
    </xf>
    <xf numFmtId="0" fontId="30" fillId="24" borderId="92" xfId="0" applyNumberFormat="1" applyFont="1" applyFill="1" applyBorder="1" applyAlignment="1">
      <alignment horizontal="center" vertical="center"/>
    </xf>
    <xf numFmtId="0" fontId="30" fillId="24" borderId="93" xfId="0" applyNumberFormat="1" applyFont="1" applyFill="1" applyBorder="1" applyAlignment="1">
      <alignment horizontal="center" vertical="center"/>
    </xf>
    <xf numFmtId="164" fontId="46" fillId="19" borderId="95" xfId="0" applyNumberFormat="1" applyFill="1" applyBorder="1" applyAlignment="1">
      <alignment horizontal="center" vertical="top" wrapText="1"/>
      <protection locked="0" hidden="0"/>
    </xf>
    <xf numFmtId="164" fontId="46" fillId="19" borderId="96" xfId="0" applyNumberFormat="1" applyFill="1" applyBorder="1" applyAlignment="1">
      <alignment horizontal="center" vertical="top" wrapText="1"/>
      <protection locked="0" hidden="0"/>
    </xf>
    <xf numFmtId="164" fontId="46" fillId="19" borderId="139" xfId="0" applyNumberFormat="1" applyFill="1" applyBorder="1" applyAlignment="1">
      <alignment horizontal="center" vertical="top" wrapText="1"/>
      <protection locked="0" hidden="0"/>
    </xf>
    <xf numFmtId="164" fontId="55" fillId="19" borderId="95" xfId="0" applyNumberFormat="1" applyFont="1" applyFill="1" applyBorder="1" applyAlignment="1">
      <alignment horizontal="center" vertical="top" wrapText="1"/>
      <protection locked="0" hidden="0"/>
    </xf>
    <xf numFmtId="164" fontId="55" fillId="19" borderId="96" xfId="0" applyNumberFormat="1" applyFont="1" applyFill="1" applyBorder="1" applyAlignment="1">
      <alignment horizontal="center" vertical="top" wrapText="1"/>
      <protection locked="0" hidden="0"/>
    </xf>
    <xf numFmtId="164" fontId="55" fillId="19" borderId="97" xfId="0" applyNumberFormat="1" applyFont="1" applyFill="1" applyBorder="1" applyAlignment="1">
      <alignment horizontal="center" vertical="top" wrapText="1"/>
      <protection locked="0" hidden="0"/>
    </xf>
    <xf numFmtId="164" fontId="56" fillId="19" borderId="130" xfId="0" applyNumberFormat="1" applyFont="1" applyFill="1" applyBorder="1" applyAlignment="1">
      <alignment horizontal="center" vertical="center"/>
      <protection locked="0" hidden="0"/>
    </xf>
    <xf numFmtId="164" fontId="46" fillId="0" borderId="108" xfId="0" applyNumberFormat="1" applyBorder="1" applyAlignment="1">
      <alignment horizontal="left" vertical="top" wrapText="1"/>
      <protection locked="0" hidden="0"/>
    </xf>
    <xf numFmtId="164" fontId="46" fillId="0" borderId="109" xfId="0" applyNumberFormat="1" applyBorder="1" applyAlignment="1">
      <alignment horizontal="left" vertical="top" wrapText="1"/>
      <protection locked="0" hidden="0"/>
    </xf>
    <xf numFmtId="164" fontId="46" fillId="0" borderId="110" xfId="0" applyNumberFormat="1" applyBorder="1" applyAlignment="1">
      <alignment horizontal="left" vertical="top" wrapText="1"/>
      <protection locked="0" hidden="0"/>
    </xf>
    <xf numFmtId="164" fontId="55" fillId="19" borderId="126" xfId="0" applyNumberFormat="1" applyFont="1" applyFill="1" applyBorder="1" applyAlignment="1">
      <alignment horizontal="center" vertical="top" wrapText="1"/>
      <protection locked="0" hidden="0"/>
    </xf>
    <xf numFmtId="164" fontId="55" fillId="19" borderId="127" xfId="0" applyNumberFormat="1" applyFont="1" applyFill="1" applyBorder="1" applyAlignment="1">
      <alignment horizontal="center" vertical="top" wrapText="1"/>
      <protection locked="0" hidden="0"/>
    </xf>
    <xf numFmtId="164" fontId="55" fillId="19" borderId="128" xfId="0" applyNumberFormat="1" applyFont="1" applyFill="1" applyBorder="1" applyAlignment="1">
      <alignment horizontal="center" vertical="top" wrapText="1"/>
      <protection locked="0" hidden="0"/>
    </xf>
    <xf numFmtId="164" fontId="1" fillId="24" borderId="91" xfId="0" applyNumberFormat="1" applyFont="1" applyFill="1" applyBorder="1" applyAlignment="1">
      <alignment horizontal="center" vertical="center" wrapText="1"/>
    </xf>
    <xf numFmtId="164" fontId="1" fillId="24" borderId="92" xfId="0" applyNumberFormat="1" applyFont="1" applyFill="1" applyBorder="1" applyAlignment="1">
      <alignment horizontal="center" vertical="center" wrapText="1"/>
    </xf>
    <xf numFmtId="164" fontId="22" fillId="24" borderId="92" xfId="0" applyNumberFormat="1" applyFont="1" applyFill="1" applyBorder="1" applyAlignment="1">
      <alignment horizontal="center" vertical="center" wrapText="1"/>
      <protection locked="0" hidden="0"/>
    </xf>
    <xf numFmtId="164" fontId="24" fillId="24" borderId="92" xfId="0" applyNumberFormat="1" applyFont="1" applyFill="1" applyBorder="1" applyAlignment="1">
      <alignment horizontal="center" vertical="center" wrapText="1"/>
      <protection locked="0" hidden="0"/>
    </xf>
    <xf numFmtId="164" fontId="24" fillId="24" borderId="93" xfId="0" applyNumberFormat="1" applyFont="1" applyFill="1" applyBorder="1" applyAlignment="1">
      <alignment horizontal="center" vertical="center" wrapText="1"/>
      <protection locked="0" hidden="0"/>
    </xf>
    <xf numFmtId="0" fontId="30" fillId="26" borderId="93" xfId="0" applyNumberFormat="1" applyFont="1" applyFill="1" applyBorder="1" applyAlignment="1">
      <alignment horizontal="center" vertical="center"/>
    </xf>
    <xf numFmtId="164" fontId="1" fillId="24" borderId="95" xfId="0" applyNumberFormat="1" applyFont="1" applyFill="1" applyBorder="1" applyAlignment="1">
      <alignment horizontal="center" vertical="center" wrapText="1"/>
    </xf>
    <xf numFmtId="164" fontId="1" fillId="24" borderId="96" xfId="0" applyNumberFormat="1" applyFont="1" applyFill="1" applyBorder="1" applyAlignment="1">
      <alignment horizontal="center" vertical="center" wrapText="1"/>
    </xf>
    <xf numFmtId="164" fontId="22" fillId="24" borderId="96" xfId="0" applyNumberFormat="1" applyFont="1" applyFill="1" applyBorder="1" applyAlignment="1">
      <alignment horizontal="center" vertical="center" wrapText="1"/>
      <protection locked="0" hidden="0"/>
    </xf>
    <xf numFmtId="164" fontId="24" fillId="24" borderId="96" xfId="0" applyNumberFormat="1" applyFont="1" applyFill="1" applyBorder="1" applyAlignment="1">
      <alignment horizontal="center" vertical="center" wrapText="1"/>
      <protection locked="0" hidden="0"/>
    </xf>
    <xf numFmtId="164" fontId="24" fillId="24" borderId="97" xfId="0" applyNumberFormat="1" applyFont="1" applyFill="1" applyBorder="1" applyAlignment="1">
      <alignment horizontal="center" vertical="center" wrapText="1"/>
      <protection locked="0" hidden="0"/>
    </xf>
    <xf numFmtId="164" fontId="46" fillId="19" borderId="135" xfId="0" applyNumberFormat="1" applyFill="1" applyBorder="1" applyAlignment="1">
      <alignment horizontal="center" vertical="top" wrapText="1"/>
      <protection locked="0" hidden="0"/>
    </xf>
    <xf numFmtId="164" fontId="46" fillId="19" borderId="137" xfId="0" applyNumberFormat="1" applyFill="1" applyBorder="1" applyAlignment="1">
      <alignment horizontal="center" vertical="top" wrapText="1"/>
      <protection locked="0" hidden="0"/>
    </xf>
    <xf numFmtId="164" fontId="46" fillId="19" borderId="97" xfId="0" applyNumberFormat="1" applyFill="1" applyBorder="1" applyAlignment="1">
      <alignment horizontal="center" vertical="top" wrapText="1"/>
      <protection locked="0" hidden="0"/>
    </xf>
    <xf numFmtId="164" fontId="1" fillId="25" borderId="95" xfId="0" applyNumberFormat="1" applyFont="1" applyFill="1" applyBorder="1" applyAlignment="1">
      <alignment horizontal="center" vertical="center"/>
    </xf>
    <xf numFmtId="164" fontId="1" fillId="25" borderId="96" xfId="0" applyNumberFormat="1" applyFont="1" applyFill="1" applyBorder="1" applyAlignment="1">
      <alignment horizontal="center" vertical="center"/>
    </xf>
    <xf numFmtId="164" fontId="22" fillId="26" borderId="96" xfId="0" applyNumberFormat="1" applyFont="1" applyFill="1" applyBorder="1" applyAlignment="1">
      <alignment horizontal="center" vertical="center" wrapText="1"/>
      <protection locked="0" hidden="0"/>
    </xf>
    <xf numFmtId="164" fontId="24" fillId="26" borderId="96" xfId="0" applyNumberFormat="1" applyFont="1" applyFill="1" applyBorder="1" applyAlignment="1">
      <alignment horizontal="center" vertical="center" wrapText="1"/>
      <protection locked="0" hidden="0"/>
    </xf>
    <xf numFmtId="164" fontId="24" fillId="26" borderId="97" xfId="0" applyNumberFormat="1" applyFont="1" applyFill="1" applyBorder="1" applyAlignment="1">
      <alignment horizontal="center" vertical="center" wrapText="1"/>
      <protection locked="0" hidden="0"/>
    </xf>
    <xf numFmtId="164" fontId="1" fillId="24" borderId="95" xfId="0" applyNumberFormat="1" applyFont="1" applyFill="1" applyBorder="1" applyAlignment="1">
      <alignment horizontal="center" vertical="center"/>
    </xf>
    <xf numFmtId="164" fontId="1" fillId="24" borderId="96" xfId="0" applyNumberFormat="1" applyFont="1" applyFill="1" applyBorder="1" applyAlignment="1">
      <alignment horizontal="center" vertical="center"/>
    </xf>
    <xf numFmtId="164" fontId="1" fillId="25" borderId="95" xfId="0" applyNumberFormat="1" applyFont="1" applyFill="1" applyBorder="1" applyAlignment="1">
      <alignment horizontal="center" vertical="center" wrapText="1"/>
    </xf>
    <xf numFmtId="164" fontId="1" fillId="25" borderId="96" xfId="0" applyNumberFormat="1" applyFont="1" applyFill="1" applyBorder="1" applyAlignment="1">
      <alignment horizontal="center" vertical="center" wrapText="1"/>
    </xf>
    <xf numFmtId="164" fontId="46" fillId="19" borderId="133" xfId="0" applyNumberFormat="1" applyFill="1" applyBorder="1" applyAlignment="1">
      <alignment horizontal="center" vertical="top" wrapText="1"/>
      <protection locked="0" hidden="0"/>
    </xf>
    <xf numFmtId="164" fontId="46" fillId="19" borderId="142" xfId="0" applyNumberFormat="1" applyFill="1" applyBorder="1" applyAlignment="1">
      <alignment horizontal="center" vertical="top" wrapText="1"/>
      <protection locked="0" hidden="0"/>
    </xf>
    <xf numFmtId="164" fontId="46" fillId="19" borderId="140" xfId="0" applyNumberFormat="1" applyFill="1" applyBorder="1" applyAlignment="1">
      <alignment horizontal="center" vertical="top" wrapText="1"/>
      <protection locked="0" hidden="0"/>
    </xf>
    <xf numFmtId="164" fontId="46" fillId="19" borderId="127" xfId="0" applyNumberFormat="1" applyFill="1" applyBorder="1" applyAlignment="1">
      <alignment horizontal="center" vertical="top" wrapText="1"/>
      <protection locked="0" hidden="0"/>
    </xf>
    <xf numFmtId="164" fontId="46" fillId="19" borderId="128" xfId="0" applyNumberFormat="1" applyFill="1" applyBorder="1" applyAlignment="1">
      <alignment horizontal="center" vertical="top" wrapText="1"/>
      <protection locked="0" hidden="0"/>
    </xf>
    <xf numFmtId="164" fontId="46" fillId="19" borderId="95" xfId="0" applyNumberFormat="1" applyFill="1" applyBorder="1" applyAlignment="1">
      <alignment horizontal="left" vertical="top" wrapText="1"/>
      <protection locked="0" hidden="0"/>
    </xf>
    <xf numFmtId="164" fontId="46" fillId="19" borderId="96" xfId="0" applyNumberFormat="1" applyFill="1" applyBorder="1" applyAlignment="1">
      <alignment horizontal="left" vertical="top" wrapText="1"/>
      <protection locked="0" hidden="0"/>
    </xf>
    <xf numFmtId="164" fontId="46" fillId="19" borderId="97" xfId="0" applyNumberFormat="1" applyFill="1" applyBorder="1" applyAlignment="1">
      <alignment horizontal="left" vertical="top" wrapText="1"/>
      <protection locked="0" hidden="0"/>
    </xf>
    <xf numFmtId="164" fontId="1" fillId="25" borderId="108" xfId="0" applyNumberFormat="1" applyFont="1" applyFill="1" applyBorder="1" applyAlignment="1">
      <alignment horizontal="center" vertical="center"/>
    </xf>
    <xf numFmtId="164" fontId="1" fillId="25" borderId="109" xfId="0" applyNumberFormat="1" applyFont="1" applyFill="1" applyBorder="1" applyAlignment="1">
      <alignment horizontal="center" vertical="center"/>
    </xf>
    <xf numFmtId="164" fontId="22" fillId="26" borderId="109" xfId="0" applyNumberFormat="1" applyFont="1" applyFill="1" applyBorder="1" applyAlignment="1">
      <alignment horizontal="center" vertical="center" wrapText="1"/>
      <protection locked="0" hidden="0"/>
    </xf>
    <xf numFmtId="164" fontId="24" fillId="26" borderId="109" xfId="0" applyNumberFormat="1" applyFont="1" applyFill="1" applyBorder="1" applyAlignment="1">
      <alignment horizontal="center" vertical="center" wrapText="1"/>
      <protection locked="0" hidden="0"/>
    </xf>
    <xf numFmtId="164" fontId="24" fillId="26" borderId="110" xfId="0" applyNumberFormat="1" applyFont="1" applyFill="1" applyBorder="1" applyAlignment="1">
      <alignment horizontal="center" vertical="center" wrapText="1"/>
      <protection locked="0" hidden="0"/>
    </xf>
    <xf numFmtId="164" fontId="57" fillId="0" borderId="143" xfId="0" applyNumberFormat="1" applyFont="1" applyBorder="1" applyAlignment="1">
      <alignment horizontal="left" vertical="top" wrapText="1"/>
      <protection locked="0" hidden="0"/>
    </xf>
    <xf numFmtId="164" fontId="57" fillId="0" borderId="130" xfId="0" applyNumberFormat="1" applyFont="1" applyBorder="1" applyAlignment="1">
      <alignment horizontal="left" vertical="top" wrapText="1"/>
      <protection locked="0" hidden="0"/>
    </xf>
    <xf numFmtId="164" fontId="46" fillId="19" borderId="126" xfId="0" applyNumberFormat="1" applyFill="1" applyBorder="1" applyAlignment="1">
      <alignment horizontal="center" vertical="top" wrapText="1"/>
      <protection locked="0" hidden="0"/>
    </xf>
    <xf numFmtId="164" fontId="46" fillId="19" borderId="126" xfId="0" applyNumberFormat="1" applyFill="1" applyBorder="1" applyAlignment="1">
      <alignment horizontal="left" vertical="top" wrapText="1"/>
      <protection locked="0" hidden="0"/>
    </xf>
    <xf numFmtId="164" fontId="46" fillId="19" borderId="127" xfId="0" applyNumberFormat="1" applyFill="1" applyBorder="1" applyAlignment="1">
      <alignment horizontal="left" vertical="top" wrapText="1"/>
      <protection locked="0" hidden="0"/>
    </xf>
    <xf numFmtId="164" fontId="46" fillId="19" borderId="128" xfId="0" applyNumberFormat="1" applyFill="1" applyBorder="1" applyAlignment="1">
      <alignment horizontal="left" vertical="top" wrapText="1"/>
      <protection locked="0" hidden="0"/>
    </xf>
    <xf numFmtId="0" fontId="30" fillId="24" borderId="132" xfId="0" applyNumberFormat="1" applyFont="1" applyFill="1" applyBorder="1" applyAlignment="1">
      <alignment horizontal="center" vertical="center"/>
    </xf>
    <xf numFmtId="164" fontId="46" fillId="19" borderId="139" xfId="0" applyNumberFormat="1" applyFill="1" applyBorder="1" applyAlignment="1">
      <alignment horizontal="left" vertical="top" wrapText="1"/>
      <protection locked="0" hidden="0"/>
    </xf>
    <xf numFmtId="164" fontId="46" fillId="19" borderId="108" xfId="0" applyNumberFormat="1" applyFill="1" applyBorder="1" applyAlignment="1">
      <alignment horizontal="left" vertical="top" wrapText="1"/>
      <protection locked="0" hidden="0"/>
    </xf>
    <xf numFmtId="164" fontId="46" fillId="19" borderId="109" xfId="0" applyNumberFormat="1" applyFill="1" applyBorder="1" applyAlignment="1">
      <alignment horizontal="left" vertical="top" wrapText="1"/>
      <protection locked="0" hidden="0"/>
    </xf>
    <xf numFmtId="164" fontId="46" fillId="19" borderId="144" xfId="0" applyNumberFormat="1" applyFill="1" applyBorder="1" applyAlignment="1">
      <alignment horizontal="left" vertical="top" wrapText="1"/>
      <protection locked="0" hidden="0"/>
    </xf>
    <xf numFmtId="164" fontId="46" fillId="19" borderId="110" xfId="0" applyNumberFormat="1" applyFill="1" applyBorder="1" applyAlignment="1">
      <alignment horizontal="left" vertical="top" wrapText="1"/>
      <protection locked="0" hidden="0"/>
    </xf>
    <xf numFmtId="164" fontId="52" fillId="19" borderId="141" xfId="0" applyNumberFormat="1" applyFont="1" applyFill="1" applyBorder="1" applyAlignment="1">
      <alignment horizontal="left" vertical="top" wrapText="1"/>
      <protection locked="0" hidden="0"/>
    </xf>
    <xf numFmtId="164" fontId="57" fillId="0" borderId="129" xfId="0" applyNumberFormat="1" applyFont="1" applyBorder="1" applyAlignment="1">
      <alignment horizontal="left" vertical="top" wrapText="1"/>
      <protection locked="0" hidden="0"/>
    </xf>
    <xf numFmtId="164" fontId="3" fillId="23" borderId="91" xfId="0" applyNumberFormat="1" applyFont="1" applyFill="1" applyBorder="1" applyAlignment="1">
      <alignment horizontal="center" vertical="center"/>
    </xf>
    <xf numFmtId="164" fontId="3" fillId="23" borderId="92" xfId="0" applyNumberFormat="1" applyFont="1" applyFill="1" applyBorder="1" applyAlignment="1">
      <alignment horizontal="center" vertical="center"/>
    </xf>
    <xf numFmtId="164" fontId="3" fillId="23" borderId="93" xfId="0" applyNumberFormat="1" applyFont="1" applyFill="1" applyBorder="1" applyAlignment="1">
      <alignment horizontal="center" vertical="center"/>
    </xf>
    <xf numFmtId="164" fontId="22" fillId="29" borderId="95" xfId="0" applyNumberFormat="1" applyFont="1" applyFill="1" applyBorder="1" applyAlignment="1">
      <alignment horizontal="center" vertical="center"/>
    </xf>
    <xf numFmtId="164" fontId="22" fillId="29" borderId="96" xfId="0" applyNumberFormat="1" applyFont="1" applyFill="1" applyBorder="1" applyAlignment="1">
      <alignment horizontal="center" vertical="center"/>
    </xf>
    <xf numFmtId="164" fontId="22" fillId="29" borderId="97" xfId="0" applyNumberFormat="1" applyFont="1" applyFill="1" applyBorder="1" applyAlignment="1">
      <alignment horizontal="center" vertical="center"/>
    </xf>
    <xf numFmtId="164" fontId="22" fillId="24" borderId="95" xfId="0" applyNumberFormat="1" applyFont="1" applyFill="1" applyBorder="1" applyAlignment="1">
      <alignment horizontal="center" vertical="center"/>
      <protection locked="0" hidden="0"/>
    </xf>
    <xf numFmtId="164" fontId="22" fillId="24" borderId="96" xfId="0" applyNumberFormat="1" applyFont="1" applyFill="1" applyBorder="1" applyAlignment="1">
      <alignment horizontal="center" vertical="center"/>
      <protection locked="0" hidden="0"/>
    </xf>
    <xf numFmtId="164" fontId="22" fillId="24" borderId="97" xfId="0" applyNumberFormat="1" applyFont="1" applyFill="1" applyBorder="1" applyAlignment="1">
      <alignment horizontal="center" vertical="center"/>
      <protection locked="0" hidden="0"/>
    </xf>
    <xf numFmtId="164" fontId="22" fillId="26" borderId="95" xfId="0" applyNumberFormat="1" applyFont="1" applyFill="1" applyBorder="1" applyAlignment="1">
      <alignment horizontal="center" vertical="center"/>
      <protection locked="0" hidden="0"/>
    </xf>
    <xf numFmtId="164" fontId="22" fillId="26" borderId="96" xfId="0" applyNumberFormat="1" applyFont="1" applyFill="1" applyBorder="1" applyAlignment="1">
      <alignment horizontal="center" vertical="center"/>
      <protection locked="0" hidden="0"/>
    </xf>
    <xf numFmtId="164" fontId="22" fillId="26" borderId="97" xfId="0" applyNumberFormat="1" applyFont="1" applyFill="1" applyBorder="1" applyAlignment="1">
      <alignment horizontal="center" vertical="center"/>
      <protection locked="0" hidden="0"/>
    </xf>
    <xf numFmtId="164" fontId="23" fillId="19" borderId="145" xfId="0" applyNumberFormat="1" applyFont="1" applyFill="1" applyBorder="1" applyAlignment="1">
      <alignment horizontal="right" vertical="top" wrapText="1"/>
      <protection locked="0" hidden="0"/>
    </xf>
    <xf numFmtId="164" fontId="52" fillId="19" borderId="146" xfId="0" applyNumberFormat="1" applyFont="1" applyFill="1" applyBorder="1" applyAlignment="1">
      <alignment horizontal="left" vertical="top" wrapText="1"/>
      <protection locked="0" hidden="0"/>
    </xf>
    <xf numFmtId="164" fontId="22" fillId="26" borderId="108" xfId="0" applyNumberFormat="1" applyFont="1" applyFill="1" applyBorder="1" applyAlignment="1">
      <alignment horizontal="center" vertical="center"/>
      <protection locked="0" hidden="0"/>
    </xf>
    <xf numFmtId="164" fontId="22" fillId="26" borderId="109" xfId="0" applyNumberFormat="1" applyFont="1" applyFill="1" applyBorder="1" applyAlignment="1">
      <alignment horizontal="center" vertical="center"/>
      <protection locked="0" hidden="0"/>
    </xf>
    <xf numFmtId="164" fontId="22" fillId="26" borderId="110" xfId="0" applyNumberFormat="1" applyFont="1" applyFill="1" applyBorder="1" applyAlignment="1">
      <alignment horizontal="center" vertical="center"/>
      <protection locked="0" hidden="0"/>
    </xf>
    <xf numFmtId="164" fontId="3" fillId="23" borderId="129" xfId="0" applyNumberFormat="1" applyFont="1" applyFill="1" applyBorder="1" applyAlignment="1">
      <alignment horizontal="center" vertical="center"/>
    </xf>
    <xf numFmtId="164" fontId="58" fillId="0" borderId="0" xfId="0" applyNumberFormat="1" applyFont="1" applyFill="1" applyBorder="1" applyAlignment="1">
      <alignment horizontal="left" vertical="top" wrapText="1"/>
    </xf>
    <xf numFmtId="164" fontId="58" fillId="0" borderId="0" xfId="0" applyNumberFormat="1" applyFont="1" applyFill="1" applyBorder="1" applyAlignment="1">
      <alignment horizontal="left" vertical="top"/>
    </xf>
    <xf numFmtId="164" fontId="1" fillId="28" borderId="91" xfId="0" applyNumberFormat="1" applyFont="1" applyFill="1" applyBorder="1" applyAlignment="1">
      <alignment horizontal="center" vertical="center"/>
    </xf>
    <xf numFmtId="164" fontId="1" fillId="24" borderId="92" xfId="0" applyNumberFormat="1" applyFont="1" applyFill="1" applyBorder="1" applyAlignment="1">
      <alignment horizontal="center" vertical="center"/>
    </xf>
    <xf numFmtId="164" fontId="1" fillId="24" borderId="93" xfId="0" applyNumberFormat="1" applyFont="1" applyFill="1" applyBorder="1" applyAlignment="1">
      <alignment horizontal="center" vertical="center"/>
    </xf>
    <xf numFmtId="164" fontId="46" fillId="28" borderId="131" xfId="0" applyNumberFormat="1" applyFill="1" applyBorder="1">
      <alignment vertical="center"/>
    </xf>
    <xf numFmtId="164" fontId="23" fillId="19" borderId="95" xfId="0" applyNumberFormat="1" applyFont="1" applyFill="1" applyBorder="1" applyAlignment="1">
      <alignment horizontal="center" vertical="center"/>
    </xf>
    <xf numFmtId="164" fontId="23" fillId="19" borderId="96" xfId="0" applyNumberFormat="1" applyFont="1" applyFill="1" applyBorder="1" applyAlignment="1">
      <alignment horizontal="center" vertical="center"/>
    </xf>
    <xf numFmtId="0" fontId="23" fillId="19" borderId="96" xfId="0" applyNumberFormat="1" applyFont="1" applyFill="1" applyBorder="1" applyAlignment="1">
      <alignment horizontal="center" vertical="center"/>
    </xf>
    <xf numFmtId="164" fontId="59" fillId="19" borderId="96" xfId="0" applyNumberFormat="1" applyFont="1" applyFill="1" applyBorder="1" applyAlignment="1">
      <alignment horizontal="center" vertical="center"/>
      <protection locked="0" hidden="0"/>
    </xf>
    <xf numFmtId="164" fontId="60" fillId="19" borderId="96" xfId="0" applyNumberFormat="1" applyFont="1" applyFill="1" applyBorder="1" applyAlignment="1">
      <alignment horizontal="center" vertical="center"/>
      <protection locked="0" hidden="0"/>
    </xf>
    <xf numFmtId="164" fontId="61" fillId="19" borderId="96" xfId="0" applyNumberFormat="1" applyFont="1" applyFill="1" applyBorder="1" applyAlignment="1">
      <alignment horizontal="center" vertical="center"/>
      <protection locked="0" hidden="0"/>
    </xf>
    <xf numFmtId="177" fontId="62" fillId="19" borderId="96" xfId="0" applyNumberFormat="1" applyFont="1" applyFill="1" applyBorder="1" applyAlignment="1">
      <alignment horizontal="center" vertical="center"/>
      <protection locked="0" hidden="0"/>
    </xf>
    <xf numFmtId="177" fontId="62" fillId="19" borderId="97" xfId="0" applyNumberFormat="1" applyFont="1" applyFill="1" applyBorder="1" applyAlignment="1">
      <alignment horizontal="center" vertical="center"/>
      <protection locked="0" hidden="0"/>
    </xf>
    <xf numFmtId="164" fontId="23" fillId="19" borderId="137" xfId="0" applyNumberFormat="1" applyFont="1" applyFill="1" applyBorder="1" applyAlignment="1">
      <alignment horizontal="center" vertical="center"/>
    </xf>
    <xf numFmtId="164" fontId="23" fillId="25" borderId="95" xfId="0" applyNumberFormat="1" applyFont="1" applyFill="1" applyBorder="1" applyAlignment="1">
      <alignment horizontal="center" vertical="center"/>
    </xf>
    <xf numFmtId="164" fontId="23" fillId="25" borderId="96" xfId="0" applyNumberFormat="1" applyFont="1" applyFill="1" applyBorder="1" applyAlignment="1">
      <alignment horizontal="center" vertical="center"/>
    </xf>
    <xf numFmtId="0" fontId="23" fillId="25" borderId="96" xfId="0" applyNumberFormat="1" applyFont="1" applyFill="1" applyBorder="1" applyAlignment="1">
      <alignment horizontal="center" vertical="center"/>
    </xf>
    <xf numFmtId="164" fontId="59" fillId="25" borderId="96" xfId="0" applyNumberFormat="1" applyFont="1" applyFill="1" applyBorder="1" applyAlignment="1">
      <alignment horizontal="center" vertical="center"/>
      <protection locked="0" hidden="0"/>
    </xf>
    <xf numFmtId="164" fontId="60" fillId="25" borderId="96" xfId="0" applyNumberFormat="1" applyFont="1" applyFill="1" applyBorder="1" applyAlignment="1">
      <alignment horizontal="center" vertical="center"/>
      <protection locked="0" hidden="0"/>
    </xf>
    <xf numFmtId="164" fontId="61" fillId="25" borderId="96" xfId="0" applyNumberFormat="1" applyFont="1" applyFill="1" applyBorder="1" applyAlignment="1">
      <alignment horizontal="center" vertical="center"/>
      <protection locked="0" hidden="0"/>
    </xf>
    <xf numFmtId="177" fontId="62" fillId="25" borderId="96" xfId="0" applyNumberFormat="1" applyFont="1" applyFill="1" applyBorder="1" applyAlignment="1">
      <alignment horizontal="center" vertical="center"/>
      <protection locked="0" hidden="0"/>
    </xf>
    <xf numFmtId="177" fontId="62" fillId="25" borderId="97" xfId="0" applyNumberFormat="1" applyFont="1" applyFill="1" applyBorder="1" applyAlignment="1">
      <alignment horizontal="center" vertical="center"/>
      <protection locked="0" hidden="0"/>
    </xf>
    <xf numFmtId="164" fontId="23" fillId="25" borderId="137" xfId="0" applyNumberFormat="1" applyFont="1" applyFill="1" applyBorder="1" applyAlignment="1">
      <alignment horizontal="center" vertical="center"/>
    </xf>
    <xf numFmtId="164" fontId="23" fillId="0" borderId="96" xfId="0" applyNumberFormat="1" applyFont="1" applyFill="1" applyBorder="1" applyAlignment="1">
      <alignment horizontal="center" vertical="center"/>
    </xf>
    <xf numFmtId="164" fontId="23" fillId="19" borderId="127" xfId="0" applyNumberFormat="1" applyFont="1" applyFill="1" applyBorder="1" applyAlignment="1">
      <alignment horizontal="center" vertical="center"/>
    </xf>
    <xf numFmtId="164" fontId="63" fillId="25" borderId="96" xfId="0" applyNumberFormat="1" applyFont="1" applyFill="1" applyBorder="1" applyAlignment="1">
      <alignment horizontal="center" vertical="center"/>
      <protection locked="0" hidden="0"/>
    </xf>
    <xf numFmtId="164" fontId="23" fillId="25" borderId="139" xfId="0" applyNumberFormat="1" applyFont="1" applyFill="1" applyBorder="1" applyAlignment="1">
      <alignment horizontal="center" vertical="center"/>
    </xf>
    <xf numFmtId="164" fontId="23" fillId="25" borderId="136" xfId="0" applyNumberFormat="1" applyFont="1" applyFill="1" applyBorder="1" applyAlignment="1">
      <alignment horizontal="center" vertical="center"/>
    </xf>
    <xf numFmtId="0" fontId="23" fillId="25" borderId="137" xfId="0" applyNumberFormat="1" applyFont="1" applyFill="1" applyBorder="1" applyAlignment="1">
      <alignment horizontal="center" vertical="center"/>
    </xf>
    <xf numFmtId="164" fontId="23" fillId="19" borderId="147" xfId="0" applyNumberFormat="1" applyFont="1" applyFill="1" applyBorder="1" applyAlignment="1">
      <alignment horizontal="center" vertical="center"/>
    </xf>
    <xf numFmtId="164" fontId="23" fillId="25" borderId="142" xfId="0" applyNumberFormat="1" applyFont="1" applyFill="1" applyBorder="1" applyAlignment="1">
      <alignment horizontal="center" vertical="center"/>
    </xf>
    <xf numFmtId="164" fontId="23" fillId="25" borderId="134" xfId="0" applyNumberFormat="1" applyFont="1" applyFill="1" applyBorder="1" applyAlignment="1">
      <alignment horizontal="center" vertical="center"/>
    </xf>
    <xf numFmtId="164" fontId="23" fillId="25" borderId="140" xfId="0" applyNumberFormat="1" applyFont="1" applyFill="1" applyBorder="1" applyAlignment="1">
      <alignment horizontal="center" vertical="center"/>
    </xf>
    <xf numFmtId="164" fontId="23" fillId="19" borderId="139" xfId="0" applyNumberFormat="1" applyFont="1" applyFill="1" applyBorder="1" applyAlignment="1">
      <alignment horizontal="center" vertical="center"/>
    </xf>
    <xf numFmtId="164" fontId="23" fillId="19" borderId="142" xfId="0" applyNumberFormat="1" applyFont="1" applyFill="1" applyBorder="1" applyAlignment="1">
      <alignment horizontal="center" vertical="center"/>
    </xf>
    <xf numFmtId="164" fontId="23" fillId="19" borderId="134" xfId="0" applyNumberFormat="1" applyFont="1" applyFill="1" applyBorder="1" applyAlignment="1">
      <alignment horizontal="center" vertical="center"/>
    </xf>
    <xf numFmtId="164" fontId="23" fillId="19" borderId="140" xfId="0" applyNumberFormat="1" applyFont="1" applyFill="1" applyBorder="1" applyAlignment="1">
      <alignment horizontal="center" vertical="center"/>
    </xf>
    <xf numFmtId="0" fontId="23" fillId="19" borderId="137" xfId="0" applyNumberFormat="1" applyFont="1" applyFill="1" applyBorder="1" applyAlignment="1">
      <alignment horizontal="center" vertical="center"/>
    </xf>
    <xf numFmtId="164" fontId="23" fillId="25" borderId="127" xfId="0" applyNumberFormat="1" applyFont="1" applyFill="1" applyBorder="1" applyAlignment="1">
      <alignment horizontal="center" vertical="center"/>
    </xf>
    <xf numFmtId="164" fontId="23" fillId="19" borderId="136" xfId="0" applyNumberFormat="1" applyFont="1" applyFill="1" applyBorder="1" applyAlignment="1">
      <alignment horizontal="center" vertical="center"/>
    </xf>
    <xf numFmtId="164" fontId="23" fillId="25" borderId="148" xfId="0" applyNumberFormat="1" applyFont="1" applyFill="1" applyBorder="1" applyAlignment="1">
      <alignment horizontal="center" vertical="center"/>
    </xf>
    <xf numFmtId="164" fontId="23" fillId="25" borderId="0" xfId="0" applyNumberFormat="1" applyFont="1" applyFill="1" applyBorder="1" applyAlignment="1">
      <alignment horizontal="center" vertical="center"/>
    </xf>
    <xf numFmtId="164" fontId="23" fillId="25" borderId="149" xfId="0" applyNumberFormat="1" applyFont="1" applyFill="1" applyBorder="1" applyAlignment="1">
      <alignment horizontal="center" vertical="center"/>
    </xf>
    <xf numFmtId="164" fontId="23" fillId="25" borderId="108" xfId="0" applyNumberFormat="1" applyFont="1" applyFill="1" applyBorder="1" applyAlignment="1">
      <alignment horizontal="center" vertical="center"/>
    </xf>
    <xf numFmtId="164" fontId="23" fillId="25" borderId="109" xfId="0" applyNumberFormat="1" applyFont="1" applyFill="1" applyBorder="1" applyAlignment="1">
      <alignment horizontal="center" vertical="center"/>
    </xf>
    <xf numFmtId="164" fontId="23" fillId="25" borderId="144" xfId="0" applyNumberFormat="1" applyFont="1" applyFill="1" applyBorder="1" applyAlignment="1">
      <alignment horizontal="center" vertical="center"/>
    </xf>
    <xf numFmtId="164" fontId="23" fillId="25" borderId="150" xfId="0" applyNumberFormat="1" applyFont="1" applyFill="1" applyBorder="1" applyAlignment="1">
      <alignment horizontal="center" vertical="center"/>
    </xf>
    <xf numFmtId="164" fontId="23" fillId="25" borderId="106" xfId="0" applyNumberFormat="1" applyFont="1" applyFill="1" applyBorder="1" applyAlignment="1">
      <alignment horizontal="center" vertical="center"/>
    </xf>
    <xf numFmtId="164" fontId="23" fillId="25" borderId="151" xfId="0" applyNumberFormat="1" applyFont="1" applyFill="1" applyBorder="1" applyAlignment="1">
      <alignment horizontal="center" vertical="center"/>
    </xf>
    <xf numFmtId="0" fontId="23" fillId="25" borderId="152" xfId="0" applyNumberFormat="1" applyFont="1" applyFill="1" applyBorder="1" applyAlignment="1">
      <alignment horizontal="center" vertical="center"/>
    </xf>
    <xf numFmtId="0" fontId="23" fillId="25" borderId="109" xfId="0" applyNumberFormat="1" applyFont="1" applyFill="1" applyBorder="1" applyAlignment="1">
      <alignment horizontal="center" vertical="center"/>
    </xf>
    <xf numFmtId="164" fontId="59" fillId="25" borderId="109" xfId="0" applyNumberFormat="1" applyFont="1" applyFill="1" applyBorder="1" applyAlignment="1">
      <alignment horizontal="center" vertical="center"/>
      <protection locked="0" hidden="0"/>
    </xf>
    <xf numFmtId="164" fontId="60" fillId="25" borderId="109" xfId="0" applyNumberFormat="1" applyFont="1" applyFill="1" applyBorder="1" applyAlignment="1">
      <alignment horizontal="center" vertical="center"/>
      <protection locked="0" hidden="0"/>
    </xf>
    <xf numFmtId="164" fontId="61" fillId="25" borderId="109" xfId="0" applyNumberFormat="1" applyFont="1" applyFill="1" applyBorder="1" applyAlignment="1">
      <alignment horizontal="center" vertical="center"/>
      <protection locked="0" hidden="0"/>
    </xf>
    <xf numFmtId="177" fontId="62" fillId="25" borderId="109" xfId="0" applyNumberFormat="1" applyFont="1" applyFill="1" applyBorder="1" applyAlignment="1">
      <alignment horizontal="center" vertical="center"/>
      <protection locked="0" hidden="0"/>
    </xf>
    <xf numFmtId="177" fontId="62" fillId="25" borderId="110" xfId="0" applyNumberFormat="1" applyFont="1" applyFill="1" applyBorder="1" applyAlignment="1">
      <alignment horizontal="center" vertical="center"/>
      <protection locked="0" hidden="0"/>
    </xf>
    <xf numFmtId="164" fontId="23" fillId="25" borderId="152" xfId="0" applyNumberFormat="1" applyFont="1" applyFill="1" applyBorder="1" applyAlignment="1">
      <alignment horizontal="center" vertical="center"/>
    </xf>
    <xf numFmtId="164" fontId="62" fillId="25" borderId="109" xfId="0" applyNumberFormat="1" applyFont="1" applyFill="1" applyBorder="1" applyAlignment="1">
      <alignment horizontal="center" vertical="center"/>
      <protection locked="0" hidden="0"/>
    </xf>
    <xf numFmtId="164" fontId="62" fillId="25" borderId="110" xfId="0" applyNumberFormat="1" applyFont="1" applyFill="1" applyBorder="1" applyAlignment="1">
      <alignment horizontal="center" vertical="center"/>
      <protection locked="0" hidden="0"/>
    </xf>
    <xf numFmtId="0" fontId="46" fillId="0" borderId="0" xfId="0">
      <alignment vertical="center"/>
    </xf>
    <xf numFmtId="164" fontId="64" fillId="0" borderId="0" xfId="0" applyNumberFormat="1">
      <alignment vertical="center"/>
    </xf>
    <xf numFmtId="164" fontId="3" fillId="23" borderId="129" xfId="0" applyNumberFormat="1" applyFont="1" applyFill="1" applyBorder="1" applyAlignment="1">
      <alignment horizontal="center" vertical="center"/>
    </xf>
    <xf numFmtId="164" fontId="1" fillId="28" borderId="112" xfId="0" applyNumberFormat="1" applyFont="1" applyFill="1" applyBorder="1" applyAlignment="1">
      <alignment horizontal="center" vertical="center"/>
    </xf>
    <xf numFmtId="164" fontId="1" fillId="24" borderId="81" xfId="0" applyNumberFormat="1" applyFont="1" applyFill="1" applyBorder="1" applyAlignment="1">
      <alignment horizontal="center" vertical="center"/>
    </xf>
    <xf numFmtId="164" fontId="1" fillId="24" borderId="82" xfId="0" applyNumberFormat="1" applyFont="1" applyFill="1" applyBorder="1" applyAlignment="1">
      <alignment horizontal="center" vertical="center"/>
    </xf>
    <xf numFmtId="164" fontId="1" fillId="24" borderId="83" xfId="0" applyNumberFormat="1" applyFont="1" applyFill="1" applyBorder="1" applyAlignment="1">
      <alignment horizontal="center" vertical="center"/>
    </xf>
    <xf numFmtId="164" fontId="1" fillId="24" borderId="153" xfId="0" applyNumberFormat="1" applyFont="1" applyFill="1" applyBorder="1" applyAlignment="1">
      <alignment horizontal="center" vertical="center"/>
    </xf>
    <xf numFmtId="164" fontId="65" fillId="28" borderId="101" xfId="0" applyNumberFormat="1" applyFill="1" applyBorder="1">
      <alignment vertical="center"/>
    </xf>
    <xf numFmtId="164" fontId="23" fillId="0" borderId="154" xfId="0" applyNumberFormat="1" applyFont="1" applyFill="1" applyBorder="1" applyAlignment="1">
      <alignment horizontal="center" vertical="center"/>
    </xf>
    <xf numFmtId="164" fontId="23" fillId="0" borderId="87" xfId="0" applyNumberFormat="1" applyFont="1" applyFill="1" applyBorder="1" applyAlignment="1">
      <alignment horizontal="center" vertical="center"/>
    </xf>
    <xf numFmtId="0" fontId="23" fillId="0" borderId="11" xfId="0" applyNumberFormat="1" applyFont="1" applyFill="1" applyBorder="1" applyAlignment="1">
      <alignment horizontal="center" vertical="center"/>
    </xf>
    <xf numFmtId="0" fontId="23" fillId="0" borderId="88" xfId="0" applyNumberFormat="1" applyFont="1" applyFill="1" applyBorder="1" applyAlignment="1">
      <alignment horizontal="center" vertical="center"/>
    </xf>
    <xf numFmtId="164" fontId="23" fillId="0" borderId="52" xfId="0" applyNumberFormat="1" applyFont="1" applyFill="1" applyBorder="1" applyAlignment="1">
      <alignment horizontal="center" vertical="center"/>
    </xf>
    <xf numFmtId="164" fontId="23" fillId="0" borderId="155" xfId="0" applyNumberFormat="1" applyFont="1" applyFill="1" applyBorder="1" applyAlignment="1">
      <alignment horizontal="center" vertical="center"/>
    </xf>
    <xf numFmtId="164" fontId="23" fillId="25" borderId="154" xfId="0" applyNumberFormat="1" applyFont="1" applyFill="1" applyBorder="1" applyAlignment="1">
      <alignment horizontal="center" vertical="center"/>
    </xf>
    <xf numFmtId="164" fontId="23" fillId="25" borderId="87" xfId="0" applyNumberFormat="1" applyFont="1" applyFill="1" applyBorder="1" applyAlignment="1">
      <alignment horizontal="center" vertical="center"/>
    </xf>
    <xf numFmtId="164" fontId="23" fillId="25" borderId="11" xfId="0" applyNumberFormat="1" applyFont="1" applyFill="1" applyBorder="1" applyAlignment="1">
      <alignment horizontal="center" vertical="center"/>
    </xf>
    <xf numFmtId="0" fontId="23" fillId="25" borderId="11" xfId="0" applyNumberFormat="1" applyFont="1" applyFill="1" applyBorder="1" applyAlignment="1">
      <alignment horizontal="center" vertical="center"/>
    </xf>
    <xf numFmtId="0" fontId="23" fillId="25" borderId="88" xfId="0" applyNumberFormat="1" applyFont="1" applyFill="1" applyBorder="1" applyAlignment="1">
      <alignment horizontal="center" vertical="center"/>
    </xf>
    <xf numFmtId="164" fontId="23" fillId="25" borderId="52" xfId="0" applyNumberFormat="1" applyFont="1" applyFill="1" applyBorder="1" applyAlignment="1">
      <alignment horizontal="center" vertical="center"/>
    </xf>
    <xf numFmtId="164" fontId="23" fillId="25" borderId="155" xfId="0" applyNumberFormat="1" applyFont="1" applyFill="1" applyBorder="1" applyAlignment="1">
      <alignment horizontal="center" vertical="center"/>
    </xf>
    <xf numFmtId="164" fontId="23" fillId="25" borderId="156" xfId="0" applyNumberFormat="1" applyFont="1" applyFill="1" applyBorder="1" applyAlignment="1">
      <alignment horizontal="center" vertical="center"/>
    </xf>
    <xf numFmtId="164" fontId="23" fillId="25" borderId="157" xfId="0" applyNumberFormat="1" applyFont="1" applyFill="1" applyBorder="1" applyAlignment="1">
      <alignment horizontal="center" vertical="center"/>
    </xf>
    <xf numFmtId="164" fontId="23" fillId="25" borderId="103" xfId="0" applyNumberFormat="1" applyFont="1" applyFill="1" applyBorder="1" applyAlignment="1">
      <alignment horizontal="center" vertical="center"/>
    </xf>
    <xf numFmtId="0" fontId="23" fillId="25" borderId="103" xfId="0" applyNumberFormat="1" applyFont="1" applyFill="1" applyBorder="1" applyAlignment="1">
      <alignment horizontal="center" vertical="center"/>
    </xf>
    <xf numFmtId="0" fontId="23" fillId="25" borderId="107" xfId="0" applyNumberFormat="1" applyFont="1" applyFill="1" applyBorder="1" applyAlignment="1">
      <alignment horizontal="center" vertical="center"/>
    </xf>
    <xf numFmtId="164" fontId="23" fillId="25" borderId="158" xfId="0" applyNumberFormat="1" applyFont="1" applyFill="1" applyBorder="1" applyAlignment="1">
      <alignment horizontal="center" vertical="center"/>
    </xf>
    <xf numFmtId="164" fontId="23" fillId="25" borderId="107" xfId="0" applyNumberFormat="1" applyFont="1" applyFill="1" applyBorder="1" applyAlignment="1">
      <alignment horizontal="center" vertical="center"/>
    </xf>
    <xf numFmtId="164" fontId="23" fillId="25" borderId="159" xfId="0" applyNumberFormat="1" applyFont="1" applyFill="1" applyBorder="1" applyAlignment="1">
      <alignment horizontal="center" vertical="center"/>
    </xf>
    <xf numFmtId="164" fontId="65" fillId="0" borderId="0" xfId="0" applyNumberFormat="1" applyBorder="1" applyAlignment="1">
      <alignment horizontal="center" vertical="center"/>
    </xf>
    <xf numFmtId="0" fontId="65" fillId="0" borderId="0" xfId="0" applyNumberFormat="1" applyBorder="1" applyAlignment="1">
      <alignment horizontal="center" vertical="center"/>
    </xf>
    <xf numFmtId="164" fontId="65" fillId="0" borderId="0" xfId="0" applyNumberFormat="1" applyBorder="1" applyAlignment="1">
      <alignment horizontal="center" vertical="center"/>
    </xf>
    <xf numFmtId="0" fontId="66" fillId="0" borderId="0" xfId="0" applyNumberFormat="1" applyAlignment="1">
      <alignment horizontal="center" vertical="center"/>
    </xf>
    <xf numFmtId="0" fontId="65" fillId="0" borderId="0" xfId="0" applyNumberFormat="1" applyBorder="1" applyAlignment="1">
      <alignment horizontal="center" vertical="center"/>
    </xf>
    <xf numFmtId="164" fontId="65" fillId="0" borderId="0" xfId="0" applyNumberFormat="1" applyBorder="1" applyAlignment="1">
      <alignment horizontal="center" vertical="center" wrapText="1"/>
    </xf>
    <xf numFmtId="164" fontId="65" fillId="0" borderId="0" xfId="0" applyNumberFormat="1" applyBorder="1">
      <alignment vertical="center"/>
    </xf>
    <xf numFmtId="164" fontId="64" fillId="0" borderId="0" xfId="0" applyNumberFormat="1" applyBorder="1">
      <alignment vertical="center"/>
    </xf>
    <xf numFmtId="164" fontId="64" fillId="0" borderId="0" xfId="0" applyNumberFormat="1">
      <alignment vertical="center"/>
    </xf>
    <xf numFmtId="164" fontId="3" fillId="2" borderId="1" xfId="0" applyNumberFormat="1"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14" fillId="18" borderId="72" xfId="0" applyNumberFormat="1" applyFont="1" applyFill="1" applyBorder="1" applyAlignment="1">
      <alignment horizontal="center" vertical="center"/>
    </xf>
    <xf numFmtId="164" fontId="14" fillId="18" borderId="18" xfId="0" applyNumberFormat="1" applyFont="1" applyFill="1" applyBorder="1" applyAlignment="1">
      <alignment horizontal="center" vertical="center"/>
    </xf>
    <xf numFmtId="164" fontId="14" fillId="18" borderId="57" xfId="0" applyNumberFormat="1" applyFont="1" applyFill="1" applyBorder="1" applyAlignment="1">
      <alignment horizontal="center" vertical="center"/>
    </xf>
    <xf numFmtId="164" fontId="14" fillId="18" borderId="20" xfId="0" applyNumberFormat="1" applyFont="1" applyFill="1" applyBorder="1" applyAlignment="1">
      <alignment horizontal="center" vertical="center"/>
    </xf>
    <xf numFmtId="164" fontId="64" fillId="0" borderId="0" xfId="0" applyNumberFormat="1" applyBorder="1">
      <alignment vertical="center"/>
    </xf>
    <xf numFmtId="164" fontId="22" fillId="5" borderId="16" xfId="0" applyNumberFormat="1" applyFont="1" applyFill="1" applyBorder="1" applyAlignment="1">
      <alignment horizontal="center" vertical="center" wrapText="1"/>
      <protection locked="0" hidden="0"/>
    </xf>
    <xf numFmtId="164" fontId="22" fillId="5" borderId="0" xfId="0" applyNumberFormat="1" applyFont="1" applyFill="1" applyBorder="1" applyAlignment="1">
      <alignment horizontal="center" vertical="center" wrapText="1"/>
      <protection locked="0" hidden="0"/>
    </xf>
    <xf numFmtId="164" fontId="22" fillId="0" borderId="41" xfId="0" applyNumberFormat="1" applyFont="1" applyFill="1" applyBorder="1" applyAlignment="1">
      <alignment horizontal="center" vertical="center" wrapText="1"/>
      <protection locked="0" hidden="0"/>
    </xf>
    <xf numFmtId="164" fontId="22" fillId="0" borderId="0" xfId="0" applyNumberFormat="1" applyFont="1" applyFill="1" applyBorder="1" applyAlignment="1">
      <alignment horizontal="center" vertical="center" wrapText="1"/>
      <protection locked="0" hidden="0"/>
    </xf>
    <xf numFmtId="164" fontId="22" fillId="0" borderId="46" xfId="0" applyNumberFormat="1" applyFont="1" applyFill="1" applyBorder="1" applyAlignment="1">
      <alignment horizontal="center" vertical="center" wrapText="1"/>
      <protection locked="0" hidden="0"/>
    </xf>
    <xf numFmtId="164" fontId="22" fillId="18" borderId="10" xfId="0" applyNumberFormat="1" applyFont="1" applyFill="1" applyBorder="1" applyAlignment="1">
      <alignment horizontal="center" vertical="center"/>
    </xf>
    <xf numFmtId="164" fontId="22" fillId="18" borderId="11" xfId="0" applyNumberFormat="1" applyFont="1" applyFill="1" applyBorder="1" applyAlignment="1">
      <alignment horizontal="center" vertical="center"/>
    </xf>
    <xf numFmtId="164" fontId="22" fillId="18" borderId="12" xfId="0" applyNumberFormat="1" applyFont="1" applyFill="1" applyBorder="1" applyAlignment="1">
      <alignment horizontal="center" vertical="center"/>
    </xf>
    <xf numFmtId="164" fontId="22" fillId="3" borderId="10" xfId="0" applyNumberFormat="1" applyFont="1" applyFill="1" applyBorder="1" applyAlignment="1">
      <alignment horizontal="center" vertical="center"/>
      <protection locked="0" hidden="0"/>
    </xf>
    <xf numFmtId="164" fontId="22" fillId="3" borderId="11" xfId="0" applyNumberFormat="1" applyFont="1" applyFill="1" applyBorder="1" applyAlignment="1">
      <alignment horizontal="center" vertical="center"/>
      <protection locked="0" hidden="0"/>
    </xf>
    <xf numFmtId="164" fontId="22" fillId="3" borderId="11" xfId="0" applyNumberFormat="1" applyFont="1" applyFill="1" applyBorder="1" applyAlignment="1">
      <alignment horizontal="center" vertical="center"/>
    </xf>
    <xf numFmtId="164" fontId="22" fillId="3" borderId="12" xfId="0" applyNumberFormat="1" applyFont="1" applyFill="1" applyBorder="1" applyAlignment="1">
      <alignment horizontal="center" vertical="center"/>
    </xf>
    <xf numFmtId="164" fontId="22" fillId="0" borderId="10" xfId="0" applyNumberFormat="1" applyFont="1" applyBorder="1" applyAlignment="1">
      <alignment horizontal="center" vertical="center"/>
      <protection locked="0" hidden="0"/>
    </xf>
    <xf numFmtId="0" fontId="30" fillId="18" borderId="7" xfId="0" applyFont="1" applyFill="1" applyBorder="1" applyAlignment="1">
      <alignment horizontal="center" vertical="center"/>
    </xf>
    <xf numFmtId="0" fontId="30" fillId="18" borderId="8" xfId="0" applyFont="1" applyFill="1" applyBorder="1" applyAlignment="1">
      <alignment horizontal="center" vertical="center"/>
    </xf>
    <xf numFmtId="0" fontId="30" fillId="18" borderId="9" xfId="0" applyFont="1" applyFill="1" applyBorder="1" applyAlignment="1">
      <alignment horizontal="center" vertical="center"/>
    </xf>
    <xf numFmtId="0" fontId="1" fillId="18" borderId="58" xfId="0" applyFont="1" applyFill="1" applyBorder="1" applyAlignment="1">
      <alignment horizontal="center" vertical="center"/>
    </xf>
    <xf numFmtId="0" fontId="1" fillId="18" borderId="59" xfId="0" applyFont="1" applyFill="1" applyBorder="1" applyAlignment="1">
      <alignment horizontal="center" vertical="center"/>
    </xf>
    <xf numFmtId="0" fontId="1" fillId="18" borderId="60" xfId="0" applyFont="1" applyFill="1" applyBorder="1" applyAlignment="1">
      <alignment horizontal="center" vertical="center"/>
    </xf>
    <xf numFmtId="0" fontId="1" fillId="0" borderId="0" xfId="0" applyFont="1" applyBorder="1">
      <alignment vertical="center"/>
    </xf>
    <xf numFmtId="0" fontId="30" fillId="4" borderId="16" xfId="0" applyFont="1" applyFill="1" applyBorder="1" applyAlignment="1">
      <alignment horizontal="center" vertical="center"/>
    </xf>
    <xf numFmtId="164" fontId="30" fillId="4" borderId="0" xfId="0" applyNumberFormat="1" applyFont="1" applyFill="1" applyBorder="1" applyAlignment="1">
      <alignment horizontal="center" vertical="center"/>
    </xf>
    <xf numFmtId="164" fontId="30" fillId="4" borderId="0" xfId="0" applyNumberFormat="1" applyFont="1" applyFill="1" applyBorder="1" applyAlignment="1">
      <alignment horizontal="center" vertical="center"/>
    </xf>
    <xf numFmtId="0" fontId="30" fillId="5" borderId="0" xfId="0" applyFont="1" applyFill="1" applyBorder="1" applyAlignment="1">
      <alignment horizontal="center" vertical="center"/>
    </xf>
    <xf numFmtId="164" fontId="30" fillId="5" borderId="0" xfId="0" applyNumberFormat="1" applyFont="1" applyFill="1" applyBorder="1" applyAlignment="1">
      <alignment horizontal="center" vertical="center"/>
    </xf>
    <xf numFmtId="164" fontId="30" fillId="5" borderId="0" xfId="0" applyNumberFormat="1" applyFont="1" applyFill="1" applyBorder="1" applyAlignment="1">
      <alignment horizontal="center" vertical="center"/>
    </xf>
    <xf numFmtId="0" fontId="30" fillId="4" borderId="0" xfId="0" applyFont="1" applyFill="1" applyBorder="1" applyAlignment="1">
      <alignment horizontal="center" vertical="center"/>
    </xf>
    <xf numFmtId="164" fontId="30" fillId="5" borderId="17" xfId="0" applyNumberFormat="1" applyFont="1" applyFill="1" applyBorder="1" applyAlignment="1">
      <alignment horizontal="center" vertical="center"/>
    </xf>
    <xf numFmtId="164" fontId="30" fillId="4" borderId="16" xfId="0" applyNumberFormat="1" applyFont="1" applyFill="1" applyBorder="1" applyAlignment="1">
      <alignment horizontal="center" vertical="center"/>
    </xf>
    <xf numFmtId="164" fontId="30" fillId="4" borderId="0" xfId="0" applyNumberFormat="1" applyFont="1" applyFill="1" applyAlignment="1">
      <alignment horizontal="center" vertical="center"/>
    </xf>
    <xf numFmtId="164" fontId="8" fillId="4" borderId="0" xfId="0" applyNumberFormat="1" applyFont="1" applyFill="1" applyAlignment="1">
      <alignment horizontal="center" vertical="center"/>
    </xf>
    <xf numFmtId="164" fontId="8" fillId="4" borderId="0" xfId="0" applyNumberFormat="1" applyFont="1" applyFill="1" applyAlignment="1">
      <alignment horizontal="right" vertical="center"/>
    </xf>
    <xf numFmtId="178" fontId="8" fillId="4" borderId="0" xfId="0" applyNumberFormat="1" applyFont="1" applyFill="1" applyAlignment="1">
      <alignment horizontal="left" vertical="center"/>
    </xf>
    <xf numFmtId="164" fontId="30" fillId="5" borderId="0" xfId="0" applyNumberFormat="1" applyFont="1" applyFill="1" applyAlignment="1">
      <alignment horizontal="center" vertical="center"/>
    </xf>
    <xf numFmtId="164" fontId="8" fillId="5" borderId="0" xfId="0" applyNumberFormat="1" applyFont="1" applyFill="1" applyAlignment="1">
      <alignment horizontal="center" vertical="center"/>
    </xf>
    <xf numFmtId="164" fontId="8" fillId="5" borderId="0" xfId="0" applyNumberFormat="1" applyFont="1" applyFill="1" applyAlignment="1">
      <alignment horizontal="right" vertical="center"/>
    </xf>
    <xf numFmtId="178" fontId="8" fillId="5" borderId="17" xfId="0" applyNumberFormat="1" applyFont="1" applyFill="1" applyBorder="1" applyAlignment="1">
      <alignment horizontal="left" vertical="center"/>
    </xf>
    <xf numFmtId="0" fontId="1" fillId="0" borderId="16" xfId="0" applyFont="1" applyFill="1" applyBorder="1" applyAlignment="1">
      <alignment horizontal="center" vertical="center"/>
    </xf>
    <xf numFmtId="0" fontId="1" fillId="0" borderId="67" xfId="0" applyFont="1" applyFill="1" applyBorder="1" applyAlignment="1">
      <alignment horizontal="center" vertical="center"/>
    </xf>
    <xf numFmtId="20" fontId="1" fillId="0" borderId="14" xfId="0" applyNumberFormat="1" applyFont="1" applyFill="1" applyBorder="1" applyAlignment="1">
      <alignment horizontal="center" vertical="center"/>
    </xf>
    <xf numFmtId="20" fontId="1" fillId="0" borderId="17" xfId="0" applyNumberFormat="1" applyFont="1" applyFill="1" applyBorder="1" applyAlignment="1">
      <alignment horizontal="center" vertical="center"/>
    </xf>
    <xf numFmtId="164" fontId="14" fillId="0" borderId="0" xfId="0" applyNumberFormat="1" applyFont="1" applyFill="1" applyBorder="1" applyAlignment="1">
      <alignment horizontal="center" vertical="center"/>
    </xf>
    <xf numFmtId="164" fontId="14" fillId="0" borderId="17" xfId="0" applyNumberFormat="1" applyFont="1" applyFill="1" applyBorder="1" applyAlignment="1">
      <alignment horizontal="center" vertical="center"/>
    </xf>
    <xf numFmtId="0" fontId="1" fillId="0" borderId="30" xfId="0" applyFont="1" applyFill="1" applyBorder="1" applyAlignment="1">
      <alignment horizontal="center" vertical="center"/>
    </xf>
    <xf numFmtId="0" fontId="1" fillId="0" borderId="29" xfId="0" applyFont="1" applyFill="1" applyBorder="1" applyAlignment="1">
      <alignment horizontal="center" vertical="center"/>
    </xf>
    <xf numFmtId="0" fontId="1" fillId="0" borderId="28" xfId="0" applyFont="1" applyFill="1" applyBorder="1" applyAlignment="1">
      <alignment horizontal="center" vertical="center"/>
    </xf>
    <xf numFmtId="20" fontId="1" fillId="0" borderId="28" xfId="0" applyNumberFormat="1" applyFont="1" applyFill="1" applyBorder="1" applyAlignment="1">
      <alignment horizontal="center" vertical="center"/>
    </xf>
    <xf numFmtId="20" fontId="1" fillId="0" borderId="31" xfId="0" applyNumberFormat="1" applyFont="1" applyFill="1" applyBorder="1" applyAlignment="1">
      <alignment horizontal="center" vertical="center"/>
    </xf>
    <xf numFmtId="0" fontId="30" fillId="5" borderId="16" xfId="0" applyFont="1" applyFill="1" applyBorder="1" applyAlignment="1">
      <alignment horizontal="center" vertical="center"/>
    </xf>
    <xf numFmtId="164" fontId="30" fillId="4" borderId="17" xfId="0" applyNumberFormat="1" applyFont="1" applyFill="1" applyBorder="1" applyAlignment="1">
      <alignment horizontal="center" vertical="center"/>
    </xf>
    <xf numFmtId="0" fontId="1" fillId="18" borderId="7" xfId="0" applyFont="1" applyFill="1" applyBorder="1" applyAlignment="1">
      <alignment horizontal="center" vertical="center"/>
    </xf>
    <xf numFmtId="0" fontId="1" fillId="18" borderId="8" xfId="0" applyFont="1" applyFill="1" applyBorder="1" applyAlignment="1">
      <alignment horizontal="center" vertical="center"/>
    </xf>
    <xf numFmtId="0" fontId="1" fillId="18" borderId="9" xfId="0" applyFont="1" applyFill="1" applyBorder="1" applyAlignment="1">
      <alignment horizontal="center" vertical="center"/>
    </xf>
    <xf numFmtId="0" fontId="30" fillId="5" borderId="30" xfId="0" applyFont="1" applyFill="1" applyBorder="1" applyAlignment="1">
      <alignment horizontal="center" vertical="center"/>
    </xf>
    <xf numFmtId="164" fontId="30" fillId="5" borderId="29" xfId="0" applyNumberFormat="1" applyFont="1" applyFill="1" applyBorder="1" applyAlignment="1">
      <alignment horizontal="center" vertical="center"/>
    </xf>
    <xf numFmtId="164" fontId="14" fillId="0" borderId="29" xfId="0" applyNumberFormat="1" applyFont="1" applyFill="1" applyBorder="1" applyAlignment="1">
      <alignment horizontal="center" vertical="center"/>
    </xf>
    <xf numFmtId="0" fontId="30" fillId="4" borderId="29" xfId="0" applyFont="1" applyFill="1" applyBorder="1" applyAlignment="1">
      <alignment horizontal="center" vertical="center"/>
    </xf>
    <xf numFmtId="164" fontId="30" fillId="4" borderId="29" xfId="0" applyNumberFormat="1" applyFont="1" applyFill="1" applyBorder="1" applyAlignment="1">
      <alignment horizontal="center" vertical="center"/>
    </xf>
    <xf numFmtId="0" fontId="30" fillId="5" borderId="29" xfId="0" applyFont="1" applyFill="1" applyBorder="1" applyAlignment="1">
      <alignment horizontal="center" vertical="center"/>
    </xf>
    <xf numFmtId="164" fontId="14" fillId="0" borderId="31" xfId="0" applyNumberFormat="1" applyFont="1" applyFill="1" applyBorder="1" applyAlignment="1">
      <alignment horizontal="center" vertical="center"/>
    </xf>
    <xf numFmtId="49" fontId="1" fillId="5" borderId="16" xfId="0" applyNumberFormat="1" applyFont="1" applyFill="1" applyBorder="1" applyAlignment="1">
      <alignment horizontal="center" vertical="top" wrapText="1"/>
    </xf>
    <xf numFmtId="49" fontId="1" fillId="5" borderId="0" xfId="0" applyNumberFormat="1" applyFont="1" applyFill="1" applyBorder="1" applyAlignment="1">
      <alignment horizontal="center" vertical="top" wrapText="1"/>
    </xf>
    <xf numFmtId="49" fontId="1" fillId="5" borderId="17" xfId="0" applyNumberFormat="1" applyFont="1" applyFill="1" applyBorder="1" applyAlignment="1">
      <alignment horizontal="center" vertical="top" wrapText="1"/>
    </xf>
    <xf numFmtId="0" fontId="30" fillId="0" borderId="7" xfId="0" applyFont="1" applyFill="1" applyBorder="1" applyAlignment="1">
      <alignment horizontal="center" vertical="center"/>
    </xf>
    <xf numFmtId="0" fontId="30" fillId="0" borderId="8" xfId="0" applyFont="1" applyFill="1" applyBorder="1" applyAlignment="1">
      <alignment horizontal="right" vertical="center"/>
    </xf>
    <xf numFmtId="171" fontId="30" fillId="0" borderId="8" xfId="0" applyNumberFormat="1" applyFont="1" applyFill="1" applyBorder="1" applyAlignment="1">
      <alignment horizontal="left" vertical="center"/>
    </xf>
    <xf numFmtId="0" fontId="30" fillId="4" borderId="8" xfId="0" applyFont="1" applyFill="1" applyBorder="1" applyAlignment="1">
      <alignment horizontal="center" vertical="center"/>
    </xf>
    <xf numFmtId="0" fontId="30" fillId="4" borderId="8" xfId="0" applyFont="1" applyFill="1" applyBorder="1" applyAlignment="1">
      <alignment horizontal="right" vertical="center"/>
    </xf>
    <xf numFmtId="171" fontId="30" fillId="4" borderId="8" xfId="0" applyNumberFormat="1" applyFont="1" applyFill="1" applyBorder="1" applyAlignment="1">
      <alignment horizontal="left" vertical="center"/>
    </xf>
    <xf numFmtId="0" fontId="30" fillId="0" borderId="8" xfId="0" applyFont="1" applyFill="1" applyBorder="1" applyAlignment="1">
      <alignment horizontal="center" vertical="center"/>
    </xf>
    <xf numFmtId="0" fontId="1" fillId="4" borderId="8" xfId="0" applyFont="1" applyFill="1" applyBorder="1" applyAlignment="1">
      <alignment horizontal="center" vertical="center"/>
    </xf>
    <xf numFmtId="0" fontId="30" fillId="4" borderId="9" xfId="0" applyFont="1" applyFill="1" applyBorder="1" applyAlignment="1">
      <alignment horizontal="center" vertical="center"/>
    </xf>
    <xf numFmtId="164" fontId="30" fillId="4" borderId="16" xfId="0" applyNumberFormat="1" applyFont="1" applyFill="1" applyBorder="1">
      <alignment vertical="center"/>
    </xf>
    <xf numFmtId="164" fontId="22" fillId="4" borderId="16" xfId="0" applyNumberFormat="1" applyFont="1" applyFill="1" applyBorder="1" applyAlignment="1">
      <alignment horizontal="center" vertical="center"/>
    </xf>
    <xf numFmtId="164" fontId="22" fillId="4" borderId="0" xfId="0" applyNumberFormat="1" applyFont="1" applyFill="1" applyAlignment="1">
      <alignment horizontal="center" vertical="center"/>
    </xf>
    <xf numFmtId="164" fontId="22" fillId="4" borderId="17" xfId="0" applyNumberFormat="1" applyFont="1" applyFill="1" applyBorder="1" applyAlignment="1">
      <alignment horizontal="center" vertical="center"/>
    </xf>
    <xf numFmtId="0" fontId="30" fillId="0" borderId="16" xfId="0" applyFont="1" applyFill="1" applyBorder="1" applyAlignment="1">
      <alignment horizontal="center" vertical="center"/>
    </xf>
    <xf numFmtId="0" fontId="30" fillId="0" borderId="0" xfId="0" applyFont="1" applyFill="1" applyBorder="1" applyAlignment="1">
      <alignment horizontal="right" vertical="center"/>
    </xf>
    <xf numFmtId="171" fontId="30" fillId="0" borderId="0" xfId="0" applyNumberFormat="1" applyFont="1" applyFill="1" applyAlignment="1">
      <alignment horizontal="left" vertical="center"/>
    </xf>
    <xf numFmtId="0" fontId="30" fillId="4" borderId="0" xfId="0" applyFont="1" applyFill="1" applyBorder="1" applyAlignment="1">
      <alignment horizontal="right" vertical="center"/>
    </xf>
    <xf numFmtId="171" fontId="30" fillId="4" borderId="0" xfId="0" applyNumberFormat="1" applyFont="1" applyFill="1" applyBorder="1" applyAlignment="1">
      <alignment horizontal="left" vertical="center"/>
    </xf>
    <xf numFmtId="0" fontId="30" fillId="0" borderId="0" xfId="0" applyFont="1" applyFill="1" applyBorder="1" applyAlignment="1">
      <alignment horizontal="center" vertical="center"/>
    </xf>
    <xf numFmtId="171" fontId="30" fillId="0" borderId="0" xfId="0" applyNumberFormat="1" applyFont="1" applyFill="1" applyBorder="1" applyAlignment="1">
      <alignment horizontal="left" vertical="center"/>
    </xf>
    <xf numFmtId="0" fontId="1" fillId="4" borderId="0" xfId="0" applyFont="1" applyFill="1" applyBorder="1" applyAlignment="1">
      <alignment horizontal="center" vertical="center"/>
    </xf>
    <xf numFmtId="0" fontId="30" fillId="4" borderId="0" xfId="0" applyFont="1" applyFill="1" applyAlignment="1">
      <alignment horizontal="center" vertical="center"/>
    </xf>
    <xf numFmtId="0" fontId="30" fillId="4" borderId="17" xfId="0" applyFont="1" applyFill="1" applyBorder="1" applyAlignment="1">
      <alignment horizontal="center" vertical="center"/>
    </xf>
    <xf numFmtId="0" fontId="30" fillId="0" borderId="0" xfId="0" applyFont="1" applyFill="1" applyAlignment="1">
      <alignment horizontal="center" vertical="center"/>
    </xf>
    <xf numFmtId="0" fontId="30" fillId="0" borderId="30" xfId="0" applyFont="1" applyFill="1" applyBorder="1" applyAlignment="1">
      <alignment horizontal="center" vertical="center"/>
    </xf>
    <xf numFmtId="0" fontId="30" fillId="0" borderId="29" xfId="0" applyFont="1" applyFill="1" applyBorder="1" applyAlignment="1">
      <alignment horizontal="center" vertical="center"/>
    </xf>
    <xf numFmtId="0" fontId="30" fillId="4" borderId="31" xfId="0" applyFont="1" applyFill="1" applyBorder="1" applyAlignment="1">
      <alignment horizontal="center" vertical="center"/>
    </xf>
    <xf numFmtId="164" fontId="22" fillId="0" borderId="16" xfId="0" applyNumberFormat="1" applyFont="1" applyFill="1" applyBorder="1" applyAlignment="1">
      <alignment horizontal="center" vertical="center"/>
    </xf>
    <xf numFmtId="164" fontId="22" fillId="0" borderId="0" xfId="0" applyNumberFormat="1" applyFont="1" applyFill="1" applyAlignment="1">
      <alignment horizontal="center" vertical="center"/>
    </xf>
    <xf numFmtId="164" fontId="22" fillId="0" borderId="17" xfId="0" applyNumberFormat="1" applyFont="1" applyFill="1" applyBorder="1" applyAlignment="1">
      <alignment horizontal="center" vertical="center"/>
    </xf>
    <xf numFmtId="164" fontId="10" fillId="4" borderId="16" xfId="0" applyNumberFormat="1" applyFont="1" applyFill="1" applyBorder="1" applyAlignment="1">
      <alignment horizontal="center" vertical="center"/>
    </xf>
    <xf numFmtId="164" fontId="10" fillId="4" borderId="0" xfId="0" applyNumberFormat="1" applyFont="1" applyFill="1" applyAlignment="1">
      <alignment horizontal="center" vertical="center"/>
    </xf>
    <xf numFmtId="164" fontId="10" fillId="4" borderId="17" xfId="0" applyNumberFormat="1" applyFont="1" applyFill="1" applyBorder="1" applyAlignment="1">
      <alignment horizontal="center" vertical="center"/>
    </xf>
    <xf numFmtId="0" fontId="8" fillId="4" borderId="0" xfId="0" applyNumberFormat="1" applyFont="1" applyFill="1" applyAlignment="1">
      <alignment horizontal="center" vertical="center"/>
    </xf>
    <xf numFmtId="179" fontId="8" fillId="4" borderId="0" xfId="0" applyNumberFormat="1" applyFont="1" applyFill="1" applyAlignment="1">
      <alignment horizontal="right" vertical="center"/>
    </xf>
    <xf numFmtId="179" fontId="8" fillId="4" borderId="0" xfId="0" applyNumberFormat="1" applyFont="1" applyFill="1" applyAlignment="1">
      <alignment horizontal="left" vertical="center"/>
    </xf>
    <xf numFmtId="164" fontId="10" fillId="0" borderId="16" xfId="0" applyNumberFormat="1" applyFont="1" applyFill="1" applyBorder="1" applyAlignment="1">
      <alignment horizontal="center" vertical="center"/>
    </xf>
    <xf numFmtId="164" fontId="10" fillId="0" borderId="0" xfId="0" applyNumberFormat="1" applyFont="1" applyFill="1" applyAlignment="1">
      <alignment horizontal="center" vertical="center"/>
    </xf>
    <xf numFmtId="164" fontId="10" fillId="0" borderId="17" xfId="0" applyNumberFormat="1" applyFont="1" applyFill="1" applyBorder="1" applyAlignment="1">
      <alignment horizontal="center" vertical="center"/>
    </xf>
    <xf numFmtId="164" fontId="30" fillId="5" borderId="0" xfId="0" applyNumberFormat="1" applyFont="1" applyFill="1">
      <alignment vertical="center"/>
    </xf>
    <xf numFmtId="164" fontId="10" fillId="0" borderId="0" xfId="0" applyNumberFormat="1" applyFont="1" applyFill="1" applyBorder="1" applyAlignment="1">
      <alignment horizontal="center" vertical="center"/>
    </xf>
    <xf numFmtId="164" fontId="22" fillId="4" borderId="74" xfId="0" applyNumberFormat="1" applyFont="1" applyFill="1" applyBorder="1" applyAlignment="1">
      <alignment horizontal="center" vertical="center"/>
    </xf>
    <xf numFmtId="164" fontId="22" fillId="4" borderId="75" xfId="0" applyNumberFormat="1" applyFont="1" applyFill="1" applyBorder="1" applyAlignment="1">
      <alignment horizontal="center" vertical="center"/>
    </xf>
    <xf numFmtId="164" fontId="22" fillId="4" borderId="68" xfId="0" applyNumberFormat="1" applyFont="1" applyFill="1" applyBorder="1" applyAlignment="1">
      <alignment horizontal="center" vertical="center"/>
    </xf>
    <xf numFmtId="0" fontId="22" fillId="5" borderId="16" xfId="0" applyFont="1" applyFill="1" applyBorder="1" applyAlignment="1">
      <alignment horizontal="center" vertical="center"/>
    </xf>
    <xf numFmtId="0" fontId="22" fillId="5" borderId="0" xfId="0" applyFont="1" applyFill="1" applyBorder="1" applyAlignment="1">
      <alignment horizontal="center" vertical="center"/>
    </xf>
    <xf numFmtId="0" fontId="22" fillId="5" borderId="17" xfId="0" applyFont="1" applyFill="1" applyBorder="1" applyAlignment="1">
      <alignment horizontal="center" vertical="center"/>
    </xf>
    <xf numFmtId="0" fontId="1" fillId="0" borderId="16" xfId="0" applyFont="1" applyBorder="1" applyAlignment="1">
      <alignment horizontal="center" vertical="center"/>
    </xf>
    <xf numFmtId="0" fontId="1" fillId="0" borderId="0" xfId="0" applyFont="1" applyAlignment="1">
      <alignment horizontal="center" vertical="center"/>
    </xf>
    <xf numFmtId="0" fontId="1" fillId="0" borderId="17" xfId="0" applyFont="1" applyBorder="1" applyAlignment="1">
      <alignment horizontal="center" vertical="center"/>
    </xf>
    <xf numFmtId="0" fontId="1" fillId="4" borderId="16" xfId="0" applyFont="1" applyFill="1" applyBorder="1" applyAlignment="1">
      <alignment horizontal="center" vertical="center"/>
    </xf>
    <xf numFmtId="0" fontId="1" fillId="4" borderId="0" xfId="0" applyFont="1" applyFill="1" applyAlignment="1">
      <alignment horizontal="center" vertical="center"/>
    </xf>
    <xf numFmtId="0" fontId="1" fillId="4" borderId="17" xfId="0" applyFont="1" applyFill="1" applyBorder="1" applyAlignment="1">
      <alignment horizontal="center" vertical="center"/>
    </xf>
    <xf numFmtId="0" fontId="10" fillId="0" borderId="30" xfId="0" applyFont="1" applyBorder="1" applyAlignment="1">
      <alignment horizontal="left" vertical="center"/>
    </xf>
    <xf numFmtId="0" fontId="10" fillId="0" borderId="29" xfId="0" applyFont="1" applyBorder="1" applyAlignment="1">
      <alignment horizontal="left" vertical="center"/>
    </xf>
    <xf numFmtId="0" fontId="10" fillId="0" borderId="31" xfId="0" applyFont="1" applyBorder="1" applyAlignment="1">
      <alignment horizontal="left" vertical="center"/>
    </xf>
    <xf numFmtId="0" fontId="1" fillId="0" borderId="30" xfId="0" applyFont="1" applyBorder="1" applyAlignment="1">
      <alignment horizontal="center" vertical="center"/>
    </xf>
    <xf numFmtId="0" fontId="1" fillId="0" borderId="29" xfId="0" applyFont="1" applyBorder="1" applyAlignment="1">
      <alignment horizontal="center" vertical="center"/>
    </xf>
    <xf numFmtId="0" fontId="1" fillId="0" borderId="31" xfId="0" applyFont="1" applyBorder="1" applyAlignment="1">
      <alignment horizontal="center" vertical="center"/>
    </xf>
    <xf numFmtId="164" fontId="1" fillId="0" borderId="16" xfId="0" applyNumberFormat="1" applyFont="1" applyBorder="1" applyAlignment="1">
      <alignment horizontal="center" vertical="center"/>
    </xf>
    <xf numFmtId="164" fontId="1" fillId="0" borderId="0" xfId="0" applyNumberFormat="1" applyFont="1" applyAlignment="1">
      <alignment horizontal="center" vertical="center"/>
    </xf>
    <xf numFmtId="164" fontId="1" fillId="0" borderId="17" xfId="0" applyNumberFormat="1" applyFont="1" applyBorder="1" applyAlignment="1">
      <alignment horizontal="center" vertical="center"/>
    </xf>
    <xf numFmtId="0" fontId="1" fillId="5" borderId="16" xfId="0" applyFont="1" applyFill="1" applyBorder="1" applyAlignment="1">
      <alignment horizontal="center" vertical="center"/>
    </xf>
    <xf numFmtId="0" fontId="1" fillId="5" borderId="0" xfId="0" applyFont="1" applyFill="1" applyAlignment="1">
      <alignment horizontal="center" vertical="center"/>
    </xf>
    <xf numFmtId="0" fontId="1" fillId="5" borderId="17" xfId="0" applyFont="1" applyFill="1" applyBorder="1" applyAlignment="1">
      <alignment horizontal="center" vertical="center"/>
    </xf>
    <xf numFmtId="164" fontId="1" fillId="4" borderId="16" xfId="0" applyNumberFormat="1" applyFont="1" applyFill="1" applyBorder="1" applyAlignment="1">
      <alignment horizontal="center" vertical="center"/>
    </xf>
    <xf numFmtId="164" fontId="1" fillId="4" borderId="0" xfId="0" applyNumberFormat="1" applyFont="1" applyFill="1" applyAlignment="1">
      <alignment horizontal="center" vertical="center"/>
    </xf>
    <xf numFmtId="164" fontId="1" fillId="4" borderId="17" xfId="0" applyNumberFormat="1" applyFont="1" applyFill="1" applyBorder="1" applyAlignment="1">
      <alignment horizontal="center" vertical="center"/>
    </xf>
    <xf numFmtId="164" fontId="1" fillId="4" borderId="0" xfId="0" applyNumberFormat="1" applyFont="1" applyFill="1" applyBorder="1" applyAlignment="1">
      <alignment horizontal="center" vertical="center"/>
    </xf>
    <xf numFmtId="164" fontId="1" fillId="0" borderId="30" xfId="0" applyNumberFormat="1" applyFont="1" applyBorder="1" applyAlignment="1">
      <alignment horizontal="center" vertical="center"/>
    </xf>
    <xf numFmtId="164" fontId="1" fillId="0" borderId="29" xfId="0" applyNumberFormat="1" applyFont="1" applyBorder="1" applyAlignment="1">
      <alignment horizontal="center" vertical="center"/>
    </xf>
    <xf numFmtId="164" fontId="1" fillId="0" borderId="31" xfId="0" applyNumberFormat="1" applyFont="1" applyBorder="1" applyAlignment="1">
      <alignment horizontal="center" vertical="center"/>
    </xf>
    <xf numFmtId="0" fontId="30" fillId="18" borderId="58" xfId="0" applyFont="1" applyFill="1" applyBorder="1" applyAlignment="1">
      <alignment horizontal="center" vertical="center"/>
    </xf>
    <xf numFmtId="0" fontId="30" fillId="18" borderId="59" xfId="0" applyFont="1" applyFill="1" applyBorder="1" applyAlignment="1">
      <alignment horizontal="center" vertical="center"/>
    </xf>
    <xf numFmtId="0" fontId="30" fillId="18" borderId="60" xfId="0" applyFont="1" applyFill="1" applyBorder="1" applyAlignment="1">
      <alignment horizontal="center" vertical="center"/>
    </xf>
    <xf numFmtId="0" fontId="1" fillId="4" borderId="16" xfId="0" applyFont="1" applyFill="1" applyBorder="1" applyAlignment="1">
      <alignment horizontal="center" vertical="center"/>
    </xf>
    <xf numFmtId="164" fontId="1" fillId="4" borderId="19" xfId="0" applyNumberFormat="1" applyFont="1" applyFill="1" applyBorder="1" applyAlignment="1">
      <alignment horizontal="center" vertical="center"/>
    </xf>
    <xf numFmtId="164" fontId="1" fillId="4" borderId="22" xfId="0" applyNumberFormat="1" applyFont="1" applyFill="1" applyBorder="1" applyAlignment="1">
      <alignment horizontal="center" vertical="center"/>
    </xf>
    <xf numFmtId="0" fontId="1" fillId="4" borderId="46" xfId="0" applyFont="1" applyFill="1" applyBorder="1" applyAlignment="1">
      <alignment horizontal="center" vertical="center"/>
    </xf>
    <xf numFmtId="0" fontId="10" fillId="0" borderId="19" xfId="0" applyFont="1" applyBorder="1" applyAlignment="1">
      <alignment horizontal="left" vertical="top" wrapText="1"/>
    </xf>
    <xf numFmtId="0" fontId="10" fillId="0" borderId="22" xfId="0" applyFont="1" applyBorder="1" applyAlignment="1">
      <alignment horizontal="left" vertical="top" wrapText="1"/>
    </xf>
    <xf numFmtId="0" fontId="10" fillId="0" borderId="51" xfId="0" applyFont="1" applyBorder="1" applyAlignment="1">
      <alignment horizontal="left" vertical="top" wrapText="1"/>
    </xf>
    <xf numFmtId="0" fontId="1" fillId="0" borderId="16" xfId="0" applyFont="1" applyBorder="1" applyAlignment="1">
      <alignment horizontal="center" vertical="center"/>
    </xf>
    <xf numFmtId="164" fontId="1" fillId="0" borderId="41" xfId="0" applyNumberFormat="1" applyFont="1" applyBorder="1" applyAlignment="1">
      <alignment horizontal="center" vertical="center"/>
    </xf>
    <xf numFmtId="164" fontId="1" fillId="0" borderId="0" xfId="0" applyNumberFormat="1" applyFont="1" applyBorder="1" applyAlignment="1">
      <alignment horizontal="center" vertical="center"/>
    </xf>
    <xf numFmtId="0" fontId="1" fillId="0" borderId="46" xfId="0" applyFont="1" applyBorder="1" applyAlignment="1">
      <alignment horizontal="center" vertical="center"/>
    </xf>
    <xf numFmtId="0" fontId="10" fillId="0" borderId="41" xfId="0" applyFont="1" applyBorder="1" applyAlignment="1">
      <alignment horizontal="left" vertical="top" wrapText="1"/>
    </xf>
    <xf numFmtId="0" fontId="10" fillId="0" borderId="0" xfId="0" applyFont="1" applyAlignment="1">
      <alignment horizontal="left" vertical="top" wrapText="1"/>
    </xf>
    <xf numFmtId="0" fontId="10" fillId="0" borderId="17" xfId="0" applyFont="1" applyBorder="1" applyAlignment="1">
      <alignment horizontal="left" vertical="top" wrapText="1"/>
    </xf>
    <xf numFmtId="164" fontId="1" fillId="4" borderId="41" xfId="0" applyNumberFormat="1" applyFont="1" applyFill="1" applyBorder="1" applyAlignment="1">
      <alignment horizontal="center" vertical="center"/>
    </xf>
    <xf numFmtId="164" fontId="1" fillId="4" borderId="74" xfId="0" applyNumberFormat="1" applyFont="1" applyFill="1" applyBorder="1" applyAlignment="1">
      <alignment horizontal="center" vertical="center"/>
    </xf>
    <xf numFmtId="164" fontId="1" fillId="4" borderId="75" xfId="0" applyNumberFormat="1" applyFont="1" applyFill="1" applyBorder="1" applyAlignment="1">
      <alignment horizontal="center" vertical="center"/>
    </xf>
    <xf numFmtId="164" fontId="1" fillId="4" borderId="68" xfId="0" applyNumberFormat="1" applyFont="1" applyFill="1" applyBorder="1" applyAlignment="1">
      <alignment horizontal="center" vertical="center"/>
    </xf>
    <xf numFmtId="0" fontId="1" fillId="4" borderId="30" xfId="0" applyFont="1" applyFill="1" applyBorder="1" applyAlignment="1">
      <alignment horizontal="center" vertical="center" wrapText="1"/>
    </xf>
    <xf numFmtId="164" fontId="1" fillId="4" borderId="28" xfId="0" applyNumberFormat="1" applyFont="1" applyFill="1" applyBorder="1" applyAlignment="1">
      <alignment horizontal="center" vertical="center"/>
    </xf>
    <xf numFmtId="164" fontId="1" fillId="4" borderId="29" xfId="0" applyNumberFormat="1" applyFont="1" applyFill="1" applyBorder="1" applyAlignment="1">
      <alignment horizontal="center" vertical="center"/>
    </xf>
    <xf numFmtId="164" fontId="1" fillId="4" borderId="44" xfId="0" applyNumberFormat="1" applyFont="1" applyFill="1" applyBorder="1" applyAlignment="1">
      <alignment horizontal="center" vertical="center"/>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10" fillId="0" borderId="31" xfId="0" applyFont="1" applyBorder="1" applyAlignment="1">
      <alignment horizontal="left" vertical="top" wrapText="1"/>
    </xf>
    <xf numFmtId="164" fontId="30" fillId="4" borderId="30" xfId="0" applyNumberFormat="1" applyFont="1" applyFill="1" applyBorder="1">
      <alignment vertical="center"/>
    </xf>
    <xf numFmtId="0" fontId="8" fillId="4" borderId="29" xfId="0" applyNumberFormat="1" applyFont="1" applyFill="1" applyBorder="1" applyAlignment="1">
      <alignment horizontal="center" vertical="center"/>
    </xf>
    <xf numFmtId="179" fontId="8" fillId="4" borderId="29" xfId="0" applyNumberFormat="1" applyFont="1" applyFill="1" applyBorder="1" applyAlignment="1">
      <alignment horizontal="right" vertical="center"/>
    </xf>
    <xf numFmtId="179" fontId="8" fillId="4" borderId="29" xfId="0" applyNumberFormat="1" applyFont="1" applyFill="1" applyBorder="1" applyAlignment="1">
      <alignment horizontal="left" vertical="center"/>
    </xf>
    <xf numFmtId="164" fontId="8" fillId="5" borderId="29" xfId="0" applyNumberFormat="1" applyFont="1" applyFill="1" applyBorder="1" applyAlignment="1">
      <alignment horizontal="center" vertical="center"/>
    </xf>
    <xf numFmtId="164" fontId="8" fillId="5" borderId="29" xfId="0" applyNumberFormat="1" applyFont="1" applyFill="1" applyBorder="1" applyAlignment="1">
      <alignment horizontal="right" vertical="center"/>
    </xf>
    <xf numFmtId="178" fontId="8" fillId="5" borderId="31" xfId="0" applyNumberFormat="1" applyFont="1" applyFill="1" applyBorder="1" applyAlignment="1">
      <alignment horizontal="left" vertical="center"/>
    </xf>
    <xf numFmtId="0" fontId="67" fillId="0" borderId="0" xfId="0" applyFont="1" applyBorder="1">
      <alignment vertical="center"/>
    </xf>
    <xf numFmtId="0" fontId="11" fillId="0" borderId="0" xfId="0" applyFont="1" applyFill="1" applyBorder="1">
      <alignment vertical="center"/>
    </xf>
    <xf numFmtId="0" fontId="68" fillId="0" borderId="0" xfId="0" applyFont="1" applyBorder="1">
      <alignment vertical="center"/>
    </xf>
    <xf numFmtId="0" fontId="3" fillId="30" borderId="96" xfId="0" applyFont="1" applyFill="1" applyBorder="1" applyAlignment="1">
      <alignment horizontal="center" vertical="center"/>
    </xf>
    <xf numFmtId="0" fontId="69" fillId="0" borderId="0" xfId="0" applyFont="1" applyBorder="1">
      <alignment vertical="center"/>
    </xf>
    <xf numFmtId="0" fontId="14" fillId="5" borderId="96" xfId="0" applyFont="1" applyFill="1" applyBorder="1" applyAlignment="1">
      <alignment horizontal="center" vertical="center"/>
    </xf>
    <xf numFmtId="0" fontId="13" fillId="0" borderId="7" xfId="0" applyFont="1" applyBorder="1" applyAlignment="1">
      <alignment vertical="center" wrapText="1"/>
    </xf>
    <xf numFmtId="0" fontId="13" fillId="0" borderId="8" xfId="0" applyFont="1" applyBorder="1" applyAlignment="1">
      <alignment vertical="center" wrapText="1"/>
    </xf>
    <xf numFmtId="0" fontId="13" fillId="0" borderId="9" xfId="0" applyFont="1" applyBorder="1" applyAlignment="1">
      <alignment vertical="center" wrapText="1"/>
    </xf>
    <xf numFmtId="0" fontId="70" fillId="0" borderId="0" xfId="0" applyFont="1" applyBorder="1">
      <alignment vertical="center"/>
    </xf>
    <xf numFmtId="0" fontId="14" fillId="0" borderId="96" xfId="0" applyFont="1" applyBorder="1" applyAlignment="1">
      <alignment horizontal="left" vertical="center" wrapText="1"/>
      <protection locked="0" hidden="0"/>
    </xf>
    <xf numFmtId="0" fontId="13" fillId="0" borderId="16" xfId="0" applyFont="1" applyBorder="1" applyAlignment="1">
      <alignment vertical="center" wrapText="1"/>
    </xf>
    <xf numFmtId="0" fontId="13" fillId="0" borderId="0" xfId="0" applyFont="1" applyBorder="1" applyAlignment="1">
      <alignment vertical="center" wrapText="1"/>
    </xf>
    <xf numFmtId="0" fontId="13" fillId="0" borderId="17" xfId="0" applyFont="1" applyBorder="1" applyAlignment="1">
      <alignment vertical="center" wrapText="1"/>
    </xf>
    <xf numFmtId="0" fontId="13" fillId="0" borderId="30" xfId="0" applyFont="1" applyBorder="1" applyAlignment="1">
      <alignment vertical="center" wrapText="1"/>
    </xf>
    <xf numFmtId="0" fontId="13" fillId="0" borderId="29" xfId="0" applyFont="1" applyBorder="1" applyAlignment="1">
      <alignment vertical="center" wrapText="1"/>
    </xf>
    <xf numFmtId="0" fontId="13" fillId="0" borderId="31" xfId="0" applyFont="1" applyBorder="1" applyAlignment="1">
      <alignmen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0" xfId="0" applyFont="1" applyBorder="1" applyAlignment="1">
      <alignment vertical="center" wrapText="1"/>
    </xf>
    <xf numFmtId="0" fontId="14" fillId="0" borderId="142" xfId="0" applyFont="1" applyBorder="1" applyAlignment="1">
      <alignment horizontal="left" vertical="center" wrapText="1"/>
      <protection locked="0" hidden="0"/>
    </xf>
    <xf numFmtId="0" fontId="14" fillId="0" borderId="134" xfId="0" applyFont="1" applyBorder="1" applyAlignment="1">
      <alignment horizontal="left" vertical="center" wrapText="1"/>
      <protection locked="0" hidden="0"/>
    </xf>
    <xf numFmtId="0" fontId="14" fillId="0" borderId="140" xfId="0" applyFont="1" applyBorder="1" applyAlignment="1">
      <alignment horizontal="left" vertical="center" wrapText="1"/>
      <protection locked="0" hidden="0"/>
    </xf>
    <xf numFmtId="0" fontId="13" fillId="0" borderId="16" xfId="0" applyFont="1" applyBorder="1" applyAlignment="1">
      <alignment horizontal="left" vertical="center" wrapText="1"/>
    </xf>
    <xf numFmtId="0" fontId="13" fillId="0" borderId="0" xfId="0" applyFont="1" applyBorder="1" applyAlignment="1">
      <alignment horizontal="left" vertical="center" wrapText="1"/>
    </xf>
    <xf numFmtId="0" fontId="13" fillId="0" borderId="17" xfId="0" applyFont="1" applyBorder="1" applyAlignment="1">
      <alignment horizontal="left" vertical="center" wrapText="1"/>
    </xf>
    <xf numFmtId="0" fontId="14" fillId="0" borderId="148" xfId="0" applyFont="1" applyBorder="1" applyAlignment="1">
      <alignment horizontal="left" vertical="center" wrapText="1"/>
      <protection locked="0" hidden="0"/>
    </xf>
    <xf numFmtId="0" fontId="14" fillId="0" borderId="0" xfId="0" applyFont="1" applyBorder="1" applyAlignment="1">
      <alignment horizontal="left" vertical="center" wrapText="1"/>
      <protection locked="0" hidden="0"/>
    </xf>
    <xf numFmtId="0" fontId="14" fillId="0" borderId="149" xfId="0" applyFont="1" applyBorder="1" applyAlignment="1">
      <alignment horizontal="left" vertical="center" wrapText="1"/>
      <protection locked="0" hidden="0"/>
    </xf>
    <xf numFmtId="0" fontId="14" fillId="0" borderId="160" xfId="0" applyFont="1" applyBorder="1" applyAlignment="1">
      <alignment horizontal="left" vertical="center" wrapText="1"/>
      <protection locked="0" hidden="0"/>
    </xf>
    <xf numFmtId="0" fontId="14" fillId="0" borderId="161" xfId="0" applyFont="1" applyBorder="1" applyAlignment="1">
      <alignment horizontal="left" vertical="center" wrapText="1"/>
      <protection locked="0" hidden="0"/>
    </xf>
    <xf numFmtId="0" fontId="14" fillId="0" borderId="162" xfId="0" applyFont="1" applyBorder="1" applyAlignment="1">
      <alignment horizontal="left" vertical="center" wrapText="1"/>
      <protection locked="0" hidden="0"/>
    </xf>
    <xf numFmtId="0" fontId="13" fillId="0" borderId="30" xfId="0" applyFont="1" applyBorder="1" applyAlignment="1">
      <alignment horizontal="left" vertical="center" wrapText="1"/>
    </xf>
    <xf numFmtId="0" fontId="13" fillId="0" borderId="29" xfId="0" applyFont="1" applyBorder="1" applyAlignment="1">
      <alignment horizontal="left" vertical="center" wrapText="1"/>
    </xf>
    <xf numFmtId="0" fontId="13" fillId="0" borderId="31" xfId="0" applyFont="1" applyBorder="1" applyAlignment="1">
      <alignment horizontal="left" vertical="center" wrapText="1"/>
    </xf>
    <xf numFmtId="0" fontId="71" fillId="30" borderId="96" xfId="0" applyFont="1" applyFill="1" applyBorder="1" applyAlignment="1">
      <alignment horizontal="center" vertical="center"/>
    </xf>
    <xf numFmtId="0" fontId="13" fillId="27" borderId="148" xfId="0" applyFont="1" applyFill="1" applyBorder="1" applyAlignment="1">
      <alignment horizontal="right" vertical="center" wrapText="1"/>
    </xf>
    <xf numFmtId="0" fontId="13" fillId="27" borderId="0" xfId="0" applyFont="1" applyFill="1" applyBorder="1" applyAlignment="1">
      <alignment horizontal="right" vertical="center" wrapText="1"/>
    </xf>
    <xf numFmtId="0" fontId="13" fillId="0" borderId="8" xfId="0" applyFont="1" applyBorder="1">
      <alignment vertical="center"/>
    </xf>
    <xf numFmtId="0" fontId="13" fillId="0" borderId="9" xfId="0" applyFont="1" applyBorder="1">
      <alignment vertical="center"/>
    </xf>
    <xf numFmtId="0" fontId="13" fillId="0" borderId="16" xfId="0" applyFont="1" applyBorder="1">
      <alignment vertical="center"/>
    </xf>
    <xf numFmtId="0" fontId="13" fillId="0" borderId="0" xfId="0" applyFont="1" applyBorder="1">
      <alignment vertical="center"/>
    </xf>
    <xf numFmtId="0" fontId="13" fillId="0" borderId="17" xfId="0" applyFont="1" applyBorder="1">
      <alignment vertical="center"/>
    </xf>
    <xf numFmtId="0" fontId="13" fillId="0" borderId="30" xfId="0" applyFont="1" applyBorder="1">
      <alignment vertical="center"/>
    </xf>
    <xf numFmtId="0" fontId="13" fillId="0" borderId="29" xfId="0" applyFont="1" applyBorder="1">
      <alignment vertical="center"/>
    </xf>
    <xf numFmtId="0" fontId="13" fillId="0" borderId="31" xfId="0" applyFont="1" applyBorder="1">
      <alignment vertical="center"/>
    </xf>
    <xf numFmtId="0" fontId="14" fillId="0" borderId="0" xfId="0" applyFont="1" applyBorder="1" applyAlignment="1">
      <alignment horizontal="left" vertical="center" wrapText="1"/>
      <protection locked="0" hidden="0"/>
    </xf>
    <xf numFmtId="0" fontId="1" fillId="27" borderId="0" xfId="0" applyFont="1" applyFill="1" applyAlignment="1">
      <alignment horizontal="left" vertical="center"/>
    </xf>
    <xf numFmtId="0" fontId="3" fillId="30" borderId="112" xfId="0" applyFont="1" applyFill="1" applyBorder="1" applyAlignment="1">
      <alignment horizontal="center" vertical="center"/>
    </xf>
    <xf numFmtId="0" fontId="3" fillId="30" borderId="100" xfId="0" applyFont="1" applyFill="1" applyBorder="1" applyAlignment="1">
      <alignment horizontal="center" vertical="center"/>
    </xf>
    <xf numFmtId="0" fontId="3" fillId="30" borderId="101" xfId="0" applyFont="1" applyFill="1" applyBorder="1" applyAlignment="1">
      <alignment horizontal="center" vertical="center"/>
    </xf>
    <xf numFmtId="0" fontId="1" fillId="18" borderId="163" xfId="0" applyFont="1" applyFill="1" applyBorder="1" applyAlignment="1">
      <alignment horizontal="left" vertical="center"/>
    </xf>
    <xf numFmtId="0" fontId="1" fillId="18" borderId="0" xfId="0" applyFont="1" applyFill="1" applyBorder="1" applyAlignment="1">
      <alignment horizontal="left" vertical="center"/>
    </xf>
    <xf numFmtId="0" fontId="1" fillId="18" borderId="0" xfId="0" applyFont="1" applyFill="1" applyBorder="1" applyAlignment="1">
      <alignment horizontal="center" vertical="center"/>
    </xf>
    <xf numFmtId="0" fontId="1" fillId="18" borderId="111" xfId="0" applyFont="1" applyFill="1" applyBorder="1" applyAlignment="1">
      <alignment horizontal="center" vertical="center"/>
    </xf>
    <xf numFmtId="0" fontId="72" fillId="0" borderId="0" xfId="0" applyFont="1" applyFill="1" applyAlignment="1">
      <alignment vertical="center" wrapText="1"/>
    </xf>
    <xf numFmtId="0" fontId="1" fillId="0" borderId="163"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lignment vertical="center"/>
    </xf>
    <xf numFmtId="0" fontId="1" fillId="0" borderId="149" xfId="0" applyFont="1" applyBorder="1">
      <alignment vertical="center"/>
    </xf>
    <xf numFmtId="0" fontId="1" fillId="0" borderId="0" xfId="0" applyFont="1" applyBorder="1" applyAlignment="1">
      <alignment horizontal="left" vertical="center"/>
    </xf>
    <xf numFmtId="0" fontId="1" fillId="0" borderId="149" xfId="0" applyFont="1" applyBorder="1" applyAlignment="1">
      <alignment horizontal="left" vertical="center"/>
    </xf>
    <xf numFmtId="0" fontId="14"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4" fillId="0" borderId="111" xfId="0" applyFont="1" applyFill="1" applyBorder="1" applyAlignment="1">
      <alignment horizontal="left" vertical="center"/>
    </xf>
    <xf numFmtId="0" fontId="1" fillId="4" borderId="163" xfId="0" applyFont="1" applyFill="1" applyBorder="1" applyAlignment="1">
      <alignment horizontal="center" vertical="center"/>
    </xf>
    <xf numFmtId="0" fontId="1" fillId="4" borderId="0" xfId="0" applyFont="1" applyFill="1" applyBorder="1">
      <alignment vertical="center"/>
    </xf>
    <xf numFmtId="0" fontId="1" fillId="4" borderId="149" xfId="0" applyFont="1" applyFill="1" applyBorder="1">
      <alignment vertical="center"/>
    </xf>
    <xf numFmtId="0" fontId="1" fillId="4" borderId="0" xfId="0" applyFont="1" applyFill="1" applyBorder="1" applyAlignment="1">
      <alignment horizontal="left" vertical="center"/>
    </xf>
    <xf numFmtId="0" fontId="1" fillId="4" borderId="149" xfId="0" applyFont="1" applyFill="1" applyBorder="1" applyAlignment="1">
      <alignment horizontal="left" vertical="center"/>
    </xf>
    <xf numFmtId="0" fontId="41" fillId="4" borderId="0" xfId="0" applyFont="1" applyFill="1" applyBorder="1" applyAlignment="1">
      <alignment horizontal="center" vertical="center"/>
    </xf>
    <xf numFmtId="0" fontId="1" fillId="4" borderId="111" xfId="0" applyFont="1" applyFill="1" applyBorder="1" applyAlignment="1">
      <alignment horizontal="center" vertical="center"/>
    </xf>
    <xf numFmtId="0" fontId="1" fillId="0" borderId="111" xfId="0" applyFont="1" applyBorder="1" applyAlignment="1">
      <alignment horizontal="center" vertical="center"/>
    </xf>
    <xf numFmtId="0" fontId="1" fillId="4" borderId="0" xfId="0" applyFont="1" applyFill="1" applyBorder="1">
      <alignment vertical="center"/>
    </xf>
    <xf numFmtId="0" fontId="1" fillId="4" borderId="149" xfId="0" applyFont="1" applyFill="1" applyBorder="1">
      <alignment vertical="center"/>
    </xf>
    <xf numFmtId="0" fontId="14" fillId="4" borderId="0" xfId="0" applyFont="1" applyFill="1" applyBorder="1" applyAlignment="1">
      <alignment horizontal="center" vertical="center"/>
    </xf>
    <xf numFmtId="0" fontId="17" fillId="4" borderId="0" xfId="0" applyFont="1" applyFill="1" applyBorder="1">
      <alignment vertical="center"/>
    </xf>
    <xf numFmtId="0" fontId="17" fillId="4" borderId="111" xfId="0" applyFont="1" applyFill="1" applyBorder="1">
      <alignment vertical="center"/>
    </xf>
    <xf numFmtId="0" fontId="1" fillId="0" borderId="149" xfId="0" applyFont="1" applyBorder="1">
      <alignment vertical="center"/>
    </xf>
    <xf numFmtId="0" fontId="1" fillId="0" borderId="111" xfId="0" applyFont="1" applyBorder="1" applyAlignment="1">
      <alignment horizontal="left" vertical="center"/>
    </xf>
    <xf numFmtId="0" fontId="14" fillId="4" borderId="163" xfId="0" applyFont="1" applyFill="1" applyBorder="1" applyAlignment="1">
      <alignment horizontal="center" vertical="center"/>
    </xf>
    <xf numFmtId="0" fontId="14" fillId="4" borderId="0" xfId="0" applyFont="1" applyFill="1" applyBorder="1">
      <alignment vertical="center"/>
    </xf>
    <xf numFmtId="0" fontId="14" fillId="4" borderId="149" xfId="0" applyFont="1" applyFill="1" applyBorder="1">
      <alignment vertical="center"/>
    </xf>
    <xf numFmtId="0" fontId="14" fillId="4" borderId="111" xfId="0" applyFont="1" applyFill="1" applyBorder="1">
      <alignment vertical="center"/>
    </xf>
    <xf numFmtId="0" fontId="14" fillId="0" borderId="163" xfId="0" applyFont="1" applyFill="1" applyBorder="1" applyAlignment="1">
      <alignment horizontal="center" vertical="center"/>
    </xf>
    <xf numFmtId="0" fontId="14" fillId="0" borderId="0" xfId="0" applyFont="1" applyFill="1" applyBorder="1">
      <alignment vertical="center"/>
    </xf>
    <xf numFmtId="0" fontId="14" fillId="0" borderId="149" xfId="0" applyFont="1" applyFill="1" applyBorder="1">
      <alignment vertical="center"/>
    </xf>
    <xf numFmtId="0" fontId="41" fillId="0" borderId="0" xfId="0" applyFont="1" applyFill="1" applyBorder="1" applyAlignment="1">
      <alignment horizontal="center" vertical="center"/>
    </xf>
    <xf numFmtId="0" fontId="14" fillId="0" borderId="149" xfId="0" applyFont="1" applyFill="1" applyBorder="1" applyAlignment="1">
      <alignment horizontal="left" vertical="center"/>
    </xf>
    <xf numFmtId="0" fontId="1" fillId="0" borderId="111" xfId="0" applyFont="1" applyBorder="1">
      <alignment vertical="center"/>
    </xf>
    <xf numFmtId="0" fontId="14" fillId="4" borderId="0" xfId="0" applyFont="1" applyFill="1" applyBorder="1" applyAlignment="1">
      <alignment horizontal="left" vertical="center"/>
    </xf>
    <xf numFmtId="0" fontId="14" fillId="4" borderId="149" xfId="0" applyFont="1" applyFill="1" applyBorder="1" applyAlignment="1">
      <alignment horizontal="left" vertical="center"/>
    </xf>
    <xf numFmtId="0" fontId="1" fillId="0" borderId="119" xfId="0" applyFont="1" applyBorder="1" applyAlignment="1">
      <alignment horizontal="center" vertical="center"/>
    </xf>
    <xf numFmtId="0" fontId="1" fillId="0" borderId="106" xfId="0" applyFont="1" applyBorder="1" applyAlignment="1">
      <alignment horizontal="center" vertical="center"/>
    </xf>
    <xf numFmtId="0" fontId="1" fillId="0" borderId="106" xfId="0" applyFont="1" applyBorder="1">
      <alignment vertical="center"/>
    </xf>
    <xf numFmtId="0" fontId="1" fillId="0" borderId="151" xfId="0" applyFont="1" applyBorder="1">
      <alignment vertical="center"/>
    </xf>
    <xf numFmtId="0" fontId="14" fillId="0" borderId="106" xfId="0" applyFont="1" applyFill="1" applyBorder="1" applyAlignment="1">
      <alignment horizontal="center" vertical="center"/>
    </xf>
    <xf numFmtId="0" fontId="14" fillId="0" borderId="106" xfId="0" applyFont="1" applyFill="1" applyBorder="1" applyAlignment="1">
      <alignment horizontal="left" vertical="center"/>
    </xf>
    <xf numFmtId="0" fontId="14" fillId="0" borderId="151" xfId="0" applyFont="1" applyFill="1" applyBorder="1" applyAlignment="1">
      <alignment horizontal="left" vertical="center"/>
    </xf>
    <xf numFmtId="0" fontId="41" fillId="0" borderId="106" xfId="0" applyFont="1" applyFill="1" applyBorder="1" applyAlignment="1">
      <alignment horizontal="center" vertical="center"/>
    </xf>
    <xf numFmtId="0" fontId="14" fillId="0" borderId="106" xfId="0" applyFont="1" applyFill="1" applyBorder="1">
      <alignment vertical="center"/>
    </xf>
    <xf numFmtId="0" fontId="14" fillId="0" borderId="164" xfId="0" applyFont="1" applyFill="1" applyBorder="1">
      <alignment vertical="center"/>
    </xf>
    <xf numFmtId="0" fontId="41" fillId="0" borderId="0" xfId="0" applyFont="1" applyBorder="1" applyAlignment="1">
      <alignment horizontal="center" vertical="center" wrapText="1"/>
    </xf>
    <xf numFmtId="0" fontId="41" fillId="0" borderId="0" xfId="0" applyFont="1" applyAlignment="1">
      <alignment horizontal="center" vertical="center" wrapText="1"/>
    </xf>
    <xf numFmtId="0" fontId="73" fillId="3" borderId="7" xfId="0" applyFont="1" applyFill="1" applyBorder="1" applyAlignment="1">
      <alignment horizontal="center" vertical="center"/>
    </xf>
    <xf numFmtId="0" fontId="73" fillId="3" borderId="8" xfId="0" applyFont="1" applyFill="1" applyBorder="1" applyAlignment="1">
      <alignment horizontal="center" vertical="center"/>
    </xf>
    <xf numFmtId="0" fontId="73" fillId="3" borderId="9" xfId="0" applyFont="1" applyFill="1" applyBorder="1" applyAlignment="1">
      <alignment horizontal="center" vertical="center"/>
    </xf>
    <xf numFmtId="0" fontId="73" fillId="3" borderId="30" xfId="0" applyFont="1" applyFill="1" applyBorder="1" applyAlignment="1">
      <alignment horizontal="center" vertical="center"/>
    </xf>
    <xf numFmtId="0" fontId="73" fillId="3" borderId="29" xfId="0" applyFont="1" applyFill="1" applyBorder="1" applyAlignment="1">
      <alignment horizontal="center" vertical="center"/>
    </xf>
    <xf numFmtId="0" fontId="73" fillId="3" borderId="31" xfId="0" applyFont="1" applyFill="1" applyBorder="1" applyAlignment="1">
      <alignment horizontal="center" vertical="center"/>
    </xf>
    <xf numFmtId="0" fontId="74" fillId="18" borderId="16" xfId="0" applyFont="1" applyFill="1" applyBorder="1" applyAlignment="1">
      <alignment vertical="center" wrapText="1"/>
    </xf>
    <xf numFmtId="0" fontId="74" fillId="18" borderId="0" xfId="0" applyFont="1" applyFill="1" applyBorder="1" applyAlignment="1">
      <alignment vertical="center" wrapText="1"/>
    </xf>
    <xf numFmtId="0" fontId="74" fillId="18" borderId="0" xfId="0" applyFont="1" applyFill="1" applyBorder="1" applyAlignment="1">
      <alignment horizontal="center" vertical="center" wrapText="1"/>
    </xf>
    <xf numFmtId="0" fontId="74" fillId="18" borderId="0" xfId="0" applyFont="1" applyFill="1" applyBorder="1" applyAlignment="1">
      <alignment horizontal="left" vertical="center" wrapText="1"/>
    </xf>
    <xf numFmtId="0" fontId="74" fillId="18" borderId="17" xfId="0" applyFont="1" applyFill="1" applyBorder="1" applyAlignment="1">
      <alignment horizontal="left" vertical="center" wrapText="1"/>
    </xf>
    <xf numFmtId="0" fontId="72" fillId="4" borderId="16" xfId="0" applyFont="1" applyFill="1" applyBorder="1" applyAlignment="1">
      <alignment horizontal="center" vertical="center" wrapText="1"/>
    </xf>
    <xf numFmtId="0" fontId="72" fillId="4" borderId="0" xfId="0" applyFont="1" applyFill="1" applyBorder="1" applyAlignment="1">
      <alignment horizontal="center" vertical="center" wrapText="1"/>
    </xf>
    <xf numFmtId="0" fontId="72" fillId="4" borderId="0" xfId="0" applyFont="1" applyFill="1" applyBorder="1" applyAlignment="1">
      <alignment horizontal="left" vertical="center" wrapText="1"/>
    </xf>
    <xf numFmtId="0" fontId="72" fillId="4" borderId="17" xfId="0" applyFont="1" applyFill="1" applyBorder="1" applyAlignment="1">
      <alignment horizontal="left" vertical="center" wrapText="1"/>
    </xf>
    <xf numFmtId="0" fontId="72" fillId="0" borderId="16" xfId="0" applyFont="1" applyFill="1" applyBorder="1" applyAlignment="1">
      <alignment horizontal="center" vertical="center" wrapText="1"/>
    </xf>
    <xf numFmtId="0" fontId="72" fillId="0" borderId="0" xfId="0" applyFont="1" applyFill="1" applyBorder="1" applyAlignment="1">
      <alignment horizontal="center" vertical="center" wrapText="1"/>
    </xf>
    <xf numFmtId="0" fontId="72" fillId="0" borderId="0" xfId="0" applyFont="1" applyFill="1" applyBorder="1" applyAlignment="1">
      <alignment horizontal="left" vertical="center" wrapText="1"/>
    </xf>
    <xf numFmtId="0" fontId="72" fillId="0" borderId="17" xfId="0" applyFont="1" applyFill="1" applyBorder="1" applyAlignment="1">
      <alignment horizontal="left" vertical="center" wrapText="1"/>
    </xf>
    <xf numFmtId="0" fontId="72" fillId="3" borderId="0" xfId="0" applyFont="1" applyFill="1" applyBorder="1" applyAlignment="1">
      <alignment horizontal="center" vertical="center" wrapText="1"/>
    </xf>
    <xf numFmtId="0" fontId="72" fillId="3" borderId="0" xfId="0" applyFont="1" applyFill="1" applyBorder="1" applyAlignment="1">
      <alignment horizontal="left" vertical="center" wrapText="1"/>
    </xf>
    <xf numFmtId="0" fontId="72" fillId="3" borderId="17" xfId="0" applyFont="1" applyFill="1" applyBorder="1" applyAlignment="1">
      <alignment horizontal="left" vertical="center" wrapText="1"/>
    </xf>
    <xf numFmtId="0" fontId="75" fillId="4" borderId="0" xfId="0" applyFont="1" applyFill="1" applyBorder="1" applyAlignment="1">
      <alignment horizontal="center" vertical="center" wrapText="1"/>
    </xf>
    <xf numFmtId="0" fontId="72" fillId="0" borderId="30" xfId="0" applyFont="1" applyFill="1" applyBorder="1" applyAlignment="1">
      <alignment horizontal="center" vertical="center" wrapText="1"/>
    </xf>
    <xf numFmtId="0" fontId="72" fillId="0" borderId="29" xfId="0" applyFont="1" applyFill="1" applyBorder="1" applyAlignment="1">
      <alignment horizontal="center" vertical="center" wrapText="1"/>
    </xf>
    <xf numFmtId="0" fontId="72" fillId="0" borderId="29" xfId="0" applyFont="1" applyFill="1" applyBorder="1" applyAlignment="1">
      <alignment horizontal="left" vertical="center" wrapText="1"/>
    </xf>
    <xf numFmtId="0" fontId="72" fillId="0" borderId="31" xfId="0" applyFont="1" applyFill="1" applyBorder="1" applyAlignment="1">
      <alignment horizontal="left" vertical="center" wrapText="1"/>
    </xf>
    <xf numFmtId="0" fontId="76" fillId="0" borderId="0" xfId="0" applyFont="1" applyFill="1" applyAlignment="1">
      <alignment horizontal="center" vertical="center" wrapText="1"/>
    </xf>
    <xf numFmtId="0" fontId="76" fillId="0" borderId="0" xfId="0" applyFont="1" applyFill="1" applyAlignment="1">
      <alignment horizontal="left" vertical="center" wrapText="1"/>
    </xf>
    <xf numFmtId="49" fontId="76" fillId="0" borderId="0" xfId="0" applyNumberFormat="1" applyFont="1" applyFill="1" applyAlignment="1">
      <alignment horizontal="center" vertical="center" wrapText="1"/>
    </xf>
    <xf numFmtId="0" fontId="76" fillId="0" borderId="0" xfId="0" applyFont="1" applyFill="1" applyAlignment="1">
      <alignment horizontal="center" vertical="center"/>
    </xf>
    <xf numFmtId="0" fontId="77" fillId="0" borderId="0" xfId="0" applyFont="1" applyFill="1" applyAlignment="1">
      <alignment horizontal="center" vertical="center"/>
    </xf>
    <xf numFmtId="0" fontId="78" fillId="31" borderId="7" xfId="0" applyFont="1" applyFill="1" applyBorder="1" applyAlignment="1">
      <alignment horizontal="center" vertical="center" wrapText="1"/>
    </xf>
    <xf numFmtId="0" fontId="78" fillId="31" borderId="8" xfId="0" applyFont="1" applyFill="1" applyBorder="1" applyAlignment="1">
      <alignment horizontal="center" vertical="center" wrapText="1"/>
    </xf>
    <xf numFmtId="49" fontId="78" fillId="31" borderId="8" xfId="0" applyNumberFormat="1" applyFont="1" applyFill="1" applyBorder="1" applyAlignment="1">
      <alignment horizontal="center" vertical="center" wrapText="1"/>
    </xf>
    <xf numFmtId="0" fontId="78" fillId="31" borderId="8" xfId="0" applyFont="1" applyFill="1" applyBorder="1" applyAlignment="1">
      <alignment horizontal="center" vertical="center" wrapText="1"/>
    </xf>
    <xf numFmtId="0" fontId="78" fillId="31" borderId="9" xfId="0" applyFont="1" applyFill="1" applyBorder="1" applyAlignment="1">
      <alignment horizontal="center" vertical="center" wrapText="1"/>
    </xf>
    <xf numFmtId="0" fontId="76" fillId="0" borderId="0" xfId="0" applyFont="1" applyFill="1" applyBorder="1" applyAlignment="1">
      <alignment horizontal="center" vertical="center" wrapText="1"/>
    </xf>
    <xf numFmtId="0" fontId="78" fillId="31" borderId="0" xfId="0" applyFont="1" applyFill="1" applyAlignment="1">
      <alignment horizontal="center" vertical="center"/>
    </xf>
    <xf numFmtId="0" fontId="76" fillId="0" borderId="0" xfId="0" applyFont="1" applyFill="1" applyBorder="1" applyAlignment="1">
      <alignment horizontal="center" vertical="center"/>
    </xf>
    <xf numFmtId="0" fontId="77" fillId="0" borderId="0" xfId="0" applyFont="1" applyFill="1" applyBorder="1" applyAlignment="1">
      <alignment horizontal="center" vertical="center"/>
    </xf>
    <xf numFmtId="0" fontId="76" fillId="0" borderId="16" xfId="0" applyFont="1" applyFill="1" applyBorder="1" applyAlignment="1">
      <alignment horizontal="center" vertical="center" wrapText="1"/>
    </xf>
    <xf numFmtId="0" fontId="79" fillId="0" borderId="0" xfId="0" applyFont="1" applyFill="1" applyBorder="1" applyAlignment="1">
      <alignment horizontal="center" vertical="center" wrapText="1"/>
    </xf>
    <xf numFmtId="0" fontId="79" fillId="0" borderId="17" xfId="0" applyFont="1" applyFill="1" applyBorder="1" applyAlignment="1">
      <alignment horizontal="center" vertical="center" wrapText="1"/>
    </xf>
    <xf numFmtId="0" fontId="79" fillId="0" borderId="16" xfId="0" applyFont="1" applyFill="1" applyBorder="1" applyAlignment="1">
      <alignment horizontal="center" vertical="center" wrapText="1" readingOrder="1"/>
    </xf>
    <xf numFmtId="0" fontId="80" fillId="32" borderId="165" xfId="2" applyFont="1" applyFill="1" applyBorder="1" applyAlignment="1">
      <alignment horizontal="center" vertical="center" wrapText="1"/>
    </xf>
    <xf numFmtId="0" fontId="80" fillId="32" borderId="166" xfId="2" applyFont="1" applyFill="1" applyBorder="1" applyAlignment="1">
      <alignment horizontal="center" vertical="center" wrapText="1"/>
    </xf>
    <xf numFmtId="0" fontId="77" fillId="27" borderId="0" xfId="0" applyFont="1" applyFill="1" applyBorder="1" applyAlignment="1">
      <alignment horizontal="center" vertical="center" wrapText="1"/>
    </xf>
    <xf numFmtId="0" fontId="77" fillId="27" borderId="0" xfId="0" applyFont="1" applyFill="1" applyBorder="1" applyAlignment="1">
      <alignment horizontal="center" vertical="center"/>
    </xf>
    <xf numFmtId="49" fontId="1" fillId="0" borderId="0" xfId="0" applyNumberFormat="1" applyFont="1" applyFill="1" applyBorder="1">
      <alignment vertical="center"/>
      <protection locked="1" hidden="1"/>
    </xf>
    <xf numFmtId="0" fontId="76" fillId="12" borderId="16" xfId="0" applyFont="1" applyFill="1" applyBorder="1" applyAlignment="1">
      <alignment horizontal="center" vertical="center" wrapText="1"/>
    </xf>
    <xf numFmtId="0" fontId="76" fillId="12" borderId="0" xfId="0" applyFont="1" applyFill="1" applyBorder="1" applyAlignment="1">
      <alignment vertical="center" wrapText="1"/>
      <protection locked="0" hidden="0"/>
    </xf>
    <xf numFmtId="0" fontId="72" fillId="33" borderId="0" xfId="0" applyFont="1" applyFill="1" applyBorder="1" applyAlignment="1">
      <alignment horizontal="center" vertical="center" wrapText="1"/>
      <protection locked="0" hidden="0"/>
    </xf>
    <xf numFmtId="49" fontId="76" fillId="34" borderId="0" xfId="0" applyNumberFormat="1" applyFont="1" applyFill="1" applyBorder="1" applyAlignment="1">
      <alignment horizontal="center" vertical="center" wrapText="1"/>
      <protection locked="0" hidden="0"/>
    </xf>
    <xf numFmtId="0" fontId="77" fillId="12" borderId="0" xfId="0" applyNumberFormat="1" applyFont="1" applyFill="1" applyBorder="1" applyAlignment="1">
      <alignment horizontal="center" vertical="center" wrapText="1"/>
      <protection locked="0" hidden="1"/>
    </xf>
    <xf numFmtId="0" fontId="76" fillId="12" borderId="0" xfId="0" applyFont="1" applyFill="1" applyBorder="1" applyAlignment="1">
      <alignment horizontal="center" vertical="center" wrapText="1"/>
      <protection locked="0" hidden="0"/>
    </xf>
    <xf numFmtId="0" fontId="76" fillId="12" borderId="17" xfId="0" applyFont="1" applyFill="1" applyBorder="1" applyAlignment="1">
      <alignment horizontal="left" vertical="center" wrapText="1"/>
      <protection locked="0" hidden="0"/>
    </xf>
    <xf numFmtId="0" fontId="76" fillId="35" borderId="167" xfId="0" applyFont="1" applyFill="1" applyBorder="1" applyAlignment="1">
      <alignment horizontal="center" vertical="center" wrapText="1"/>
      <protection locked="0" hidden="0"/>
    </xf>
    <xf numFmtId="0" fontId="76" fillId="35" borderId="168" xfId="0" applyFont="1" applyFill="1" applyBorder="1" applyAlignment="1">
      <alignment horizontal="center" vertical="center" wrapText="1"/>
      <protection locked="0" hidden="0"/>
    </xf>
    <xf numFmtId="0" fontId="77" fillId="27" borderId="0" xfId="0" applyFont="1" applyFill="1" applyAlignment="1">
      <alignment horizontal="left" vertical="center"/>
    </xf>
    <xf numFmtId="0" fontId="77" fillId="27" borderId="0" xfId="0" applyFont="1" applyFill="1" applyAlignment="1">
      <alignment horizontal="left" vertical="center"/>
    </xf>
    <xf numFmtId="0" fontId="77" fillId="27" borderId="0" xfId="0" applyFont="1" applyFill="1" applyBorder="1" applyAlignment="1">
      <alignment horizontal="centerContinuous" vertical="center"/>
    </xf>
    <xf numFmtId="0" fontId="76" fillId="0" borderId="0" xfId="0" applyFont="1" applyFill="1" applyBorder="1" applyAlignment="1">
      <alignment horizontal="left" vertical="center" wrapText="1"/>
    </xf>
    <xf numFmtId="0" fontId="76" fillId="0" borderId="0" xfId="0" applyFont="1" applyBorder="1" applyAlignment="1">
      <alignment horizontal="center" vertical="center" wrapText="1"/>
    </xf>
    <xf numFmtId="0" fontId="76" fillId="0" borderId="17" xfId="0" applyFont="1" applyFill="1" applyBorder="1" applyAlignment="1">
      <alignment horizontal="left" vertical="center" wrapText="1"/>
    </xf>
    <xf numFmtId="0" fontId="76" fillId="3" borderId="16" xfId="0" applyFont="1" applyFill="1" applyBorder="1" applyAlignment="1">
      <alignment horizontal="center" vertical="center" wrapText="1"/>
    </xf>
    <xf numFmtId="0" fontId="76" fillId="3" borderId="0" xfId="0" applyFont="1" applyFill="1" applyBorder="1" applyAlignment="1">
      <alignment horizontal="left" vertical="center" wrapText="1"/>
    </xf>
    <xf numFmtId="49" fontId="76" fillId="3" borderId="0" xfId="0" applyNumberFormat="1" applyFont="1" applyFill="1" applyBorder="1" applyAlignment="1">
      <alignment horizontal="center" vertical="center" wrapText="1"/>
    </xf>
    <xf numFmtId="0" fontId="76" fillId="3" borderId="0" xfId="0" applyFont="1" applyFill="1" applyBorder="1" applyAlignment="1">
      <alignment horizontal="center" vertical="center" wrapText="1"/>
    </xf>
    <xf numFmtId="0" fontId="76" fillId="3" borderId="17" xfId="0" applyFont="1" applyFill="1" applyBorder="1" applyAlignment="1">
      <alignment horizontal="left" vertical="center" wrapText="1"/>
    </xf>
    <xf numFmtId="49" fontId="1" fillId="0" borderId="0" xfId="0" applyNumberFormat="1" applyFont="1" applyFill="1" applyBorder="1" applyAlignment="1">
      <alignment vertical="center" wrapText="1"/>
      <protection locked="1" hidden="1"/>
    </xf>
    <xf numFmtId="174" fontId="1" fillId="0" borderId="0" xfId="0" applyNumberFormat="1" applyFont="1" applyFill="1" applyBorder="1">
      <alignment vertical="center"/>
      <protection locked="1" hidden="1"/>
    </xf>
    <xf numFmtId="0" fontId="72" fillId="35" borderId="169" xfId="0" applyFont="1" applyFill="1" applyBorder="1" applyAlignment="1">
      <alignment horizontal="left" vertical="center" wrapText="1"/>
    </xf>
    <xf numFmtId="0" fontId="76" fillId="35" borderId="170" xfId="0" applyFont="1" applyFill="1" applyBorder="1" applyAlignment="1">
      <alignment vertical="center" wrapText="1"/>
      <protection locked="0" hidden="0"/>
    </xf>
    <xf numFmtId="0" fontId="76" fillId="3" borderId="0" xfId="0" applyFont="1" applyFill="1" applyBorder="1" applyAlignment="1">
      <alignment horizontal="left" vertical="center" wrapText="1"/>
    </xf>
    <xf numFmtId="0" fontId="81" fillId="32" borderId="7" xfId="2" applyFont="1" applyFill="1" applyBorder="1" applyAlignment="1">
      <alignment horizontal="center" vertical="center" wrapText="1"/>
    </xf>
    <xf numFmtId="0" fontId="81" fillId="32" borderId="8" xfId="2" applyFont="1" applyFill="1" applyBorder="1" applyAlignment="1">
      <alignment horizontal="center" vertical="center" wrapText="1"/>
    </xf>
    <xf numFmtId="0" fontId="81" fillId="32" borderId="9" xfId="2" applyFont="1" applyFill="1" applyBorder="1" applyAlignment="1">
      <alignment horizontal="center" vertical="center" wrapText="1"/>
    </xf>
    <xf numFmtId="0" fontId="76" fillId="0" borderId="0" xfId="0" applyFont="1" applyFill="1" applyBorder="1" applyAlignment="1">
      <alignment horizontal="left" vertical="center" wrapText="1"/>
    </xf>
    <xf numFmtId="0" fontId="82" fillId="36" borderId="16" xfId="0" applyFont="1" applyFill="1" applyBorder="1" applyAlignment="1">
      <alignment horizontal="center" vertical="center" wrapText="1" readingOrder="1"/>
    </xf>
    <xf numFmtId="0" fontId="82" fillId="36" borderId="0" xfId="0" applyFont="1" applyFill="1" applyBorder="1" applyAlignment="1">
      <alignment horizontal="center" vertical="center"/>
    </xf>
    <xf numFmtId="0" fontId="82" fillId="36" borderId="17" xfId="0" applyFont="1" applyFill="1" applyBorder="1" applyAlignment="1">
      <alignment horizontal="center" vertical="center"/>
    </xf>
    <xf numFmtId="0" fontId="29" fillId="35" borderId="16" xfId="0" applyFont="1" applyFill="1" applyBorder="1" applyAlignment="1">
      <alignment horizontal="center" vertical="center" wrapText="1"/>
    </xf>
    <xf numFmtId="0" fontId="29" fillId="35" borderId="171" xfId="0" applyFont="1" applyFill="1" applyBorder="1" applyAlignment="1">
      <alignment horizontal="center" vertical="center" wrapText="1"/>
      <protection locked="0" hidden="0"/>
    </xf>
    <xf numFmtId="0" fontId="29" fillId="35" borderId="172" xfId="0" applyFont="1" applyFill="1" applyBorder="1" applyAlignment="1">
      <alignment horizontal="center" vertical="center" wrapText="1"/>
      <protection locked="0" hidden="0"/>
    </xf>
    <xf numFmtId="0" fontId="29" fillId="0" borderId="16" xfId="0" applyFont="1" applyFill="1" applyBorder="1" applyAlignment="1">
      <alignment horizontal="center" vertical="center" wrapText="1"/>
    </xf>
    <xf numFmtId="0" fontId="29" fillId="0" borderId="171" xfId="0" applyFont="1" applyFill="1" applyBorder="1" applyAlignment="1">
      <alignment horizontal="center" vertical="center" wrapText="1"/>
      <protection locked="0" hidden="0"/>
    </xf>
    <xf numFmtId="0" fontId="29" fillId="0" borderId="172" xfId="0" applyFont="1" applyFill="1" applyBorder="1" applyAlignment="1">
      <alignment horizontal="center" vertical="center" wrapText="1"/>
      <protection locked="0" hidden="0"/>
    </xf>
    <xf numFmtId="0" fontId="29" fillId="12" borderId="7" xfId="0" applyFont="1" applyFill="1" applyBorder="1" applyAlignment="1">
      <alignment horizontal="center" vertical="center" wrapText="1"/>
    </xf>
    <xf numFmtId="0" fontId="29" fillId="12" borderId="8" xfId="0" applyFont="1" applyFill="1" applyBorder="1" applyAlignment="1">
      <alignment horizontal="center" vertical="center" wrapText="1"/>
    </xf>
    <xf numFmtId="0" fontId="29" fillId="12" borderId="9" xfId="0" applyFont="1" applyFill="1" applyBorder="1" applyAlignment="1">
      <alignment horizontal="center" vertical="center" wrapText="1"/>
    </xf>
    <xf numFmtId="0" fontId="76" fillId="0" borderId="0" xfId="0" applyFont="1" applyFill="1" applyAlignment="1">
      <alignment vertical="center" wrapText="1"/>
    </xf>
    <xf numFmtId="0" fontId="39" fillId="0" borderId="30" xfId="0" applyFont="1" applyFill="1" applyBorder="1" applyAlignment="1">
      <alignment horizontal="center" vertical="center" wrapText="1"/>
      <protection locked="0" hidden="0"/>
    </xf>
    <xf numFmtId="0" fontId="39" fillId="0" borderId="29" xfId="0" applyFont="1" applyFill="1" applyBorder="1" applyAlignment="1">
      <alignment horizontal="center" vertical="center" wrapText="1"/>
      <protection locked="0" hidden="0"/>
    </xf>
    <xf numFmtId="0" fontId="39" fillId="0" borderId="31" xfId="0" applyFont="1" applyFill="1" applyBorder="1" applyAlignment="1">
      <alignment horizontal="center" vertical="center" wrapText="1"/>
      <protection locked="0" hidden="0"/>
    </xf>
    <xf numFmtId="0" fontId="77" fillId="27" borderId="0" xfId="0" applyFont="1" applyFill="1" applyAlignment="1">
      <alignment horizontal="left" vertical="center" wrapText="1"/>
    </xf>
    <xf numFmtId="0" fontId="77" fillId="27" borderId="0" xfId="0" applyFont="1" applyFill="1" applyAlignment="1">
      <alignment horizontal="centerContinuous" vertical="center"/>
    </xf>
    <xf numFmtId="0" fontId="76" fillId="3" borderId="30" xfId="0" applyFont="1" applyFill="1" applyBorder="1" applyAlignment="1">
      <alignment horizontal="center" vertical="center" wrapText="1"/>
    </xf>
    <xf numFmtId="0" fontId="76" fillId="3" borderId="29" xfId="0" applyFont="1" applyFill="1" applyBorder="1" applyAlignment="1">
      <alignment horizontal="left" vertical="center" wrapText="1"/>
    </xf>
    <xf numFmtId="49" fontId="76" fillId="3" borderId="29" xfId="0" applyNumberFormat="1" applyFont="1" applyFill="1" applyBorder="1" applyAlignment="1">
      <alignment horizontal="center" vertical="center" wrapText="1"/>
    </xf>
    <xf numFmtId="0" fontId="76" fillId="3" borderId="29" xfId="0" applyFont="1" applyFill="1" applyBorder="1" applyAlignment="1">
      <alignment horizontal="center" vertical="center" wrapText="1"/>
    </xf>
    <xf numFmtId="0" fontId="76" fillId="3" borderId="31" xfId="0" applyFont="1" applyFill="1" applyBorder="1" applyAlignment="1">
      <alignment horizontal="left" vertical="center" wrapText="1"/>
    </xf>
    <xf numFmtId="0" fontId="83" fillId="0" borderId="7" xfId="0" applyFont="1" applyFill="1" applyBorder="1" applyAlignment="1">
      <alignment horizontal="center" vertical="center"/>
    </xf>
    <xf numFmtId="0" fontId="83" fillId="0" borderId="8" xfId="0" applyFont="1" applyFill="1" applyBorder="1" applyAlignment="1">
      <alignment horizontal="left" vertical="center"/>
    </xf>
    <xf numFmtId="0" fontId="83" fillId="0" borderId="8" xfId="0" applyFont="1" applyFill="1" applyBorder="1" applyAlignment="1">
      <alignment horizontal="center" vertical="center"/>
    </xf>
    <xf numFmtId="0" fontId="76" fillId="0" borderId="8" xfId="0" applyFont="1" applyFill="1" applyBorder="1" applyAlignment="1">
      <alignment horizontal="center" vertical="center" wrapText="1"/>
    </xf>
    <xf numFmtId="0" fontId="83" fillId="0" borderId="9" xfId="0" applyFont="1" applyFill="1" applyBorder="1" applyAlignment="1">
      <alignment horizontal="left" vertical="center"/>
    </xf>
    <xf numFmtId="0" fontId="84" fillId="0" borderId="0" xfId="0" applyFont="1" applyFill="1" applyAlignment="1">
      <alignment horizontal="center" vertical="center" wrapText="1"/>
    </xf>
    <xf numFmtId="0" fontId="83" fillId="0" borderId="0" xfId="0" applyFont="1" applyFill="1">
      <alignment vertical="center"/>
    </xf>
    <xf numFmtId="0" fontId="76" fillId="0" borderId="0" xfId="0" applyFont="1" applyFill="1">
      <alignment vertical="center"/>
    </xf>
    <xf numFmtId="0" fontId="83" fillId="37" borderId="16" xfId="0" applyFont="1" applyFill="1" applyBorder="1" applyAlignment="1">
      <alignment horizontal="center" vertical="center"/>
    </xf>
    <xf numFmtId="0" fontId="83" fillId="37" borderId="0" xfId="0" applyFont="1" applyFill="1" applyBorder="1" applyAlignment="1">
      <alignment horizontal="left" vertical="center"/>
    </xf>
    <xf numFmtId="49" fontId="83" fillId="37" borderId="0" xfId="0" applyNumberFormat="1" applyFont="1" applyFill="1" applyBorder="1" applyAlignment="1">
      <alignment horizontal="center" vertical="center"/>
    </xf>
    <xf numFmtId="0" fontId="83" fillId="37" borderId="0" xfId="0" applyFont="1" applyFill="1" applyBorder="1" applyAlignment="1">
      <alignment horizontal="center" vertical="center" wrapText="1"/>
    </xf>
    <xf numFmtId="0" fontId="83" fillId="37" borderId="0" xfId="0" applyFont="1" applyFill="1" applyBorder="1" applyAlignment="1">
      <alignment horizontal="center" vertical="center"/>
    </xf>
    <xf numFmtId="0" fontId="83" fillId="37" borderId="17" xfId="0" applyFont="1" applyFill="1" applyBorder="1" applyAlignment="1">
      <alignment horizontal="left" vertical="center" wrapText="1"/>
    </xf>
    <xf numFmtId="0" fontId="83" fillId="0" borderId="16" xfId="0" applyFont="1" applyFill="1" applyBorder="1" applyAlignment="1">
      <alignment horizontal="center" vertical="center"/>
    </xf>
    <xf numFmtId="0" fontId="83" fillId="0" borderId="0" xfId="0" applyFont="1" applyFill="1" applyBorder="1" applyAlignment="1">
      <alignment horizontal="left" vertical="center"/>
    </xf>
    <xf numFmtId="0" fontId="83" fillId="0" borderId="0" xfId="0" applyFont="1" applyFill="1" applyAlignment="1">
      <alignment horizontal="center" vertical="center"/>
    </xf>
    <xf numFmtId="0" fontId="83" fillId="0" borderId="0" xfId="0" applyFont="1" applyFill="1" applyAlignment="1">
      <alignment horizontal="center" vertical="center" wrapText="1"/>
    </xf>
    <xf numFmtId="0" fontId="83" fillId="0" borderId="17" xfId="0" applyFont="1" applyFill="1" applyBorder="1" applyAlignment="1">
      <alignment horizontal="left" vertical="center"/>
    </xf>
    <xf numFmtId="0" fontId="85" fillId="0" borderId="0" xfId="0" applyFont="1" applyFill="1" applyAlignment="1">
      <alignment horizontal="center" vertical="center" wrapText="1"/>
    </xf>
    <xf numFmtId="0" fontId="76" fillId="37" borderId="0" xfId="0" applyFont="1" applyFill="1" applyBorder="1" applyAlignment="1">
      <alignment horizontal="center" vertical="center" wrapText="1"/>
    </xf>
    <xf numFmtId="0" fontId="83" fillId="0" borderId="0" xfId="0" applyFont="1" applyFill="1" applyAlignment="1">
      <alignment vertical="center" wrapText="1"/>
    </xf>
    <xf numFmtId="0" fontId="86" fillId="18" borderId="1" xfId="0" applyFont="1" applyFill="1" applyBorder="1" applyAlignment="1">
      <alignment horizontal="center" vertical="center" wrapText="1"/>
    </xf>
    <xf numFmtId="0" fontId="86" fillId="18" borderId="2" xfId="0" applyFont="1" applyFill="1" applyBorder="1" applyAlignment="1">
      <alignment horizontal="center" vertical="center" wrapText="1"/>
    </xf>
    <xf numFmtId="0" fontId="86" fillId="18" borderId="3" xfId="0" applyFont="1" applyFill="1" applyBorder="1">
      <alignment vertical="center"/>
    </xf>
    <xf numFmtId="0" fontId="83" fillId="0" borderId="30" xfId="0" applyFont="1" applyFill="1" applyBorder="1" applyAlignment="1">
      <alignment horizontal="center" vertical="center"/>
    </xf>
    <xf numFmtId="0" fontId="83" fillId="0" borderId="29" xfId="0" applyFont="1" applyFill="1" applyBorder="1" applyAlignment="1">
      <alignment horizontal="left" vertical="center"/>
    </xf>
    <xf numFmtId="0" fontId="83" fillId="0" borderId="29" xfId="0" applyFont="1" applyFill="1" applyBorder="1" applyAlignment="1">
      <alignment horizontal="center" vertical="center"/>
    </xf>
    <xf numFmtId="0" fontId="83" fillId="0" borderId="29" xfId="0" applyFont="1" applyFill="1" applyBorder="1" applyAlignment="1">
      <alignment horizontal="center" vertical="center" wrapText="1"/>
    </xf>
    <xf numFmtId="0" fontId="83" fillId="0" borderId="31" xfId="0" applyFont="1" applyFill="1" applyBorder="1" applyAlignment="1">
      <alignment horizontal="left" vertical="center"/>
    </xf>
    <xf numFmtId="0" fontId="87" fillId="0" borderId="10" xfId="0" applyFont="1" applyFill="1" applyBorder="1" applyAlignment="1">
      <alignment horizontal="center" vertical="center" wrapText="1"/>
    </xf>
    <xf numFmtId="0" fontId="87" fillId="0" borderId="11" xfId="0" applyFont="1" applyFill="1" applyBorder="1" applyAlignment="1">
      <alignment horizontal="center" vertical="center" wrapText="1"/>
    </xf>
    <xf numFmtId="0" fontId="86" fillId="0" borderId="12" xfId="0" applyFont="1" applyFill="1" applyBorder="1">
      <alignment vertical="center"/>
    </xf>
    <xf numFmtId="0" fontId="83" fillId="37" borderId="7" xfId="0" applyFont="1" applyFill="1" applyBorder="1" applyAlignment="1">
      <alignment horizontal="center" vertical="center"/>
    </xf>
    <xf numFmtId="0" fontId="83" fillId="37" borderId="8" xfId="0" applyFont="1" applyFill="1" applyBorder="1" applyAlignment="1">
      <alignment horizontal="left" vertical="center"/>
    </xf>
    <xf numFmtId="49" fontId="83" fillId="37" borderId="8" xfId="0" applyNumberFormat="1" applyFont="1" applyFill="1" applyBorder="1" applyAlignment="1">
      <alignment horizontal="center" vertical="center"/>
    </xf>
    <xf numFmtId="0" fontId="83" fillId="37" borderId="8" xfId="0" applyFont="1" applyFill="1" applyBorder="1" applyAlignment="1">
      <alignment horizontal="center" vertical="center" wrapText="1"/>
    </xf>
    <xf numFmtId="0" fontId="83" fillId="37" borderId="8" xfId="0" applyFont="1" applyFill="1" applyBorder="1" applyAlignment="1">
      <alignment horizontal="center" vertical="center"/>
    </xf>
    <xf numFmtId="0" fontId="83" fillId="37" borderId="9" xfId="0" applyFont="1" applyFill="1" applyBorder="1" applyAlignment="1">
      <alignment horizontal="left" vertical="center" wrapText="1"/>
    </xf>
    <xf numFmtId="0" fontId="83" fillId="0" borderId="96" xfId="0" applyFont="1" applyFill="1" applyBorder="1">
      <alignment vertical="center"/>
    </xf>
    <xf numFmtId="0" fontId="77" fillId="0" borderId="96" xfId="0" applyFont="1" applyFill="1" applyBorder="1" applyAlignment="1">
      <alignment horizontal="center" vertical="center"/>
    </xf>
    <xf numFmtId="0" fontId="77" fillId="0" borderId="139" xfId="0" applyFont="1" applyFill="1" applyBorder="1" applyAlignment="1">
      <alignment horizontal="center" vertical="center"/>
    </xf>
    <xf numFmtId="0" fontId="87" fillId="4" borderId="10" xfId="0" applyFont="1" applyFill="1" applyBorder="1" applyAlignment="1">
      <alignment horizontal="center" vertical="center" wrapText="1"/>
    </xf>
    <xf numFmtId="0" fontId="87" fillId="4" borderId="11" xfId="0" applyFont="1" applyFill="1" applyBorder="1" applyAlignment="1">
      <alignment horizontal="center" vertical="center" wrapText="1"/>
    </xf>
    <xf numFmtId="0" fontId="86" fillId="4" borderId="12" xfId="0" applyFont="1" applyFill="1" applyBorder="1">
      <alignment vertical="center"/>
    </xf>
    <xf numFmtId="0" fontId="87" fillId="4" borderId="23" xfId="0" applyFont="1" applyFill="1" applyBorder="1" applyAlignment="1">
      <alignment horizontal="center" vertical="center" wrapText="1"/>
    </xf>
    <xf numFmtId="0" fontId="87" fillId="4" borderId="24" xfId="0" applyFont="1" applyFill="1" applyBorder="1" applyAlignment="1">
      <alignment horizontal="center" vertical="center" wrapText="1"/>
    </xf>
    <xf numFmtId="0" fontId="86" fillId="4" borderId="27" xfId="0" applyFont="1" applyFill="1" applyBorder="1">
      <alignment vertical="center"/>
    </xf>
    <xf numFmtId="0" fontId="83" fillId="0" borderId="17" xfId="0" applyFont="1" applyFill="1" applyBorder="1" applyAlignment="1">
      <alignment horizontal="left" vertical="center" wrapText="1"/>
    </xf>
    <xf numFmtId="0" fontId="86" fillId="0" borderId="0" xfId="0" applyFont="1" applyFill="1" applyAlignment="1">
      <alignment horizontal="left" vertical="center" wrapText="1"/>
    </xf>
    <xf numFmtId="0" fontId="83" fillId="0" borderId="127" xfId="0" applyFont="1" applyFill="1" applyBorder="1">
      <alignment vertical="center"/>
    </xf>
    <xf numFmtId="0" fontId="77" fillId="0" borderId="127" xfId="0" applyFont="1" applyFill="1" applyBorder="1" applyAlignment="1">
      <alignment horizontal="center" vertical="center"/>
    </xf>
    <xf numFmtId="0" fontId="83" fillId="0" borderId="0" xfId="0" applyFont="1" applyFill="1" applyBorder="1">
      <alignment vertical="center"/>
    </xf>
    <xf numFmtId="0" fontId="82" fillId="0" borderId="0" xfId="0" applyFont="1" applyFill="1" applyAlignment="1">
      <alignment horizontal="left" vertical="center" wrapText="1" indent="1"/>
    </xf>
    <xf numFmtId="0" fontId="83" fillId="37" borderId="30" xfId="0" applyFont="1" applyFill="1" applyBorder="1" applyAlignment="1">
      <alignment horizontal="center" vertical="center"/>
    </xf>
    <xf numFmtId="0" fontId="83" fillId="37" borderId="29" xfId="0" applyFont="1" applyFill="1" applyBorder="1" applyAlignment="1">
      <alignment horizontal="left" vertical="center"/>
    </xf>
    <xf numFmtId="49" fontId="83" fillId="37" borderId="29" xfId="0" applyNumberFormat="1" applyFont="1" applyFill="1" applyBorder="1" applyAlignment="1">
      <alignment horizontal="center" vertical="center"/>
    </xf>
    <xf numFmtId="0" fontId="83" fillId="37" borderId="29" xfId="0" applyFont="1" applyFill="1" applyBorder="1" applyAlignment="1">
      <alignment horizontal="center" vertical="center" wrapText="1"/>
    </xf>
    <xf numFmtId="0" fontId="83" fillId="37" borderId="29" xfId="0" applyFont="1" applyFill="1" applyBorder="1" applyAlignment="1">
      <alignment horizontal="center" vertical="center"/>
    </xf>
    <xf numFmtId="0" fontId="83" fillId="37" borderId="31" xfId="0" applyFont="1" applyFill="1" applyBorder="1" applyAlignment="1">
      <alignment horizontal="left" vertical="center" wrapText="1"/>
    </xf>
    <xf numFmtId="0" fontId="77" fillId="0" borderId="0" xfId="0" applyFont="1" applyFill="1" applyAlignment="1">
      <alignment horizontal="left" vertical="center" wrapText="1"/>
    </xf>
    <xf numFmtId="0" fontId="83" fillId="0" borderId="0" xfId="0" applyFont="1" applyFill="1" applyBorder="1" applyAlignment="1">
      <alignment horizontal="center" vertical="center"/>
    </xf>
    <xf numFmtId="0" fontId="83" fillId="37" borderId="0" xfId="0" applyFont="1" applyFill="1" applyAlignment="1">
      <alignment horizontal="left" vertical="center"/>
    </xf>
    <xf numFmtId="49" fontId="83" fillId="0" borderId="7" xfId="0" applyNumberFormat="1" applyFont="1" applyFill="1" applyBorder="1" applyAlignment="1">
      <alignment horizontal="center" vertical="center"/>
    </xf>
    <xf numFmtId="49" fontId="83" fillId="0" borderId="8" xfId="0" applyNumberFormat="1" applyFont="1" applyFill="1" applyBorder="1" applyAlignment="1">
      <alignment horizontal="left" vertical="center"/>
    </xf>
    <xf numFmtId="49" fontId="83" fillId="0" borderId="8" xfId="0" applyNumberFormat="1" applyFont="1" applyFill="1" applyBorder="1" applyAlignment="1">
      <alignment horizontal="center" vertical="center"/>
    </xf>
    <xf numFmtId="49" fontId="83" fillId="0" borderId="8" xfId="0" applyNumberFormat="1" applyFont="1" applyFill="1" applyBorder="1" applyAlignment="1">
      <alignment horizontal="center" vertical="center" wrapText="1"/>
    </xf>
    <xf numFmtId="0" fontId="83" fillId="0" borderId="8" xfId="0" applyNumberFormat="1" applyFont="1" applyFill="1" applyBorder="1" applyAlignment="1">
      <alignment horizontal="center" vertical="center"/>
    </xf>
    <xf numFmtId="49" fontId="83" fillId="0" borderId="9" xfId="0" applyNumberFormat="1" applyFont="1" applyFill="1" applyBorder="1" applyAlignment="1">
      <alignment horizontal="left" vertical="center" wrapText="1"/>
    </xf>
    <xf numFmtId="49" fontId="83" fillId="37" borderId="16" xfId="0" applyNumberFormat="1" applyFont="1" applyFill="1" applyBorder="1" applyAlignment="1">
      <alignment horizontal="center" vertical="center"/>
    </xf>
    <xf numFmtId="49" fontId="83" fillId="37" borderId="0" xfId="0" applyNumberFormat="1" applyFont="1" applyFill="1" applyBorder="1" applyAlignment="1">
      <alignment horizontal="left" vertical="center"/>
    </xf>
    <xf numFmtId="49" fontId="83" fillId="37" borderId="0" xfId="0" applyNumberFormat="1" applyFont="1" applyFill="1" applyBorder="1" applyAlignment="1">
      <alignment horizontal="center" vertical="center" wrapText="1"/>
    </xf>
    <xf numFmtId="0" fontId="83" fillId="37" borderId="0" xfId="0" applyNumberFormat="1" applyFont="1" applyFill="1" applyBorder="1" applyAlignment="1">
      <alignment horizontal="center" vertical="center"/>
    </xf>
    <xf numFmtId="49" fontId="83" fillId="37" borderId="17" xfId="0" applyNumberFormat="1" applyFont="1" applyFill="1" applyBorder="1" applyAlignment="1">
      <alignment horizontal="left" vertical="center" wrapText="1"/>
    </xf>
    <xf numFmtId="49" fontId="83" fillId="0" borderId="16" xfId="0" applyNumberFormat="1" applyFont="1" applyFill="1" applyBorder="1" applyAlignment="1">
      <alignment horizontal="center" vertical="center"/>
    </xf>
    <xf numFmtId="49" fontId="83" fillId="0" borderId="0" xfId="0" applyNumberFormat="1" applyFont="1" applyFill="1" applyBorder="1" applyAlignment="1">
      <alignment horizontal="left" vertical="center"/>
    </xf>
    <xf numFmtId="49" fontId="83" fillId="0" borderId="0" xfId="0" applyNumberFormat="1" applyFont="1" applyFill="1" applyAlignment="1">
      <alignment horizontal="center" vertical="center"/>
    </xf>
    <xf numFmtId="49" fontId="83" fillId="0" borderId="0" xfId="0" applyNumberFormat="1" applyFont="1" applyFill="1" applyAlignment="1">
      <alignment horizontal="center" vertical="center" wrapText="1"/>
    </xf>
    <xf numFmtId="0" fontId="83" fillId="0" borderId="0" xfId="0" applyNumberFormat="1" applyFont="1" applyFill="1" applyAlignment="1">
      <alignment horizontal="center" vertical="center"/>
    </xf>
    <xf numFmtId="49" fontId="83" fillId="0" borderId="17" xfId="0" applyNumberFormat="1" applyFont="1" applyFill="1" applyBorder="1" applyAlignment="1">
      <alignment horizontal="left" vertical="center"/>
    </xf>
    <xf numFmtId="49" fontId="83" fillId="0" borderId="17" xfId="0" applyNumberFormat="1" applyFont="1" applyFill="1" applyBorder="1" applyAlignment="1">
      <alignment horizontal="left" vertical="center" wrapText="1"/>
    </xf>
    <xf numFmtId="0" fontId="82" fillId="0" borderId="0" xfId="0" applyFont="1" applyFill="1" applyAlignment="1">
      <alignment horizontal="center" vertical="center" wrapText="1"/>
    </xf>
    <xf numFmtId="49" fontId="83" fillId="37" borderId="30" xfId="0" applyNumberFormat="1" applyFont="1" applyFill="1" applyBorder="1" applyAlignment="1">
      <alignment horizontal="center" vertical="center"/>
    </xf>
    <xf numFmtId="49" fontId="83" fillId="37" borderId="29" xfId="0" applyNumberFormat="1" applyFont="1" applyFill="1" applyBorder="1" applyAlignment="1">
      <alignment horizontal="left" vertical="center"/>
    </xf>
    <xf numFmtId="0" fontId="76" fillId="3" borderId="29" xfId="0" applyNumberFormat="1" applyFont="1" applyFill="1" applyBorder="1" applyAlignment="1">
      <alignment horizontal="center" vertical="center" wrapText="1"/>
    </xf>
    <xf numFmtId="49" fontId="83" fillId="37" borderId="31" xfId="0" applyNumberFormat="1" applyFont="1" applyFill="1" applyBorder="1" applyAlignment="1">
      <alignment horizontal="left" vertical="center" wrapText="1"/>
    </xf>
    <xf numFmtId="49" fontId="88" fillId="0" borderId="0" xfId="0" applyNumberFormat="1" applyFont="1" applyFill="1" applyBorder="1" applyAlignment="1">
      <alignment horizontal="center" vertical="center"/>
    </xf>
    <xf numFmtId="49" fontId="88" fillId="0" borderId="0" xfId="0" applyNumberFormat="1" applyFont="1" applyFill="1" applyBorder="1" applyAlignment="1">
      <alignment horizontal="left" vertical="center"/>
    </xf>
    <xf numFmtId="49" fontId="88" fillId="0" borderId="0" xfId="0" applyNumberFormat="1" applyFont="1" applyFill="1" applyBorder="1" applyAlignment="1">
      <alignment horizontal="center" vertical="center" wrapText="1"/>
    </xf>
    <xf numFmtId="49" fontId="88" fillId="0" borderId="0" xfId="0" applyNumberFormat="1" applyFont="1" applyFill="1" applyBorder="1" applyAlignment="1">
      <alignment horizontal="left" vertical="center"/>
    </xf>
    <xf numFmtId="0" fontId="77" fillId="0" borderId="0" xfId="0" applyFont="1" applyFill="1" applyBorder="1" applyAlignment="1">
      <alignment horizontal="left" vertical="center" wrapText="1"/>
    </xf>
    <xf numFmtId="0" fontId="77" fillId="0" borderId="0" xfId="0" applyFont="1" applyFill="1" applyBorder="1" applyAlignment="1">
      <alignment horizontal="center" vertical="center" wrapText="1"/>
    </xf>
    <xf numFmtId="0" fontId="88" fillId="0" borderId="0" xfId="0" applyFont="1" applyFill="1" applyBorder="1">
      <alignment vertical="center"/>
    </xf>
    <xf numFmtId="0" fontId="88" fillId="0" borderId="0" xfId="0" applyFont="1" applyFill="1" applyBorder="1" applyAlignment="1">
      <alignment horizontal="center" vertical="center"/>
    </xf>
    <xf numFmtId="0" fontId="88" fillId="0" borderId="0" xfId="0" applyFont="1" applyFill="1" applyBorder="1" applyAlignment="1">
      <alignment horizontal="left" vertical="center"/>
    </xf>
    <xf numFmtId="0" fontId="88" fillId="0" borderId="0" xfId="0" applyFont="1" applyFill="1" applyBorder="1" applyAlignment="1">
      <alignment horizontal="center" vertical="center" wrapText="1"/>
    </xf>
    <xf numFmtId="0" fontId="88" fillId="0" borderId="0" xfId="0" applyFont="1" applyFill="1" applyBorder="1" applyAlignment="1">
      <alignment horizontal="left" vertical="center" wrapText="1"/>
    </xf>
    <xf numFmtId="0" fontId="88" fillId="0" borderId="0" xfId="0" applyFont="1" applyFill="1" applyBorder="1" applyAlignment="1">
      <alignment horizontal="left" vertical="center"/>
    </xf>
    <xf numFmtId="49" fontId="77" fillId="0" borderId="0" xfId="0" applyNumberFormat="1" applyFont="1" applyFill="1" applyBorder="1" applyAlignment="1">
      <alignment horizontal="center" vertical="center" wrapText="1"/>
    </xf>
    <xf numFmtId="0" fontId="77" fillId="0" borderId="0" xfId="0" applyFont="1" applyFill="1" applyAlignment="1">
      <alignment horizontal="center" vertical="center" wrapText="1"/>
    </xf>
    <xf numFmtId="0" fontId="24" fillId="27" borderId="96" xfId="0" applyNumberFormat="1" applyFont="1" applyFill="1" applyBorder="1" applyAlignment="1">
      <alignment horizontal="center" vertical="center"/>
      <protection locked="0" hidden="0"/>
    </xf>
    <xf numFmtId="0" fontId="24" fillId="27" borderId="0" xfId="0" applyNumberFormat="1" applyFont="1" applyFill="1" applyBorder="1" applyAlignment="1">
      <alignment horizontal="center" vertical="center"/>
      <protection locked="0" hidden="0"/>
    </xf>
    <xf numFmtId="0" fontId="89" fillId="0" borderId="0" xfId="0" applyNumberFormat="1" applyFont="1" applyFill="1" applyBorder="1" applyAlignment="1">
      <alignment horizontal="center" vertical="center"/>
      <protection locked="0" hidden="0"/>
    </xf>
    <xf numFmtId="0" fontId="90" fillId="0" borderId="0" xfId="0" applyNumberFormat="1" applyFont="1" applyFill="1" applyAlignment="1">
      <alignment horizontal="center" vertical="center"/>
      <protection locked="0" hidden="0"/>
    </xf>
    <xf numFmtId="0" fontId="16" fillId="0" borderId="0" xfId="0" applyNumberFormat="1" applyFont="1" applyFill="1" applyBorder="1" applyAlignment="1">
      <alignment horizontal="center" vertical="center"/>
      <protection locked="0" hidden="0"/>
    </xf>
    <xf numFmtId="0" fontId="91" fillId="0" borderId="0" xfId="0" applyFont="1">
      <alignment vertical="center"/>
    </xf>
    <xf numFmtId="0" fontId="92" fillId="30" borderId="96" xfId="0" applyNumberFormat="1" applyFont="1" applyFill="1" applyBorder="1" applyAlignment="1">
      <alignment horizontal="center" vertical="center"/>
      <protection locked="0" hidden="0"/>
    </xf>
    <xf numFmtId="0" fontId="92" fillId="30" borderId="0" xfId="0" applyNumberFormat="1" applyFont="1" applyFill="1" applyBorder="1" applyAlignment="1">
      <alignment horizontal="center" vertical="center"/>
      <protection locked="0" hidden="0"/>
    </xf>
    <xf numFmtId="0" fontId="24" fillId="6" borderId="139" xfId="0" applyNumberFormat="1" applyFont="1" applyFill="1" applyBorder="1" applyAlignment="1">
      <alignment horizontal="center" vertical="center"/>
      <protection locked="0" hidden="0"/>
    </xf>
    <xf numFmtId="0" fontId="24" fillId="6" borderId="139" xfId="0" applyNumberFormat="1" applyFont="1" applyFill="1" applyBorder="1" applyAlignment="1">
      <alignment horizontal="center" vertical="center"/>
    </xf>
    <xf numFmtId="0" fontId="16" fillId="27" borderId="96" xfId="0" applyNumberFormat="1" applyFont="1" applyFill="1" applyBorder="1" applyAlignment="1">
      <alignment horizontal="center" vertical="center"/>
    </xf>
    <xf numFmtId="0" fontId="16" fillId="6" borderId="96" xfId="0" applyNumberFormat="1" applyFont="1" applyFill="1" applyBorder="1" applyAlignment="1">
      <alignment horizontal="center" vertical="center"/>
      <protection locked="0" hidden="0"/>
    </xf>
    <xf numFmtId="0" fontId="13" fillId="27" borderId="137" xfId="0" applyNumberFormat="1" applyFont="1" applyFill="1" applyBorder="1" applyAlignment="1">
      <alignment horizontal="center" vertical="center"/>
      <protection locked="0" hidden="0"/>
    </xf>
    <xf numFmtId="0" fontId="13" fillId="27" borderId="96" xfId="0" applyNumberFormat="1" applyFont="1" applyFill="1" applyBorder="1" applyAlignment="1">
      <alignment horizontal="center" vertical="center"/>
      <protection locked="0" hidden="0"/>
    </xf>
    <xf numFmtId="0" fontId="24" fillId="6" borderId="142" xfId="0" applyNumberFormat="1" applyFont="1" applyFill="1" applyBorder="1" applyAlignment="1">
      <alignment horizontal="center" vertical="center"/>
      <protection locked="0" hidden="0"/>
    </xf>
    <xf numFmtId="0" fontId="24" fillId="6" borderId="142" xfId="0" applyNumberFormat="1" applyFont="1" applyFill="1" applyBorder="1" applyAlignment="1">
      <alignment horizontal="center" vertical="center"/>
    </xf>
    <xf numFmtId="0" fontId="16" fillId="27" borderId="127" xfId="0" applyNumberFormat="1" applyFont="1" applyFill="1" applyBorder="1" applyAlignment="1">
      <alignment horizontal="center" vertical="center"/>
    </xf>
    <xf numFmtId="0" fontId="16" fillId="6" borderId="127" xfId="0" applyNumberFormat="1" applyFont="1" applyFill="1" applyBorder="1" applyAlignment="1">
      <alignment horizontal="center" vertical="center"/>
      <protection locked="0" hidden="0"/>
    </xf>
    <xf numFmtId="0" fontId="13" fillId="27" borderId="140" xfId="0" applyNumberFormat="1" applyFont="1" applyFill="1" applyBorder="1" applyAlignment="1">
      <alignment horizontal="center" vertical="center"/>
      <protection locked="0" hidden="0"/>
    </xf>
    <xf numFmtId="0" fontId="13" fillId="27" borderId="127" xfId="0" applyNumberFormat="1" applyFont="1" applyFill="1" applyBorder="1" applyAlignment="1">
      <alignment horizontal="center" vertical="center"/>
      <protection locked="0" hidden="0"/>
    </xf>
    <xf numFmtId="0" fontId="24" fillId="6" borderId="173" xfId="0" applyNumberFormat="1" applyFont="1" applyFill="1" applyBorder="1" applyAlignment="1">
      <alignment horizontal="center" vertical="center"/>
      <protection locked="0" hidden="0"/>
    </xf>
    <xf numFmtId="0" fontId="24" fillId="6" borderId="174" xfId="0" applyNumberFormat="1" applyFont="1" applyFill="1" applyBorder="1" applyAlignment="1">
      <alignment horizontal="center" vertical="center" wrapText="1"/>
      <protection locked="0" hidden="0"/>
    </xf>
    <xf numFmtId="0" fontId="24" fillId="6" borderId="8" xfId="0" applyNumberFormat="1" applyFont="1" applyFill="1" applyBorder="1" applyAlignment="1">
      <alignment horizontal="center" vertical="center" wrapText="1"/>
      <protection locked="0" hidden="0"/>
    </xf>
    <xf numFmtId="0" fontId="24" fillId="6" borderId="175" xfId="0" applyNumberFormat="1" applyFont="1" applyFill="1" applyBorder="1" applyAlignment="1">
      <alignment horizontal="center" vertical="center" wrapText="1"/>
      <protection locked="0" hidden="0"/>
    </xf>
    <xf numFmtId="0" fontId="13" fillId="27" borderId="176" xfId="0" applyNumberFormat="1" applyFont="1" applyFill="1" applyBorder="1" applyAlignment="1">
      <alignment horizontal="center" vertical="center"/>
      <protection locked="0" hidden="0"/>
    </xf>
    <xf numFmtId="0" fontId="13" fillId="27" borderId="177" xfId="0" applyNumberFormat="1" applyFont="1" applyFill="1" applyBorder="1" applyAlignment="1">
      <alignment horizontal="center" vertical="center"/>
      <protection locked="0" hidden="0"/>
    </xf>
    <xf numFmtId="0" fontId="13" fillId="27" borderId="166" xfId="0" applyNumberFormat="1" applyFont="1" applyFill="1" applyBorder="1" applyAlignment="1">
      <alignment horizontal="center" vertical="center"/>
      <protection locked="0" hidden="0"/>
    </xf>
    <xf numFmtId="0" fontId="24" fillId="6" borderId="178" xfId="0" applyNumberFormat="1" applyFont="1" applyFill="1" applyBorder="1" applyAlignment="1">
      <alignment horizontal="center" vertical="center"/>
      <protection locked="0" hidden="0"/>
    </xf>
    <xf numFmtId="0" fontId="24" fillId="6" borderId="148" xfId="0" applyNumberFormat="1" applyFont="1" applyFill="1" applyBorder="1" applyAlignment="1">
      <alignment horizontal="center" vertical="center" wrapText="1"/>
      <protection locked="0" hidden="0"/>
    </xf>
    <xf numFmtId="0" fontId="24" fillId="6" borderId="0" xfId="0" applyNumberFormat="1" applyFont="1" applyFill="1" applyBorder="1" applyAlignment="1">
      <alignment horizontal="center" vertical="center" wrapText="1"/>
      <protection locked="0" hidden="0"/>
    </xf>
    <xf numFmtId="0" fontId="24" fillId="6" borderId="149" xfId="0" applyNumberFormat="1" applyFont="1" applyFill="1" applyBorder="1" applyAlignment="1">
      <alignment horizontal="center" vertical="center" wrapText="1"/>
      <protection locked="0" hidden="0"/>
    </xf>
    <xf numFmtId="0" fontId="13" fillId="27" borderId="168" xfId="0" applyNumberFormat="1" applyFont="1" applyFill="1" applyBorder="1" applyAlignment="1">
      <alignment horizontal="center" vertical="center"/>
      <protection locked="0" hidden="0"/>
    </xf>
    <xf numFmtId="0" fontId="24" fillId="6" borderId="179" xfId="0" applyNumberFormat="1" applyFont="1" applyFill="1" applyBorder="1" applyAlignment="1">
      <alignment horizontal="center" vertical="center"/>
      <protection locked="0" hidden="0"/>
    </xf>
    <xf numFmtId="0" fontId="24" fillId="6" borderId="180" xfId="0" applyNumberFormat="1" applyFont="1" applyFill="1" applyBorder="1" applyAlignment="1">
      <alignment horizontal="center" vertical="center" wrapText="1"/>
      <protection locked="0" hidden="0"/>
    </xf>
    <xf numFmtId="0" fontId="24" fillId="6" borderId="29" xfId="0" applyNumberFormat="1" applyFont="1" applyFill="1" applyBorder="1" applyAlignment="1">
      <alignment horizontal="center" vertical="center" wrapText="1"/>
      <protection locked="0" hidden="0"/>
    </xf>
    <xf numFmtId="0" fontId="24" fillId="6" borderId="181" xfId="0" applyNumberFormat="1" applyFont="1" applyFill="1" applyBorder="1" applyAlignment="1">
      <alignment horizontal="center" vertical="center" wrapText="1"/>
      <protection locked="0" hidden="0"/>
    </xf>
    <xf numFmtId="0" fontId="13" fillId="27" borderId="182" xfId="0" applyNumberFormat="1" applyFont="1" applyFill="1" applyBorder="1" applyAlignment="1">
      <alignment horizontal="center" vertical="center"/>
      <protection locked="0" hidden="0"/>
    </xf>
    <xf numFmtId="0" fontId="13" fillId="27" borderId="183" xfId="0" applyNumberFormat="1" applyFont="1" applyFill="1" applyBorder="1" applyAlignment="1">
      <alignment horizontal="center" vertical="center"/>
      <protection locked="0" hidden="0"/>
    </xf>
    <xf numFmtId="0" fontId="13" fillId="27" borderId="170" xfId="0" applyNumberFormat="1" applyFont="1" applyFill="1" applyBorder="1" applyAlignment="1">
      <alignment horizontal="center" vertical="center"/>
      <protection locked="0" hidden="0"/>
    </xf>
    <xf numFmtId="0" fontId="82" fillId="0" borderId="0" xfId="0" applyFont="1" applyFill="1">
      <alignment vertical="center"/>
    </xf>
    <xf numFmtId="0" fontId="29" fillId="0" borderId="0" xfId="0" applyFont="1" applyFill="1" applyAlignment="1">
      <alignment vertical="center" shrinkToFit="1"/>
    </xf>
    <xf numFmtId="0" fontId="93" fillId="0" borderId="0" xfId="0" applyFont="1" applyFill="1" applyAlignment="1">
      <alignment vertical="center" shrinkToFit="1"/>
    </xf>
    <xf numFmtId="0" fontId="29" fillId="0" borderId="0" xfId="0" applyFont="1" applyFill="1" applyAlignment="1">
      <alignment vertical="center" wrapText="1"/>
    </xf>
    <xf numFmtId="0" fontId="94" fillId="0" borderId="0" xfId="0" applyFont="1" applyFill="1" applyAlignment="1">
      <alignment vertical="bottom"/>
    </xf>
    <xf numFmtId="0" fontId="95" fillId="0" borderId="0" xfId="0" applyFont="1" applyFill="1">
      <alignment vertical="center"/>
    </xf>
    <xf numFmtId="0" fontId="96" fillId="0" borderId="0" xfId="0" applyFont="1" applyFill="1" applyBorder="1" applyAlignment="1">
      <alignment vertical="bottom"/>
    </xf>
    <xf numFmtId="0" fontId="96" fillId="0" borderId="0" xfId="0" applyFont="1" applyFill="1" applyAlignment="1">
      <alignment vertical="bottom"/>
    </xf>
    <xf numFmtId="0" fontId="97" fillId="0" borderId="0" xfId="0" applyFont="1" applyFill="1" applyAlignment="1">
      <alignment vertical="bottom"/>
    </xf>
    <xf numFmtId="0" fontId="98" fillId="0" borderId="0" xfId="0" applyFont="1" applyFill="1" applyAlignment="1">
      <alignment vertical="bottom"/>
    </xf>
    <xf numFmtId="16" fontId="98" fillId="0" borderId="0" xfId="0" applyNumberFormat="1" applyFont="1" applyFill="1" applyAlignment="1">
      <alignment vertical="bottom"/>
    </xf>
    <xf numFmtId="0" fontId="95" fillId="38" borderId="0" xfId="0" applyFont="1" applyFill="1">
      <alignment vertical="center"/>
    </xf>
    <xf numFmtId="0" fontId="96" fillId="38" borderId="148" xfId="0" applyFont="1" applyFill="1" applyBorder="1" applyAlignment="1">
      <alignment vertical="center" wrapText="1"/>
    </xf>
    <xf numFmtId="0" fontId="98" fillId="38" borderId="0" xfId="0" applyFont="1" applyFill="1" applyAlignment="1">
      <alignment vertical="bottom"/>
    </xf>
    <xf numFmtId="0" fontId="97" fillId="38" borderId="0" xfId="0" applyFont="1" applyFill="1" applyAlignment="1">
      <alignment vertical="bottom"/>
    </xf>
    <xf numFmtId="0" fontId="95" fillId="0" borderId="0" xfId="0" applyFont="1" applyFill="1" applyAlignment="1">
      <alignment horizontal="left" vertical="bottom"/>
    </xf>
    <xf numFmtId="0" fontId="94" fillId="0" borderId="0" xfId="0" applyFont="1" applyFill="1" applyBorder="1">
      <alignment vertical="center"/>
    </xf>
    <xf numFmtId="0" fontId="94" fillId="0" borderId="0" xfId="0" applyFont="1" applyFill="1" applyAlignment="1">
      <alignment horizontal="left" vertical="bottom"/>
    </xf>
    <xf numFmtId="0" fontId="99" fillId="0" borderId="0" xfId="0" applyFont="1" applyFill="1" applyAlignment="1">
      <alignment horizontal="left" vertical="bottom"/>
    </xf>
    <xf numFmtId="0" fontId="94" fillId="0" borderId="0" xfId="0" applyFont="1" applyFill="1" applyBorder="1" applyAlignment="1">
      <alignment horizontal="left" vertical="bottom"/>
    </xf>
    <xf numFmtId="0" fontId="99" fillId="0" borderId="0" xfId="0" applyFont="1" applyFill="1" applyBorder="1" applyAlignment="1">
      <alignment horizontal="left" vertical="bottom"/>
    </xf>
    <xf numFmtId="0" fontId="100" fillId="0" borderId="0" xfId="0" applyFont="1" applyFill="1" applyAlignment="1">
      <alignment horizontal="left" vertical="bottom"/>
    </xf>
    <xf numFmtId="0" fontId="82" fillId="39" borderId="0" xfId="0" applyFont="1" applyFill="1">
      <alignment vertical="center"/>
    </xf>
    <xf numFmtId="0" fontId="94" fillId="39" borderId="0" xfId="0" applyFont="1" applyFill="1" applyBorder="1" applyAlignment="1">
      <alignment vertical="center" wrapText="1"/>
    </xf>
    <xf numFmtId="0" fontId="94" fillId="39" borderId="0" xfId="0" applyFont="1" applyFill="1" applyAlignment="1">
      <alignment horizontal="left" vertical="bottom"/>
    </xf>
    <xf numFmtId="0" fontId="94" fillId="39" borderId="0" xfId="0" applyFont="1" applyFill="1" applyBorder="1" applyAlignment="1">
      <alignment horizontal="left" vertical="bottom"/>
    </xf>
    <xf numFmtId="0" fontId="99" fillId="39" borderId="0" xfId="0" applyFont="1" applyFill="1" applyAlignment="1">
      <alignment horizontal="left" vertical="bottom"/>
    </xf>
    <xf numFmtId="0" fontId="99" fillId="39" borderId="0" xfId="0" applyFont="1" applyFill="1" applyBorder="1" applyAlignment="1">
      <alignment horizontal="left" vertical="bottom"/>
    </xf>
    <xf numFmtId="0" fontId="94" fillId="39" borderId="0" xfId="0" applyFont="1" applyFill="1" applyAlignment="1">
      <alignment vertical="bottom"/>
    </xf>
    <xf numFmtId="0" fontId="99" fillId="0" borderId="0" xfId="0" applyFont="1" applyFill="1" applyAlignment="1">
      <alignment vertical="bottom"/>
    </xf>
    <xf numFmtId="0" fontId="101" fillId="0" borderId="0" xfId="0" applyFont="1" applyFill="1" applyAlignment="1">
      <alignment horizontal="left" vertical="bottom"/>
    </xf>
    <xf numFmtId="0" fontId="102" fillId="0" borderId="0" xfId="0" applyFont="1" applyFill="1" applyAlignment="1">
      <alignment horizontal="left" vertical="bottom"/>
    </xf>
    <xf numFmtId="0" fontId="82" fillId="38" borderId="0" xfId="0" applyFont="1" applyFill="1">
      <alignment vertical="center"/>
    </xf>
    <xf numFmtId="0" fontId="94" fillId="38" borderId="0" xfId="0" applyFont="1" applyFill="1" applyBorder="1">
      <alignment vertical="center"/>
    </xf>
    <xf numFmtId="0" fontId="94" fillId="38" borderId="0" xfId="0" applyFont="1" applyFill="1" applyAlignment="1">
      <alignment horizontal="left" vertical="bottom"/>
    </xf>
    <xf numFmtId="0" fontId="94" fillId="38" borderId="0" xfId="0" applyFont="1" applyFill="1" applyBorder="1" applyAlignment="1">
      <alignment horizontal="left" vertical="bottom"/>
    </xf>
    <xf numFmtId="0" fontId="99" fillId="38" borderId="0" xfId="0" applyFont="1" applyFill="1" applyAlignment="1">
      <alignment horizontal="left" vertical="bottom"/>
    </xf>
    <xf numFmtId="0" fontId="101" fillId="38" borderId="0" xfId="0" applyFont="1" applyFill="1" applyAlignment="1">
      <alignment horizontal="left" vertical="bottom"/>
    </xf>
    <xf numFmtId="0" fontId="94" fillId="38" borderId="0" xfId="0" applyFont="1" applyFill="1" applyAlignment="1">
      <alignment vertical="bottom"/>
    </xf>
    <xf numFmtId="0" fontId="99" fillId="0" borderId="0" xfId="0" applyFont="1" applyFill="1" applyBorder="1">
      <alignment vertical="center"/>
    </xf>
    <xf numFmtId="0" fontId="82" fillId="35" borderId="0" xfId="0" applyFont="1" applyFill="1">
      <alignment vertical="center"/>
    </xf>
    <xf numFmtId="0" fontId="94" fillId="35" borderId="0" xfId="0" applyFont="1" applyFill="1" applyBorder="1">
      <alignment vertical="center"/>
    </xf>
    <xf numFmtId="0" fontId="94" fillId="35" borderId="0" xfId="0" applyFont="1" applyFill="1" applyAlignment="1">
      <alignment horizontal="left" vertical="bottom"/>
    </xf>
    <xf numFmtId="0" fontId="94" fillId="35" borderId="0" xfId="0" applyFont="1" applyFill="1" applyBorder="1" applyAlignment="1">
      <alignment horizontal="left" vertical="bottom"/>
    </xf>
    <xf numFmtId="0" fontId="99" fillId="35" borderId="0" xfId="0" applyFont="1" applyFill="1" applyAlignment="1">
      <alignment horizontal="left" vertical="bottom"/>
    </xf>
    <xf numFmtId="0" fontId="94" fillId="35" borderId="0" xfId="0" applyFont="1" applyFill="1" applyAlignment="1">
      <alignment vertical="bottom"/>
    </xf>
    <xf numFmtId="0" fontId="82" fillId="40" borderId="0" xfId="0" applyFont="1" applyFill="1">
      <alignment vertical="center"/>
    </xf>
    <xf numFmtId="0" fontId="99" fillId="40" borderId="0" xfId="0" applyFont="1" applyFill="1" applyBorder="1" applyAlignment="1">
      <alignment vertical="bottom"/>
    </xf>
    <xf numFmtId="0" fontId="94" fillId="40" borderId="0" xfId="0" applyFont="1" applyFill="1" applyAlignment="1">
      <alignment horizontal="left" vertical="bottom"/>
    </xf>
    <xf numFmtId="0" fontId="94" fillId="40" borderId="0" xfId="0" applyFont="1" applyFill="1" applyBorder="1" applyAlignment="1">
      <alignment horizontal="left" vertical="bottom"/>
    </xf>
    <xf numFmtId="0" fontId="99" fillId="40" borderId="0" xfId="0" applyFont="1" applyFill="1" applyAlignment="1">
      <alignment horizontal="left" vertical="bottom"/>
    </xf>
    <xf numFmtId="0" fontId="94" fillId="40" borderId="0" xfId="0" applyFont="1" applyFill="1" applyAlignment="1">
      <alignment vertical="bottom"/>
    </xf>
    <xf numFmtId="0" fontId="99" fillId="0" borderId="0" xfId="0" applyFont="1" applyFill="1" applyBorder="1" applyAlignment="1">
      <alignment vertical="bottom"/>
    </xf>
    <xf numFmtId="0" fontId="82" fillId="41" borderId="0" xfId="0" applyFont="1" applyFill="1">
      <alignment vertical="center"/>
    </xf>
    <xf numFmtId="0" fontId="99" fillId="41" borderId="0" xfId="0" applyFont="1" applyFill="1" applyBorder="1" applyAlignment="1">
      <alignment vertical="bottom"/>
    </xf>
    <xf numFmtId="0" fontId="94" fillId="41" borderId="0" xfId="0" applyFont="1" applyFill="1" applyAlignment="1">
      <alignment horizontal="left" vertical="bottom"/>
    </xf>
    <xf numFmtId="0" fontId="94" fillId="41" borderId="0" xfId="0" applyFont="1" applyFill="1" applyBorder="1" applyAlignment="1">
      <alignment horizontal="left" vertical="bottom"/>
    </xf>
    <xf numFmtId="0" fontId="103" fillId="41" borderId="0" xfId="0" applyFont="1" applyFill="1" applyAlignment="1">
      <alignment horizontal="left" vertical="bottom"/>
    </xf>
    <xf numFmtId="0" fontId="99" fillId="41" borderId="0" xfId="0" applyFont="1" applyFill="1" applyAlignment="1">
      <alignment horizontal="left" vertical="bottom"/>
    </xf>
    <xf numFmtId="0" fontId="99" fillId="41" borderId="0" xfId="0" applyFont="1" applyFill="1" applyBorder="1" applyAlignment="1">
      <alignment horizontal="left" vertical="bottom"/>
    </xf>
    <xf numFmtId="0" fontId="94" fillId="41" borderId="0" xfId="0" applyFont="1" applyFill="1" applyAlignment="1">
      <alignment vertical="bottom"/>
    </xf>
    <xf numFmtId="0" fontId="103" fillId="0" borderId="0" xfId="0" applyFont="1" applyFill="1" applyAlignment="1">
      <alignment horizontal="left" vertical="bottom"/>
    </xf>
    <xf numFmtId="0" fontId="100" fillId="0" borderId="0" xfId="0" applyFont="1" applyFill="1">
      <alignment vertical="center"/>
    </xf>
    <xf numFmtId="0" fontId="104" fillId="0" borderId="0" xfId="0" applyFont="1" applyFill="1">
      <alignment vertical="center"/>
    </xf>
    <xf numFmtId="0" fontId="82" fillId="42" borderId="0" xfId="0" applyFont="1" applyFill="1">
      <alignment vertical="center"/>
    </xf>
    <xf numFmtId="0" fontId="99" fillId="42" borderId="0" xfId="0" applyFont="1" applyFill="1" applyBorder="1">
      <alignment vertical="center"/>
    </xf>
    <xf numFmtId="0" fontId="94" fillId="42" borderId="0" xfId="0" applyFont="1" applyFill="1" applyAlignment="1">
      <alignment horizontal="left" vertical="bottom"/>
    </xf>
    <xf numFmtId="0" fontId="94" fillId="42" borderId="0" xfId="0" applyFont="1" applyFill="1" applyBorder="1" applyAlignment="1">
      <alignment horizontal="left" vertical="bottom"/>
    </xf>
    <xf numFmtId="0" fontId="101" fillId="42" borderId="0" xfId="0" applyFont="1" applyFill="1" applyAlignment="1">
      <alignment horizontal="left" vertical="bottom"/>
    </xf>
    <xf numFmtId="0" fontId="99" fillId="42" borderId="0" xfId="0" applyFont="1" applyFill="1" applyAlignment="1">
      <alignment horizontal="left" vertical="bottom"/>
    </xf>
    <xf numFmtId="0" fontId="99" fillId="42" borderId="0" xfId="0" applyFont="1" applyFill="1" applyBorder="1" applyAlignment="1">
      <alignment horizontal="left" vertical="bottom"/>
    </xf>
    <xf numFmtId="0" fontId="94" fillId="42" borderId="0" xfId="0" applyFont="1" applyFill="1" applyAlignment="1">
      <alignment vertical="bottom"/>
    </xf>
    <xf numFmtId="0" fontId="82" fillId="43" borderId="0" xfId="0" applyFont="1" applyFill="1">
      <alignment vertical="center"/>
    </xf>
    <xf numFmtId="0" fontId="94" fillId="43" borderId="0" xfId="0" applyFont="1" applyFill="1" applyBorder="1">
      <alignment vertical="center"/>
    </xf>
    <xf numFmtId="0" fontId="94" fillId="43" borderId="0" xfId="0" applyFont="1" applyFill="1" applyAlignment="1">
      <alignment horizontal="left" vertical="bottom"/>
    </xf>
    <xf numFmtId="0" fontId="94" fillId="43" borderId="0" xfId="0" applyFont="1" applyFill="1" applyBorder="1" applyAlignment="1">
      <alignment horizontal="left" vertical="bottom"/>
    </xf>
    <xf numFmtId="0" fontId="99" fillId="43" borderId="0" xfId="0" applyFont="1" applyFill="1" applyAlignment="1">
      <alignment horizontal="left" vertical="bottom"/>
    </xf>
    <xf numFmtId="0" fontId="99" fillId="43" borderId="0" xfId="0" applyFont="1" applyFill="1" applyBorder="1" applyAlignment="1">
      <alignment horizontal="left" vertical="bottom"/>
    </xf>
    <xf numFmtId="0" fontId="94" fillId="43" borderId="0" xfId="0" applyFont="1" applyFill="1" applyAlignment="1">
      <alignment vertical="bottom"/>
    </xf>
    <xf numFmtId="0" fontId="101" fillId="43" borderId="0" xfId="0" applyFont="1" applyFill="1" applyAlignment="1">
      <alignment horizontal="left" vertical="bottom"/>
    </xf>
    <xf numFmtId="0" fontId="99" fillId="0" borderId="148" xfId="0" applyFont="1" applyFill="1" applyBorder="1">
      <alignment vertical="center"/>
    </xf>
    <xf numFmtId="0" fontId="94" fillId="0" borderId="148" xfId="0" applyFont="1" applyFill="1" applyBorder="1">
      <alignment vertical="center"/>
    </xf>
    <xf numFmtId="0" fontId="82" fillId="44" borderId="0" xfId="0" applyFont="1" applyFill="1">
      <alignment vertical="center"/>
    </xf>
    <xf numFmtId="0" fontId="94" fillId="44" borderId="148" xfId="0" applyFont="1" applyFill="1" applyBorder="1">
      <alignment vertical="center"/>
    </xf>
    <xf numFmtId="0" fontId="94" fillId="44" borderId="0" xfId="0" applyFont="1" applyFill="1" applyAlignment="1">
      <alignment horizontal="left" vertical="bottom"/>
    </xf>
    <xf numFmtId="0" fontId="94" fillId="44" borderId="0" xfId="0" applyFont="1" applyFill="1" applyBorder="1" applyAlignment="1">
      <alignment horizontal="left" vertical="bottom"/>
    </xf>
    <xf numFmtId="0" fontId="104" fillId="44" borderId="0" xfId="0" applyFont="1" applyFill="1" applyAlignment="1">
      <alignment horizontal="left" vertical="bottom"/>
    </xf>
    <xf numFmtId="0" fontId="99" fillId="44" borderId="0" xfId="0" applyFont="1" applyFill="1" applyAlignment="1">
      <alignment horizontal="left" vertical="bottom"/>
    </xf>
    <xf numFmtId="0" fontId="99" fillId="44" borderId="0" xfId="0" applyFont="1" applyFill="1" applyBorder="1" applyAlignment="1">
      <alignment horizontal="left" vertical="bottom"/>
    </xf>
    <xf numFmtId="0" fontId="94" fillId="44" borderId="0" xfId="0" applyFont="1" applyFill="1" applyAlignment="1">
      <alignment vertical="bottom"/>
    </xf>
    <xf numFmtId="0" fontId="82" fillId="4" borderId="0" xfId="0" applyFont="1" applyFill="1">
      <alignment vertical="center"/>
    </xf>
    <xf numFmtId="0" fontId="99" fillId="4" borderId="148" xfId="0" applyFont="1" applyFill="1" applyBorder="1">
      <alignment vertical="center"/>
    </xf>
    <xf numFmtId="0" fontId="94" fillId="4" borderId="0" xfId="0" applyFont="1" applyFill="1" applyAlignment="1">
      <alignment horizontal="left" vertical="bottom"/>
    </xf>
    <xf numFmtId="0" fontId="99" fillId="4" borderId="0" xfId="0" applyFont="1" applyFill="1" applyAlignment="1">
      <alignment horizontal="left" vertical="bottom"/>
    </xf>
    <xf numFmtId="0" fontId="101" fillId="4" borderId="0" xfId="0" applyFont="1" applyFill="1" applyAlignment="1">
      <alignment horizontal="left" vertical="bottom"/>
    </xf>
    <xf numFmtId="0" fontId="94" fillId="4" borderId="0" xfId="0" applyFont="1" applyFill="1" applyBorder="1" applyAlignment="1">
      <alignment horizontal="left" vertical="bottom"/>
    </xf>
    <xf numFmtId="0" fontId="94" fillId="4" borderId="0" xfId="0" applyFont="1" applyFill="1" applyAlignment="1">
      <alignment vertical="bottom"/>
    </xf>
    <xf numFmtId="0" fontId="94" fillId="43" borderId="148" xfId="0" applyFont="1" applyFill="1" applyBorder="1">
      <alignment vertical="center"/>
    </xf>
    <xf numFmtId="0" fontId="82" fillId="45" borderId="0" xfId="0" applyFont="1" applyFill="1">
      <alignment vertical="center"/>
    </xf>
    <xf numFmtId="0" fontId="105" fillId="45" borderId="0" xfId="0" applyFont="1" applyFill="1">
      <alignment vertical="center"/>
    </xf>
    <xf numFmtId="0" fontId="94" fillId="45" borderId="0" xfId="0" applyFont="1" applyFill="1" applyAlignment="1">
      <alignment horizontal="left" vertical="bottom"/>
    </xf>
    <xf numFmtId="0" fontId="94" fillId="45" borderId="0" xfId="0" applyFont="1" applyFill="1" applyBorder="1" applyAlignment="1">
      <alignment horizontal="left" vertical="bottom"/>
    </xf>
    <xf numFmtId="0" fontId="104" fillId="45" borderId="0" xfId="0" applyFont="1" applyFill="1">
      <alignment vertical="center"/>
    </xf>
    <xf numFmtId="0" fontId="94" fillId="45" borderId="0" xfId="0" applyFont="1" applyFill="1" applyAlignment="1">
      <alignment vertical="bottom"/>
    </xf>
    <xf numFmtId="0" fontId="99" fillId="0" borderId="148" xfId="0" applyFont="1" applyFill="1" applyBorder="1" applyAlignment="1">
      <alignment vertical="center" wrapText="1"/>
    </xf>
    <xf numFmtId="0" fontId="99" fillId="0" borderId="0" xfId="0" applyFont="1" applyFill="1" applyBorder="1" applyAlignment="1">
      <alignment vertical="center" wrapText="1"/>
    </xf>
    <xf numFmtId="0" fontId="106" fillId="0" borderId="0" xfId="0" applyFont="1" applyFill="1">
      <alignment vertical="center"/>
    </xf>
    <xf numFmtId="0" fontId="1" fillId="0" borderId="0" xfId="0" applyFont="1" applyAlignment="1">
      <alignment horizontal="left" vertical="center"/>
    </xf>
    <xf numFmtId="0" fontId="80" fillId="0" borderId="0" xfId="2" applyFont="1" applyFill="1" applyBorder="1" applyAlignment="1">
      <alignment horizontal="left" vertical="center" wrapText="1"/>
    </xf>
    <xf numFmtId="0" fontId="1" fillId="18" borderId="0" xfId="0" applyFont="1" applyFill="1" applyAlignment="1">
      <alignment horizontal="left" vertical="center"/>
    </xf>
    <xf numFmtId="0" fontId="1" fillId="18" borderId="7" xfId="0" applyFont="1" applyFill="1" applyBorder="1" applyAlignment="1">
      <alignment horizontal="left" vertical="center"/>
    </xf>
    <xf numFmtId="0" fontId="1" fillId="18" borderId="8" xfId="0" applyFont="1" applyFill="1" applyBorder="1" applyAlignment="1">
      <alignment horizontal="left" vertical="center"/>
    </xf>
    <xf numFmtId="0" fontId="1" fillId="18" borderId="9" xfId="0" applyFont="1" applyFill="1" applyBorder="1" applyAlignment="1">
      <alignment horizontal="left" vertical="center"/>
    </xf>
    <xf numFmtId="0" fontId="1" fillId="0" borderId="184" xfId="0" applyFont="1" applyBorder="1" applyAlignment="1">
      <alignment horizontal="left" vertical="center" wrapText="1"/>
    </xf>
    <xf numFmtId="0" fontId="1" fillId="0" borderId="7" xfId="0" applyFont="1" applyBorder="1" applyAlignment="1">
      <alignment horizontal="left" vertical="center" wrapText="1"/>
    </xf>
    <xf numFmtId="0" fontId="1" fillId="0" borderId="174" xfId="0" applyFont="1" applyFill="1" applyBorder="1" applyAlignment="1">
      <alignment horizontal="left" vertical="center" wrapText="1"/>
    </xf>
    <xf numFmtId="0" fontId="1" fillId="0" borderId="174" xfId="0" applyFont="1" applyBorder="1" applyAlignment="1">
      <alignment horizontal="left" vertical="center"/>
    </xf>
    <xf numFmtId="0" fontId="1" fillId="0" borderId="9" xfId="0" applyFont="1" applyFill="1" applyBorder="1" applyAlignment="1">
      <alignment horizontal="left" vertical="center"/>
    </xf>
    <xf numFmtId="0" fontId="1" fillId="18" borderId="7" xfId="0" applyFont="1" applyFill="1" applyBorder="1" applyAlignment="1">
      <alignment horizontal="left" vertical="center"/>
    </xf>
    <xf numFmtId="0" fontId="1" fillId="0" borderId="8" xfId="0" applyFont="1" applyFill="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77" fillId="36" borderId="165" xfId="0" applyFont="1" applyFill="1" applyBorder="1" applyAlignment="1">
      <alignment horizontal="left" vertical="center" wrapText="1" readingOrder="1"/>
    </xf>
    <xf numFmtId="0" fontId="1" fillId="36" borderId="177" xfId="0" applyFont="1" applyFill="1" applyBorder="1" applyAlignment="1">
      <alignment horizontal="left" vertical="center"/>
    </xf>
    <xf numFmtId="0" fontId="77" fillId="36" borderId="166" xfId="0" applyFont="1" applyFill="1" applyBorder="1" applyAlignment="1">
      <alignment horizontal="left" vertical="center"/>
    </xf>
    <xf numFmtId="0" fontId="77" fillId="0" borderId="0" xfId="0" applyFont="1" applyFill="1" applyBorder="1" applyAlignment="1">
      <alignment horizontal="left" vertical="center"/>
    </xf>
    <xf numFmtId="0" fontId="76" fillId="0" borderId="0" xfId="0" applyFont="1" applyFill="1" applyBorder="1" applyAlignment="1">
      <alignment horizontal="left" vertical="center"/>
    </xf>
    <xf numFmtId="0" fontId="1" fillId="0" borderId="17" xfId="0" applyFont="1" applyBorder="1" applyAlignment="1">
      <alignment horizontal="left" vertical="center"/>
    </xf>
    <xf numFmtId="0" fontId="1" fillId="0" borderId="185" xfId="0" applyFont="1" applyBorder="1" applyAlignment="1">
      <alignment horizontal="left" vertical="center" wrapText="1"/>
    </xf>
    <xf numFmtId="0" fontId="1" fillId="0" borderId="16" xfId="0" applyFont="1" applyBorder="1" applyAlignment="1">
      <alignment horizontal="left" vertical="center" wrapText="1"/>
    </xf>
    <xf numFmtId="0" fontId="1" fillId="0" borderId="148" xfId="0" applyFont="1" applyFill="1" applyBorder="1" applyAlignment="1">
      <alignment horizontal="left" vertical="center" wrapText="1"/>
    </xf>
    <xf numFmtId="0" fontId="1" fillId="0" borderId="148" xfId="0" applyFont="1" applyBorder="1" applyAlignment="1">
      <alignment horizontal="left" vertical="center"/>
    </xf>
    <xf numFmtId="0" fontId="1" fillId="0" borderId="17" xfId="0" applyFont="1" applyFill="1" applyBorder="1" applyAlignment="1">
      <alignment horizontal="left" vertical="center"/>
    </xf>
    <xf numFmtId="0" fontId="1" fillId="0" borderId="16" xfId="0" applyFont="1" applyBorder="1" applyAlignment="1">
      <alignment horizontal="left" vertical="center"/>
    </xf>
    <xf numFmtId="0" fontId="1" fillId="0" borderId="0" xfId="0" applyFont="1" applyBorder="1" applyAlignment="1">
      <alignment horizontal="left" vertical="center"/>
    </xf>
    <xf numFmtId="0" fontId="1" fillId="0" borderId="0" xfId="0" applyFont="1" applyFill="1" applyBorder="1" applyAlignment="1">
      <alignment horizontal="left" vertical="center"/>
    </xf>
    <xf numFmtId="0" fontId="76" fillId="35" borderId="167" xfId="0" applyFont="1" applyFill="1" applyBorder="1" applyAlignment="1">
      <alignment horizontal="left" vertical="center" wrapText="1"/>
    </xf>
    <xf numFmtId="0" fontId="76" fillId="0" borderId="96" xfId="0" applyFont="1" applyFill="1" applyBorder="1" applyAlignment="1">
      <alignment horizontal="left" vertical="center"/>
    </xf>
    <xf numFmtId="0" fontId="76" fillId="0" borderId="168" xfId="0" applyFont="1" applyFill="1" applyBorder="1" applyAlignment="1">
      <alignment horizontal="left" vertical="center"/>
    </xf>
    <xf numFmtId="0" fontId="76" fillId="0" borderId="7" xfId="0" applyFont="1" applyFill="1" applyBorder="1" applyAlignment="1">
      <alignment horizontal="left" vertical="center"/>
    </xf>
    <xf numFmtId="0" fontId="76" fillId="0" borderId="17" xfId="0" applyFont="1" applyFill="1" applyBorder="1" applyAlignment="1">
      <alignment horizontal="left" vertical="center"/>
    </xf>
    <xf numFmtId="0" fontId="76" fillId="0" borderId="0" xfId="0" applyFont="1" applyFill="1" applyAlignment="1">
      <alignment horizontal="left" vertical="center"/>
    </xf>
    <xf numFmtId="0" fontId="76" fillId="0" borderId="0" xfId="0" applyFont="1" applyFill="1" applyBorder="1" applyAlignment="1">
      <alignment horizontal="left" vertical="center" wrapText="1"/>
      <protection locked="0" hidden="0"/>
    </xf>
    <xf numFmtId="0" fontId="1" fillId="0" borderId="186" xfId="0" applyFont="1" applyBorder="1" applyAlignment="1">
      <alignment horizontal="left" vertical="center"/>
    </xf>
    <xf numFmtId="49" fontId="1" fillId="0" borderId="0" xfId="0" applyNumberFormat="1" applyFont="1" applyFill="1" applyBorder="1" applyAlignment="1">
      <alignment horizontal="left" vertical="center"/>
    </xf>
    <xf numFmtId="0" fontId="1" fillId="0" borderId="185" xfId="0" applyFont="1" applyBorder="1" applyAlignment="1">
      <alignment horizontal="left" vertical="center"/>
    </xf>
    <xf numFmtId="0" fontId="1" fillId="0" borderId="16" xfId="0" applyFont="1" applyFill="1" applyBorder="1" applyAlignment="1">
      <alignment horizontal="left" vertical="center" wrapText="1"/>
    </xf>
    <xf numFmtId="0" fontId="1" fillId="4" borderId="148" xfId="0" applyFont="1" applyFill="1" applyBorder="1" applyAlignment="1">
      <alignment horizontal="left" vertical="center" wrapText="1"/>
    </xf>
    <xf numFmtId="0" fontId="1" fillId="0" borderId="16" xfId="0" applyFont="1" applyBorder="1" applyAlignment="1">
      <alignment horizontal="left" vertical="center" wrapText="1"/>
    </xf>
    <xf numFmtId="0" fontId="1" fillId="0" borderId="0" xfId="0" applyFont="1" applyBorder="1" applyAlignment="1">
      <alignment horizontal="left" vertical="center" wrapText="1"/>
    </xf>
    <xf numFmtId="0" fontId="1" fillId="4" borderId="17" xfId="0" applyFont="1" applyFill="1" applyBorder="1" applyAlignment="1">
      <alignment horizontal="left" vertical="center" wrapText="1"/>
    </xf>
    <xf numFmtId="0" fontId="76" fillId="0" borderId="16" xfId="0" applyFont="1" applyFill="1" applyBorder="1" applyAlignment="1">
      <alignment horizontal="left" vertical="center"/>
    </xf>
    <xf numFmtId="0" fontId="1" fillId="4" borderId="160" xfId="0" applyFont="1" applyFill="1" applyBorder="1" applyAlignment="1">
      <alignment horizontal="left" vertical="center"/>
    </xf>
    <xf numFmtId="0" fontId="1" fillId="4" borderId="16" xfId="0" applyFont="1" applyFill="1" applyBorder="1" applyAlignment="1">
      <alignment horizontal="left" vertical="center" wrapText="1"/>
    </xf>
    <xf numFmtId="0" fontId="1" fillId="4" borderId="0" xfId="0" applyFont="1" applyFill="1" applyBorder="1" applyAlignment="1">
      <alignment horizontal="left" vertical="center"/>
    </xf>
    <xf numFmtId="0" fontId="1" fillId="4" borderId="148" xfId="0" applyFont="1" applyFill="1" applyBorder="1" applyAlignment="1">
      <alignment horizontal="left" vertical="center"/>
    </xf>
    <xf numFmtId="0" fontId="1" fillId="4" borderId="17" xfId="0" applyFont="1" applyFill="1" applyBorder="1" applyAlignment="1">
      <alignment horizontal="left" vertical="center"/>
    </xf>
    <xf numFmtId="0" fontId="1" fillId="0" borderId="30" xfId="0" applyFont="1" applyBorder="1" applyAlignment="1">
      <alignment horizontal="left" vertical="center"/>
    </xf>
    <xf numFmtId="0" fontId="1" fillId="0" borderId="29" xfId="0" applyFont="1" applyBorder="1" applyAlignment="1">
      <alignment horizontal="left" vertical="center"/>
    </xf>
    <xf numFmtId="0" fontId="1" fillId="0" borderId="31" xfId="0" applyFont="1" applyBorder="1" applyAlignment="1">
      <alignment horizontal="left" vertical="center"/>
    </xf>
    <xf numFmtId="0" fontId="1" fillId="0" borderId="187" xfId="0" applyFont="1" applyBorder="1" applyAlignment="1">
      <alignment horizontal="left" vertical="center"/>
    </xf>
    <xf numFmtId="0" fontId="1" fillId="0" borderId="47" xfId="0" applyFont="1" applyBorder="1" applyAlignment="1">
      <alignment horizontal="left" vertical="center"/>
    </xf>
    <xf numFmtId="0" fontId="1" fillId="0" borderId="48" xfId="0" applyFont="1" applyBorder="1" applyAlignment="1">
      <alignment horizontal="left" vertical="center"/>
    </xf>
    <xf numFmtId="0" fontId="76" fillId="0" borderId="187" xfId="0" applyFont="1" applyFill="1" applyBorder="1" applyAlignment="1">
      <alignment horizontal="left" vertical="center"/>
    </xf>
    <xf numFmtId="0" fontId="1" fillId="0" borderId="47" xfId="0" applyFont="1" applyBorder="1" applyAlignment="1">
      <alignment horizontal="left" vertical="center"/>
    </xf>
    <xf numFmtId="0" fontId="76" fillId="0" borderId="47" xfId="0" applyFont="1" applyFill="1" applyBorder="1" applyAlignment="1">
      <alignment horizontal="left" vertical="center"/>
    </xf>
    <xf numFmtId="0" fontId="76" fillId="0" borderId="48" xfId="0" applyFont="1" applyFill="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07" fillId="0" borderId="7" xfId="0" applyFont="1" applyFill="1" applyBorder="1" applyAlignment="1">
      <alignment horizontal="left" vertical="center"/>
    </xf>
    <xf numFmtId="0" fontId="76" fillId="0" borderId="8" xfId="0" applyFont="1" applyFill="1" applyBorder="1" applyAlignment="1">
      <alignment horizontal="left" vertical="center"/>
    </xf>
    <xf numFmtId="0" fontId="76" fillId="0" borderId="9" xfId="0" applyFont="1" applyFill="1" applyBorder="1" applyAlignment="1">
      <alignment horizontal="left" vertical="center"/>
    </xf>
    <xf numFmtId="0" fontId="14" fillId="4" borderId="21" xfId="0" applyNumberFormat="1" applyFont="1" applyFill="1" applyBorder="1" applyAlignment="1">
      <alignment horizontal="left" vertical="center"/>
    </xf>
    <xf numFmtId="0" fontId="14" fillId="4" borderId="12" xfId="0" applyNumberFormat="1" applyFont="1" applyFill="1" applyBorder="1" applyAlignment="1">
      <alignment horizontal="left" vertical="center"/>
    </xf>
    <xf numFmtId="0" fontId="76" fillId="0" borderId="17" xfId="0" applyFont="1" applyFill="1" applyBorder="1" applyAlignment="1">
      <alignment horizontal="left" vertical="center" wrapText="1"/>
      <protection locked="0" hidden="0"/>
    </xf>
    <xf numFmtId="0" fontId="14" fillId="0" borderId="21" xfId="0" applyNumberFormat="1" applyFont="1" applyFill="1" applyBorder="1" applyAlignment="1">
      <alignment horizontal="left" vertical="center"/>
    </xf>
    <xf numFmtId="0" fontId="14" fillId="0" borderId="12" xfId="0" applyNumberFormat="1" applyFont="1" applyFill="1" applyBorder="1" applyAlignment="1">
      <alignment horizontal="left" vertical="center"/>
    </xf>
    <xf numFmtId="0" fontId="1" fillId="18" borderId="8" xfId="0" applyFont="1" applyFill="1" applyBorder="1" applyAlignment="1">
      <alignment horizontal="left" vertical="center"/>
    </xf>
    <xf numFmtId="0" fontId="76" fillId="35" borderId="169" xfId="0" applyFont="1" applyFill="1" applyBorder="1" applyAlignment="1">
      <alignment horizontal="left" vertical="center" wrapText="1"/>
    </xf>
    <xf numFmtId="0" fontId="76" fillId="0" borderId="183" xfId="0" applyFont="1" applyFill="1" applyBorder="1" applyAlignment="1">
      <alignment horizontal="left" vertical="center"/>
    </xf>
    <xf numFmtId="0" fontId="76" fillId="0" borderId="170" xfId="0" applyFont="1" applyFill="1" applyBorder="1" applyAlignment="1">
      <alignment horizontal="left" vertical="center"/>
    </xf>
    <xf numFmtId="0" fontId="76" fillId="0" borderId="29" xfId="0" applyFont="1" applyFill="1" applyBorder="1" applyAlignment="1">
      <alignment horizontal="left" vertical="center"/>
    </xf>
    <xf numFmtId="0" fontId="76" fillId="0" borderId="30" xfId="0" applyFont="1" applyFill="1" applyBorder="1" applyAlignment="1">
      <alignment horizontal="left" vertical="center"/>
    </xf>
    <xf numFmtId="0" fontId="76" fillId="0" borderId="31" xfId="0" applyFont="1" applyFill="1" applyBorder="1" applyAlignment="1">
      <alignment horizontal="left" vertical="center" wrapText="1"/>
      <protection locked="0" hidden="0"/>
    </xf>
    <xf numFmtId="0" fontId="14" fillId="4" borderId="25" xfId="0" applyNumberFormat="1" applyFont="1" applyFill="1" applyBorder="1" applyAlignment="1">
      <alignment horizontal="left" vertical="center"/>
    </xf>
    <xf numFmtId="0" fontId="14" fillId="4" borderId="27" xfId="0" applyNumberFormat="1" applyFont="1" applyFill="1" applyBorder="1" applyAlignment="1">
      <alignment horizontal="left" vertical="center"/>
    </xf>
    <xf numFmtId="0" fontId="1" fillId="3" borderId="165" xfId="0" applyFont="1" applyFill="1" applyBorder="1" applyAlignment="1">
      <alignment horizontal="left" vertical="center" wrapText="1"/>
    </xf>
    <xf numFmtId="0" fontId="1" fillId="0" borderId="177" xfId="0" applyFont="1" applyFill="1" applyBorder="1" applyAlignment="1">
      <alignment horizontal="left" vertical="center" wrapText="1"/>
    </xf>
    <xf numFmtId="0" fontId="1" fillId="3" borderId="177" xfId="0" applyFont="1" applyFill="1" applyBorder="1" applyAlignment="1">
      <alignment horizontal="left" vertical="center" wrapText="1"/>
    </xf>
    <xf numFmtId="0" fontId="1" fillId="0" borderId="166" xfId="0" applyFont="1" applyFill="1" applyBorder="1" applyAlignment="1">
      <alignment horizontal="left" vertical="center" wrapText="1"/>
    </xf>
    <xf numFmtId="0" fontId="1" fillId="3" borderId="169" xfId="0" applyFont="1" applyFill="1" applyBorder="1" applyAlignment="1">
      <alignment horizontal="left" vertical="center" wrapText="1"/>
      <protection locked="0" hidden="0"/>
    </xf>
    <xf numFmtId="0" fontId="1" fillId="0" borderId="183" xfId="0" applyFont="1" applyFill="1" applyBorder="1" applyAlignment="1">
      <alignment horizontal="left" vertical="center" wrapText="1"/>
      <protection locked="0" hidden="0"/>
    </xf>
    <xf numFmtId="0" fontId="1" fillId="3" borderId="183" xfId="0" applyFont="1" applyFill="1" applyBorder="1" applyAlignment="1">
      <alignment horizontal="left" vertical="center" wrapText="1"/>
      <protection locked="0" hidden="0"/>
    </xf>
    <xf numFmtId="0" fontId="1" fillId="0" borderId="188" xfId="0" applyFont="1" applyFill="1" applyBorder="1" applyAlignment="1">
      <alignment horizontal="left" vertical="center" wrapText="1"/>
      <protection locked="0" hidden="0"/>
    </xf>
    <xf numFmtId="49" fontId="1" fillId="18" borderId="7" xfId="0" applyNumberFormat="1" applyFont="1" applyFill="1" applyBorder="1" applyAlignment="1">
      <alignment horizontal="left" vertical="center"/>
    </xf>
    <xf numFmtId="49" fontId="1" fillId="18" borderId="8" xfId="0" applyNumberFormat="1" applyFont="1" applyFill="1" applyBorder="1" applyAlignment="1">
      <alignment horizontal="left" vertical="center"/>
    </xf>
    <xf numFmtId="49" fontId="1" fillId="18" borderId="9" xfId="0" applyNumberFormat="1" applyFont="1" applyFill="1" applyBorder="1" applyAlignment="1">
      <alignment horizontal="left" vertical="center"/>
    </xf>
    <xf numFmtId="0" fontId="1" fillId="0" borderId="7" xfId="0" applyFont="1" applyFill="1" applyBorder="1" applyAlignment="1">
      <alignment horizontal="left" vertical="center"/>
      <protection locked="0" hidden="0"/>
    </xf>
    <xf numFmtId="0" fontId="1" fillId="0" borderId="184" xfId="0" applyFont="1" applyFill="1" applyBorder="1" applyAlignment="1">
      <alignment horizontal="left" vertical="center"/>
      <protection locked="0" hidden="0"/>
    </xf>
    <xf numFmtId="0" fontId="1" fillId="0" borderId="184" xfId="0" applyFont="1" applyFill="1" applyBorder="1" applyAlignment="1">
      <alignment horizontal="left" vertical="center"/>
    </xf>
    <xf numFmtId="0" fontId="1" fillId="4" borderId="184" xfId="0" applyFont="1" applyFill="1" applyBorder="1" applyAlignment="1">
      <alignment horizontal="left" vertical="center"/>
      <protection locked="0" hidden="0"/>
    </xf>
    <xf numFmtId="0" fontId="1" fillId="5" borderId="0" xfId="0" applyFont="1" applyFill="1" applyAlignment="1">
      <alignment horizontal="left" vertical="center"/>
    </xf>
    <xf numFmtId="0" fontId="1" fillId="0" borderId="0" xfId="0" applyFont="1" applyAlignment="1">
      <alignment horizontal="left" vertical="center" wrapText="1"/>
    </xf>
    <xf numFmtId="0" fontId="1" fillId="0" borderId="184" xfId="0" applyFont="1" applyBorder="1" applyAlignment="1">
      <alignment horizontal="left" vertical="center"/>
    </xf>
    <xf numFmtId="0" fontId="1" fillId="0" borderId="0" xfId="0" applyFont="1" applyFill="1" applyBorder="1" applyAlignment="1">
      <alignment horizontal="left" vertical="center" wrapText="1"/>
    </xf>
    <xf numFmtId="0" fontId="1" fillId="18" borderId="187" xfId="0" applyFont="1" applyFill="1" applyBorder="1" applyAlignment="1">
      <alignment horizontal="left" vertical="center"/>
    </xf>
    <xf numFmtId="0" fontId="1" fillId="18" borderId="47" xfId="0" applyFont="1" applyFill="1" applyBorder="1" applyAlignment="1">
      <alignment horizontal="left" vertical="center"/>
    </xf>
    <xf numFmtId="0" fontId="1" fillId="18" borderId="48" xfId="0" applyFont="1" applyFill="1" applyBorder="1" applyAlignment="1">
      <alignment horizontal="left" vertical="center"/>
    </xf>
    <xf numFmtId="0" fontId="1" fillId="0" borderId="7" xfId="0" applyFont="1" applyBorder="1" applyAlignment="1">
      <alignment horizontal="left" vertical="center"/>
    </xf>
    <xf numFmtId="0" fontId="1" fillId="0" borderId="8" xfId="0" applyFont="1" applyFill="1" applyBorder="1" applyAlignment="1">
      <alignment horizontal="left" vertical="center" wrapText="1"/>
    </xf>
    <xf numFmtId="0" fontId="1" fillId="0" borderId="9" xfId="0" applyNumberFormat="1" applyFont="1" applyBorder="1" applyAlignment="1">
      <alignment horizontal="left" vertical="center"/>
    </xf>
    <xf numFmtId="0" fontId="1" fillId="0" borderId="30" xfId="0" applyFont="1" applyFill="1" applyBorder="1" applyAlignment="1">
      <alignment horizontal="left" vertical="center"/>
      <protection locked="0" hidden="0"/>
    </xf>
    <xf numFmtId="0" fontId="1" fillId="0" borderId="186" xfId="0" applyFont="1" applyFill="1" applyBorder="1" applyAlignment="1">
      <alignment horizontal="left" vertical="center"/>
      <protection locked="0" hidden="0"/>
    </xf>
    <xf numFmtId="0" fontId="1" fillId="0" borderId="186" xfId="0" applyFont="1" applyFill="1" applyBorder="1" applyAlignment="1">
      <alignment horizontal="left" vertical="center"/>
    </xf>
    <xf numFmtId="0" fontId="1" fillId="0" borderId="185" xfId="0" applyFont="1" applyFill="1" applyBorder="1" applyAlignment="1">
      <alignment horizontal="left" vertical="center"/>
      <protection locked="0" hidden="0"/>
    </xf>
    <xf numFmtId="0" fontId="1" fillId="4" borderId="185" xfId="0" applyFont="1" applyFill="1" applyBorder="1" applyAlignment="1">
      <alignment horizontal="left" vertical="center"/>
      <protection locked="0" hidden="0"/>
    </xf>
    <xf numFmtId="0" fontId="1" fillId="0" borderId="0" xfId="0" applyFont="1" applyFill="1" applyAlignment="1">
      <alignment horizontal="left" vertical="center"/>
      <protection locked="0" hidden="0"/>
    </xf>
    <xf numFmtId="0" fontId="23" fillId="18" borderId="7" xfId="5" applyFont="1" applyFill="1" applyBorder="1" applyAlignment="1">
      <alignment horizontal="left" vertical="center"/>
      <protection locked="0" hidden="0"/>
    </xf>
    <xf numFmtId="0" fontId="1" fillId="18" borderId="9" xfId="0" applyFont="1" applyFill="1" applyBorder="1" applyAlignment="1">
      <alignment horizontal="left" vertical="center"/>
    </xf>
    <xf numFmtId="0" fontId="1" fillId="0" borderId="17" xfId="0" applyNumberFormat="1" applyFont="1" applyBorder="1" applyAlignment="1">
      <alignment horizontal="left" vertical="center"/>
    </xf>
    <xf numFmtId="0" fontId="1" fillId="0" borderId="73" xfId="0" applyFont="1" applyFill="1" applyBorder="1" applyAlignment="1">
      <alignment horizontal="left" vertical="center"/>
      <protection locked="0" hidden="0"/>
    </xf>
    <xf numFmtId="0" fontId="1" fillId="4" borderId="73" xfId="0" applyFont="1" applyFill="1" applyBorder="1" applyAlignment="1">
      <alignment horizontal="left" vertical="center"/>
      <protection locked="0" hidden="0"/>
    </xf>
    <xf numFmtId="0" fontId="1" fillId="5" borderId="16" xfId="0" applyFont="1" applyFill="1" applyBorder="1" applyAlignment="1">
      <alignment horizontal="left" vertical="center"/>
    </xf>
    <xf numFmtId="0" fontId="1" fillId="5" borderId="17" xfId="0" applyFont="1" applyFill="1" applyBorder="1" applyAlignment="1">
      <alignment horizontal="left" vertical="center"/>
    </xf>
    <xf numFmtId="0" fontId="24" fillId="4" borderId="16" xfId="5" applyFont="1" applyFill="1" applyBorder="1" applyAlignment="1">
      <alignment horizontal="left" vertical="center"/>
      <protection locked="0" hidden="0"/>
    </xf>
    <xf numFmtId="0" fontId="24" fillId="4" borderId="17" xfId="5" applyFont="1" applyFill="1" applyBorder="1" applyAlignment="1">
      <alignment horizontal="left" vertical="center"/>
      <protection locked="0" hidden="0"/>
    </xf>
    <xf numFmtId="49" fontId="1" fillId="0" borderId="30" xfId="0" applyNumberFormat="1" applyFont="1" applyBorder="1" applyAlignment="1">
      <alignment horizontal="left" vertical="center"/>
    </xf>
    <xf numFmtId="0" fontId="1" fillId="0" borderId="73" xfId="0" applyFont="1" applyBorder="1" applyAlignment="1">
      <alignment horizontal="left" vertical="center"/>
    </xf>
    <xf numFmtId="0" fontId="1" fillId="0" borderId="48" xfId="0" applyFont="1" applyBorder="1" applyAlignment="1">
      <alignment horizontal="left" vertical="center"/>
    </xf>
    <xf numFmtId="0" fontId="1" fillId="0" borderId="0" xfId="0" applyFont="1" applyAlignment="1">
      <alignment horizontal="left" vertical="center"/>
    </xf>
    <xf numFmtId="0" fontId="1" fillId="0" borderId="0" xfId="0" applyFont="1" applyFill="1" applyAlignment="1">
      <alignment horizontal="left" vertical="center"/>
    </xf>
    <xf numFmtId="0" fontId="14" fillId="0" borderId="0" xfId="0" applyFont="1" applyFill="1" applyBorder="1" applyAlignment="1">
      <alignment horizontal="left" vertical="center"/>
    </xf>
    <xf numFmtId="0" fontId="24" fillId="5" borderId="16" xfId="5" applyFont="1" applyFill="1" applyBorder="1" applyAlignment="1">
      <alignment horizontal="left" vertical="center"/>
      <protection locked="0" hidden="0"/>
    </xf>
    <xf numFmtId="0" fontId="24" fillId="0" borderId="17" xfId="5" applyFont="1" applyFill="1" applyBorder="1" applyAlignment="1">
      <alignment horizontal="left" vertical="center"/>
      <protection locked="0" hidden="0"/>
    </xf>
    <xf numFmtId="0" fontId="1" fillId="0" borderId="0" xfId="0" applyFont="1" applyFill="1" applyBorder="1" applyAlignment="1">
      <alignment horizontal="left" vertical="center"/>
      <protection locked="0" hidden="0"/>
    </xf>
    <xf numFmtId="0" fontId="14" fillId="4" borderId="16" xfId="5" applyFont="1" applyFill="1" applyBorder="1" applyAlignment="1">
      <alignment horizontal="left" vertical="center"/>
      <protection locked="0" hidden="0"/>
    </xf>
    <xf numFmtId="0" fontId="14" fillId="0" borderId="17" xfId="5" applyFont="1" applyFill="1" applyBorder="1" applyAlignment="1">
      <alignment horizontal="left" vertical="center"/>
      <protection locked="0" hidden="0"/>
    </xf>
    <xf numFmtId="0" fontId="24" fillId="0" borderId="30" xfId="5" applyFont="1" applyFill="1" applyBorder="1" applyAlignment="1">
      <alignment horizontal="left" vertical="center"/>
      <protection locked="0" hidden="0"/>
    </xf>
    <xf numFmtId="0" fontId="24" fillId="0" borderId="31" xfId="5" applyFont="1" applyFill="1" applyBorder="1" applyAlignment="1">
      <alignment horizontal="left" vertical="center"/>
      <protection locked="0" hidden="0"/>
    </xf>
    <xf numFmtId="0" fontId="108" fillId="0" borderId="9" xfId="0" applyFont="1" applyBorder="1">
      <alignment vertical="center"/>
    </xf>
    <xf numFmtId="0" fontId="1" fillId="18" borderId="184" xfId="0" applyFont="1" applyFill="1" applyBorder="1" applyAlignment="1">
      <alignment horizontal="left" vertical="center"/>
    </xf>
    <xf numFmtId="0" fontId="1" fillId="0" borderId="106" xfId="0" applyFont="1" applyBorder="1" applyAlignment="1">
      <alignment horizontal="left" vertical="center"/>
    </xf>
    <xf numFmtId="0" fontId="14" fillId="0" borderId="0" xfId="0" applyFont="1" applyFill="1" applyBorder="1" applyAlignment="1">
      <alignment horizontal="left" vertical="center"/>
      <protection locked="0" hidden="0"/>
    </xf>
    <xf numFmtId="0" fontId="108" fillId="0" borderId="17" xfId="0" applyFont="1" applyBorder="1">
      <alignment vertical="center"/>
    </xf>
    <xf numFmtId="0" fontId="1" fillId="18" borderId="189" xfId="0" applyFont="1" applyFill="1" applyBorder="1" applyAlignment="1">
      <alignment horizontal="left" vertical="center"/>
    </xf>
    <xf numFmtId="0" fontId="1" fillId="0" borderId="0" xfId="0" applyFont="1" applyBorder="1" applyAlignment="1">
      <alignment horizontal="left" vertical="center" wrapText="1"/>
    </xf>
    <xf numFmtId="176" fontId="1" fillId="0" borderId="17" xfId="0" applyNumberFormat="1" applyFont="1" applyFill="1" applyBorder="1" applyAlignment="1">
      <alignment horizontal="left" vertical="center"/>
      <protection locked="0" hidden="0"/>
    </xf>
    <xf numFmtId="0" fontId="1" fillId="4" borderId="190" xfId="0" applyFont="1" applyFill="1" applyBorder="1" applyAlignment="1">
      <alignment horizontal="left" vertical="center"/>
    </xf>
    <xf numFmtId="0" fontId="1" fillId="0" borderId="0" xfId="0" applyFont="1" applyFill="1" applyBorder="1" applyAlignment="1">
      <alignment horizontal="left" vertical="center" wrapText="1"/>
      <protection locked="0" hidden="0"/>
    </xf>
    <xf numFmtId="0" fontId="1" fillId="4" borderId="189" xfId="0" applyFont="1" applyFill="1" applyBorder="1" applyAlignment="1">
      <alignment horizontal="left" vertical="center"/>
    </xf>
    <xf numFmtId="0" fontId="1" fillId="0" borderId="175" xfId="0" applyFont="1" applyBorder="1" applyAlignment="1">
      <alignment horizontal="left" vertical="center"/>
    </xf>
    <xf numFmtId="0" fontId="1" fillId="5" borderId="8" xfId="0" applyFont="1" applyFill="1" applyBorder="1" applyAlignment="1">
      <alignment horizontal="left" vertical="center"/>
    </xf>
    <xf numFmtId="0" fontId="1" fillId="5" borderId="9" xfId="0" applyFont="1" applyFill="1" applyBorder="1" applyAlignment="1">
      <alignment horizontal="left" vertical="center"/>
    </xf>
    <xf numFmtId="49" fontId="14" fillId="0" borderId="7" xfId="0" applyNumberFormat="1" applyFont="1" applyFill="1" applyBorder="1" applyAlignment="1">
      <alignment horizontal="left" vertical="center"/>
      <protection locked="0" hidden="1"/>
    </xf>
    <xf numFmtId="0" fontId="1" fillId="4" borderId="29" xfId="0" applyFont="1" applyFill="1" applyBorder="1" applyAlignment="1">
      <alignment horizontal="left" vertical="center"/>
    </xf>
    <xf numFmtId="0" fontId="1" fillId="0" borderId="16" xfId="0" applyFont="1" applyFill="1" applyBorder="1" applyAlignment="1">
      <alignment horizontal="left" vertical="center"/>
      <protection locked="0" hidden="0"/>
    </xf>
    <xf numFmtId="0" fontId="1" fillId="0" borderId="149" xfId="0" applyFont="1" applyBorder="1" applyAlignment="1">
      <alignment horizontal="left" vertical="center"/>
    </xf>
    <xf numFmtId="49" fontId="14" fillId="0" borderId="16" xfId="0" applyNumberFormat="1" applyFont="1" applyFill="1" applyBorder="1" applyAlignment="1">
      <alignment horizontal="left" vertical="center"/>
      <protection locked="0" hidden="1"/>
    </xf>
    <xf numFmtId="0" fontId="1" fillId="0" borderId="187" xfId="0" applyFont="1" applyBorder="1" applyAlignment="1">
      <alignment horizontal="left" vertical="center" wrapText="1"/>
    </xf>
    <xf numFmtId="0" fontId="1" fillId="0" borderId="17" xfId="0" applyFont="1" applyBorder="1" applyAlignment="1">
      <alignment horizontal="left" vertical="center"/>
    </xf>
    <xf numFmtId="0" fontId="1" fillId="0" borderId="30" xfId="0" applyFont="1" applyBorder="1" applyAlignment="1">
      <alignment horizontal="left" vertical="center" wrapText="1"/>
    </xf>
    <xf numFmtId="0" fontId="1" fillId="4" borderId="191" xfId="0" applyFont="1" applyFill="1" applyBorder="1" applyAlignment="1">
      <alignment horizontal="left" vertical="center"/>
    </xf>
    <xf numFmtId="49" fontId="14" fillId="0" borderId="16" xfId="0" applyNumberFormat="1" applyFont="1" applyFill="1" applyBorder="1" applyAlignment="1">
      <alignment horizontal="left" vertical="center" wrapText="1"/>
      <protection locked="0" hidden="1"/>
    </xf>
    <xf numFmtId="0" fontId="1" fillId="18" borderId="192" xfId="0" applyFont="1" applyFill="1" applyBorder="1" applyAlignment="1">
      <alignment horizontal="left" vertical="center"/>
    </xf>
    <xf numFmtId="0" fontId="1" fillId="0" borderId="160" xfId="0" applyFont="1" applyBorder="1" applyAlignment="1">
      <alignment horizontal="left" vertical="center"/>
    </xf>
    <xf numFmtId="0" fontId="1" fillId="0" borderId="161" xfId="0" applyFont="1" applyBorder="1" applyAlignment="1">
      <alignment horizontal="left" vertical="center"/>
    </xf>
    <xf numFmtId="0" fontId="1" fillId="0" borderId="193" xfId="0" applyFont="1" applyBorder="1" applyAlignment="1">
      <alignment horizontal="left" vertical="center"/>
    </xf>
    <xf numFmtId="174" fontId="14" fillId="0" borderId="16" xfId="0" applyNumberFormat="1" applyFont="1" applyFill="1" applyBorder="1" applyAlignment="1">
      <alignment horizontal="left" vertical="center"/>
      <protection locked="0" hidden="1"/>
    </xf>
    <xf numFmtId="0" fontId="1" fillId="4" borderId="16" xfId="0" applyFont="1" applyFill="1" applyBorder="1" applyAlignment="1">
      <alignment horizontal="left" vertical="center"/>
    </xf>
    <xf numFmtId="0" fontId="1" fillId="4" borderId="111" xfId="0" applyFont="1" applyFill="1" applyBorder="1" applyAlignment="1">
      <alignment horizontal="left" vertical="center"/>
    </xf>
    <xf numFmtId="0" fontId="1" fillId="0" borderId="181" xfId="0" applyFont="1" applyBorder="1" applyAlignment="1">
      <alignment horizontal="left" vertical="center"/>
    </xf>
    <xf numFmtId="0" fontId="1" fillId="0" borderId="29" xfId="0" applyFont="1" applyBorder="1" applyAlignment="1">
      <alignment horizontal="left" vertical="center"/>
    </xf>
    <xf numFmtId="0" fontId="1" fillId="0" borderId="31" xfId="0" applyFont="1" applyBorder="1" applyAlignment="1">
      <alignment horizontal="left" vertical="center"/>
    </xf>
    <xf numFmtId="0" fontId="1" fillId="4" borderId="30" xfId="0" applyFont="1" applyFill="1" applyBorder="1" applyAlignment="1">
      <alignment horizontal="left" vertical="center"/>
    </xf>
    <xf numFmtId="0" fontId="1" fillId="4" borderId="164" xfId="0" applyFont="1" applyFill="1" applyBorder="1" applyAlignment="1">
      <alignment horizontal="left" vertical="center"/>
    </xf>
    <xf numFmtId="0" fontId="1" fillId="4" borderId="187" xfId="0" applyFont="1" applyFill="1" applyBorder="1" applyAlignment="1">
      <alignment horizontal="left" vertical="center"/>
    </xf>
    <xf numFmtId="0" fontId="1" fillId="22" borderId="163" xfId="0" applyNumberFormat="1" applyFont="1" applyFill="1" applyBorder="1" applyAlignment="1">
      <alignment horizontal="left" vertical="center"/>
    </xf>
    <xf numFmtId="0" fontId="1" fillId="22" borderId="0" xfId="0" applyNumberFormat="1" applyFont="1" applyFill="1" applyBorder="1" applyAlignment="1">
      <alignment horizontal="left" vertical="center"/>
      <protection locked="0" hidden="0"/>
    </xf>
    <xf numFmtId="0" fontId="1" fillId="22" borderId="0" xfId="0" applyNumberFormat="1" applyFont="1" applyFill="1" applyBorder="1" applyAlignment="1">
      <alignment horizontal="left" vertical="center"/>
    </xf>
    <xf numFmtId="0" fontId="22" fillId="0" borderId="0" xfId="0" applyNumberFormat="1" applyFont="1" applyFill="1" applyBorder="1" applyAlignment="1">
      <alignment horizontal="left" vertical="center"/>
      <protection locked="0" hidden="0"/>
    </xf>
    <xf numFmtId="0" fontId="8" fillId="0" borderId="0" xfId="0" applyNumberFormat="1" applyFont="1" applyFill="1" applyBorder="1" applyAlignment="1">
      <alignment horizontal="left" vertical="center"/>
      <protection locked="0" hidden="0"/>
    </xf>
    <xf numFmtId="0" fontId="1" fillId="0" borderId="163" xfId="0" applyNumberFormat="1" applyFont="1" applyFill="1" applyBorder="1" applyAlignment="1">
      <alignment horizontal="left" vertical="center"/>
    </xf>
    <xf numFmtId="0" fontId="1"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09" fillId="36" borderId="0" xfId="5" applyFont="1" applyFill="1" applyBorder="1" applyAlignment="1">
      <alignment horizontal="left" vertical="center"/>
      <protection locked="0" hidden="0"/>
    </xf>
    <xf numFmtId="0" fontId="1" fillId="0" borderId="0" xfId="0" applyFont="1" applyFill="1" applyAlignment="1">
      <alignment horizontal="left" vertical="center" wrapText="1"/>
      <protection locked="0" hidden="0"/>
    </xf>
    <xf numFmtId="0" fontId="1" fillId="0" borderId="0" xfId="0" applyFont="1" applyAlignment="1">
      <alignment horizontal="left" vertical="center" wrapText="1"/>
    </xf>
    <xf numFmtId="0" fontId="29" fillId="0" borderId="0" xfId="0" applyFont="1" applyFill="1" applyBorder="1" applyAlignment="1">
      <alignment horizontal="left" vertical="center" wrapText="1"/>
    </xf>
    <xf numFmtId="0" fontId="14" fillId="0" borderId="16" xfId="0" applyFont="1" applyBorder="1" applyAlignment="1">
      <alignment horizontal="left" vertical="center"/>
    </xf>
    <xf numFmtId="0" fontId="14" fillId="0" borderId="0" xfId="0" applyFont="1" applyAlignment="1">
      <alignment horizontal="left" vertical="center"/>
    </xf>
    <xf numFmtId="0" fontId="14" fillId="0" borderId="17" xfId="0" applyFont="1" applyBorder="1" applyAlignment="1">
      <alignment horizontal="left" vertical="center"/>
    </xf>
    <xf numFmtId="0" fontId="23" fillId="12" borderId="0" xfId="5" applyFont="1" applyFill="1" applyBorder="1" applyAlignment="1">
      <alignment horizontal="left" vertical="center"/>
      <protection locked="0" hidden="0"/>
    </xf>
    <xf numFmtId="0" fontId="14" fillId="18" borderId="187" xfId="0" applyFont="1" applyFill="1" applyBorder="1" applyAlignment="1">
      <alignment horizontal="left" vertical="center"/>
    </xf>
    <xf numFmtId="0" fontId="14" fillId="18" borderId="47" xfId="0" applyFont="1" applyFill="1" applyBorder="1" applyAlignment="1">
      <alignment horizontal="left" vertical="center"/>
    </xf>
    <xf numFmtId="0" fontId="14" fillId="18" borderId="48" xfId="0" applyFont="1" applyFill="1" applyBorder="1" applyAlignment="1">
      <alignment horizontal="left" vertical="center"/>
    </xf>
    <xf numFmtId="0" fontId="23" fillId="0" borderId="0" xfId="5" applyFont="1" applyBorder="1" applyAlignment="1">
      <alignment horizontal="left" vertical="center"/>
      <protection locked="0" hidden="0"/>
    </xf>
    <xf numFmtId="0" fontId="24" fillId="0" borderId="0" xfId="5" applyFont="1" applyBorder="1" applyAlignment="1">
      <alignment horizontal="left" vertical="center"/>
      <protection locked="0" hidden="0"/>
    </xf>
    <xf numFmtId="0" fontId="23" fillId="35" borderId="0" xfId="5" applyFont="1" applyFill="1" applyBorder="1" applyAlignment="1">
      <alignment horizontal="left" vertical="center"/>
      <protection locked="0" hidden="0"/>
    </xf>
    <xf numFmtId="0" fontId="14" fillId="35" borderId="0" xfId="5" applyFont="1" applyFill="1" applyBorder="1" applyAlignment="1">
      <alignment horizontal="left" vertical="center"/>
      <protection locked="0" hidden="0"/>
    </xf>
    <xf numFmtId="0" fontId="24" fillId="35" borderId="0" xfId="5" applyFont="1" applyFill="1" applyBorder="1" applyAlignment="1">
      <alignment horizontal="left" vertical="center"/>
      <protection locked="0" hidden="0"/>
    </xf>
    <xf numFmtId="0" fontId="23" fillId="0" borderId="0" xfId="5" applyFont="1" applyFill="1" applyBorder="1" applyAlignment="1">
      <alignment horizontal="left" vertical="center"/>
      <protection locked="0" hidden="0"/>
    </xf>
    <xf numFmtId="0" fontId="24" fillId="0" borderId="0" xfId="5" applyFont="1" applyFill="1" applyBorder="1" applyAlignment="1">
      <alignment horizontal="left" vertical="center"/>
      <protection locked="0" hidden="0"/>
    </xf>
    <xf numFmtId="0" fontId="14" fillId="0" borderId="0" xfId="5" applyFont="1" applyFill="1" applyBorder="1" applyAlignment="1">
      <alignment horizontal="left" vertical="center"/>
      <protection locked="0" hidden="0"/>
    </xf>
    <xf numFmtId="0" fontId="110" fillId="0" borderId="0" xfId="0" applyNumberFormat="1" applyFont="1" applyFill="1" applyBorder="1" applyAlignment="1">
      <alignment horizontal="left" vertical="center"/>
    </xf>
    <xf numFmtId="0" fontId="111" fillId="0" borderId="0" xfId="0" applyNumberFormat="1" applyFont="1" applyFill="1" applyBorder="1" applyAlignment="1">
      <alignment horizontal="left" vertical="center"/>
    </xf>
    <xf numFmtId="0" fontId="1" fillId="35" borderId="0" xfId="0" applyFont="1" applyFill="1" applyBorder="1" applyAlignment="1">
      <alignment horizontal="left" vertical="center"/>
    </xf>
    <xf numFmtId="0" fontId="1" fillId="0" borderId="0" xfId="0" applyFont="1" applyFill="1" applyBorder="1" applyAlignment="1">
      <alignment horizontal="left" vertical="center" wrapText="1"/>
      <protection locked="0" hidden="0"/>
    </xf>
    <xf numFmtId="0" fontId="14" fillId="46" borderId="7" xfId="0" applyFont="1" applyFill="1" applyBorder="1" applyAlignment="1">
      <alignment horizontal="left" vertical="center"/>
    </xf>
    <xf numFmtId="0" fontId="14" fillId="46" borderId="8" xfId="0" applyFont="1" applyFill="1" applyBorder="1" applyAlignment="1">
      <alignment horizontal="left" vertical="center"/>
    </xf>
    <xf numFmtId="0" fontId="14" fillId="46" borderId="9" xfId="0" applyFont="1" applyFill="1" applyBorder="1" applyAlignment="1">
      <alignment horizontal="left" vertical="center"/>
    </xf>
    <xf numFmtId="0" fontId="14" fillId="46" borderId="16" xfId="0" applyFont="1" applyFill="1" applyBorder="1" applyAlignment="1">
      <alignment horizontal="left" vertical="center"/>
    </xf>
    <xf numFmtId="0" fontId="14" fillId="46" borderId="0" xfId="0" applyFont="1" applyFill="1" applyAlignment="1">
      <alignment horizontal="left" vertical="center"/>
    </xf>
    <xf numFmtId="0" fontId="14" fillId="46" borderId="17" xfId="0" applyFont="1" applyFill="1" applyBorder="1" applyAlignment="1">
      <alignment horizontal="left" vertical="center"/>
    </xf>
    <xf numFmtId="0" fontId="14" fillId="0" borderId="30" xfId="0" applyFont="1" applyBorder="1" applyAlignment="1">
      <alignment horizontal="left" vertical="center"/>
    </xf>
    <xf numFmtId="0" fontId="14" fillId="0" borderId="30" xfId="0" applyFont="1" applyFill="1" applyBorder="1" applyAlignment="1">
      <alignment horizontal="left" vertical="center"/>
    </xf>
    <xf numFmtId="0" fontId="14" fillId="0" borderId="29" xfId="0" applyFont="1" applyFill="1" applyBorder="1" applyAlignment="1">
      <alignment horizontal="left" vertical="center"/>
    </xf>
    <xf numFmtId="0" fontId="14" fillId="0" borderId="31" xfId="0" applyFont="1" applyFill="1" applyBorder="1" applyAlignment="1">
      <alignment horizontal="left" vertical="center"/>
    </xf>
    <xf numFmtId="0" fontId="14" fillId="0" borderId="31" xfId="0" applyFont="1" applyBorder="1" applyAlignment="1">
      <alignment horizontal="left" vertical="center"/>
    </xf>
    <xf numFmtId="0" fontId="7" fillId="0" borderId="0" xfId="0" applyFont="1" applyFill="1" applyBorder="1" applyAlignment="1">
      <alignment horizontal="left" vertical="center"/>
      <protection locked="0" hidden="0"/>
    </xf>
    <xf numFmtId="0" fontId="3" fillId="2" borderId="58" xfId="0" applyFont="1" applyFill="1" applyBorder="1" applyAlignment="1">
      <alignment horizontal="left" vertical="center"/>
    </xf>
    <xf numFmtId="0" fontId="3" fillId="2" borderId="59" xfId="0" applyFont="1" applyFill="1" applyBorder="1" applyAlignment="1">
      <alignment horizontal="left" vertical="center"/>
    </xf>
    <xf numFmtId="0" fontId="112" fillId="2" borderId="49" xfId="0" applyFont="1" applyFill="1" applyBorder="1" applyAlignment="1">
      <alignment horizontal="left" vertical="center"/>
    </xf>
    <xf numFmtId="0" fontId="112" fillId="2" borderId="65" xfId="0" applyFont="1" applyFill="1" applyBorder="1" applyAlignment="1">
      <alignment horizontal="left" vertical="center"/>
    </xf>
    <xf numFmtId="0" fontId="3" fillId="2" borderId="49" xfId="0" applyFont="1" applyFill="1" applyBorder="1" applyAlignment="1">
      <alignment horizontal="left" vertical="center"/>
    </xf>
    <xf numFmtId="0" fontId="3" fillId="2" borderId="60" xfId="0" applyFont="1" applyFill="1" applyBorder="1" applyAlignment="1">
      <alignment horizontal="left" vertical="center"/>
    </xf>
    <xf numFmtId="0" fontId="30" fillId="0" borderId="0" xfId="0" applyFont="1" applyFill="1" applyBorder="1" applyAlignment="1">
      <alignment horizontal="left" vertical="center"/>
      <protection locked="0" hidden="0"/>
    </xf>
    <xf numFmtId="0" fontId="30" fillId="0" borderId="0" xfId="0" applyFont="1" applyFill="1" applyBorder="1" applyAlignment="1">
      <alignment horizontal="left" vertical="bottom"/>
      <protection locked="0" hidden="0"/>
    </xf>
    <xf numFmtId="0" fontId="113" fillId="0" borderId="56" xfId="0" applyFont="1" applyFill="1" applyBorder="1" applyAlignment="1">
      <alignment horizontal="left" vertical="center" wrapText="1"/>
    </xf>
    <xf numFmtId="0" fontId="113" fillId="0" borderId="22" xfId="0" applyFont="1" applyFill="1" applyBorder="1" applyAlignment="1">
      <alignment horizontal="left" vertical="center" wrapText="1"/>
    </xf>
    <xf numFmtId="0" fontId="113" fillId="0" borderId="57" xfId="0" applyFont="1" applyFill="1" applyBorder="1" applyAlignment="1">
      <alignment horizontal="left" vertical="center" wrapText="1"/>
    </xf>
    <xf numFmtId="180" fontId="68" fillId="0" borderId="19" xfId="0" applyNumberFormat="1" applyFont="1" applyFill="1" applyBorder="1" applyAlignment="1">
      <alignment horizontal="left" vertical="center"/>
      <protection locked="0" hidden="0"/>
    </xf>
    <xf numFmtId="180" fontId="68" fillId="0" borderId="51" xfId="0" applyNumberFormat="1" applyFont="1" applyFill="1" applyBorder="1" applyAlignment="1">
      <alignment horizontal="left" vertical="center"/>
      <protection locked="0" hidden="0"/>
    </xf>
    <xf numFmtId="0" fontId="113" fillId="0" borderId="16" xfId="0" applyFont="1" applyFill="1" applyBorder="1" applyAlignment="1">
      <alignment horizontal="left" vertical="center" wrapText="1"/>
    </xf>
    <xf numFmtId="0" fontId="113" fillId="0" borderId="0" xfId="0" applyFont="1" applyFill="1" applyAlignment="1">
      <alignment horizontal="left" vertical="center" wrapText="1"/>
    </xf>
    <xf numFmtId="0" fontId="113" fillId="0" borderId="46" xfId="0" applyFont="1" applyFill="1" applyBorder="1" applyAlignment="1">
      <alignment horizontal="left" vertical="center" wrapText="1"/>
    </xf>
    <xf numFmtId="180" fontId="68" fillId="0" borderId="41" xfId="0" applyNumberFormat="1" applyFont="1" applyFill="1" applyBorder="1" applyAlignment="1">
      <alignment horizontal="left" vertical="center"/>
      <protection locked="0" hidden="0"/>
    </xf>
    <xf numFmtId="180" fontId="68" fillId="0" borderId="17" xfId="0" applyNumberFormat="1" applyFont="1" applyFill="1" applyBorder="1" applyAlignment="1">
      <alignment horizontal="left" vertical="center"/>
      <protection locked="0" hidden="0"/>
    </xf>
    <xf numFmtId="0" fontId="8" fillId="0" borderId="0" xfId="0" applyFont="1" applyFill="1" applyBorder="1" applyAlignment="1">
      <alignment horizontal="left" vertical="top"/>
      <protection locked="0" hidden="0"/>
    </xf>
    <xf numFmtId="0" fontId="22" fillId="0" borderId="0" xfId="0" applyFont="1" applyFill="1" applyBorder="1" applyAlignment="1">
      <alignment horizontal="left" vertical="center"/>
      <protection locked="0" hidden="0"/>
    </xf>
    <xf numFmtId="0" fontId="113" fillId="0" borderId="30" xfId="0" applyFont="1" applyFill="1" applyBorder="1" applyAlignment="1">
      <alignment horizontal="left" vertical="center" wrapText="1"/>
    </xf>
    <xf numFmtId="0" fontId="113" fillId="0" borderId="29" xfId="0" applyFont="1" applyFill="1" applyBorder="1" applyAlignment="1">
      <alignment horizontal="left" vertical="center" wrapText="1"/>
    </xf>
    <xf numFmtId="0" fontId="113" fillId="0" borderId="44" xfId="0" applyFont="1" applyFill="1" applyBorder="1" applyAlignment="1">
      <alignment horizontal="left" vertical="center" wrapText="1"/>
    </xf>
    <xf numFmtId="180" fontId="68" fillId="0" borderId="28" xfId="0" applyNumberFormat="1" applyFont="1" applyFill="1" applyBorder="1" applyAlignment="1">
      <alignment horizontal="left" vertical="center"/>
      <protection locked="0" hidden="0"/>
    </xf>
    <xf numFmtId="180" fontId="68" fillId="0" borderId="31" xfId="0" applyNumberFormat="1" applyFont="1" applyFill="1" applyBorder="1" applyAlignment="1">
      <alignment horizontal="left" vertical="center"/>
      <protection locked="0" hidden="0"/>
    </xf>
    <xf numFmtId="0" fontId="48" fillId="0" borderId="0" xfId="0" applyFont="1" applyFill="1" applyBorder="1" applyAlignment="1">
      <alignment horizontal="left" vertical="center"/>
      <protection locked="0" hidden="0"/>
    </xf>
    <xf numFmtId="0" fontId="1" fillId="0" borderId="0" xfId="0" applyFont="1" applyFill="1" applyBorder="1" applyAlignment="1">
      <alignment horizontal="left" vertical="top" wrapText="1"/>
      <protection locked="0" hidden="0"/>
    </xf>
    <xf numFmtId="0" fontId="30" fillId="0" borderId="0" xfId="0" applyFont="1" applyFill="1" applyBorder="1" applyAlignment="1">
      <alignment horizontal="left" vertical="top" wrapText="1"/>
      <protection locked="0" hidden="0"/>
    </xf>
    <xf numFmtId="0" fontId="1" fillId="0" borderId="0" xfId="0" applyNumberFormat="1" applyFont="1" applyFill="1" applyBorder="1" applyAlignment="1">
      <alignment horizontal="left" vertical="center"/>
      <protection locked="0" hidden="0"/>
    </xf>
    <xf numFmtId="0" fontId="10" fillId="0" borderId="0" xfId="0" applyFont="1" applyFill="1" applyBorder="1" applyAlignment="1">
      <alignment horizontal="left" vertical="center"/>
      <protection locked="0" hidden="0"/>
    </xf>
    <xf numFmtId="0" fontId="109" fillId="0" borderId="0" xfId="5" applyFont="1" applyFill="1" applyBorder="1" applyAlignment="1">
      <alignment horizontal="left" vertical="center"/>
      <protection locked="0" hidden="0"/>
    </xf>
    <xf numFmtId="0" fontId="1" fillId="0" borderId="0" xfId="0" applyNumberFormat="1" applyFont="1" applyFill="1" applyBorder="1" applyAlignment="1">
      <alignment horizontal="left" vertical="center" wrapText="1"/>
      <protection locked="0" hidden="0"/>
    </xf>
    <xf numFmtId="0" fontId="1" fillId="0" borderId="0" xfId="0" applyFont="1" applyFill="1" applyBorder="1" applyAlignment="1">
      <alignment horizontal="left" vertical="top"/>
      <protection locked="0" hidden="0"/>
    </xf>
    <xf numFmtId="0" fontId="8" fillId="0" borderId="0" xfId="0" applyFont="1" applyFill="1" applyAlignment="1">
      <alignment horizontal="left" vertical="center"/>
      <protection locked="0" hidden="0"/>
    </xf>
    <xf numFmtId="0" fontId="14" fillId="0" borderId="0" xfId="0" applyNumberFormat="1" applyFont="1" applyFill="1" applyBorder="1" applyAlignment="1">
      <alignment horizontal="left" vertical="center" wrapText="1"/>
      <protection locked="0" hidden="0"/>
    </xf>
    <xf numFmtId="174" fontId="14" fillId="0" borderId="0" xfId="0" applyNumberFormat="1" applyFont="1" applyFill="1" applyBorder="1" applyAlignment="1">
      <alignment horizontal="left" vertical="center" wrapText="1"/>
      <protection locked="0" hidden="1"/>
    </xf>
    <xf numFmtId="0" fontId="1" fillId="0" borderId="0" xfId="0" applyFont="1" applyFill="1" applyBorder="1" applyAlignment="1">
      <alignment horizontal="left" vertical="center" wrapText="1"/>
    </xf>
    <xf numFmtId="0" fontId="22" fillId="0" borderId="0" xfId="0" applyFont="1" applyFill="1" applyBorder="1" applyAlignment="1">
      <alignment horizontal="left" vertical="top"/>
      <protection locked="0" hidden="0"/>
    </xf>
    <xf numFmtId="0" fontId="114" fillId="0" borderId="0" xfId="0" applyNumberFormat="1" applyFont="1" applyFill="1" applyBorder="1" applyAlignment="1">
      <alignment horizontal="left" vertical="center"/>
    </xf>
    <xf numFmtId="0" fontId="8" fillId="0" borderId="0" xfId="0" applyFont="1" applyFill="1" applyBorder="1" applyAlignment="1">
      <alignment horizontal="left" vertical="center" wrapText="1"/>
      <protection locked="0" hidden="0"/>
    </xf>
    <xf numFmtId="0" fontId="8" fillId="0" borderId="0" xfId="0" applyFont="1" applyFill="1" applyBorder="1" applyAlignment="1">
      <alignment horizontal="left" vertical="center"/>
      <protection locked="0" hidden="1"/>
    </xf>
    <xf numFmtId="0" fontId="22" fillId="0" borderId="0" xfId="0" applyFont="1" applyFill="1" applyBorder="1" applyAlignment="1">
      <alignment horizontal="left" vertical="center" wrapText="1"/>
      <protection locked="0" hidden="0"/>
    </xf>
    <xf numFmtId="0" fontId="82" fillId="0" borderId="0" xfId="5" applyFill="1" applyBorder="1" applyAlignment="1">
      <alignment horizontal="left" vertical="center"/>
      <protection locked="0" hidden="0"/>
    </xf>
    <xf numFmtId="0" fontId="14" fillId="0" borderId="0" xfId="5" applyFont="1" applyBorder="1" applyAlignment="1">
      <alignment horizontal="left" vertical="center"/>
      <protection locked="0" hidden="0"/>
    </xf>
    <xf numFmtId="0" fontId="8" fillId="0" borderId="7" xfId="0" applyFont="1" applyFill="1" applyBorder="1" applyAlignment="1">
      <alignment horizontal="left" vertical="center"/>
      <protection locked="0" hidden="1"/>
    </xf>
    <xf numFmtId="0" fontId="8" fillId="0" borderId="8" xfId="0" applyFont="1" applyFill="1" applyBorder="1" applyAlignment="1">
      <alignment horizontal="left" vertical="center"/>
      <protection locked="0" hidden="0"/>
    </xf>
    <xf numFmtId="0" fontId="1" fillId="0" borderId="194" xfId="0" applyFont="1" applyBorder="1" applyAlignment="1">
      <alignment horizontal="left" vertical="center"/>
    </xf>
    <xf numFmtId="49" fontId="1" fillId="0" borderId="0" xfId="0" applyNumberFormat="1" applyFont="1" applyAlignment="1">
      <alignment horizontal="left" vertical="center"/>
    </xf>
    <xf numFmtId="0" fontId="22" fillId="0" borderId="17" xfId="0" applyFont="1" applyFill="1" applyBorder="1" applyAlignment="1">
      <alignment horizontal="left" vertical="center"/>
      <protection locked="0" hidden="0"/>
    </xf>
    <xf numFmtId="0" fontId="13" fillId="0" borderId="0" xfId="0" applyFont="1" applyAlignment="1">
      <alignment horizontal="left" vertical="center"/>
    </xf>
    <xf numFmtId="0" fontId="22" fillId="0" borderId="0" xfId="0" applyFont="1" applyFill="1" applyBorder="1" applyAlignment="1">
      <alignment horizontal="left" vertical="top" wrapText="1"/>
      <protection locked="0" hidden="0"/>
    </xf>
    <xf numFmtId="0" fontId="1" fillId="0" borderId="16" xfId="0" applyFont="1" applyFill="1" applyBorder="1" applyAlignment="1">
      <alignment horizontal="left" vertical="bottom"/>
      <protection locked="0" hidden="0"/>
    </xf>
    <xf numFmtId="0" fontId="82" fillId="0" borderId="7" xfId="0" applyFont="1" applyFill="1" applyBorder="1" applyAlignment="1">
      <alignment horizontal="left" vertical="center"/>
    </xf>
    <xf numFmtId="49" fontId="115" fillId="47" borderId="8" xfId="5" applyNumberFormat="1" applyFont="1" applyFill="1" applyBorder="1" applyAlignment="1">
      <alignment horizontal="left" vertical="top" wrapText="1"/>
    </xf>
    <xf numFmtId="49" fontId="115" fillId="47" borderId="9" xfId="5" applyNumberFormat="1" applyFont="1" applyFill="1" applyBorder="1" applyAlignment="1">
      <alignment horizontal="left" vertical="top" wrapText="1"/>
    </xf>
    <xf numFmtId="0" fontId="82" fillId="0" borderId="8" xfId="0" applyFont="1" applyFill="1" applyBorder="1" applyAlignment="1">
      <alignment horizontal="left" vertical="center"/>
    </xf>
    <xf numFmtId="0" fontId="82" fillId="0" borderId="16" xfId="0" applyFont="1" applyFill="1" applyBorder="1" applyAlignment="1">
      <alignment horizontal="left" vertical="center"/>
    </xf>
    <xf numFmtId="49" fontId="76" fillId="0" borderId="0" xfId="5" applyNumberFormat="1" applyFont="1" applyFill="1" applyBorder="1" applyAlignment="1">
      <alignment horizontal="left" vertical="center" wrapText="1"/>
    </xf>
    <xf numFmtId="49" fontId="76" fillId="0" borderId="17" xfId="5" applyNumberFormat="1" applyFont="1" applyFill="1" applyBorder="1" applyAlignment="1">
      <alignment horizontal="left" vertical="center" wrapText="1"/>
    </xf>
    <xf numFmtId="0" fontId="82" fillId="0" borderId="0" xfId="0" applyFont="1" applyFill="1" applyBorder="1" applyAlignment="1">
      <alignment horizontal="left" vertical="center"/>
    </xf>
    <xf numFmtId="0" fontId="8" fillId="0" borderId="0" xfId="0" applyFont="1" applyFill="1" applyBorder="1" applyAlignment="1">
      <alignment horizontal="left" vertical="top" wrapText="1"/>
      <protection locked="0" hidden="0"/>
    </xf>
    <xf numFmtId="0" fontId="114" fillId="0" borderId="0" xfId="0" applyNumberFormat="1" applyFont="1" applyFill="1" applyBorder="1" applyAlignment="1">
      <alignment horizontal="left" vertical="center" wrapText="1"/>
    </xf>
    <xf numFmtId="0" fontId="1" fillId="0" borderId="100" xfId="0" applyNumberFormat="1" applyFont="1" applyFill="1" applyBorder="1" applyAlignment="1">
      <alignment horizontal="left" vertical="center"/>
    </xf>
    <xf numFmtId="0" fontId="1" fillId="0" borderId="100" xfId="0" applyNumberFormat="1" applyFont="1" applyFill="1" applyBorder="1" applyAlignment="1">
      <alignment horizontal="left" vertical="center" wrapText="1"/>
    </xf>
    <xf numFmtId="0" fontId="3" fillId="0" borderId="0" xfId="0" applyFont="1" applyFill="1" applyBorder="1" applyAlignment="1">
      <alignment horizontal="left" vertical="center"/>
    </xf>
    <xf numFmtId="0" fontId="113" fillId="0" borderId="54" xfId="0" applyFont="1" applyFill="1" applyBorder="1" applyAlignment="1">
      <alignment horizontal="left" vertical="center" wrapText="1"/>
    </xf>
    <xf numFmtId="0" fontId="113" fillId="0" borderId="0" xfId="0" applyFont="1" applyFill="1" applyBorder="1" applyAlignment="1">
      <alignment horizontal="left" vertical="center" wrapText="1"/>
    </xf>
    <xf numFmtId="180" fontId="68" fillId="0" borderId="0" xfId="0" applyNumberFormat="1" applyFont="1" applyFill="1" applyBorder="1" applyAlignment="1">
      <alignment horizontal="left" vertical="center"/>
    </xf>
    <xf numFmtId="0" fontId="113" fillId="0" borderId="80" xfId="0" applyFont="1" applyFill="1" applyBorder="1" applyAlignment="1">
      <alignment horizontal="left" vertical="center" wrapText="1"/>
    </xf>
    <xf numFmtId="0" fontId="113" fillId="0" borderId="69" xfId="0" applyFont="1" applyFill="1" applyBorder="1" applyAlignment="1">
      <alignment horizontal="left" vertical="center" wrapText="1"/>
    </xf>
    <xf numFmtId="0" fontId="113" fillId="0" borderId="19" xfId="0" applyFont="1" applyFill="1" applyBorder="1" applyAlignment="1">
      <alignment horizontal="left" vertical="center" wrapText="1"/>
    </xf>
    <xf numFmtId="0" fontId="114" fillId="0" borderId="0" xfId="0" applyFont="1" applyAlignment="1">
      <alignment horizontal="left" vertical="center"/>
    </xf>
    <xf numFmtId="0" fontId="108"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9" xfId="0" applyFont="1" applyFill="1" applyBorder="1" applyAlignment="1">
      <alignment horizontal="left" vertical="center" wrapText="1"/>
    </xf>
    <xf numFmtId="0" fontId="1" fillId="0" borderId="0" xfId="0" applyFont="1" applyFill="1" applyAlignment="1">
      <alignment horizontal="left" vertical="center" wrapText="1"/>
    </xf>
    <xf numFmtId="0" fontId="34" fillId="0" borderId="184" xfId="0" applyNumberFormat="1" applyFont="1" applyFill="1" applyBorder="1" applyAlignment="1">
      <alignment horizontal="left" vertical="center"/>
    </xf>
    <xf numFmtId="0" fontId="1" fillId="0" borderId="17" xfId="0" applyFont="1" applyFill="1" applyBorder="1" applyAlignment="1">
      <alignment horizontal="left" vertical="center" wrapText="1"/>
    </xf>
    <xf numFmtId="0" fontId="34" fillId="0" borderId="185" xfId="0" applyNumberFormat="1" applyFont="1" applyFill="1" applyBorder="1" applyAlignment="1">
      <alignment horizontal="left" vertical="center"/>
    </xf>
    <xf numFmtId="0" fontId="116" fillId="0" borderId="0" xfId="0" applyFont="1" applyAlignment="1">
      <alignment horizontal="left" vertical="center"/>
    </xf>
    <xf numFmtId="0" fontId="72" fillId="0" borderId="0" xfId="0" applyFont="1" applyFill="1" applyAlignment="1">
      <alignment horizontal="left" vertical="center"/>
    </xf>
    <xf numFmtId="0" fontId="34" fillId="0" borderId="0" xfId="0" applyFont="1" applyAlignment="1">
      <alignment horizontal="left" vertical="center"/>
    </xf>
    <xf numFmtId="0" fontId="72" fillId="0" borderId="0" xfId="0" applyFont="1" applyAlignment="1">
      <alignment horizontal="left" vertical="center"/>
    </xf>
    <xf numFmtId="0" fontId="1" fillId="0" borderId="31" xfId="0" applyFont="1" applyFill="1" applyBorder="1" applyAlignment="1">
      <alignment horizontal="left" vertical="center" wrapText="1"/>
    </xf>
    <xf numFmtId="0" fontId="1" fillId="0" borderId="0" xfId="0" applyFont="1" applyAlignment="1">
      <alignment horizontal="left" vertical="center" wrapText="1"/>
    </xf>
    <xf numFmtId="0" fontId="72" fillId="0" borderId="17" xfId="0" applyFont="1" applyBorder="1" applyAlignment="1">
      <alignment horizontal="left" vertical="center"/>
    </xf>
    <xf numFmtId="49" fontId="1" fillId="0" borderId="0" xfId="0" applyNumberFormat="1" applyFont="1" applyFill="1" applyAlignment="1">
      <alignment horizontal="left" vertical="center"/>
    </xf>
    <xf numFmtId="49" fontId="1" fillId="0" borderId="29" xfId="0" applyNumberFormat="1" applyFont="1" applyBorder="1" applyAlignment="1">
      <alignment horizontal="left" vertical="center"/>
    </xf>
    <xf numFmtId="0" fontId="13" fillId="0" borderId="0" xfId="0" applyFont="1" applyBorder="1" applyAlignment="1">
      <alignment horizontal="left" vertical="center"/>
    </xf>
    <xf numFmtId="0" fontId="29" fillId="0" borderId="0"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82" fillId="0" borderId="30" xfId="0" applyFont="1" applyFill="1" applyBorder="1" applyAlignment="1">
      <alignment horizontal="left" vertical="center"/>
    </xf>
    <xf numFmtId="49" fontId="76" fillId="0" borderId="29" xfId="5" applyNumberFormat="1" applyFont="1" applyFill="1" applyBorder="1" applyAlignment="1">
      <alignment horizontal="left" vertical="center" wrapText="1"/>
    </xf>
    <xf numFmtId="49" fontId="76" fillId="0" borderId="31" xfId="5" applyNumberFormat="1" applyFont="1" applyFill="1" applyBorder="1" applyAlignment="1">
      <alignment horizontal="left" vertical="center" wrapText="1"/>
    </xf>
    <xf numFmtId="0" fontId="82" fillId="0" borderId="29" xfId="0" applyFont="1" applyFill="1" applyBorder="1" applyAlignment="1">
      <alignment horizontal="left" vertical="center"/>
    </xf>
    <xf numFmtId="0" fontId="29" fillId="0" borderId="29" xfId="0" applyFont="1" applyFill="1" applyBorder="1" applyAlignment="1">
      <alignment horizontal="left" vertical="center" wrapText="1"/>
    </xf>
    <xf numFmtId="0" fontId="29" fillId="0" borderId="31" xfId="0" applyFont="1" applyFill="1" applyBorder="1" applyAlignment="1">
      <alignment horizontal="left" vertical="center" wrapText="1"/>
    </xf>
    <xf numFmtId="0" fontId="7" fillId="48" borderId="174" xfId="0" applyFont="1" applyFill="1" applyBorder="1" applyAlignment="1">
      <alignment horizontal="left" vertical="center"/>
      <protection locked="0" hidden="0"/>
    </xf>
    <xf numFmtId="0" fontId="7" fillId="48" borderId="8" xfId="0" applyFont="1" applyFill="1" applyBorder="1" applyAlignment="1">
      <alignment horizontal="left" vertical="center"/>
      <protection locked="0" hidden="0"/>
    </xf>
    <xf numFmtId="0" fontId="7" fillId="30" borderId="174" xfId="0" applyFont="1" applyFill="1" applyBorder="1" applyAlignment="1">
      <alignment horizontal="left" vertical="center"/>
      <protection locked="0" hidden="0"/>
    </xf>
    <xf numFmtId="0" fontId="7" fillId="30" borderId="9" xfId="0" applyFont="1" applyFill="1" applyBorder="1" applyAlignment="1">
      <alignment horizontal="left" vertical="center"/>
      <protection locked="0" hidden="0"/>
    </xf>
    <xf numFmtId="0" fontId="7" fillId="30" borderId="8" xfId="0" applyFont="1" applyFill="1" applyBorder="1" applyAlignment="1">
      <alignment horizontal="left" vertical="center"/>
      <protection locked="0" hidden="0"/>
    </xf>
    <xf numFmtId="0" fontId="7" fillId="48" borderId="7" xfId="0" applyFont="1" applyFill="1" applyBorder="1" applyAlignment="1">
      <alignment horizontal="left" vertical="center"/>
      <protection locked="0" hidden="0"/>
    </xf>
    <xf numFmtId="0" fontId="7" fillId="48" borderId="9" xfId="0" applyFont="1" applyFill="1" applyBorder="1" applyAlignment="1">
      <alignment horizontal="left" vertical="center"/>
      <protection locked="0" hidden="0"/>
    </xf>
    <xf numFmtId="0" fontId="8" fillId="20" borderId="148" xfId="0" applyFont="1" applyFill="1" applyBorder="1" applyAlignment="1">
      <alignment horizontal="left" vertical="center"/>
      <protection locked="0" hidden="0"/>
    </xf>
    <xf numFmtId="0" fontId="8" fillId="20" borderId="0" xfId="0" applyFont="1" applyFill="1" applyBorder="1" applyAlignment="1">
      <alignment horizontal="left" vertical="center"/>
      <protection locked="0" hidden="0"/>
    </xf>
    <xf numFmtId="0" fontId="8" fillId="20" borderId="17" xfId="0" applyFont="1" applyFill="1" applyBorder="1" applyAlignment="1">
      <alignment horizontal="left" vertical="center"/>
      <protection locked="0" hidden="0"/>
    </xf>
    <xf numFmtId="0" fontId="24" fillId="18" borderId="0" xfId="0" applyFont="1" applyFill="1" applyBorder="1" applyAlignment="1">
      <alignment horizontal="left" vertical="center"/>
      <protection locked="0" hidden="0"/>
    </xf>
    <xf numFmtId="0" fontId="24" fillId="18" borderId="17" xfId="0" applyFont="1" applyFill="1" applyBorder="1" applyAlignment="1">
      <alignment horizontal="left" vertical="center"/>
      <protection locked="0" hidden="0"/>
    </xf>
    <xf numFmtId="0" fontId="8" fillId="20" borderId="16" xfId="0" applyFont="1" applyFill="1" applyBorder="1" applyAlignment="1">
      <alignment horizontal="left" vertical="center"/>
      <protection locked="0" hidden="0"/>
    </xf>
    <xf numFmtId="0" fontId="8" fillId="0" borderId="148" xfId="0" applyFont="1" applyFill="1" applyBorder="1" applyAlignment="1">
      <alignment horizontal="left" vertical="center"/>
      <protection locked="0" hidden="1"/>
    </xf>
    <xf numFmtId="0" fontId="8" fillId="0" borderId="0" xfId="0" applyFont="1" applyFill="1" applyBorder="1" applyAlignment="1">
      <alignment horizontal="left" vertical="center"/>
      <protection locked="0" hidden="0"/>
    </xf>
    <xf numFmtId="0" fontId="8" fillId="3" borderId="148" xfId="0" applyFont="1" applyFill="1" applyBorder="1" applyAlignment="1">
      <alignment horizontal="left" vertical="center"/>
      <protection locked="0" hidden="1"/>
    </xf>
    <xf numFmtId="0" fontId="8" fillId="3" borderId="17" xfId="0" applyFont="1" applyFill="1" applyBorder="1" applyAlignment="1">
      <alignment horizontal="left" vertical="center"/>
      <protection locked="0" hidden="0"/>
    </xf>
    <xf numFmtId="174" fontId="24" fillId="4" borderId="0" xfId="0" applyNumberFormat="1" applyFont="1" applyFill="1" applyBorder="1" applyAlignment="1">
      <alignment horizontal="left" vertical="center"/>
      <protection locked="0" hidden="1"/>
    </xf>
    <xf numFmtId="0" fontId="24" fillId="4" borderId="17" xfId="0" applyNumberFormat="1" applyFont="1" applyFill="1" applyBorder="1" applyAlignment="1">
      <alignment horizontal="left" vertical="center"/>
    </xf>
    <xf numFmtId="0" fontId="8" fillId="0" borderId="16" xfId="0" applyFont="1" applyFill="1" applyBorder="1" applyAlignment="1">
      <alignment horizontal="left" vertical="center"/>
      <protection locked="0" hidden="1"/>
    </xf>
    <xf numFmtId="0" fontId="8" fillId="0" borderId="17" xfId="0" applyFont="1" applyFill="1" applyBorder="1" applyAlignment="1">
      <alignment horizontal="left" vertical="center"/>
      <protection locked="0" hidden="0"/>
    </xf>
    <xf numFmtId="0" fontId="1" fillId="18" borderId="0" xfId="0" applyNumberFormat="1" applyFont="1" applyFill="1" applyBorder="1" applyAlignment="1">
      <alignment horizontal="left" vertical="center"/>
    </xf>
    <xf numFmtId="0" fontId="8" fillId="3" borderId="0" xfId="0" applyFont="1" applyFill="1" applyBorder="1" applyAlignment="1">
      <alignment horizontal="left" vertical="center"/>
      <protection locked="0" hidden="0"/>
    </xf>
    <xf numFmtId="174" fontId="24" fillId="0" borderId="29" xfId="0" applyNumberFormat="1" applyFont="1" applyFill="1" applyBorder="1" applyAlignment="1">
      <alignment horizontal="left" vertical="center"/>
      <protection locked="0" hidden="1"/>
    </xf>
    <xf numFmtId="0" fontId="24" fillId="0" borderId="31" xfId="0" applyNumberFormat="1" applyFont="1" applyFill="1" applyBorder="1" applyAlignment="1">
      <alignment horizontal="left" vertical="center"/>
    </xf>
    <xf numFmtId="0" fontId="1" fillId="0" borderId="7" xfId="0" applyNumberFormat="1" applyFont="1" applyBorder="1" applyAlignment="1">
      <alignment horizontal="left" vertical="center"/>
    </xf>
    <xf numFmtId="0" fontId="1" fillId="0" borderId="8" xfId="0" applyNumberFormat="1" applyFont="1" applyBorder="1" applyAlignment="1">
      <alignment horizontal="left" vertical="center"/>
    </xf>
    <xf numFmtId="0" fontId="1" fillId="0" borderId="0" xfId="0" applyNumberFormat="1" applyFont="1" applyAlignment="1">
      <alignment horizontal="left" vertical="center"/>
    </xf>
    <xf numFmtId="0" fontId="8" fillId="0" borderId="29" xfId="0" applyFont="1" applyFill="1" applyBorder="1" applyAlignment="1">
      <alignment horizontal="left" vertical="center"/>
      <protection locked="0" hidden="1"/>
    </xf>
    <xf numFmtId="0" fontId="8" fillId="3" borderId="16" xfId="0" applyFont="1" applyFill="1" applyBorder="1" applyAlignment="1">
      <alignment horizontal="left" vertical="center"/>
      <protection locked="0" hidden="1"/>
    </xf>
    <xf numFmtId="0" fontId="1" fillId="0" borderId="7" xfId="0" applyNumberFormat="1" applyFont="1" applyBorder="1" applyAlignment="1">
      <alignment horizontal="left" vertical="center"/>
    </xf>
    <xf numFmtId="0" fontId="1" fillId="0" borderId="8" xfId="0" applyNumberFormat="1" applyFont="1" applyBorder="1" applyAlignment="1">
      <alignment horizontal="left" vertical="center"/>
    </xf>
    <xf numFmtId="0" fontId="1" fillId="0" borderId="8" xfId="0" applyNumberFormat="1" applyFont="1" applyFill="1" applyBorder="1" applyAlignment="1">
      <alignment horizontal="left" vertical="center" wrapText="1"/>
    </xf>
    <xf numFmtId="0" fontId="1" fillId="0" borderId="9" xfId="0" applyNumberFormat="1" applyFont="1" applyFill="1" applyBorder="1" applyAlignment="1">
      <alignment horizontal="left" vertical="center" wrapText="1"/>
    </xf>
    <xf numFmtId="0" fontId="1" fillId="46" borderId="9" xfId="0" applyNumberFormat="1" applyFont="1" applyFill="1" applyBorder="1" applyAlignment="1">
      <alignment horizontal="left" vertical="center"/>
    </xf>
    <xf numFmtId="0" fontId="1" fillId="30" borderId="7" xfId="0" applyNumberFormat="1" applyFont="1" applyFill="1" applyBorder="1" applyAlignment="1">
      <alignment horizontal="left" vertical="center"/>
    </xf>
    <xf numFmtId="0" fontId="1" fillId="30" borderId="8" xfId="0" applyNumberFormat="1" applyFont="1" applyFill="1" applyBorder="1" applyAlignment="1">
      <alignment horizontal="left" vertical="center"/>
    </xf>
    <xf numFmtId="0" fontId="1" fillId="30" borderId="9" xfId="0" applyNumberFormat="1" applyFont="1" applyFill="1" applyBorder="1" applyAlignment="1">
      <alignment horizontal="left" vertical="center"/>
    </xf>
    <xf numFmtId="0" fontId="8" fillId="0" borderId="0" xfId="0" applyFont="1" applyFill="1" applyAlignment="1">
      <alignment horizontal="left" vertical="center"/>
      <protection locked="0" hidden="1"/>
    </xf>
    <xf numFmtId="0" fontId="1" fillId="20" borderId="195" xfId="0" applyNumberFormat="1" applyFont="1" applyFill="1" applyBorder="1" applyAlignment="1">
      <alignment horizontal="left" vertical="center"/>
    </xf>
    <xf numFmtId="0" fontId="1" fillId="20" borderId="22" xfId="0" applyNumberFormat="1" applyFont="1" applyFill="1" applyBorder="1" applyAlignment="1">
      <alignment horizontal="left" vertical="center"/>
    </xf>
    <xf numFmtId="0" fontId="1" fillId="0" borderId="0" xfId="0" applyNumberFormat="1" applyFont="1" applyFill="1" applyAlignment="1">
      <alignment horizontal="left" vertical="center" wrapText="1"/>
    </xf>
    <xf numFmtId="0" fontId="1" fillId="0" borderId="17" xfId="0" applyNumberFormat="1" applyFont="1" applyFill="1" applyBorder="1" applyAlignment="1">
      <alignment horizontal="left" vertical="center" wrapText="1"/>
    </xf>
    <xf numFmtId="0" fontId="1" fillId="18" borderId="0" xfId="0" applyNumberFormat="1" applyFont="1" applyFill="1" applyBorder="1" applyAlignment="1">
      <alignment horizontal="left" vertical="center"/>
    </xf>
    <xf numFmtId="0" fontId="1" fillId="18" borderId="17" xfId="0" applyNumberFormat="1" applyFont="1" applyFill="1" applyBorder="1" applyAlignment="1">
      <alignment horizontal="left" vertical="center"/>
    </xf>
    <xf numFmtId="0" fontId="1" fillId="3" borderId="196" xfId="0" applyNumberFormat="1" applyFont="1" applyFill="1" applyBorder="1" applyAlignment="1">
      <alignment horizontal="left" vertical="center"/>
    </xf>
    <xf numFmtId="0" fontId="1" fillId="3" borderId="19" xfId="0" applyNumberFormat="1" applyFont="1" applyFill="1" applyBorder="1" applyAlignment="1">
      <alignment horizontal="left" vertical="center"/>
    </xf>
    <xf numFmtId="0" fontId="14" fillId="46" borderId="16" xfId="0" applyNumberFormat="1" applyFont="1" applyFill="1" applyBorder="1" applyAlignment="1">
      <alignment horizontal="left" vertical="center"/>
    </xf>
    <xf numFmtId="0" fontId="1" fillId="0" borderId="0" xfId="0" applyNumberFormat="1" applyFont="1" applyBorder="1" applyAlignment="1">
      <alignment horizontal="left" vertical="center"/>
    </xf>
    <xf numFmtId="0" fontId="1" fillId="20" borderId="16" xfId="0" applyNumberFormat="1" applyFont="1" applyFill="1" applyBorder="1" applyAlignment="1">
      <alignment horizontal="left" vertical="center"/>
    </xf>
    <xf numFmtId="0" fontId="1" fillId="20" borderId="0" xfId="0" applyNumberFormat="1" applyFont="1" applyFill="1" applyAlignment="1">
      <alignment horizontal="left" vertical="center"/>
    </xf>
    <xf numFmtId="0" fontId="1" fillId="0" borderId="31" xfId="0" applyNumberFormat="1" applyFont="1" applyBorder="1" applyAlignment="1">
      <alignment horizontal="left" vertical="center"/>
    </xf>
    <xf numFmtId="0" fontId="8" fillId="0" borderId="180" xfId="0" applyFont="1" applyFill="1" applyBorder="1" applyAlignment="1">
      <alignment horizontal="left" vertical="center"/>
      <protection locked="0" hidden="1"/>
    </xf>
    <xf numFmtId="0" fontId="8" fillId="0" borderId="31" xfId="0" applyFont="1" applyFill="1" applyBorder="1" applyAlignment="1">
      <alignment horizontal="left" vertical="center"/>
      <protection locked="0" hidden="0"/>
    </xf>
    <xf numFmtId="0" fontId="1" fillId="3" borderId="16" xfId="0" applyNumberFormat="1" applyFont="1" applyFill="1" applyBorder="1" applyAlignment="1">
      <alignment horizontal="left" vertical="center"/>
    </xf>
    <xf numFmtId="0" fontId="1" fillId="3" borderId="0" xfId="0" applyNumberFormat="1" applyFont="1" applyFill="1" applyAlignment="1">
      <alignment horizontal="left" vertical="center"/>
    </xf>
    <xf numFmtId="0" fontId="14" fillId="46" borderId="30" xfId="0" applyNumberFormat="1" applyFont="1" applyFill="1" applyBorder="1" applyAlignment="1">
      <alignment horizontal="left" vertical="center"/>
    </xf>
    <xf numFmtId="0" fontId="1" fillId="0" borderId="29" xfId="0" applyNumberFormat="1" applyFont="1" applyBorder="1" applyAlignment="1">
      <alignment horizontal="left" vertical="center"/>
    </xf>
    <xf numFmtId="0" fontId="8" fillId="0" borderId="31" xfId="0" applyFont="1" applyFill="1" applyBorder="1" applyAlignment="1">
      <alignment horizontal="left" vertical="center"/>
      <protection locked="0" hidden="1"/>
    </xf>
    <xf numFmtId="0" fontId="8" fillId="3" borderId="30" xfId="0" applyFont="1" applyFill="1" applyBorder="1" applyAlignment="1">
      <alignment horizontal="left" vertical="center"/>
      <protection locked="0" hidden="1"/>
    </xf>
    <xf numFmtId="0" fontId="8" fillId="3" borderId="31" xfId="0" applyFont="1" applyFill="1" applyBorder="1" applyAlignment="1">
      <alignment horizontal="left" vertical="center"/>
      <protection locked="0" hidden="0"/>
    </xf>
    <xf numFmtId="0" fontId="1" fillId="20" borderId="74" xfId="0" applyNumberFormat="1" applyFont="1" applyFill="1" applyBorder="1" applyAlignment="1">
      <alignment horizontal="left" vertical="center"/>
    </xf>
    <xf numFmtId="0" fontId="1" fillId="20" borderId="75" xfId="0" applyNumberFormat="1" applyFont="1" applyFill="1" applyBorder="1" applyAlignment="1">
      <alignment horizontal="left" vertical="center"/>
    </xf>
    <xf numFmtId="0" fontId="1" fillId="18" borderId="187" xfId="0" applyNumberFormat="1" applyFont="1" applyFill="1" applyBorder="1" applyAlignment="1">
      <alignment horizontal="left" vertical="center"/>
    </xf>
    <xf numFmtId="0" fontId="1" fillId="0" borderId="48" xfId="0" applyNumberFormat="1" applyFont="1" applyFill="1" applyBorder="1" applyAlignment="1">
      <alignment horizontal="left" vertical="center"/>
    </xf>
    <xf numFmtId="0" fontId="8" fillId="0" borderId="30" xfId="0" applyFont="1" applyFill="1" applyBorder="1" applyAlignment="1">
      <alignment horizontal="left" vertical="center"/>
      <protection locked="0" hidden="1"/>
    </xf>
    <xf numFmtId="0" fontId="1" fillId="3" borderId="74" xfId="0" applyNumberFormat="1" applyFont="1" applyFill="1" applyBorder="1" applyAlignment="1">
      <alignment horizontal="left" vertical="center"/>
      <protection locked="0" hidden="0"/>
    </xf>
    <xf numFmtId="0" fontId="1" fillId="3" borderId="75" xfId="0" applyNumberFormat="1" applyFont="1" applyFill="1" applyBorder="1" applyAlignment="1">
      <alignment horizontal="left" vertical="center"/>
      <protection locked="0" hidden="0"/>
    </xf>
    <xf numFmtId="0" fontId="1" fillId="5" borderId="7" xfId="0" applyNumberFormat="1" applyFont="1" applyFill="1" applyBorder="1" applyAlignment="1">
      <alignment horizontal="left" vertical="center"/>
    </xf>
    <xf numFmtId="0" fontId="1" fillId="20" borderId="10" xfId="0" applyNumberFormat="1" applyFont="1" applyFill="1" applyBorder="1" applyAlignment="1">
      <alignment horizontal="left" vertical="center"/>
    </xf>
    <xf numFmtId="0" fontId="1" fillId="20" borderId="197" xfId="0" applyNumberFormat="1" applyFont="1" applyFill="1" applyBorder="1" applyAlignment="1">
      <alignment horizontal="left" vertical="center"/>
    </xf>
    <xf numFmtId="0" fontId="1" fillId="46" borderId="7" xfId="0" applyNumberFormat="1" applyFont="1" applyFill="1" applyBorder="1" applyAlignment="1">
      <alignment horizontal="left" vertical="center"/>
    </xf>
    <xf numFmtId="0" fontId="1" fillId="46" borderId="8" xfId="0" applyNumberFormat="1" applyFont="1" applyFill="1" applyBorder="1" applyAlignment="1">
      <alignment horizontal="left" vertical="center"/>
    </xf>
    <xf numFmtId="0" fontId="1" fillId="46" borderId="9" xfId="0" applyNumberFormat="1" applyFont="1" applyFill="1" applyBorder="1" applyAlignment="1">
      <alignment horizontal="left" vertical="center"/>
    </xf>
    <xf numFmtId="0" fontId="1" fillId="3" borderId="16" xfId="0" applyNumberFormat="1" applyFont="1" applyFill="1" applyBorder="1" applyAlignment="1">
      <alignment horizontal="left" vertical="center"/>
      <protection locked="0" hidden="0"/>
    </xf>
    <xf numFmtId="0" fontId="1" fillId="3" borderId="198" xfId="0" applyNumberFormat="1" applyFont="1" applyFill="1" applyBorder="1" applyAlignment="1">
      <alignment horizontal="left" vertical="center"/>
      <protection locked="0" hidden="0"/>
    </xf>
    <xf numFmtId="0" fontId="14" fillId="5" borderId="16" xfId="0" applyNumberFormat="1" applyFont="1" applyFill="1" applyBorder="1" applyAlignment="1">
      <alignment horizontal="left" vertical="center"/>
    </xf>
    <xf numFmtId="0" fontId="14" fillId="5" borderId="0" xfId="0" applyNumberFormat="1" applyFont="1" applyFill="1" applyBorder="1" applyAlignment="1">
      <alignment horizontal="left" vertical="center"/>
    </xf>
    <xf numFmtId="0" fontId="14" fillId="5" borderId="17" xfId="0" applyNumberFormat="1" applyFont="1" applyFill="1" applyBorder="1" applyAlignment="1">
      <alignment horizontal="left" vertical="center"/>
    </xf>
    <xf numFmtId="0" fontId="1" fillId="0" borderId="30" xfId="0" applyNumberFormat="1" applyFont="1" applyBorder="1" applyAlignment="1">
      <alignment horizontal="left" vertical="center"/>
    </xf>
    <xf numFmtId="0" fontId="1" fillId="3" borderId="199" xfId="0" applyNumberFormat="1" applyFont="1" applyFill="1" applyBorder="1" applyAlignment="1">
      <alignment horizontal="left" vertical="center"/>
      <protection locked="0" hidden="0"/>
    </xf>
    <xf numFmtId="0" fontId="1" fillId="3" borderId="200" xfId="0" applyNumberFormat="1" applyFont="1" applyFill="1" applyBorder="1" applyAlignment="1">
      <alignment horizontal="left" vertical="center"/>
      <protection locked="0" hidden="0"/>
    </xf>
    <xf numFmtId="0" fontId="1" fillId="0" borderId="29" xfId="0" applyNumberFormat="1" applyFont="1" applyFill="1" applyBorder="1" applyAlignment="1">
      <alignment horizontal="left" vertical="center" wrapText="1"/>
    </xf>
    <xf numFmtId="0" fontId="1" fillId="0" borderId="31" xfId="0" applyNumberFormat="1" applyFont="1" applyFill="1" applyBorder="1" applyAlignment="1">
      <alignment horizontal="left" vertical="center" wrapText="1"/>
    </xf>
    <xf numFmtId="181" fontId="1" fillId="0" borderId="0" xfId="0" applyNumberFormat="1" applyFont="1" applyAlignment="1">
      <alignment horizontal="left" vertical="center"/>
    </xf>
    <xf numFmtId="174" fontId="14" fillId="0" borderId="0" xfId="0" applyNumberFormat="1" applyFont="1" applyFill="1" applyBorder="1" applyAlignment="1">
      <alignment horizontal="left" vertical="center"/>
      <protection locked="0" hidden="1"/>
    </xf>
    <xf numFmtId="0" fontId="1" fillId="4" borderId="16" xfId="0" applyNumberFormat="1" applyFont="1" applyFill="1" applyBorder="1" applyAlignment="1">
      <alignment horizontal="left" vertical="center"/>
    </xf>
    <xf numFmtId="0" fontId="24" fillId="0" borderId="0" xfId="0" applyNumberFormat="1" applyFont="1" applyFill="1" applyBorder="1" applyAlignment="1">
      <alignment horizontal="left" vertical="center"/>
    </xf>
    <xf numFmtId="0" fontId="117" fillId="0" borderId="0" xfId="0" applyFont="1" applyFill="1" applyBorder="1" applyAlignment="1">
      <alignment horizontal="left" vertical="center"/>
    </xf>
    <xf numFmtId="0" fontId="1" fillId="4" borderId="30" xfId="0" applyNumberFormat="1" applyFont="1" applyFill="1" applyBorder="1" applyAlignment="1">
      <alignment horizontal="left" vertical="center"/>
    </xf>
    <xf numFmtId="181" fontId="118" fillId="0" borderId="0" xfId="0" applyNumberFormat="1" applyFont="1" applyAlignment="1">
      <alignment horizontal="left" vertical="center"/>
    </xf>
    <xf numFmtId="0" fontId="3" fillId="48" borderId="7" xfId="0" applyFont="1" applyFill="1" applyBorder="1" applyAlignment="1">
      <alignment horizontal="left" vertical="center"/>
    </xf>
    <xf numFmtId="0" fontId="3" fillId="48" borderId="8" xfId="0" applyFont="1" applyFill="1" applyBorder="1" applyAlignment="1">
      <alignment horizontal="left" vertical="center"/>
    </xf>
    <xf numFmtId="0" fontId="3" fillId="48" borderId="9" xfId="0" applyFont="1" applyFill="1" applyBorder="1" applyAlignment="1">
      <alignment horizontal="left" vertical="center"/>
    </xf>
    <xf numFmtId="0" fontId="8" fillId="4" borderId="148" xfId="0" applyFont="1" applyFill="1" applyBorder="1" applyAlignment="1">
      <alignment horizontal="left" vertical="center"/>
      <protection locked="0" hidden="1"/>
    </xf>
    <xf numFmtId="0" fontId="1" fillId="46" borderId="7" xfId="0" applyFont="1" applyFill="1" applyBorder="1" applyAlignment="1">
      <alignment horizontal="left" vertical="center"/>
    </xf>
    <xf numFmtId="0" fontId="1" fillId="46" borderId="8" xfId="0" applyFont="1" applyFill="1" applyBorder="1" applyAlignment="1">
      <alignment horizontal="left" vertical="center"/>
    </xf>
    <xf numFmtId="0" fontId="1" fillId="30" borderId="7" xfId="0" applyFont="1" applyFill="1" applyBorder="1" applyAlignment="1">
      <alignment horizontal="left" vertical="center"/>
    </xf>
    <xf numFmtId="0" fontId="14" fillId="5" borderId="16" xfId="0" applyFont="1" applyFill="1" applyBorder="1" applyAlignment="1">
      <alignment horizontal="left" vertical="center" wrapText="1"/>
    </xf>
    <xf numFmtId="0" fontId="1" fillId="3" borderId="0" xfId="0" applyNumberFormat="1" applyFont="1" applyFill="1" applyBorder="1" applyAlignment="1">
      <alignment horizontal="left" vertical="center"/>
      <protection locked="0" hidden="0"/>
    </xf>
    <xf numFmtId="0" fontId="14" fillId="3" borderId="0" xfId="0" applyNumberFormat="1" applyFont="1" applyFill="1" applyBorder="1" applyAlignment="1">
      <alignment horizontal="left" vertical="center"/>
    </xf>
    <xf numFmtId="0" fontId="14" fillId="3" borderId="17" xfId="0" applyNumberFormat="1" applyFont="1" applyFill="1" applyBorder="1" applyAlignment="1">
      <alignment horizontal="left" vertical="center"/>
    </xf>
    <xf numFmtId="0" fontId="8" fillId="4" borderId="180" xfId="0" applyFont="1" applyFill="1" applyBorder="1" applyAlignment="1">
      <alignment horizontal="left" vertical="center"/>
      <protection locked="0" hidden="1"/>
    </xf>
    <xf numFmtId="0" fontId="1" fillId="4" borderId="31" xfId="0" applyFont="1" applyFill="1" applyBorder="1" applyAlignment="1">
      <alignment horizontal="left" vertical="center"/>
    </xf>
    <xf numFmtId="0" fontId="14" fillId="5" borderId="16" xfId="0" applyFont="1" applyFill="1" applyBorder="1" applyAlignment="1">
      <alignment horizontal="left" vertical="center"/>
    </xf>
    <xf numFmtId="0" fontId="14" fillId="3" borderId="0" xfId="0" applyFont="1" applyFill="1" applyBorder="1" applyAlignment="1">
      <alignment horizontal="left" vertical="center"/>
    </xf>
    <xf numFmtId="0" fontId="1" fillId="0" borderId="180" xfId="0" applyFont="1" applyBorder="1" applyAlignment="1">
      <alignment horizontal="left" vertical="center"/>
    </xf>
    <xf numFmtId="0" fontId="14" fillId="18" borderId="16" xfId="0" applyFont="1" applyFill="1" applyBorder="1" applyAlignment="1">
      <alignment horizontal="left" vertical="center" wrapText="1"/>
    </xf>
    <xf numFmtId="0" fontId="11" fillId="0" borderId="0" xfId="0" applyFont="1" applyFill="1" applyBorder="1" applyAlignment="1">
      <alignment horizontal="left" vertical="center"/>
    </xf>
    <xf numFmtId="2" fontId="14" fillId="0" borderId="0" xfId="0" applyNumberFormat="1" applyFont="1" applyFill="1" applyBorder="1" applyAlignment="1">
      <alignment horizontal="left" vertical="center"/>
    </xf>
    <xf numFmtId="0" fontId="14" fillId="0" borderId="0" xfId="0" applyNumberFormat="1" applyFont="1" applyFill="1" applyBorder="1" applyAlignment="1">
      <alignment horizontal="left" vertical="center"/>
    </xf>
    <xf numFmtId="2" fontId="1" fillId="0" borderId="0" xfId="0" applyNumberFormat="1" applyFont="1" applyBorder="1" applyAlignment="1">
      <alignment horizontal="left" vertical="center"/>
    </xf>
    <xf numFmtId="0" fontId="14" fillId="5" borderId="30" xfId="0" applyFont="1" applyFill="1" applyBorder="1" applyAlignment="1">
      <alignment horizontal="left" vertical="center"/>
    </xf>
    <xf numFmtId="0" fontId="1" fillId="3" borderId="29" xfId="0" applyNumberFormat="1" applyFont="1" applyFill="1" applyBorder="1" applyAlignment="1">
      <alignment horizontal="left" vertical="center"/>
      <protection locked="0" hidden="0"/>
    </xf>
    <xf numFmtId="0" fontId="14" fillId="3" borderId="29" xfId="0" applyNumberFormat="1" applyFont="1" applyFill="1" applyBorder="1" applyAlignment="1">
      <alignment horizontal="left" vertical="center"/>
    </xf>
    <xf numFmtId="0" fontId="14" fillId="3" borderId="31" xfId="0" applyNumberFormat="1" applyFont="1" applyFill="1" applyBorder="1" applyAlignment="1">
      <alignment horizontal="left" vertical="center"/>
    </xf>
    <xf numFmtId="0" fontId="14" fillId="0" borderId="0" xfId="0" applyFont="1" applyFill="1" applyBorder="1" applyAlignment="1">
      <alignment horizontal="left" vertical="center" wrapText="1"/>
    </xf>
    <xf numFmtId="0" fontId="34" fillId="0" borderId="186" xfId="0" applyNumberFormat="1" applyFont="1" applyFill="1" applyBorder="1" applyAlignment="1">
      <alignment horizontal="left" vertical="center"/>
    </xf>
    <xf numFmtId="0" fontId="8" fillId="0" borderId="0" xfId="0" applyFont="1" applyFill="1" applyAlignment="1">
      <alignment horizontal="center" vertical="center"/>
    </xf>
    <xf numFmtId="0" fontId="7" fillId="0" borderId="0" xfId="0" applyFont="1" applyFill="1" applyAlignment="1">
      <alignment horizontal="center" vertical="center"/>
    </xf>
    <xf numFmtId="0" fontId="117" fillId="0" borderId="0" xfId="0" applyFont="1" applyAlignment="1">
      <alignment horizontal="left" vertical="center" wrapText="1"/>
    </xf>
    <xf numFmtId="0" fontId="119" fillId="30" borderId="1" xfId="0" applyFont="1" applyFill="1" applyBorder="1" applyAlignment="1">
      <alignment horizontal="center" vertical="center"/>
    </xf>
    <xf numFmtId="0" fontId="119" fillId="30" borderId="2" xfId="0" applyFont="1" applyFill="1" applyBorder="1" applyAlignment="1">
      <alignment horizontal="center" vertical="center"/>
    </xf>
    <xf numFmtId="0" fontId="119" fillId="30" borderId="3" xfId="0" applyFont="1" applyFill="1" applyBorder="1" applyAlignment="1">
      <alignment horizontal="center" vertical="center"/>
    </xf>
    <xf numFmtId="0" fontId="117" fillId="0" borderId="185" xfId="0" applyFont="1" applyBorder="1" applyAlignment="1">
      <alignment horizontal="left" vertical="center" wrapText="1"/>
    </xf>
    <xf numFmtId="0" fontId="7" fillId="30" borderId="7" xfId="0" applyFont="1" applyFill="1" applyBorder="1" applyAlignment="1">
      <alignment horizontal="center" vertical="center"/>
    </xf>
    <xf numFmtId="0" fontId="7" fillId="30" borderId="8" xfId="0" applyFont="1" applyFill="1" applyBorder="1" applyAlignment="1">
      <alignment horizontal="center" vertical="center"/>
    </xf>
    <xf numFmtId="0" fontId="7" fillId="30" borderId="9" xfId="0" applyFont="1" applyFill="1" applyBorder="1" applyAlignment="1">
      <alignment horizontal="center" vertical="center"/>
    </xf>
    <xf numFmtId="0" fontId="117" fillId="0" borderId="0" xfId="0" applyFont="1" applyAlignment="1">
      <alignment horizontal="left" vertical="center"/>
    </xf>
    <xf numFmtId="0" fontId="30" fillId="20" borderId="10" xfId="0" applyFont="1" applyFill="1" applyBorder="1" applyAlignment="1">
      <alignment horizontal="center" vertical="center"/>
    </xf>
    <xf numFmtId="0" fontId="30" fillId="20" borderId="11" xfId="0" applyFont="1" applyFill="1" applyBorder="1" applyAlignment="1">
      <alignment horizontal="center" vertical="center"/>
    </xf>
    <xf numFmtId="0" fontId="30" fillId="18" borderId="11" xfId="0" applyFont="1" applyFill="1" applyBorder="1" applyAlignment="1">
      <alignment horizontal="center" vertical="center"/>
    </xf>
    <xf numFmtId="0" fontId="30" fillId="18" borderId="12" xfId="0" applyFont="1" applyFill="1" applyBorder="1" applyAlignment="1">
      <alignment horizontal="center" vertical="center"/>
    </xf>
    <xf numFmtId="0" fontId="8" fillId="20" borderId="16" xfId="0" applyFont="1" applyFill="1" applyBorder="1" applyAlignment="1">
      <alignment horizontal="center" vertical="center"/>
    </xf>
    <xf numFmtId="0" fontId="8" fillId="20" borderId="0" xfId="0" applyFont="1" applyFill="1" applyAlignment="1">
      <alignment horizontal="center" vertical="center"/>
    </xf>
    <xf numFmtId="0" fontId="8" fillId="20" borderId="17" xfId="0" applyFont="1" applyFill="1" applyBorder="1" applyAlignment="1">
      <alignment horizontal="center" vertical="center"/>
    </xf>
    <xf numFmtId="164" fontId="120" fillId="0" borderId="56" xfId="0" applyNumberFormat="1" applyFont="1" applyFill="1" applyBorder="1" applyAlignment="1">
      <alignment horizontal="center" vertical="center" wrapText="1"/>
      <protection locked="0" hidden="0"/>
    </xf>
    <xf numFmtId="164" fontId="120" fillId="0" borderId="22" xfId="0" applyNumberFormat="1" applyFont="1" applyFill="1" applyBorder="1" applyAlignment="1">
      <alignment horizontal="center" vertical="center" wrapText="1"/>
      <protection locked="0" hidden="0"/>
    </xf>
    <xf numFmtId="49" fontId="121" fillId="0" borderId="11" xfId="0" applyNumberFormat="1" applyFont="1" applyFill="1" applyBorder="1" applyAlignment="1">
      <alignment horizontal="center" vertical="center"/>
    </xf>
    <xf numFmtId="164" fontId="122" fillId="0" borderId="11" xfId="0" applyNumberFormat="1" applyFont="1" applyFill="1" applyBorder="1" applyAlignment="1">
      <alignment horizontal="center" vertical="center" wrapText="1"/>
    </xf>
    <xf numFmtId="164" fontId="39" fillId="0" borderId="11" xfId="0" applyNumberFormat="1" applyFont="1" applyFill="1" applyBorder="1" applyAlignment="1">
      <alignment horizontal="left" vertical="center" wrapText="1"/>
    </xf>
    <xf numFmtId="164" fontId="39" fillId="0" borderId="22" xfId="0" applyNumberFormat="1" applyFont="1" applyFill="1" applyBorder="1" applyAlignment="1">
      <alignment horizontal="left" vertical="center" wrapText="1"/>
    </xf>
    <xf numFmtId="164" fontId="39" fillId="0" borderId="51" xfId="0" applyNumberFormat="1" applyFont="1" applyFill="1" applyBorder="1" applyAlignment="1">
      <alignment horizontal="left" vertical="center" wrapText="1"/>
    </xf>
    <xf numFmtId="49" fontId="8" fillId="0" borderId="16" xfId="0" applyNumberFormat="1" applyFont="1" applyFill="1" applyBorder="1" applyAlignment="1">
      <alignment vertical="top" wrapText="1"/>
    </xf>
    <xf numFmtId="49" fontId="8" fillId="0" borderId="0" xfId="0" applyNumberFormat="1" applyFont="1" applyFill="1" applyAlignment="1">
      <alignment horizontal="left" vertical="top" wrapText="1"/>
    </xf>
    <xf numFmtId="49" fontId="8" fillId="0" borderId="17" xfId="0" applyNumberFormat="1" applyFont="1" applyFill="1" applyBorder="1" applyAlignment="1">
      <alignment horizontal="left" vertical="top" wrapText="1"/>
    </xf>
    <xf numFmtId="164" fontId="120" fillId="0" borderId="16" xfId="0" applyNumberFormat="1" applyFont="1" applyFill="1" applyBorder="1" applyAlignment="1">
      <alignment horizontal="center" vertical="center" wrapText="1"/>
      <protection locked="0" hidden="0"/>
    </xf>
    <xf numFmtId="164" fontId="120" fillId="0" borderId="0" xfId="0" applyNumberFormat="1" applyFont="1" applyFill="1" applyAlignment="1">
      <alignment horizontal="center" vertical="center" wrapText="1"/>
      <protection locked="0" hidden="0"/>
    </xf>
    <xf numFmtId="164" fontId="39" fillId="0" borderId="0" xfId="0" applyNumberFormat="1" applyFont="1" applyFill="1" applyAlignment="1">
      <alignment horizontal="left" vertical="center" wrapText="1"/>
    </xf>
    <xf numFmtId="164" fontId="39" fillId="0" borderId="17" xfId="0" applyNumberFormat="1" applyFont="1" applyFill="1" applyBorder="1" applyAlignment="1">
      <alignment horizontal="left" vertical="center" wrapText="1"/>
    </xf>
    <xf numFmtId="49" fontId="8" fillId="0" borderId="16" xfId="0" applyNumberFormat="1" applyFont="1" applyFill="1" applyBorder="1">
      <alignment vertical="center"/>
    </xf>
    <xf numFmtId="49" fontId="8" fillId="0" borderId="0" xfId="0" applyNumberFormat="1" applyFont="1" applyFill="1" applyBorder="1" applyAlignment="1">
      <alignment horizontal="left" vertical="center"/>
    </xf>
    <xf numFmtId="49" fontId="8" fillId="0" borderId="17" xfId="0" applyNumberFormat="1" applyFont="1" applyFill="1" applyBorder="1" applyAlignment="1">
      <alignment horizontal="left" vertical="center"/>
    </xf>
    <xf numFmtId="49" fontId="8" fillId="0" borderId="16" xfId="0" applyNumberFormat="1" applyFont="1" applyFill="1" applyBorder="1" applyAlignment="1">
      <alignment vertical="center" wrapText="1"/>
    </xf>
    <xf numFmtId="49" fontId="8" fillId="0" borderId="0" xfId="0" applyNumberFormat="1" applyFont="1" applyFill="1" applyAlignment="1">
      <alignment horizontal="left" vertical="center" wrapText="1"/>
    </xf>
    <xf numFmtId="49" fontId="8" fillId="0" borderId="17" xfId="0" applyNumberFormat="1" applyFont="1" applyFill="1" applyBorder="1" applyAlignment="1">
      <alignment horizontal="left" vertical="center" wrapText="1"/>
    </xf>
    <xf numFmtId="49" fontId="8" fillId="0" borderId="16" xfId="0" applyNumberFormat="1" applyFont="1" applyFill="1" applyBorder="1" applyAlignment="1">
      <alignment horizontal="left" vertical="center" wrapText="1"/>
    </xf>
    <xf numFmtId="49" fontId="8" fillId="0" borderId="0" xfId="0" applyNumberFormat="1" applyFont="1" applyFill="1" applyBorder="1" applyAlignment="1">
      <alignment horizontal="left" vertical="center" wrapText="1"/>
    </xf>
    <xf numFmtId="49" fontId="8" fillId="0" borderId="17" xfId="0" applyNumberFormat="1" applyFont="1" applyFill="1" applyBorder="1" applyAlignment="1">
      <alignment horizontal="left" vertical="center" wrapText="1"/>
    </xf>
    <xf numFmtId="49" fontId="8" fillId="0" borderId="0" xfId="0" applyNumberFormat="1" applyFont="1" applyFill="1" applyAlignment="1">
      <alignment vertical="center" wrapText="1"/>
    </xf>
    <xf numFmtId="49" fontId="8" fillId="0" borderId="17" xfId="0" applyNumberFormat="1" applyFont="1" applyFill="1" applyBorder="1" applyAlignment="1">
      <alignment vertical="center" wrapText="1"/>
    </xf>
    <xf numFmtId="0" fontId="30" fillId="20" borderId="21" xfId="0" applyFont="1" applyFill="1" applyBorder="1" applyAlignment="1">
      <alignment horizontal="center" vertical="center"/>
    </xf>
    <xf numFmtId="0" fontId="30" fillId="20" borderId="52" xfId="0" applyFont="1" applyFill="1" applyBorder="1" applyAlignment="1">
      <alignment horizontal="center" vertical="center"/>
    </xf>
    <xf numFmtId="0" fontId="30" fillId="20" borderId="12" xfId="0" applyFont="1" applyFill="1" applyBorder="1" applyAlignment="1">
      <alignment horizontal="center" vertical="center"/>
    </xf>
    <xf numFmtId="164" fontId="29" fillId="0" borderId="10" xfId="0" applyNumberFormat="1" applyFont="1" applyFill="1" applyBorder="1" applyAlignment="1">
      <alignment horizontal="left" vertical="center" wrapText="1"/>
    </xf>
    <xf numFmtId="164" fontId="29" fillId="0" borderId="11" xfId="0" applyNumberFormat="1" applyFont="1" applyFill="1" applyBorder="1" applyAlignment="1">
      <alignment horizontal="left" vertical="center" wrapText="1"/>
    </xf>
    <xf numFmtId="164" fontId="29" fillId="0" borderId="21" xfId="0" applyNumberFormat="1" applyFont="1" applyFill="1" applyBorder="1" applyAlignment="1">
      <alignment horizontal="left" vertical="center" wrapText="1"/>
    </xf>
    <xf numFmtId="164" fontId="29" fillId="0" borderId="11" xfId="0" applyNumberFormat="1" applyFont="1" applyFill="1" applyBorder="1" applyAlignment="1">
      <alignment horizontal="left" vertical="top" wrapText="1" indent="1"/>
    </xf>
    <xf numFmtId="164" fontId="29" fillId="0" borderId="52" xfId="0" applyNumberFormat="1" applyFont="1" applyFill="1" applyBorder="1" applyAlignment="1">
      <alignment horizontal="left" vertical="top" wrapText="1" indent="1"/>
    </xf>
    <xf numFmtId="164" fontId="29" fillId="0" borderId="12" xfId="0" applyNumberFormat="1" applyFont="1" applyFill="1" applyBorder="1" applyAlignment="1">
      <alignment horizontal="left" vertical="top" wrapText="1" indent="1"/>
    </xf>
    <xf numFmtId="0" fontId="8" fillId="0" borderId="16" xfId="0" applyFont="1" applyFill="1" applyBorder="1" applyAlignment="1">
      <alignment horizontal="center" vertical="center"/>
    </xf>
    <xf numFmtId="0" fontId="8" fillId="0" borderId="17" xfId="0" applyFont="1" applyFill="1" applyBorder="1" applyAlignment="1">
      <alignment horizontal="center" vertical="center"/>
    </xf>
    <xf numFmtId="49" fontId="8" fillId="0" borderId="16" xfId="0" applyNumberFormat="1" applyFont="1" applyFill="1" applyBorder="1" applyAlignment="1">
      <alignment horizontal="left" vertical="center" wrapText="1"/>
    </xf>
    <xf numFmtId="0" fontId="8" fillId="0" borderId="0" xfId="0" applyFont="1" applyFill="1" applyAlignment="1">
      <alignment horizontal="left" vertical="center" wrapText="1"/>
    </xf>
    <xf numFmtId="0" fontId="8" fillId="0" borderId="0" xfId="0" applyFont="1" applyFill="1" applyAlignment="1">
      <alignment horizontal="left" vertical="center"/>
    </xf>
    <xf numFmtId="0" fontId="8" fillId="0" borderId="17" xfId="0" applyFont="1" applyFill="1" applyBorder="1" applyAlignment="1">
      <alignment horizontal="left" vertical="center"/>
    </xf>
    <xf numFmtId="49" fontId="8" fillId="0" borderId="0" xfId="0" applyNumberFormat="1" applyFont="1" applyFill="1" applyAlignment="1">
      <alignment horizontal="left" vertical="center" wrapText="1"/>
    </xf>
    <xf numFmtId="164" fontId="87" fillId="0" borderId="11" xfId="0" applyNumberFormat="1" applyFont="1" applyFill="1" applyBorder="1" applyAlignment="1">
      <alignment horizontal="left" vertical="center" wrapText="1" indent="1"/>
    </xf>
    <xf numFmtId="164" fontId="87" fillId="0" borderId="52" xfId="0" applyNumberFormat="1" applyFont="1" applyFill="1" applyBorder="1" applyAlignment="1">
      <alignment horizontal="left" vertical="center" wrapText="1" indent="1"/>
    </xf>
    <xf numFmtId="164" fontId="87" fillId="0" borderId="12" xfId="0" applyNumberFormat="1" applyFont="1" applyFill="1" applyBorder="1" applyAlignment="1">
      <alignment horizontal="left" vertical="center" wrapText="1" indent="1"/>
    </xf>
    <xf numFmtId="0" fontId="123" fillId="0" borderId="0" xfId="0" applyFont="1" applyAlignment="1">
      <alignment vertical="center" wrapText="1"/>
    </xf>
    <xf numFmtId="49" fontId="8" fillId="0" borderId="0" xfId="0" applyNumberFormat="1" applyFont="1" applyFill="1" applyAlignment="1">
      <alignment horizontal="left" vertical="center"/>
    </xf>
    <xf numFmtId="49" fontId="8" fillId="0" borderId="17" xfId="0" applyNumberFormat="1" applyFont="1" applyFill="1" applyBorder="1" applyAlignment="1">
      <alignment horizontal="left" vertical="center"/>
    </xf>
    <xf numFmtId="164" fontId="87" fillId="0" borderId="56" xfId="0" applyNumberFormat="1" applyFont="1" applyFill="1" applyBorder="1" applyAlignment="1">
      <alignment horizontal="left" vertical="top" wrapText="1"/>
    </xf>
    <xf numFmtId="164" fontId="87" fillId="0" borderId="22" xfId="0" applyNumberFormat="1" applyFont="1" applyFill="1" applyBorder="1" applyAlignment="1">
      <alignment horizontal="left" vertical="top" wrapText="1"/>
    </xf>
    <xf numFmtId="164" fontId="87" fillId="0" borderId="51" xfId="0" applyNumberFormat="1" applyFont="1" applyFill="1" applyBorder="1" applyAlignment="1">
      <alignment horizontal="left" vertical="top" wrapText="1"/>
    </xf>
    <xf numFmtId="164" fontId="87" fillId="0" borderId="16" xfId="0" applyNumberFormat="1" applyFont="1" applyFill="1" applyBorder="1" applyAlignment="1">
      <alignment horizontal="left" vertical="top" wrapText="1"/>
    </xf>
    <xf numFmtId="164" fontId="87" fillId="0" borderId="0" xfId="0" applyNumberFormat="1" applyFont="1" applyFill="1" applyAlignment="1">
      <alignment horizontal="left" vertical="top" wrapText="1"/>
    </xf>
    <xf numFmtId="164" fontId="87" fillId="0" borderId="17" xfId="0" applyNumberFormat="1" applyFont="1" applyFill="1" applyBorder="1" applyAlignment="1">
      <alignment horizontal="left" vertical="top" wrapText="1"/>
    </xf>
    <xf numFmtId="49" fontId="8" fillId="0" borderId="30" xfId="0" applyNumberFormat="1" applyFont="1" applyFill="1" applyBorder="1" applyAlignment="1">
      <alignment vertical="center" wrapText="1"/>
    </xf>
    <xf numFmtId="49" fontId="8" fillId="0" borderId="29" xfId="0" applyNumberFormat="1" applyFont="1" applyFill="1" applyBorder="1" applyAlignment="1">
      <alignment horizontal="left" vertical="center" wrapText="1"/>
    </xf>
    <xf numFmtId="49" fontId="8" fillId="0" borderId="31" xfId="0" applyNumberFormat="1" applyFont="1" applyFill="1" applyBorder="1" applyAlignment="1">
      <alignment horizontal="left" vertical="center" wrapText="1"/>
    </xf>
    <xf numFmtId="0" fontId="11" fillId="0" borderId="0" xfId="0" applyFont="1" applyFill="1" applyAlignment="1">
      <alignment horizontal="center" vertical="center"/>
    </xf>
    <xf numFmtId="164" fontId="87" fillId="0" borderId="30" xfId="0" applyNumberFormat="1" applyFont="1" applyFill="1" applyBorder="1" applyAlignment="1">
      <alignment horizontal="left" vertical="top" wrapText="1"/>
    </xf>
    <xf numFmtId="164" fontId="87" fillId="0" borderId="29" xfId="0" applyNumberFormat="1" applyFont="1" applyFill="1" applyBorder="1" applyAlignment="1">
      <alignment horizontal="left" vertical="top" wrapText="1"/>
    </xf>
    <xf numFmtId="164" fontId="87" fillId="0" borderId="31" xfId="0" applyNumberFormat="1" applyFont="1" applyFill="1" applyBorder="1" applyAlignment="1">
      <alignment horizontal="left" vertical="top" wrapText="1"/>
    </xf>
    <xf numFmtId="0" fontId="87" fillId="0" borderId="0" xfId="0" applyFont="1" applyFill="1" applyAlignment="1">
      <alignment vertical="top" wrapText="1"/>
    </xf>
    <xf numFmtId="0" fontId="68" fillId="3" borderId="7" xfId="0" applyFont="1" applyFill="1" applyBorder="1" applyAlignment="1">
      <alignment horizontal="center" vertical="center"/>
    </xf>
    <xf numFmtId="0" fontId="68" fillId="3" borderId="8" xfId="0" applyFont="1" applyFill="1" applyBorder="1" applyAlignment="1">
      <alignment horizontal="center" vertical="center"/>
    </xf>
    <xf numFmtId="0" fontId="68" fillId="3" borderId="9" xfId="0" applyFont="1" applyFill="1" applyBorder="1" applyAlignment="1">
      <alignment horizontal="center" vertical="center"/>
    </xf>
    <xf numFmtId="0" fontId="68" fillId="3" borderId="16" xfId="0" applyFont="1" applyFill="1" applyBorder="1" applyAlignment="1">
      <alignment horizontal="center" vertical="center"/>
    </xf>
    <xf numFmtId="0" fontId="68" fillId="3" borderId="0" xfId="0" applyFont="1" applyFill="1" applyAlignment="1">
      <alignment horizontal="center" vertical="center"/>
    </xf>
    <xf numFmtId="0" fontId="68" fillId="3" borderId="17" xfId="0" applyFont="1" applyFill="1" applyBorder="1" applyAlignment="1">
      <alignment horizontal="center" vertical="center"/>
    </xf>
    <xf numFmtId="0" fontId="68" fillId="3" borderId="30" xfId="0" applyFont="1" applyFill="1" applyBorder="1" applyAlignment="1">
      <alignment horizontal="center" vertical="center"/>
    </xf>
    <xf numFmtId="0" fontId="68" fillId="3" borderId="29" xfId="0" applyFont="1" applyFill="1" applyBorder="1" applyAlignment="1">
      <alignment horizontal="center" vertical="center"/>
    </xf>
    <xf numFmtId="0" fontId="68" fillId="3" borderId="31" xfId="0" applyFont="1" applyFill="1" applyBorder="1" applyAlignment="1">
      <alignment horizontal="center" vertical="center"/>
    </xf>
    <xf numFmtId="0" fontId="124" fillId="3" borderId="7" xfId="0" applyFont="1" applyFill="1" applyBorder="1" applyAlignment="1">
      <alignment horizontal="center" vertical="center"/>
    </xf>
    <xf numFmtId="0" fontId="124" fillId="3" borderId="8" xfId="0" applyFont="1" applyFill="1" applyBorder="1" applyAlignment="1">
      <alignment horizontal="center" vertical="center"/>
    </xf>
    <xf numFmtId="0" fontId="124" fillId="3" borderId="9" xfId="0" applyFont="1" applyFill="1" applyBorder="1" applyAlignment="1">
      <alignment horizontal="center" vertical="center"/>
    </xf>
    <xf numFmtId="0" fontId="124" fillId="3" borderId="16" xfId="0" applyFont="1" applyFill="1" applyBorder="1" applyAlignment="1">
      <alignment horizontal="center" vertical="center"/>
    </xf>
    <xf numFmtId="0" fontId="124" fillId="3" borderId="0" xfId="0" applyFont="1" applyFill="1" applyBorder="1" applyAlignment="1">
      <alignment horizontal="center" vertical="center"/>
    </xf>
    <xf numFmtId="0" fontId="124" fillId="3" borderId="17" xfId="0" applyFont="1" applyFill="1" applyBorder="1" applyAlignment="1">
      <alignment horizontal="center" vertical="center"/>
    </xf>
    <xf numFmtId="0" fontId="124" fillId="3" borderId="0" xfId="0" applyFont="1" applyFill="1" applyAlignment="1">
      <alignment horizontal="center" vertical="center"/>
    </xf>
    <xf numFmtId="0" fontId="124" fillId="3" borderId="201" xfId="0" applyFont="1" applyFill="1" applyBorder="1" applyAlignment="1">
      <alignment horizontal="center" vertical="center"/>
    </xf>
    <xf numFmtId="0" fontId="124" fillId="3" borderId="202" xfId="0" applyFont="1" applyFill="1" applyBorder="1" applyAlignment="1">
      <alignment horizontal="center" vertical="center"/>
    </xf>
    <xf numFmtId="0" fontId="124" fillId="3" borderId="203" xfId="0" applyFont="1" applyFill="1" applyBorder="1" applyAlignment="1">
      <alignment horizontal="center" vertical="center"/>
    </xf>
    <xf numFmtId="0" fontId="48" fillId="0" borderId="204" xfId="0" applyFont="1" applyFill="1" applyBorder="1" applyAlignment="1">
      <alignment horizontal="center" vertical="center" wrapText="1"/>
    </xf>
    <xf numFmtId="0" fontId="48" fillId="0" borderId="205" xfId="0" applyFont="1" applyFill="1" applyBorder="1" applyAlignment="1">
      <alignment horizontal="center" vertical="center" wrapText="1"/>
    </xf>
    <xf numFmtId="0" fontId="48" fillId="0" borderId="206" xfId="0" applyFont="1" applyFill="1" applyBorder="1" applyAlignment="1">
      <alignment horizontal="center" vertical="center" wrapText="1"/>
    </xf>
    <xf numFmtId="0" fontId="48" fillId="0" borderId="207" xfId="0" applyFont="1" applyFill="1" applyBorder="1" applyAlignment="1">
      <alignment horizontal="center" vertical="center" wrapText="1"/>
    </xf>
    <xf numFmtId="0" fontId="48" fillId="0" borderId="16" xfId="0" applyFont="1" applyFill="1" applyBorder="1" applyAlignment="1">
      <alignment horizontal="center" vertical="center" wrapText="1"/>
    </xf>
    <xf numFmtId="0" fontId="48" fillId="0" borderId="0" xfId="0" applyFont="1" applyFill="1" applyAlignment="1">
      <alignment horizontal="center" vertical="center" wrapText="1"/>
    </xf>
    <xf numFmtId="0" fontId="48" fillId="0" borderId="208" xfId="0" applyFont="1" applyFill="1" applyBorder="1" applyAlignment="1">
      <alignment horizontal="center" vertical="center" wrapText="1"/>
    </xf>
    <xf numFmtId="0" fontId="48" fillId="0" borderId="0" xfId="0" applyFont="1" applyFill="1" applyBorder="1" applyAlignment="1">
      <alignment horizontal="center" vertical="center" wrapText="1"/>
    </xf>
    <xf numFmtId="0" fontId="48" fillId="0" borderId="17" xfId="0" applyFont="1" applyFill="1" applyBorder="1" applyAlignment="1">
      <alignment horizontal="center" vertical="center" wrapText="1"/>
    </xf>
    <xf numFmtId="0" fontId="48" fillId="0" borderId="171" xfId="0" applyFont="1" applyFill="1" applyBorder="1" applyAlignment="1">
      <alignment horizontal="center" vertical="center" wrapText="1"/>
    </xf>
    <xf numFmtId="0" fontId="30" fillId="0" borderId="16" xfId="0" applyFont="1" applyFill="1" applyBorder="1" applyAlignment="1">
      <alignment horizontal="center" vertical="top" wrapText="1"/>
    </xf>
    <xf numFmtId="0" fontId="30" fillId="0" borderId="0" xfId="0" applyFont="1" applyFill="1" applyAlignment="1">
      <alignment horizontal="center" vertical="top"/>
    </xf>
    <xf numFmtId="0" fontId="30" fillId="0" borderId="0" xfId="0" applyFont="1" applyFill="1" applyBorder="1" applyAlignment="1">
      <alignment horizontal="center" vertical="top"/>
    </xf>
    <xf numFmtId="0" fontId="30" fillId="0" borderId="171" xfId="0" applyFont="1" applyFill="1" applyBorder="1" applyAlignment="1">
      <alignment horizontal="center" vertical="top" wrapText="1"/>
    </xf>
    <xf numFmtId="0" fontId="30" fillId="0" borderId="17" xfId="0" applyFont="1" applyFill="1" applyBorder="1" applyAlignment="1">
      <alignment horizontal="center" vertical="top"/>
    </xf>
    <xf numFmtId="0" fontId="30" fillId="0" borderId="208" xfId="0" applyFont="1" applyFill="1" applyBorder="1" applyAlignment="1">
      <alignment horizontal="center" vertical="top"/>
    </xf>
    <xf numFmtId="0" fontId="30" fillId="0" borderId="0" xfId="0" applyFont="1" applyFill="1" applyBorder="1" applyAlignment="1">
      <alignment horizontal="center" vertical="top" wrapText="1"/>
    </xf>
    <xf numFmtId="0" fontId="30" fillId="0" borderId="201" xfId="0" applyFont="1" applyFill="1" applyBorder="1" applyAlignment="1">
      <alignment horizontal="center" vertical="top"/>
    </xf>
    <xf numFmtId="0" fontId="30" fillId="0" borderId="202" xfId="0" applyFont="1" applyFill="1" applyBorder="1" applyAlignment="1">
      <alignment horizontal="center" vertical="top"/>
    </xf>
    <xf numFmtId="0" fontId="30" fillId="0" borderId="209" xfId="0" applyFont="1" applyFill="1" applyBorder="1" applyAlignment="1">
      <alignment horizontal="center" vertical="top"/>
    </xf>
    <xf numFmtId="0" fontId="30" fillId="0" borderId="203" xfId="0" applyFont="1" applyFill="1" applyBorder="1" applyAlignment="1">
      <alignment horizontal="center" vertical="top"/>
    </xf>
    <xf numFmtId="0" fontId="30" fillId="0" borderId="210" xfId="0" applyFont="1" applyFill="1" applyBorder="1" applyAlignment="1">
      <alignment horizontal="center" vertical="top"/>
    </xf>
    <xf numFmtId="0" fontId="48" fillId="0" borderId="30" xfId="0" applyFont="1" applyFill="1" applyBorder="1" applyAlignment="1">
      <alignment horizontal="center" vertical="center" wrapText="1"/>
    </xf>
    <xf numFmtId="0" fontId="48" fillId="0" borderId="29" xfId="0" applyFont="1" applyFill="1" applyBorder="1" applyAlignment="1">
      <alignment horizontal="center" vertical="center" wrapText="1"/>
    </xf>
    <xf numFmtId="0" fontId="48" fillId="0" borderId="31" xfId="0" applyFont="1" applyFill="1" applyBorder="1" applyAlignment="1">
      <alignment horizontal="center" vertical="center" wrapText="1"/>
    </xf>
    <xf numFmtId="0" fontId="125" fillId="3" borderId="16" xfId="0" applyFont="1" applyFill="1" applyBorder="1" applyAlignment="1">
      <alignment horizontal="center" vertical="center" wrapText="1"/>
    </xf>
    <xf numFmtId="0" fontId="125" fillId="3" borderId="0" xfId="0" applyFont="1" applyFill="1" applyBorder="1" applyAlignment="1">
      <alignment horizontal="center" vertical="center" wrapText="1"/>
    </xf>
    <xf numFmtId="0" fontId="125" fillId="3" borderId="17" xfId="0" applyFont="1" applyFill="1" applyBorder="1" applyAlignment="1">
      <alignment horizontal="center" vertical="center" wrapText="1"/>
    </xf>
    <xf numFmtId="0" fontId="126" fillId="0" borderId="0" xfId="0" applyFont="1" applyFill="1" applyBorder="1" applyAlignment="1">
      <alignment vertical="center" wrapText="1"/>
    </xf>
    <xf numFmtId="0" fontId="127" fillId="0" borderId="0" xfId="0" applyFont="1" applyFill="1">
      <alignment vertical="center"/>
    </xf>
    <xf numFmtId="0" fontId="8" fillId="0" borderId="0" xfId="0" applyFont="1" applyFill="1" applyBorder="1" applyAlignment="1">
      <alignment horizontal="center" vertical="center"/>
    </xf>
    <xf numFmtId="0" fontId="125" fillId="3" borderId="0" xfId="0" applyFont="1" applyFill="1" applyAlignment="1">
      <alignment horizontal="center" vertical="center" wrapText="1"/>
    </xf>
    <xf numFmtId="0" fontId="128" fillId="0" borderId="16" xfId="0" applyFont="1" applyFill="1" applyBorder="1" applyAlignment="1">
      <alignment horizontal="center" vertical="center"/>
    </xf>
    <xf numFmtId="0" fontId="128" fillId="0" borderId="0" xfId="0" applyFont="1" applyFill="1" applyAlignment="1">
      <alignment horizontal="center" vertical="center"/>
    </xf>
    <xf numFmtId="0" fontId="128" fillId="0" borderId="17" xfId="0" applyFont="1" applyFill="1" applyBorder="1" applyAlignment="1">
      <alignment horizontal="center" vertical="center"/>
    </xf>
    <xf numFmtId="0" fontId="128" fillId="0" borderId="0" xfId="0" applyFont="1" applyFill="1" applyBorder="1">
      <alignment vertical="center"/>
    </xf>
    <xf numFmtId="0" fontId="120" fillId="0" borderId="0" xfId="0" applyFont="1" applyFill="1" applyBorder="1">
      <alignment vertical="center"/>
    </xf>
    <xf numFmtId="0" fontId="30" fillId="0" borderId="31" xfId="0" applyFont="1" applyFill="1" applyBorder="1" applyAlignment="1">
      <alignment horizontal="center" vertical="center"/>
    </xf>
    <xf numFmtId="0" fontId="30" fillId="0" borderId="0" xfId="0" applyFont="1" applyFill="1" applyBorder="1">
      <alignment vertical="center"/>
    </xf>
    <xf numFmtId="0" fontId="8" fillId="0" borderId="0" xfId="0" applyFont="1" applyFill="1" applyBorder="1">
      <alignment vertical="center"/>
    </xf>
    <xf numFmtId="0" fontId="24" fillId="0" borderId="0" xfId="0" applyFont="1" applyFill="1" applyAlignment="1">
      <alignment vertical="center" wrapText="1"/>
    </xf>
    <xf numFmtId="0" fontId="73" fillId="0" borderId="0" xfId="0" applyFont="1" applyFill="1" applyBorder="1">
      <alignment vertical="center"/>
    </xf>
    <xf numFmtId="0" fontId="73" fillId="3" borderId="16" xfId="0" applyFont="1" applyFill="1" applyBorder="1" applyAlignment="1">
      <alignment horizontal="center" vertical="center"/>
    </xf>
    <xf numFmtId="0" fontId="73" fillId="3" borderId="0" xfId="0" applyFont="1" applyFill="1" applyAlignment="1">
      <alignment horizontal="center" vertical="center"/>
    </xf>
    <xf numFmtId="0" fontId="73" fillId="3" borderId="17" xfId="0" applyFont="1" applyFill="1" applyBorder="1" applyAlignment="1">
      <alignment horizontal="center" vertical="center"/>
    </xf>
    <xf numFmtId="0" fontId="48" fillId="0" borderId="0" xfId="0" applyFont="1" applyFill="1" applyBorder="1" applyAlignment="1">
      <alignment vertical="center" wrapText="1"/>
    </xf>
    <xf numFmtId="0" fontId="30" fillId="0" borderId="0" xfId="0" applyFont="1" applyFill="1" applyBorder="1" applyAlignment="1">
      <alignment vertical="center" wrapText="1"/>
    </xf>
    <xf numFmtId="0" fontId="30" fillId="0" borderId="204" xfId="0" applyFont="1" applyFill="1" applyBorder="1" applyAlignment="1">
      <alignment horizontal="center" vertical="center" wrapText="1"/>
    </xf>
    <xf numFmtId="0" fontId="30" fillId="0" borderId="205" xfId="0" applyFont="1" applyFill="1" applyBorder="1" applyAlignment="1">
      <alignment horizontal="center" vertical="center" wrapText="1"/>
    </xf>
    <xf numFmtId="0" fontId="30" fillId="0" borderId="207" xfId="0" applyFont="1" applyFill="1" applyBorder="1" applyAlignment="1">
      <alignment horizontal="center" vertical="center" wrapText="1"/>
    </xf>
    <xf numFmtId="0" fontId="30" fillId="0" borderId="16" xfId="0" applyFont="1" applyFill="1" applyBorder="1" applyAlignment="1">
      <alignment horizontal="center" vertical="center" wrapText="1"/>
    </xf>
    <xf numFmtId="0" fontId="30" fillId="0" borderId="0" xfId="0" applyFont="1" applyFill="1" applyAlignment="1">
      <alignment horizontal="center" vertical="center" wrapText="1"/>
    </xf>
    <xf numFmtId="0" fontId="30" fillId="0" borderId="17" xfId="0" applyFont="1" applyFill="1" applyBorder="1" applyAlignment="1">
      <alignment horizontal="center" vertical="center" wrapText="1"/>
    </xf>
    <xf numFmtId="0" fontId="30" fillId="0" borderId="30" xfId="0" applyFont="1" applyFill="1" applyBorder="1" applyAlignment="1">
      <alignment horizontal="center" vertical="center" wrapText="1"/>
    </xf>
    <xf numFmtId="0" fontId="30" fillId="0" borderId="29" xfId="0" applyFont="1" applyFill="1" applyBorder="1" applyAlignment="1">
      <alignment horizontal="center" vertical="center" wrapText="1"/>
    </xf>
    <xf numFmtId="0" fontId="30" fillId="0" borderId="31" xfId="0" applyFont="1" applyFill="1" applyBorder="1" applyAlignment="1">
      <alignment horizontal="center" vertical="center" wrapText="1"/>
    </xf>
    <xf numFmtId="0" fontId="23" fillId="0" borderId="0" xfId="0" applyFont="1" applyFill="1">
      <alignment vertical="center"/>
    </xf>
    <xf numFmtId="0" fontId="73" fillId="0" borderId="0" xfId="0" applyFont="1" applyFill="1">
      <alignment vertical="center"/>
    </xf>
    <xf numFmtId="0" fontId="124" fillId="0" borderId="0" xfId="0" applyFont="1" applyFill="1" applyBorder="1">
      <alignment vertical="center"/>
    </xf>
    <xf numFmtId="0" fontId="23" fillId="0" borderId="16" xfId="0" applyFont="1" applyFill="1" applyBorder="1" applyAlignment="1">
      <alignment horizontal="center" vertical="center" wrapText="1"/>
    </xf>
    <xf numFmtId="0" fontId="23" fillId="0" borderId="0" xfId="0" applyFont="1" applyFill="1" applyAlignment="1">
      <alignment horizontal="center" vertical="center" wrapText="1"/>
    </xf>
    <xf numFmtId="0" fontId="23" fillId="0" borderId="17" xfId="0" applyFont="1" applyFill="1" applyBorder="1" applyAlignment="1">
      <alignment horizontal="center" vertical="center" wrapText="1"/>
    </xf>
    <xf numFmtId="0" fontId="23" fillId="0" borderId="0" xfId="0" applyFont="1" applyFill="1" applyAlignment="1">
      <alignment vertical="center" wrapText="1"/>
    </xf>
    <xf numFmtId="0" fontId="129" fillId="0" borderId="16" xfId="0" applyFont="1" applyFill="1" applyBorder="1" applyAlignment="1">
      <alignment horizontal="center" vertical="center" wrapText="1"/>
    </xf>
    <xf numFmtId="0" fontId="129" fillId="0" borderId="0" xfId="0" applyFont="1" applyFill="1" applyAlignment="1">
      <alignment horizontal="center" vertical="center" wrapText="1"/>
    </xf>
    <xf numFmtId="0" fontId="129" fillId="0" borderId="17" xfId="0" applyFont="1" applyFill="1" applyBorder="1" applyAlignment="1">
      <alignment horizontal="center" vertical="center" wrapText="1"/>
    </xf>
    <xf numFmtId="0" fontId="23" fillId="0" borderId="30" xfId="0" applyFont="1" applyFill="1" applyBorder="1" applyAlignment="1">
      <alignment horizontal="center" vertical="center" wrapText="1"/>
    </xf>
    <xf numFmtId="0" fontId="23" fillId="0" borderId="29"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167" xfId="0" applyFont="1" applyFill="1" applyBorder="1" applyAlignment="1">
      <alignment horizontal="center" vertical="center" wrapText="1"/>
    </xf>
    <xf numFmtId="0" fontId="23" fillId="0" borderId="96" xfId="0" applyFont="1" applyFill="1" applyBorder="1" applyAlignment="1">
      <alignment horizontal="center" vertical="center"/>
    </xf>
    <xf numFmtId="0" fontId="23" fillId="0" borderId="96" xfId="0" applyFont="1" applyFill="1" applyBorder="1" applyAlignment="1">
      <alignment horizontal="center" vertical="center" wrapText="1"/>
    </xf>
    <xf numFmtId="0" fontId="23" fillId="0" borderId="168" xfId="0" applyFont="1" applyFill="1" applyBorder="1" applyAlignment="1">
      <alignment horizontal="center" vertical="center"/>
    </xf>
    <xf numFmtId="0" fontId="23" fillId="0" borderId="167" xfId="0" applyFont="1" applyFill="1" applyBorder="1" applyAlignment="1">
      <alignment horizontal="center" vertical="center"/>
    </xf>
    <xf numFmtId="0" fontId="130" fillId="0" borderId="16" xfId="0" applyFont="1" applyFill="1" applyBorder="1" applyAlignment="1">
      <alignment horizontal="center" vertical="center"/>
    </xf>
    <xf numFmtId="0" fontId="130" fillId="0" borderId="0" xfId="0" applyFont="1" applyFill="1" applyAlignment="1">
      <alignment horizontal="center" vertical="center"/>
    </xf>
    <xf numFmtId="0" fontId="130" fillId="0" borderId="17" xfId="0" applyFont="1" applyFill="1" applyBorder="1" applyAlignment="1">
      <alignment horizontal="center" vertical="center"/>
    </xf>
    <xf numFmtId="0" fontId="23" fillId="0" borderId="211" xfId="0" applyFont="1" applyFill="1" applyBorder="1">
      <alignment vertical="center"/>
    </xf>
    <xf numFmtId="0" fontId="23" fillId="0" borderId="134" xfId="0" applyFont="1" applyFill="1" applyBorder="1" applyAlignment="1">
      <alignment horizontal="center" vertical="center" wrapText="1"/>
    </xf>
    <xf numFmtId="0" fontId="23" fillId="0" borderId="212" xfId="0" applyFont="1" applyFill="1" applyBorder="1" applyAlignment="1">
      <alignment horizontal="center" vertical="center" wrapText="1"/>
    </xf>
    <xf numFmtId="0" fontId="23" fillId="0" borderId="16" xfId="0" applyFont="1" applyFill="1" applyBorder="1">
      <alignment vertical="center"/>
    </xf>
    <xf numFmtId="0" fontId="23" fillId="0" borderId="213" xfId="0" applyFont="1" applyFill="1" applyBorder="1">
      <alignment vertical="center"/>
    </xf>
    <xf numFmtId="0" fontId="23" fillId="0" borderId="161" xfId="0" applyFont="1" applyFill="1" applyBorder="1" applyAlignment="1">
      <alignment horizontal="center" vertical="center" wrapText="1"/>
    </xf>
    <xf numFmtId="0" fontId="23" fillId="0" borderId="193" xfId="0" applyFont="1" applyFill="1" applyBorder="1" applyAlignment="1">
      <alignment horizontal="center" vertical="center" wrapText="1"/>
    </xf>
    <xf numFmtId="0" fontId="23" fillId="0" borderId="30" xfId="0" applyFont="1" applyFill="1" applyBorder="1">
      <alignment vertical="center"/>
    </xf>
    <xf numFmtId="0" fontId="131" fillId="0" borderId="0" xfId="0" applyFont="1" applyFill="1" applyAlignment="1">
      <alignment horizontal="left" vertical="bottom"/>
    </xf>
    <xf numFmtId="0" fontId="132" fillId="0" borderId="0" xfId="0" applyFont="1" applyFill="1" applyAlignment="1">
      <alignment horizontal="center" vertical="center"/>
    </xf>
    <xf numFmtId="0" fontId="133" fillId="0" borderId="0" xfId="0" applyFont="1" applyFill="1" applyAlignment="1">
      <alignment horizontal="center" vertical="center"/>
    </xf>
    <xf numFmtId="0" fontId="132" fillId="49" borderId="7" xfId="0" applyFont="1" applyFill="1" applyBorder="1" applyAlignment="1">
      <alignment horizontal="center" vertical="center"/>
    </xf>
    <xf numFmtId="0" fontId="132" fillId="49" borderId="8" xfId="0" applyFont="1" applyFill="1" applyBorder="1" applyAlignment="1">
      <alignment horizontal="center" vertical="center"/>
    </xf>
    <xf numFmtId="0" fontId="132" fillId="49" borderId="9" xfId="0" applyFont="1" applyFill="1" applyBorder="1" applyAlignment="1">
      <alignment horizontal="center" vertical="center"/>
    </xf>
    <xf numFmtId="0" fontId="76" fillId="18" borderId="74" xfId="0" applyFont="1" applyFill="1" applyBorder="1" applyAlignment="1">
      <alignment horizontal="center" vertical="center" wrapText="1"/>
    </xf>
    <xf numFmtId="0" fontId="76" fillId="18" borderId="75" xfId="0" applyFont="1" applyFill="1" applyBorder="1" applyAlignment="1">
      <alignment horizontal="center" vertical="center" wrapText="1"/>
    </xf>
    <xf numFmtId="0" fontId="76" fillId="18" borderId="75" xfId="0" applyFont="1" applyFill="1" applyBorder="1" applyAlignment="1">
      <alignment horizontal="center" vertical="center"/>
    </xf>
    <xf numFmtId="0" fontId="76" fillId="18" borderId="68" xfId="0" applyFont="1" applyFill="1" applyBorder="1" applyAlignment="1">
      <alignment horizontal="center" vertical="center"/>
    </xf>
    <xf numFmtId="0" fontId="133" fillId="3" borderId="16" xfId="0" applyFont="1" applyFill="1" applyBorder="1" applyAlignment="1">
      <alignment horizontal="center" vertical="center"/>
    </xf>
    <xf numFmtId="0" fontId="133" fillId="3" borderId="0" xfId="0" applyFont="1" applyFill="1" applyBorder="1" applyAlignment="1">
      <alignment horizontal="center" vertical="center"/>
    </xf>
    <xf numFmtId="0" fontId="133" fillId="3" borderId="11" xfId="0" applyFont="1" applyFill="1" applyBorder="1" applyAlignment="1">
      <alignment horizontal="center" vertical="center"/>
    </xf>
    <xf numFmtId="0" fontId="133" fillId="0" borderId="41" xfId="0" applyFont="1" applyFill="1" applyBorder="1" applyAlignment="1">
      <alignment horizontal="center" vertical="center"/>
    </xf>
    <xf numFmtId="0" fontId="133" fillId="0" borderId="0" xfId="0" applyFont="1" applyFill="1" applyBorder="1" applyAlignment="1">
      <alignment horizontal="center" vertical="center"/>
    </xf>
    <xf numFmtId="0" fontId="133" fillId="0" borderId="46" xfId="0" applyFont="1" applyFill="1" applyBorder="1" applyAlignment="1">
      <alignment horizontal="center" vertical="center"/>
    </xf>
    <xf numFmtId="0" fontId="133" fillId="3" borderId="69" xfId="0" applyFont="1" applyFill="1" applyBorder="1" applyAlignment="1">
      <alignment horizontal="center" vertical="center"/>
    </xf>
    <xf numFmtId="0" fontId="133" fillId="3" borderId="41" xfId="0" applyFont="1" applyFill="1" applyBorder="1" applyAlignment="1">
      <alignment horizontal="center" vertical="center"/>
    </xf>
    <xf numFmtId="0" fontId="133" fillId="0" borderId="17" xfId="0" applyFont="1" applyFill="1" applyBorder="1" applyAlignment="1">
      <alignment horizontal="center" vertical="center"/>
    </xf>
    <xf numFmtId="0" fontId="133" fillId="3" borderId="30" xfId="0" applyFont="1" applyFill="1" applyBorder="1" applyAlignment="1">
      <alignment horizontal="center" vertical="center"/>
    </xf>
    <xf numFmtId="0" fontId="133" fillId="3" borderId="29" xfId="0" applyFont="1" applyFill="1" applyBorder="1" applyAlignment="1">
      <alignment horizontal="center" vertical="center"/>
    </xf>
    <xf numFmtId="0" fontId="133" fillId="3" borderId="28" xfId="0" applyFont="1" applyFill="1" applyBorder="1" applyAlignment="1">
      <alignment horizontal="center" vertical="center"/>
    </xf>
    <xf numFmtId="0" fontId="133" fillId="0" borderId="28" xfId="0" applyFont="1" applyFill="1" applyBorder="1" applyAlignment="1">
      <alignment horizontal="center" vertical="center"/>
    </xf>
    <xf numFmtId="0" fontId="133" fillId="0" borderId="29" xfId="0" applyFont="1" applyFill="1" applyBorder="1" applyAlignment="1">
      <alignment horizontal="center" vertical="center"/>
    </xf>
    <xf numFmtId="0" fontId="133" fillId="0" borderId="44" xfId="0" applyFont="1" applyFill="1" applyBorder="1" applyAlignment="1">
      <alignment horizontal="center" vertical="center"/>
    </xf>
    <xf numFmtId="0" fontId="133" fillId="3" borderId="214" xfId="0" applyFont="1" applyFill="1" applyBorder="1" applyAlignment="1">
      <alignment horizontal="center" vertical="center"/>
    </xf>
    <xf numFmtId="0" fontId="133" fillId="0" borderId="31" xfId="0" applyFont="1" applyFill="1" applyBorder="1" applyAlignment="1">
      <alignment horizontal="center" vertical="center"/>
    </xf>
    <xf numFmtId="0" fontId="76" fillId="18" borderId="16" xfId="0" applyFont="1" applyFill="1" applyBorder="1" applyAlignment="1">
      <alignment horizontal="center" vertical="center" wrapText="1"/>
    </xf>
    <xf numFmtId="0" fontId="76" fillId="18" borderId="0" xfId="0" applyFont="1" applyFill="1" applyAlignment="1">
      <alignment horizontal="center" vertical="center" wrapText="1"/>
    </xf>
    <xf numFmtId="0" fontId="76" fillId="18" borderId="0" xfId="0" applyFont="1" applyFill="1" applyAlignment="1">
      <alignment horizontal="center" vertical="center"/>
    </xf>
    <xf numFmtId="0" fontId="76" fillId="18" borderId="17" xfId="0" applyFont="1" applyFill="1" applyBorder="1" applyAlignment="1">
      <alignment horizontal="center" vertical="center"/>
    </xf>
    <xf numFmtId="0" fontId="72" fillId="0" borderId="16" xfId="0" applyFont="1" applyFill="1" applyBorder="1" applyAlignment="1">
      <alignment horizontal="center" vertical="center"/>
    </xf>
    <xf numFmtId="0" fontId="72" fillId="0" borderId="0" xfId="0" applyFont="1" applyFill="1" applyAlignment="1">
      <alignment horizontal="center" vertical="center" wrapText="1"/>
    </xf>
    <xf numFmtId="0" fontId="72" fillId="0" borderId="0" xfId="0" applyFont="1" applyFill="1" applyAlignment="1">
      <alignment horizontal="center" vertical="center"/>
    </xf>
    <xf numFmtId="0" fontId="72" fillId="0" borderId="17" xfId="0" applyFont="1" applyFill="1" applyBorder="1" applyAlignment="1">
      <alignment horizontal="center" vertical="center"/>
    </xf>
    <xf numFmtId="0" fontId="72" fillId="3" borderId="16" xfId="0" applyFont="1" applyFill="1" applyBorder="1" applyAlignment="1">
      <alignment horizontal="center" vertical="center"/>
    </xf>
    <xf numFmtId="0" fontId="72" fillId="3" borderId="0" xfId="0" applyFont="1" applyFill="1" applyAlignment="1">
      <alignment horizontal="center" vertical="center" wrapText="1"/>
    </xf>
    <xf numFmtId="0" fontId="72" fillId="3" borderId="0" xfId="0" applyFont="1" applyFill="1" applyAlignment="1">
      <alignment horizontal="center" vertical="center"/>
    </xf>
    <xf numFmtId="0" fontId="72" fillId="3" borderId="17" xfId="0" applyFont="1" applyFill="1" applyBorder="1" applyAlignment="1">
      <alignment horizontal="center" vertical="center"/>
    </xf>
    <xf numFmtId="0" fontId="72" fillId="0" borderId="17" xfId="0" applyFont="1" applyFill="1" applyBorder="1" applyAlignment="1">
      <alignment horizontal="center" vertical="center" wrapText="1"/>
    </xf>
    <xf numFmtId="0" fontId="72" fillId="3" borderId="17" xfId="0" applyFont="1" applyFill="1" applyBorder="1" applyAlignment="1">
      <alignment horizontal="center" vertical="center" wrapText="1"/>
    </xf>
    <xf numFmtId="0" fontId="72" fillId="3" borderId="16" xfId="0" applyFont="1" applyFill="1" applyBorder="1" applyAlignment="1">
      <alignment horizontal="center" vertical="center"/>
    </xf>
    <xf numFmtId="0" fontId="72" fillId="3" borderId="0" xfId="0" applyFont="1" applyFill="1" applyAlignment="1">
      <alignment horizontal="center" vertical="center"/>
    </xf>
    <xf numFmtId="0" fontId="72" fillId="0" borderId="30" xfId="0" applyFont="1" applyFill="1" applyBorder="1" applyAlignment="1">
      <alignment horizontal="center" vertical="center"/>
    </xf>
    <xf numFmtId="0" fontId="72" fillId="0" borderId="29" xfId="0" applyFont="1" applyFill="1" applyBorder="1" applyAlignment="1">
      <alignment horizontal="center" vertical="center"/>
    </xf>
    <xf numFmtId="0" fontId="72" fillId="0" borderId="31" xfId="0" applyFont="1" applyFill="1" applyBorder="1" applyAlignment="1">
      <alignment horizontal="center" vertical="center" wrapText="1"/>
    </xf>
    <xf numFmtId="0" fontId="134" fillId="0" borderId="96" xfId="0" applyFont="1" applyFill="1" applyBorder="1" applyAlignment="1">
      <alignment horizontal="center" vertical="center" wrapText="1"/>
    </xf>
    <xf numFmtId="0" fontId="133" fillId="0" borderId="148" xfId="0" applyFont="1" applyFill="1" applyBorder="1" applyAlignment="1">
      <alignment horizontal="center" vertical="center" wrapText="1"/>
    </xf>
    <xf numFmtId="0" fontId="133" fillId="0" borderId="0" xfId="0" applyFont="1" applyFill="1" applyBorder="1" applyAlignment="1">
      <alignment horizontal="center" vertical="center" wrapText="1"/>
    </xf>
    <xf numFmtId="0" fontId="133" fillId="0" borderId="149" xfId="0" applyFont="1" applyFill="1" applyBorder="1" applyAlignment="1">
      <alignment horizontal="center" vertical="center" wrapText="1"/>
    </xf>
    <xf numFmtId="0" fontId="133" fillId="0" borderId="0" xfId="0" applyFont="1" applyFill="1" applyAlignment="1">
      <alignment horizontal="center" vertical="center" wrapText="1"/>
    </xf>
    <xf numFmtId="0" fontId="133" fillId="0" borderId="160" xfId="0" applyFont="1" applyFill="1" applyBorder="1" applyAlignment="1">
      <alignment horizontal="center" vertical="center" wrapText="1"/>
    </xf>
    <xf numFmtId="0" fontId="133" fillId="0" borderId="161" xfId="0" applyFont="1" applyFill="1" applyBorder="1" applyAlignment="1">
      <alignment horizontal="center" vertical="center" wrapText="1"/>
    </xf>
    <xf numFmtId="0" fontId="133" fillId="0" borderId="162" xfId="0" applyFont="1" applyFill="1" applyBorder="1" applyAlignment="1">
      <alignment horizontal="center" vertical="center" wrapText="1"/>
    </xf>
    <xf numFmtId="0" fontId="135" fillId="0" borderId="96" xfId="0" applyFont="1" applyFill="1" applyBorder="1" applyAlignment="1">
      <alignment horizontal="center" vertical="center" wrapText="1"/>
    </xf>
    <xf numFmtId="0" fontId="133" fillId="0" borderId="96" xfId="0" applyFont="1" applyFill="1" applyBorder="1" applyAlignment="1">
      <alignment horizontal="center" vertical="center" wrapText="1"/>
    </xf>
    <xf numFmtId="0" fontId="136" fillId="0" borderId="0" xfId="0" applyFont="1" applyFill="1" applyBorder="1" applyAlignment="1">
      <alignment vertical="center" wrapText="1"/>
    </xf>
    <xf numFmtId="0" fontId="133" fillId="0" borderId="127" xfId="0" applyFont="1" applyFill="1" applyBorder="1" applyAlignment="1">
      <alignment horizontal="center" vertical="center" wrapText="1"/>
    </xf>
    <xf numFmtId="0" fontId="133" fillId="0" borderId="139" xfId="0" applyFont="1" applyFill="1" applyBorder="1" applyAlignment="1">
      <alignment horizontal="center" vertical="center" wrapText="1"/>
    </xf>
    <xf numFmtId="0" fontId="133" fillId="0" borderId="142" xfId="0" applyFont="1" applyFill="1" applyBorder="1" applyAlignment="1">
      <alignment horizontal="center" vertical="center"/>
    </xf>
    <xf numFmtId="0" fontId="133" fillId="0" borderId="134" xfId="0" applyFont="1" applyFill="1" applyBorder="1" applyAlignment="1">
      <alignment horizontal="center" vertical="center"/>
    </xf>
    <xf numFmtId="0" fontId="133" fillId="0" borderId="140" xfId="0" applyFont="1" applyFill="1" applyBorder="1" applyAlignment="1">
      <alignment horizontal="center" vertical="center"/>
    </xf>
    <xf numFmtId="0" fontId="133" fillId="0" borderId="148" xfId="0" applyFont="1" applyFill="1" applyBorder="1" applyAlignment="1">
      <alignment horizontal="center" vertical="center"/>
    </xf>
    <xf numFmtId="0" fontId="133" fillId="0" borderId="0" xfId="0" applyFont="1" applyFill="1" applyAlignment="1">
      <alignment horizontal="center" vertical="center"/>
    </xf>
    <xf numFmtId="0" fontId="133" fillId="0" borderId="149" xfId="0" applyFont="1" applyFill="1" applyBorder="1" applyAlignment="1">
      <alignment horizontal="center" vertical="center"/>
    </xf>
    <xf numFmtId="0" fontId="134" fillId="0" borderId="0" xfId="0" applyFont="1" applyFill="1" applyAlignment="1">
      <alignment horizontal="center" vertical="center"/>
    </xf>
    <xf numFmtId="0" fontId="133" fillId="0" borderId="160" xfId="0" applyFont="1" applyFill="1" applyBorder="1" applyAlignment="1">
      <alignment horizontal="center" vertical="center"/>
    </xf>
    <xf numFmtId="0" fontId="133" fillId="0" borderId="161" xfId="0" applyFont="1" applyFill="1" applyBorder="1" applyAlignment="1">
      <alignment horizontal="center" vertical="center"/>
    </xf>
    <xf numFmtId="0" fontId="133" fillId="0" borderId="162" xfId="0" applyFont="1" applyFill="1" applyBorder="1" applyAlignment="1">
      <alignment horizontal="center" vertical="center"/>
    </xf>
    <xf numFmtId="0" fontId="133" fillId="0" borderId="142" xfId="0" applyFont="1" applyFill="1" applyBorder="1" applyAlignment="1">
      <alignment horizontal="center" vertical="center" wrapText="1"/>
    </xf>
    <xf numFmtId="0" fontId="133" fillId="0" borderId="134" xfId="0" applyFont="1" applyFill="1" applyBorder="1" applyAlignment="1">
      <alignment horizontal="center" vertical="center" wrapText="1"/>
    </xf>
    <xf numFmtId="0" fontId="133" fillId="0" borderId="0" xfId="0" applyFont="1" applyFill="1" applyBorder="1" applyAlignment="1">
      <alignment horizontal="center" vertical="center"/>
    </xf>
    <xf numFmtId="0" fontId="134" fillId="0" borderId="215" xfId="0" applyFont="1" applyFill="1" applyBorder="1" applyAlignment="1">
      <alignment horizontal="center" vertical="center"/>
    </xf>
    <xf numFmtId="0" fontId="133" fillId="0" borderId="216" xfId="0" applyFont="1" applyFill="1" applyBorder="1" applyAlignment="1">
      <alignment horizontal="center" vertical="center"/>
    </xf>
    <xf numFmtId="0" fontId="134" fillId="0" borderId="127" xfId="0" applyFont="1" applyFill="1" applyBorder="1" applyAlignment="1">
      <alignment horizontal="center" vertical="center" wrapText="1"/>
    </xf>
    <xf numFmtId="0" fontId="133" fillId="50" borderId="0" xfId="0" applyFont="1" applyFill="1" applyAlignment="1">
      <alignment horizontal="center" vertical="center" wrapText="1"/>
    </xf>
    <xf numFmtId="0" fontId="133" fillId="51" borderId="0" xfId="0" applyFont="1" applyFill="1" applyAlignment="1">
      <alignment horizontal="center" vertical="center"/>
    </xf>
    <xf numFmtId="0" fontId="133" fillId="52" borderId="0" xfId="0" applyFont="1" applyFill="1" applyAlignment="1">
      <alignment horizontal="center" vertical="center"/>
    </xf>
    <xf numFmtId="0" fontId="133" fillId="53" borderId="0" xfId="0" applyFont="1" applyFill="1" applyAlignment="1">
      <alignment horizontal="center" vertical="center"/>
    </xf>
    <xf numFmtId="0" fontId="133" fillId="54" borderId="0" xfId="0" applyFont="1" applyFill="1" applyAlignment="1">
      <alignment horizontal="center" vertical="center"/>
    </xf>
    <xf numFmtId="0" fontId="133" fillId="55" borderId="0" xfId="0" applyFont="1" applyFill="1" applyAlignment="1">
      <alignment horizontal="center" vertical="center"/>
    </xf>
    <xf numFmtId="0" fontId="133" fillId="56" borderId="0" xfId="0" applyFont="1" applyFill="1" applyAlignment="1">
      <alignment horizontal="center" vertical="center"/>
    </xf>
    <xf numFmtId="0" fontId="133" fillId="57" borderId="0" xfId="0" applyFont="1" applyFill="1" applyAlignment="1">
      <alignment horizontal="center" vertical="center"/>
    </xf>
    <xf numFmtId="0" fontId="134" fillId="0" borderId="217" xfId="0" applyFont="1" applyFill="1" applyBorder="1" applyAlignment="1">
      <alignment horizontal="center" vertical="center" wrapText="1"/>
    </xf>
    <xf numFmtId="0" fontId="133" fillId="0" borderId="218" xfId="0" applyFont="1" applyFill="1" applyBorder="1" applyAlignment="1">
      <alignment horizontal="center" vertical="center"/>
    </xf>
    <xf numFmtId="0" fontId="133" fillId="0" borderId="219" xfId="0" applyFont="1" applyFill="1" applyBorder="1" applyAlignment="1">
      <alignment horizontal="center" vertical="center"/>
    </xf>
    <xf numFmtId="0" fontId="133" fillId="0" borderId="220" xfId="0" applyFont="1" applyFill="1" applyBorder="1" applyAlignment="1">
      <alignment horizontal="center" vertical="center"/>
    </xf>
    <xf numFmtId="0" fontId="133" fillId="0" borderId="221" xfId="0" applyFont="1" applyFill="1" applyBorder="1" applyAlignment="1">
      <alignment horizontal="center" vertical="center"/>
    </xf>
    <xf numFmtId="0" fontId="133" fillId="0" borderId="222" xfId="0" applyFont="1" applyFill="1" applyBorder="1" applyAlignment="1">
      <alignment horizontal="center" vertical="center"/>
    </xf>
    <xf numFmtId="0" fontId="133" fillId="0" borderId="223" xfId="0" applyFont="1" applyFill="1" applyBorder="1" applyAlignment="1">
      <alignment horizontal="center" vertical="center"/>
    </xf>
    <xf numFmtId="0" fontId="133" fillId="0" borderId="224" xfId="0" applyFont="1" applyFill="1" applyBorder="1" applyAlignment="1">
      <alignment horizontal="center" vertical="center"/>
    </xf>
    <xf numFmtId="0" fontId="133" fillId="0" borderId="225" xfId="0" applyFont="1" applyFill="1" applyBorder="1" applyAlignment="1">
      <alignment horizontal="center" vertical="center"/>
    </xf>
    <xf numFmtId="0" fontId="133" fillId="58" borderId="0" xfId="0" applyFont="1" applyFill="1" applyAlignment="1">
      <alignment horizontal="center" vertical="center" wrapText="1"/>
    </xf>
    <xf numFmtId="0" fontId="133" fillId="58" borderId="0" xfId="0" applyFont="1" applyFill="1" applyAlignment="1">
      <alignment horizontal="center" vertical="center"/>
    </xf>
    <xf numFmtId="0" fontId="133" fillId="53" borderId="0" xfId="0" applyFont="1" applyFill="1" applyBorder="1" applyAlignment="1">
      <alignment horizontal="center" vertical="center"/>
    </xf>
    <xf numFmtId="0" fontId="133" fillId="55" borderId="0" xfId="0" applyFont="1" applyFill="1" applyBorder="1" applyAlignment="1">
      <alignment horizontal="center" vertical="center" wrapText="1"/>
    </xf>
    <xf numFmtId="0" fontId="133" fillId="56" borderId="0" xfId="0" applyFont="1" applyFill="1" applyBorder="1" applyAlignment="1">
      <alignment horizontal="center" vertical="center" wrapText="1"/>
    </xf>
    <xf numFmtId="0" fontId="133" fillId="57" borderId="0" xfId="0" applyFont="1" applyFill="1" applyBorder="1" applyAlignment="1">
      <alignment horizontal="center" vertical="center" wrapText="1"/>
    </xf>
    <xf numFmtId="0" fontId="133" fillId="53" borderId="226" xfId="0" applyFont="1" applyFill="1" applyBorder="1" applyAlignment="1">
      <alignment horizontal="center" vertical="center"/>
    </xf>
    <xf numFmtId="0" fontId="133" fillId="0" borderId="0" xfId="0" applyFont="1" applyFill="1" applyBorder="1">
      <alignment vertical="center"/>
    </xf>
    <xf numFmtId="0" fontId="133" fillId="0" borderId="226" xfId="0" applyFont="1" applyFill="1" applyBorder="1">
      <alignment vertical="center"/>
    </xf>
    <xf numFmtId="0" fontId="133" fillId="0" borderId="0" xfId="0" applyFont="1" applyFill="1" applyBorder="1" applyAlignment="1">
      <alignment vertical="center" wrapText="1"/>
    </xf>
    <xf numFmtId="0" fontId="133" fillId="0" borderId="224" xfId="0" applyFont="1" applyFill="1" applyBorder="1" applyAlignment="1">
      <alignment vertical="center" wrapText="1"/>
    </xf>
    <xf numFmtId="0" fontId="133" fillId="0" borderId="227" xfId="0" applyFont="1" applyFill="1" applyBorder="1" applyAlignment="1">
      <alignment horizontal="center" vertical="center"/>
    </xf>
    <xf numFmtId="0" fontId="133" fillId="0" borderId="228" xfId="0" applyFont="1" applyFill="1" applyBorder="1" applyAlignment="1">
      <alignment horizontal="center" vertical="center"/>
    </xf>
    <xf numFmtId="0" fontId="133" fillId="0" borderId="229" xfId="0" applyFont="1" applyFill="1" applyBorder="1" applyAlignment="1">
      <alignment horizontal="center" vertical="center"/>
    </xf>
    <xf numFmtId="0" fontId="133" fillId="0" borderId="226" xfId="0" applyFont="1" applyFill="1" applyBorder="1" applyAlignment="1">
      <alignment horizontal="center" vertical="center"/>
    </xf>
    <xf numFmtId="0" fontId="133" fillId="0" borderId="230" xfId="0" applyFont="1" applyFill="1" applyBorder="1" applyAlignment="1">
      <alignment horizontal="center" vertical="center"/>
    </xf>
    <xf numFmtId="0" fontId="133" fillId="0" borderId="231" xfId="0" applyFont="1" applyFill="1" applyBorder="1" applyAlignment="1">
      <alignment vertical="center" wrapText="1"/>
    </xf>
    <xf numFmtId="0" fontId="134" fillId="0" borderId="0" xfId="0" applyFont="1" applyFill="1" applyBorder="1">
      <alignment vertical="center"/>
    </xf>
    <xf numFmtId="0" fontId="134" fillId="0" borderId="218" xfId="0" applyFont="1" applyFill="1" applyBorder="1">
      <alignment vertical="center"/>
    </xf>
    <xf numFmtId="0" fontId="133" fillId="59" borderId="0" xfId="0" applyFont="1" applyFill="1" applyBorder="1" applyAlignment="1">
      <alignment horizontal="center" vertical="center" wrapText="1"/>
    </xf>
    <xf numFmtId="0" fontId="72" fillId="59" borderId="0" xfId="0" applyFont="1" applyFill="1" applyBorder="1" applyAlignment="1">
      <alignment horizontal="center" vertical="center"/>
    </xf>
    <xf numFmtId="0" fontId="134" fillId="0" borderId="232" xfId="0" applyFont="1" applyFill="1" applyBorder="1">
      <alignment vertical="center"/>
    </xf>
    <xf numFmtId="0" fontId="134" fillId="0" borderId="233" xfId="0" applyFont="1" applyFill="1" applyBorder="1">
      <alignment vertical="center"/>
    </xf>
    <xf numFmtId="0" fontId="134" fillId="0" borderId="234" xfId="0" applyFont="1" applyFill="1" applyBorder="1">
      <alignment vertical="center"/>
    </xf>
    <xf numFmtId="0" fontId="133" fillId="60" borderId="0" xfId="0" applyFont="1" applyFill="1" applyAlignment="1">
      <alignment horizontal="center" vertical="center" wrapText="1"/>
    </xf>
    <xf numFmtId="0" fontId="133" fillId="0" borderId="235" xfId="0" applyFont="1" applyFill="1" applyBorder="1" applyAlignment="1">
      <alignment horizontal="center" vertical="center"/>
    </xf>
    <xf numFmtId="0" fontId="134" fillId="0" borderId="236" xfId="0" applyFont="1" applyFill="1" applyBorder="1">
      <alignment vertical="center"/>
    </xf>
    <xf numFmtId="0" fontId="134" fillId="0" borderId="237" xfId="0" applyFont="1" applyFill="1" applyBorder="1">
      <alignment vertical="center"/>
    </xf>
    <xf numFmtId="0" fontId="134" fillId="0" borderId="226" xfId="0" applyFont="1" applyFill="1" applyBorder="1">
      <alignment vertical="center"/>
    </xf>
    <xf numFmtId="0" fontId="134" fillId="0" borderId="221" xfId="0" applyFont="1" applyFill="1" applyBorder="1">
      <alignment vertical="center"/>
    </xf>
    <xf numFmtId="0" fontId="133" fillId="0" borderId="238" xfId="0" applyFont="1" applyFill="1" applyBorder="1" applyAlignment="1">
      <alignment horizontal="center" vertical="center"/>
    </xf>
    <xf numFmtId="0" fontId="134" fillId="0" borderId="239" xfId="0" applyFont="1" applyFill="1" applyBorder="1">
      <alignment vertical="center"/>
    </xf>
    <xf numFmtId="0" fontId="133" fillId="0" borderId="239" xfId="0" applyFont="1" applyFill="1" applyBorder="1" applyAlignment="1">
      <alignment horizontal="center" vertical="center"/>
    </xf>
    <xf numFmtId="0" fontId="133" fillId="0" borderId="215" xfId="0" applyFont="1" applyFill="1" applyBorder="1" applyAlignment="1">
      <alignment horizontal="center" vertical="center"/>
    </xf>
    <xf numFmtId="0" fontId="134" fillId="0" borderId="0" xfId="0" applyFont="1" applyFill="1" applyBorder="1" applyAlignment="1">
      <alignment vertical="center" wrapText="1"/>
    </xf>
    <xf numFmtId="0" fontId="134" fillId="0" borderId="218" xfId="0" applyFont="1" applyFill="1" applyBorder="1" applyAlignment="1">
      <alignment vertical="center" wrapText="1"/>
    </xf>
    <xf numFmtId="0" fontId="133" fillId="36" borderId="0" xfId="0" applyFont="1" applyFill="1" applyBorder="1" applyAlignment="1">
      <alignment horizontal="center" vertical="center" wrapText="1"/>
    </xf>
    <xf numFmtId="0" fontId="72" fillId="36" borderId="0" xfId="0" applyFont="1" applyFill="1" applyBorder="1" applyAlignment="1">
      <alignment horizontal="center" vertical="center" wrapText="1"/>
    </xf>
    <xf numFmtId="0" fontId="133" fillId="0" borderId="240" xfId="0" applyFont="1" applyFill="1" applyBorder="1" applyAlignment="1">
      <alignment horizontal="center" vertical="center"/>
    </xf>
    <xf numFmtId="0" fontId="134" fillId="0" borderId="241" xfId="0" applyFont="1" applyFill="1" applyBorder="1" applyAlignment="1">
      <alignment vertical="center" wrapText="1"/>
    </xf>
    <xf numFmtId="0" fontId="134" fillId="0" borderId="242" xfId="0" applyFont="1" applyFill="1" applyBorder="1" applyAlignment="1">
      <alignment vertical="center" wrapText="1"/>
    </xf>
    <xf numFmtId="0" fontId="132" fillId="61" borderId="0" xfId="0" applyFont="1" applyFill="1" applyAlignment="1">
      <alignment horizontal="center" vertical="center" wrapText="1"/>
    </xf>
    <xf numFmtId="0" fontId="137" fillId="0" borderId="0" xfId="0" applyFont="1" applyFill="1" applyBorder="1" applyAlignment="1">
      <alignment vertical="center" wrapText="1"/>
    </xf>
    <xf numFmtId="0" fontId="137" fillId="0" borderId="243" xfId="0" applyFont="1" applyFill="1" applyBorder="1" applyAlignment="1">
      <alignment vertical="center" wrapText="1"/>
    </xf>
    <xf numFmtId="0" fontId="137" fillId="0" borderId="244" xfId="0" applyFont="1" applyFill="1" applyBorder="1" applyAlignment="1">
      <alignment vertical="center" wrapText="1"/>
    </xf>
    <xf numFmtId="0" fontId="132" fillId="0" borderId="0" xfId="0" applyFont="1" applyFill="1" applyBorder="1" applyAlignment="1">
      <alignment vertical="center" wrapText="1"/>
    </xf>
    <xf numFmtId="0" fontId="137" fillId="0" borderId="245" xfId="0" applyFont="1" applyFill="1" applyBorder="1" applyAlignment="1">
      <alignment vertical="center" wrapText="1"/>
    </xf>
    <xf numFmtId="0" fontId="134" fillId="3" borderId="246" xfId="0" applyFont="1" applyFill="1" applyBorder="1" applyAlignment="1">
      <alignment horizontal="center" vertical="center"/>
    </xf>
    <xf numFmtId="0" fontId="134" fillId="3" borderId="247" xfId="0" applyFont="1" applyFill="1" applyBorder="1" applyAlignment="1">
      <alignment horizontal="center" vertical="center"/>
    </xf>
    <xf numFmtId="0" fontId="134" fillId="3" borderId="247" xfId="0" applyFont="1" applyFill="1" applyBorder="1" applyAlignment="1">
      <alignment horizontal="center" vertical="center" wrapText="1"/>
    </xf>
    <xf numFmtId="0" fontId="134" fillId="3" borderId="248" xfId="0" applyFont="1" applyFill="1" applyBorder="1" applyAlignment="1">
      <alignment horizontal="center" vertical="center"/>
    </xf>
    <xf numFmtId="0" fontId="133" fillId="62" borderId="0" xfId="0" applyFont="1" applyFill="1" applyBorder="1" applyAlignment="1">
      <alignment horizontal="center" vertical="center"/>
    </xf>
    <xf numFmtId="0" fontId="7" fillId="22" borderId="7" xfId="0" applyFont="1" applyFill="1" applyBorder="1" applyAlignment="1">
      <alignment horizontal="center" vertical="center" wrapText="1"/>
    </xf>
    <xf numFmtId="0" fontId="7" fillId="22" borderId="8" xfId="0" applyFont="1" applyFill="1" applyBorder="1" applyAlignment="1">
      <alignment horizontal="center" vertical="center" wrapText="1"/>
    </xf>
    <xf numFmtId="0" fontId="8" fillId="22" borderId="8" xfId="0" applyFont="1" applyFill="1" applyBorder="1" applyAlignment="1">
      <alignment horizontal="center" vertical="center"/>
    </xf>
    <xf numFmtId="0" fontId="134" fillId="3" borderId="38" xfId="0" applyFont="1" applyFill="1" applyBorder="1" applyAlignment="1">
      <alignment horizontal="center" vertical="center"/>
    </xf>
    <xf numFmtId="0" fontId="134" fillId="3" borderId="0" xfId="0" applyFont="1" applyFill="1" applyAlignment="1">
      <alignment horizontal="center" vertical="center"/>
    </xf>
    <xf numFmtId="0" fontId="134" fillId="3" borderId="37" xfId="0" applyFont="1" applyFill="1" applyBorder="1" applyAlignment="1">
      <alignment horizontal="center" vertical="center"/>
    </xf>
    <xf numFmtId="0" fontId="138" fillId="0" borderId="0" xfId="0" applyFont="1" applyFill="1" applyBorder="1" applyAlignment="1">
      <alignment vertical="center" wrapText="1"/>
    </xf>
    <xf numFmtId="0" fontId="7" fillId="22" borderId="16" xfId="0" applyFont="1" applyFill="1" applyBorder="1" applyAlignment="1">
      <alignment horizontal="center" vertical="center" wrapText="1"/>
    </xf>
    <xf numFmtId="0" fontId="7" fillId="22" borderId="0" xfId="0" applyFont="1" applyFill="1" applyBorder="1" applyAlignment="1">
      <alignment horizontal="center" vertical="center" wrapText="1"/>
    </xf>
    <xf numFmtId="49" fontId="8" fillId="0" borderId="0" xfId="0" applyNumberFormat="1" applyFont="1" applyFill="1" applyBorder="1" applyAlignment="1">
      <alignment horizontal="center" vertical="center"/>
    </xf>
    <xf numFmtId="0" fontId="139" fillId="3" borderId="16" xfId="0" applyFont="1" applyFill="1" applyBorder="1" applyAlignment="1">
      <alignment horizontal="center" vertical="center"/>
    </xf>
    <xf numFmtId="0" fontId="139" fillId="3" borderId="0" xfId="0" applyFont="1" applyFill="1" applyAlignment="1">
      <alignment horizontal="center" vertical="center"/>
    </xf>
    <xf numFmtId="0" fontId="34" fillId="3" borderId="17" xfId="0" applyFont="1" applyFill="1" applyBorder="1" applyAlignment="1">
      <alignment horizontal="center" vertical="center"/>
    </xf>
    <xf numFmtId="49" fontId="8" fillId="4" borderId="0" xfId="0" applyNumberFormat="1" applyFont="1" applyFill="1" applyBorder="1" applyAlignment="1">
      <alignment horizontal="center" vertical="center"/>
    </xf>
    <xf numFmtId="0" fontId="139" fillId="0" borderId="16" xfId="0" applyFont="1" applyFill="1" applyBorder="1" applyAlignment="1">
      <alignment horizontal="center" vertical="center"/>
    </xf>
    <xf numFmtId="0" fontId="139" fillId="0" borderId="0" xfId="0" applyFont="1" applyFill="1" applyAlignment="1">
      <alignment horizontal="center" vertical="center"/>
    </xf>
    <xf numFmtId="0" fontId="34" fillId="0" borderId="17" xfId="0" applyFont="1" applyFill="1" applyBorder="1" applyAlignment="1">
      <alignment horizontal="center" vertical="center"/>
    </xf>
    <xf numFmtId="0" fontId="134" fillId="5" borderId="38" xfId="0" applyFont="1" applyFill="1" applyBorder="1" applyAlignment="1">
      <alignment horizontal="center" vertical="center"/>
    </xf>
    <xf numFmtId="0" fontId="134" fillId="5" borderId="0" xfId="0" applyFont="1" applyFill="1" applyAlignment="1">
      <alignment horizontal="center" vertical="center"/>
    </xf>
    <xf numFmtId="0" fontId="140" fillId="5" borderId="0" xfId="0" applyFont="1" applyFill="1" applyAlignment="1">
      <alignment horizontal="center" vertical="center"/>
    </xf>
    <xf numFmtId="0" fontId="141" fillId="5" borderId="0" xfId="0" applyFont="1" applyFill="1" applyAlignment="1">
      <alignment horizontal="center" vertical="center"/>
    </xf>
    <xf numFmtId="0" fontId="141" fillId="5" borderId="37" xfId="0" applyFont="1" applyFill="1" applyBorder="1" applyAlignment="1">
      <alignment horizontal="center" vertical="center"/>
    </xf>
    <xf numFmtId="49" fontId="8" fillId="5" borderId="0" xfId="0" applyNumberFormat="1" applyFont="1" applyFill="1" applyBorder="1" applyAlignment="1">
      <alignment horizontal="center" vertical="center"/>
    </xf>
    <xf numFmtId="0" fontId="142" fillId="5" borderId="16" xfId="0" applyFont="1" applyFill="1" applyBorder="1" applyAlignment="1">
      <alignment horizontal="center" vertical="center"/>
    </xf>
    <xf numFmtId="0" fontId="142" fillId="5" borderId="0" xfId="0" applyFont="1" applyFill="1" applyAlignment="1">
      <alignment horizontal="center" vertical="center"/>
    </xf>
    <xf numFmtId="0" fontId="34" fillId="5" borderId="17" xfId="0" applyFont="1" applyFill="1" applyBorder="1" applyAlignment="1">
      <alignment horizontal="center" vertical="center"/>
    </xf>
    <xf numFmtId="0" fontId="34" fillId="3" borderId="17" xfId="0" applyFont="1" applyFill="1" applyBorder="1" applyAlignment="1" quotePrefix="1">
      <alignment horizontal="center" vertical="center"/>
    </xf>
    <xf numFmtId="0" fontId="134" fillId="3" borderId="0" xfId="0" applyFont="1" applyFill="1" applyAlignment="1">
      <alignment horizontal="center" vertical="center" wrapText="1"/>
    </xf>
    <xf numFmtId="0" fontId="133" fillId="38" borderId="0" xfId="0" applyFont="1" applyFill="1" applyBorder="1" applyAlignment="1">
      <alignment horizontal="center" vertical="center" wrapText="1"/>
    </xf>
    <xf numFmtId="0" fontId="133" fillId="38" borderId="0" xfId="0" applyFont="1" applyFill="1" applyBorder="1" applyAlignment="1">
      <alignment horizontal="center" vertical="center"/>
    </xf>
    <xf numFmtId="0" fontId="34" fillId="0" borderId="17" xfId="0" applyFont="1" applyFill="1" applyBorder="1" applyAlignment="1" quotePrefix="1">
      <alignment horizontal="center" vertical="center"/>
    </xf>
    <xf numFmtId="0" fontId="7" fillId="22" borderId="30" xfId="0" applyFont="1" applyFill="1" applyBorder="1" applyAlignment="1">
      <alignment horizontal="center" vertical="center" wrapText="1"/>
    </xf>
    <xf numFmtId="0" fontId="7" fillId="22" borderId="29" xfId="0" applyFont="1" applyFill="1" applyBorder="1" applyAlignment="1">
      <alignment horizontal="center" vertical="center" wrapText="1"/>
    </xf>
    <xf numFmtId="49" fontId="8" fillId="4" borderId="29" xfId="0" applyNumberFormat="1" applyFont="1" applyFill="1" applyBorder="1" applyAlignment="1">
      <alignment horizontal="center" vertical="center"/>
    </xf>
    <xf numFmtId="0" fontId="139" fillId="0" borderId="30" xfId="0" applyFont="1" applyFill="1" applyBorder="1" applyAlignment="1">
      <alignment horizontal="center" vertical="center"/>
    </xf>
    <xf numFmtId="0" fontId="139" fillId="0" borderId="29" xfId="0" applyFont="1" applyFill="1" applyBorder="1" applyAlignment="1">
      <alignment horizontal="center" vertical="center"/>
    </xf>
    <xf numFmtId="0" fontId="34" fillId="0" borderId="31" xfId="0" applyFont="1" applyFill="1" applyBorder="1" applyAlignment="1" quotePrefix="1">
      <alignment horizontal="center" vertical="center"/>
    </xf>
    <xf numFmtId="0" fontId="134" fillId="5" borderId="0" xfId="0" applyFont="1" applyFill="1" applyAlignment="1">
      <alignment horizontal="center" vertical="center" wrapText="1"/>
    </xf>
    <xf numFmtId="0" fontId="134" fillId="5" borderId="37" xfId="0" applyFont="1" applyFill="1" applyBorder="1" applyAlignment="1">
      <alignment horizontal="center" vertical="center"/>
    </xf>
    <xf numFmtId="0" fontId="75" fillId="0" borderId="0" xfId="0" applyFont="1" applyFill="1" applyAlignment="1">
      <alignment horizontal="center" vertical="center" wrapText="1"/>
    </xf>
    <xf numFmtId="0" fontId="134" fillId="5" borderId="246" xfId="0" applyFont="1" applyFill="1" applyBorder="1" applyAlignment="1">
      <alignment horizontal="center" vertical="center"/>
    </xf>
    <xf numFmtId="0" fontId="133" fillId="0" borderId="0" xfId="0" applyFont="1" applyFill="1">
      <alignment vertical="center"/>
    </xf>
    <xf numFmtId="0" fontId="134" fillId="0" borderId="147" xfId="0" applyFont="1" applyFill="1" applyBorder="1" applyAlignment="1">
      <alignment horizontal="center" vertical="center" wrapText="1"/>
    </xf>
    <xf numFmtId="0" fontId="134" fillId="3" borderId="249" xfId="0" applyFont="1" applyFill="1" applyBorder="1" applyAlignment="1">
      <alignment horizontal="center" vertical="center"/>
    </xf>
    <xf numFmtId="0" fontId="134" fillId="3" borderId="250" xfId="0" applyFont="1" applyFill="1" applyBorder="1" applyAlignment="1">
      <alignment horizontal="center" vertical="center"/>
    </xf>
    <xf numFmtId="0" fontId="134" fillId="3" borderId="251" xfId="0" applyFont="1" applyFill="1" applyBorder="1" applyAlignment="1">
      <alignment horizontal="center" vertical="center"/>
    </xf>
    <xf numFmtId="0" fontId="30" fillId="0" borderId="0" xfId="0" applyFont="1" applyFill="1" applyAlignment="1">
      <alignment horizontal="center" vertical="center"/>
    </xf>
    <xf numFmtId="0" fontId="120" fillId="3" borderId="7" xfId="0" applyFont="1" applyFill="1" applyBorder="1" applyAlignment="1">
      <alignment horizontal="center" vertical="center"/>
    </xf>
    <xf numFmtId="0" fontId="120" fillId="3" borderId="8" xfId="0" applyFont="1" applyFill="1" applyBorder="1" applyAlignment="1">
      <alignment horizontal="center" vertical="center"/>
    </xf>
    <xf numFmtId="0" fontId="120" fillId="3" borderId="9" xfId="0" applyFont="1" applyFill="1" applyBorder="1" applyAlignment="1">
      <alignment horizontal="center" vertical="center"/>
    </xf>
    <xf numFmtId="0" fontId="120" fillId="3" borderId="16" xfId="0" applyFont="1" applyFill="1" applyBorder="1" applyAlignment="1">
      <alignment horizontal="center" vertical="center"/>
    </xf>
    <xf numFmtId="0" fontId="120" fillId="3" borderId="0" xfId="0" applyFont="1" applyFill="1" applyAlignment="1">
      <alignment horizontal="center" vertical="center"/>
    </xf>
    <xf numFmtId="0" fontId="120" fillId="3" borderId="0" xfId="0" applyFont="1" applyFill="1" applyBorder="1" applyAlignment="1">
      <alignment horizontal="center" vertical="center"/>
    </xf>
    <xf numFmtId="0" fontId="120" fillId="3" borderId="17" xfId="0" applyFont="1" applyFill="1" applyBorder="1" applyAlignment="1">
      <alignment horizontal="center" vertical="center"/>
    </xf>
    <xf numFmtId="0" fontId="30" fillId="0" borderId="206" xfId="0" applyFont="1" applyFill="1" applyBorder="1" applyAlignment="1">
      <alignment horizontal="center" vertical="center" wrapText="1"/>
    </xf>
    <xf numFmtId="0" fontId="30" fillId="0" borderId="205" xfId="0" applyFont="1" applyFill="1" applyBorder="1" applyAlignment="1">
      <alignment horizontal="center" vertical="center"/>
    </xf>
    <xf numFmtId="0" fontId="30" fillId="0" borderId="207" xfId="0" applyFont="1" applyFill="1" applyBorder="1" applyAlignment="1">
      <alignment horizontal="center" vertical="center"/>
    </xf>
    <xf numFmtId="0" fontId="8" fillId="0" borderId="204" xfId="0" applyFont="1" applyFill="1" applyBorder="1" applyAlignment="1">
      <alignment horizontal="center" vertical="center"/>
    </xf>
    <xf numFmtId="0" fontId="8" fillId="0" borderId="205" xfId="0" applyFont="1" applyFill="1" applyBorder="1" applyAlignment="1">
      <alignment horizontal="center" vertical="center"/>
    </xf>
    <xf numFmtId="0" fontId="8" fillId="0" borderId="206" xfId="0" applyFont="1" applyFill="1" applyBorder="1" applyAlignment="1">
      <alignment horizontal="center" vertical="center"/>
    </xf>
    <xf numFmtId="0" fontId="8" fillId="0" borderId="252" xfId="0" applyFont="1" applyFill="1" applyBorder="1" applyAlignment="1">
      <alignment horizontal="center" vertical="center"/>
    </xf>
    <xf numFmtId="0" fontId="8" fillId="0" borderId="207" xfId="0" applyFont="1" applyFill="1" applyBorder="1" applyAlignment="1">
      <alignment horizontal="center" vertical="center"/>
    </xf>
    <xf numFmtId="0" fontId="30" fillId="0" borderId="209" xfId="0" applyFont="1" applyFill="1" applyBorder="1" applyAlignment="1">
      <alignment horizontal="center" vertical="center"/>
    </xf>
    <xf numFmtId="0" fontId="30" fillId="0" borderId="202" xfId="0" applyFont="1" applyFill="1" applyBorder="1" applyAlignment="1">
      <alignment horizontal="center" vertical="center"/>
    </xf>
    <xf numFmtId="0" fontId="30" fillId="0" borderId="203" xfId="0" applyFont="1" applyFill="1" applyBorder="1" applyAlignment="1">
      <alignment horizontal="center" vertical="center"/>
    </xf>
    <xf numFmtId="0" fontId="30" fillId="0" borderId="171" xfId="0" applyFont="1" applyFill="1" applyBorder="1" applyAlignment="1">
      <alignment horizontal="center" vertical="center"/>
    </xf>
    <xf numFmtId="0" fontId="30" fillId="0" borderId="17" xfId="0" applyFont="1" applyFill="1" applyBorder="1" applyAlignment="1">
      <alignment horizontal="center" vertical="center"/>
    </xf>
    <xf numFmtId="0" fontId="143" fillId="0" borderId="206" xfId="0" applyFont="1" applyFill="1" applyBorder="1" applyAlignment="1">
      <alignment horizontal="center" vertical="center"/>
    </xf>
    <xf numFmtId="0" fontId="143" fillId="0" borderId="205" xfId="0" applyFont="1" applyFill="1" applyBorder="1" applyAlignment="1">
      <alignment horizontal="center" vertical="center"/>
    </xf>
    <xf numFmtId="0" fontId="143" fillId="0" borderId="207" xfId="0" applyFont="1" applyFill="1" applyBorder="1" applyAlignment="1">
      <alignment horizontal="center" vertical="center"/>
    </xf>
    <xf numFmtId="0" fontId="30" fillId="0" borderId="253" xfId="0" applyFont="1" applyFill="1" applyBorder="1" applyAlignment="1">
      <alignment horizontal="center" vertical="center"/>
    </xf>
    <xf numFmtId="0" fontId="30" fillId="0" borderId="254" xfId="0" applyFont="1" applyFill="1" applyBorder="1" applyAlignment="1">
      <alignment horizontal="center" vertical="center"/>
    </xf>
    <xf numFmtId="0" fontId="30" fillId="0" borderId="255" xfId="0" applyFont="1" applyFill="1" applyBorder="1" applyAlignment="1">
      <alignment horizontal="center" vertical="center"/>
    </xf>
    <xf numFmtId="0" fontId="30" fillId="0" borderId="256" xfId="0" applyFont="1" applyFill="1" applyBorder="1" applyAlignment="1">
      <alignment horizontal="center" vertical="center"/>
    </xf>
    <xf numFmtId="0" fontId="143" fillId="0" borderId="209" xfId="0" applyFont="1" applyFill="1" applyBorder="1" applyAlignment="1">
      <alignment horizontal="center" vertical="center"/>
    </xf>
    <xf numFmtId="0" fontId="143" fillId="0" borderId="202" xfId="0" applyFont="1" applyFill="1" applyBorder="1" applyAlignment="1">
      <alignment horizontal="center" vertical="center"/>
    </xf>
    <xf numFmtId="0" fontId="143" fillId="0" borderId="203" xfId="0" applyFont="1" applyFill="1" applyBorder="1" applyAlignment="1">
      <alignment horizontal="center" vertical="center"/>
    </xf>
    <xf numFmtId="0" fontId="30" fillId="0" borderId="0" xfId="0" applyFont="1" applyFill="1">
      <alignment vertical="center"/>
    </xf>
    <xf numFmtId="0" fontId="144" fillId="0" borderId="0" xfId="0" applyFont="1" applyFill="1" applyBorder="1" applyAlignment="1">
      <alignment horizontal="center" vertical="center"/>
    </xf>
    <xf numFmtId="0" fontId="144" fillId="0" borderId="0" xfId="0" applyFont="1" applyFill="1" applyBorder="1">
      <alignment vertical="center"/>
    </xf>
    <xf numFmtId="0" fontId="134" fillId="0" borderId="0" xfId="0" applyFont="1" applyFill="1" applyBorder="1" applyAlignment="1">
      <alignment horizontal="center" vertical="center"/>
    </xf>
    <xf numFmtId="0" fontId="30" fillId="0" borderId="206" xfId="0" applyFont="1" applyFill="1" applyBorder="1" applyAlignment="1">
      <alignment horizontal="center" vertical="center"/>
    </xf>
    <xf numFmtId="0" fontId="23" fillId="0" borderId="0" xfId="0" applyFont="1" applyFill="1" applyBorder="1" applyAlignment="1">
      <alignment vertical="center" wrapText="1"/>
    </xf>
    <xf numFmtId="0" fontId="8" fillId="0" borderId="0" xfId="0" applyFont="1" applyFill="1" applyBorder="1" applyAlignment="1">
      <alignment vertical="center" wrapText="1"/>
    </xf>
    <xf numFmtId="0" fontId="30" fillId="0" borderId="0" xfId="0" applyFont="1" applyFill="1" applyBorder="1" applyAlignment="1">
      <alignment horizontal="center" vertical="center"/>
    </xf>
    <xf numFmtId="0" fontId="23" fillId="0" borderId="0" xfId="0" applyFont="1" applyFill="1" applyBorder="1">
      <alignment vertical="center"/>
    </xf>
    <xf numFmtId="0" fontId="145" fillId="0" borderId="0" xfId="0" applyFont="1" applyFill="1" applyBorder="1" applyAlignment="1">
      <alignment vertical="center" wrapText="1"/>
    </xf>
    <xf numFmtId="0" fontId="120" fillId="3" borderId="74" xfId="0" applyFont="1" applyFill="1" applyBorder="1" applyAlignment="1">
      <alignment horizontal="center" vertical="center"/>
    </xf>
    <xf numFmtId="0" fontId="120" fillId="3" borderId="75" xfId="0" applyFont="1" applyFill="1" applyBorder="1" applyAlignment="1">
      <alignment horizontal="center" vertical="center"/>
    </xf>
    <xf numFmtId="0" fontId="120" fillId="3" borderId="68" xfId="0" applyFont="1" applyFill="1" applyBorder="1" applyAlignment="1">
      <alignment horizontal="center" vertical="center"/>
    </xf>
    <xf numFmtId="0" fontId="30" fillId="0" borderId="16" xfId="0" applyFont="1" applyFill="1" applyBorder="1" applyAlignment="1">
      <alignment horizontal="left" vertical="center" wrapText="1"/>
    </xf>
    <xf numFmtId="0" fontId="30" fillId="0" borderId="0" xfId="0" applyFont="1" applyFill="1" applyAlignment="1">
      <alignment horizontal="left" vertical="center" wrapText="1"/>
    </xf>
    <xf numFmtId="0" fontId="8" fillId="0" borderId="41"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17"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146" fillId="0" borderId="41" xfId="0" applyFont="1" applyFill="1" applyBorder="1" applyAlignment="1">
      <alignment horizontal="center" vertical="center"/>
    </xf>
    <xf numFmtId="0" fontId="146" fillId="0" borderId="0" xfId="0" applyFont="1" applyFill="1" applyAlignment="1">
      <alignment horizontal="center" vertical="center"/>
    </xf>
    <xf numFmtId="0" fontId="146" fillId="0" borderId="17"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146" fillId="0" borderId="0" xfId="0" applyFont="1" applyFill="1" applyBorder="1" applyAlignment="1">
      <alignment horizontal="center" vertical="center"/>
    </xf>
    <xf numFmtId="0" fontId="1" fillId="0" borderId="4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17" xfId="0" applyFont="1" applyFill="1" applyBorder="1" applyAlignment="1">
      <alignment horizontal="center" vertical="center" wrapText="1"/>
    </xf>
    <xf numFmtId="0" fontId="8" fillId="0" borderId="75" xfId="0" applyFont="1" applyFill="1" applyBorder="1" applyAlignment="1">
      <alignment horizontal="center" vertical="center" wrapText="1"/>
    </xf>
    <xf numFmtId="0" fontId="8" fillId="0" borderId="68" xfId="0" applyFont="1" applyFill="1" applyBorder="1" applyAlignment="1">
      <alignment horizontal="center" vertical="center" wrapText="1"/>
    </xf>
    <xf numFmtId="0" fontId="146" fillId="0" borderId="19" xfId="0" applyFont="1" applyFill="1" applyBorder="1" applyAlignment="1">
      <alignment horizontal="center" vertical="center"/>
    </xf>
    <xf numFmtId="0" fontId="146" fillId="0" borderId="22" xfId="0" applyFont="1" applyFill="1" applyBorder="1" applyAlignment="1">
      <alignment horizontal="center" vertical="center"/>
    </xf>
    <xf numFmtId="0" fontId="146" fillId="0" borderId="51" xfId="0" applyFont="1" applyFill="1" applyBorder="1" applyAlignment="1">
      <alignment horizontal="center" vertical="center"/>
    </xf>
    <xf numFmtId="0" fontId="145" fillId="0" borderId="16" xfId="0" applyFont="1" applyFill="1" applyBorder="1" applyAlignment="1">
      <alignment horizontal="center" vertical="center" wrapText="1"/>
    </xf>
    <xf numFmtId="0" fontId="145" fillId="0" borderId="0" xfId="0" applyFont="1" applyFill="1" applyAlignment="1">
      <alignment horizontal="center" vertical="center" wrapText="1"/>
    </xf>
    <xf numFmtId="0" fontId="145" fillId="0" borderId="17"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32" fillId="0" borderId="0" xfId="0" applyFont="1" applyFill="1" applyBorder="1" applyAlignment="1">
      <alignment horizontal="center" vertical="center"/>
    </xf>
    <xf numFmtId="0" fontId="8" fillId="0" borderId="74"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54" xfId="0" applyFont="1" applyFill="1" applyBorder="1" applyAlignment="1">
      <alignment horizontal="center" vertical="center" wrapText="1"/>
    </xf>
    <xf numFmtId="0" fontId="1" fillId="0" borderId="52" xfId="0" applyFont="1" applyFill="1" applyBorder="1" applyAlignment="1">
      <alignment horizontal="center" vertical="center" wrapText="1"/>
    </xf>
    <xf numFmtId="0" fontId="1" fillId="0" borderId="68" xfId="0" applyFont="1" applyFill="1" applyBorder="1" applyAlignment="1">
      <alignment horizontal="center" vertical="center" wrapText="1"/>
    </xf>
    <xf numFmtId="0" fontId="8" fillId="0" borderId="67" xfId="0" applyFont="1" applyFill="1" applyBorder="1" applyAlignment="1">
      <alignment horizontal="center" vertical="center" wrapText="1"/>
    </xf>
    <xf numFmtId="0" fontId="8" fillId="0" borderId="76" xfId="0" applyFont="1" applyFill="1" applyBorder="1" applyAlignment="1">
      <alignment horizontal="center" vertical="center" wrapText="1"/>
    </xf>
    <xf numFmtId="0" fontId="1" fillId="0" borderId="257" xfId="0" applyFont="1" applyFill="1" applyBorder="1" applyAlignment="1">
      <alignment horizontal="center" vertical="center" wrapText="1"/>
    </xf>
    <xf numFmtId="0" fontId="1" fillId="0" borderId="258" xfId="0" applyFont="1" applyFill="1" applyBorder="1" applyAlignment="1">
      <alignment horizontal="center" vertical="center" wrapText="1"/>
    </xf>
    <xf numFmtId="0" fontId="119" fillId="0" borderId="0" xfId="0" applyFont="1" applyFill="1" applyAlignment="1">
      <alignment horizontal="center" vertical="center"/>
    </xf>
    <xf numFmtId="0" fontId="30" fillId="0" borderId="74" xfId="0" applyFont="1" applyFill="1" applyBorder="1" applyAlignment="1">
      <alignment horizontal="left" vertical="center" wrapText="1"/>
    </xf>
    <xf numFmtId="0" fontId="30" fillId="0" borderId="75" xfId="0" applyFont="1" applyFill="1" applyBorder="1" applyAlignment="1">
      <alignment horizontal="left" vertical="center" wrapText="1"/>
    </xf>
    <xf numFmtId="0" fontId="30" fillId="0" borderId="30" xfId="0" applyFont="1" applyFill="1" applyBorder="1" applyAlignment="1">
      <alignment horizontal="left" vertical="center" wrapText="1"/>
    </xf>
    <xf numFmtId="0" fontId="30" fillId="0" borderId="29" xfId="0" applyFont="1" applyFill="1" applyBorder="1" applyAlignment="1">
      <alignment horizontal="left" vertical="center"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145" fillId="0" borderId="30" xfId="0" applyFont="1" applyFill="1" applyBorder="1" applyAlignment="1">
      <alignment horizontal="center" vertical="center" wrapText="1"/>
    </xf>
    <xf numFmtId="0" fontId="145" fillId="0" borderId="29" xfId="0" applyFont="1" applyFill="1" applyBorder="1" applyAlignment="1">
      <alignment horizontal="center" vertical="center" wrapText="1"/>
    </xf>
    <xf numFmtId="0" fontId="145" fillId="0" borderId="31" xfId="0" applyFont="1" applyFill="1" applyBorder="1" applyAlignment="1">
      <alignment horizontal="center" vertical="center" wrapText="1"/>
    </xf>
    <xf numFmtId="0" fontId="106" fillId="0" borderId="0" xfId="5" applyFont="1">
      <alignment vertical="center"/>
    </xf>
    <xf numFmtId="0" fontId="14" fillId="0" borderId="0" xfId="5" applyFont="1">
      <alignment vertical="center"/>
    </xf>
    <xf numFmtId="0" fontId="24" fillId="0" borderId="0" xfId="5" applyFont="1">
      <alignment vertical="center"/>
    </xf>
    <xf numFmtId="0" fontId="147" fillId="0" borderId="0" xfId="0" applyFont="1" applyFill="1" applyBorder="1">
      <alignment vertical="center"/>
    </xf>
    <xf numFmtId="0" fontId="117" fillId="0" borderId="0" xfId="0" applyFont="1" applyFill="1">
      <alignment vertical="center"/>
    </xf>
    <xf numFmtId="0" fontId="117" fillId="0" borderId="29" xfId="0" applyFont="1" applyFill="1" applyBorder="1" applyAlignment="1">
      <alignment horizontal="center" vertical="center"/>
    </xf>
    <xf numFmtId="0" fontId="117" fillId="0" borderId="0" xfId="0" applyFont="1" applyFill="1" applyBorder="1" applyAlignment="1">
      <alignment horizontal="center" vertical="center"/>
    </xf>
    <xf numFmtId="0" fontId="148" fillId="0" borderId="0" xfId="0" applyFont="1" applyFill="1" applyAlignment="1">
      <alignment horizontal="left" vertical="center" wrapText="1"/>
    </xf>
    <xf numFmtId="0" fontId="3" fillId="48" borderId="7" xfId="0" applyFont="1" applyFill="1" applyBorder="1" applyAlignment="1">
      <alignment horizontal="center" vertical="center"/>
    </xf>
    <xf numFmtId="0" fontId="3" fillId="48" borderId="8" xfId="0" applyFont="1" applyFill="1" applyBorder="1" applyAlignment="1">
      <alignment horizontal="center" vertical="center"/>
    </xf>
    <xf numFmtId="0" fontId="3" fillId="48" borderId="9" xfId="0" applyFont="1" applyFill="1" applyBorder="1" applyAlignment="1">
      <alignment horizontal="center" vertical="center"/>
    </xf>
    <xf numFmtId="0" fontId="1" fillId="20" borderId="16" xfId="0" applyFont="1" applyFill="1" applyBorder="1" applyAlignment="1">
      <alignment horizontal="center" vertical="center"/>
    </xf>
    <xf numFmtId="0" fontId="1" fillId="20" borderId="0" xfId="0" applyFont="1" applyFill="1" applyBorder="1" applyAlignment="1">
      <alignment horizontal="center" vertical="center"/>
    </xf>
    <xf numFmtId="0" fontId="1" fillId="20" borderId="0" xfId="0" applyFont="1" applyFill="1" applyBorder="1" applyAlignment="1">
      <alignment horizontal="center" vertical="center"/>
    </xf>
    <xf numFmtId="0" fontId="1" fillId="20" borderId="17" xfId="0" applyFont="1" applyFill="1" applyBorder="1" applyAlignment="1">
      <alignment horizontal="center" vertical="center"/>
    </xf>
    <xf numFmtId="0" fontId="1" fillId="0" borderId="16" xfId="0" applyNumberFormat="1" applyFont="1" applyFill="1" applyBorder="1" applyAlignment="1">
      <alignment horizontal="center" vertical="center"/>
    </xf>
    <xf numFmtId="0" fontId="1" fillId="0" borderId="0" xfId="0" applyNumberFormat="1" applyFont="1" applyFill="1" applyBorder="1" applyAlignment="1">
      <alignment horizontal="center" vertical="center"/>
    </xf>
    <xf numFmtId="0" fontId="1" fillId="0" borderId="17" xfId="0" applyNumberFormat="1" applyFont="1" applyFill="1" applyBorder="1" applyAlignment="1">
      <alignment horizontal="center" vertical="center"/>
    </xf>
    <xf numFmtId="0" fontId="1" fillId="0" borderId="16" xfId="0" applyFont="1" applyFill="1" applyBorder="1" applyAlignment="1">
      <alignment horizontal="center" vertical="center"/>
    </xf>
    <xf numFmtId="0" fontId="1" fillId="0" borderId="0" xfId="0" applyFont="1" applyFill="1" applyAlignment="1">
      <alignment horizontal="left" vertical="center" wrapText="1"/>
    </xf>
    <xf numFmtId="0" fontId="1" fillId="0" borderId="17" xfId="0" applyFont="1" applyFill="1" applyBorder="1" applyAlignment="1">
      <alignment horizontal="left" vertical="center" wrapText="1"/>
    </xf>
    <xf numFmtId="0" fontId="1" fillId="3" borderId="16" xfId="0" applyNumberFormat="1" applyFont="1" applyFill="1" applyBorder="1" applyAlignment="1">
      <alignment horizontal="center" vertical="center"/>
    </xf>
    <xf numFmtId="0" fontId="1" fillId="3" borderId="0" xfId="0" applyFont="1" applyFill="1" applyBorder="1" applyAlignment="1">
      <alignment horizontal="center" vertical="center"/>
    </xf>
    <xf numFmtId="0" fontId="1" fillId="3" borderId="0" xfId="0" applyNumberFormat="1" applyFont="1" applyFill="1" applyBorder="1" applyAlignment="1">
      <alignment horizontal="center" vertical="center" wrapText="1"/>
    </xf>
    <xf numFmtId="0" fontId="1" fillId="3" borderId="17" xfId="0" applyNumberFormat="1" applyFont="1" applyFill="1" applyBorder="1" applyAlignment="1">
      <alignment horizontal="center" vertical="center"/>
    </xf>
    <xf numFmtId="0" fontId="1" fillId="3" borderId="16" xfId="0" applyFont="1" applyFill="1" applyBorder="1" applyAlignment="1">
      <alignment horizontal="center" vertical="center"/>
    </xf>
    <xf numFmtId="0" fontId="1" fillId="0" borderId="0" xfId="0" applyNumberFormat="1" applyFont="1" applyFill="1" applyBorder="1" applyAlignment="1">
      <alignment horizontal="center" vertical="center" wrapText="1"/>
    </xf>
    <xf numFmtId="0" fontId="1" fillId="3" borderId="30" xfId="0" applyNumberFormat="1" applyFont="1" applyFill="1" applyBorder="1" applyAlignment="1">
      <alignment horizontal="center" vertical="center"/>
    </xf>
    <xf numFmtId="0" fontId="1" fillId="3" borderId="29" xfId="0" applyFont="1" applyFill="1" applyBorder="1" applyAlignment="1">
      <alignment horizontal="center" vertical="center"/>
    </xf>
    <xf numFmtId="0" fontId="1" fillId="3" borderId="29" xfId="0" applyNumberFormat="1" applyFont="1" applyFill="1" applyBorder="1" applyAlignment="1">
      <alignment horizontal="center" vertical="center"/>
    </xf>
    <xf numFmtId="0" fontId="1" fillId="3" borderId="31" xfId="0" applyNumberFormat="1" applyFont="1" applyFill="1" applyBorder="1" applyAlignment="1">
      <alignment horizontal="center" vertical="center"/>
    </xf>
    <xf numFmtId="0" fontId="1" fillId="3" borderId="30" xfId="0" applyFont="1" applyFill="1" applyBorder="1" applyAlignment="1">
      <alignment horizontal="center" vertical="center"/>
    </xf>
    <xf numFmtId="0" fontId="8" fillId="0" borderId="0" xfId="0" applyFont="1" applyFill="1">
      <alignment vertical="center"/>
    </xf>
    <xf numFmtId="0" fontId="8" fillId="0" borderId="0" xfId="0" applyFont="1" applyFill="1" applyAlignment="1">
      <alignment vertical="center" wrapText="1"/>
    </xf>
    <xf numFmtId="0" fontId="148" fillId="0" borderId="0" xfId="0" applyFont="1" applyFill="1">
      <alignment vertical="center"/>
    </xf>
    <xf numFmtId="0" fontId="1" fillId="0" borderId="0" xfId="0" applyNumberFormat="1" applyFont="1" applyFill="1" applyAlignment="1">
      <alignment horizontal="center" vertical="center"/>
    </xf>
    <xf numFmtId="182" fontId="1" fillId="0" borderId="0" xfId="0" applyNumberFormat="1" applyFont="1" applyFill="1" applyAlignment="1">
      <alignment horizontal="center" vertical="center"/>
    </xf>
    <xf numFmtId="0" fontId="3" fillId="48" borderId="7" xfId="0" applyNumberFormat="1" applyFont="1" applyFill="1" applyBorder="1" applyAlignment="1">
      <alignment horizontal="center" vertical="center"/>
    </xf>
    <xf numFmtId="0" fontId="3" fillId="48" borderId="8" xfId="0" applyNumberFormat="1" applyFont="1" applyFill="1" applyBorder="1" applyAlignment="1">
      <alignment horizontal="center" vertical="center"/>
    </xf>
    <xf numFmtId="0" fontId="3" fillId="48" borderId="9" xfId="0" applyNumberFormat="1" applyFont="1" applyFill="1" applyBorder="1" applyAlignment="1">
      <alignment horizontal="center" vertical="center"/>
    </xf>
    <xf numFmtId="0" fontId="1" fillId="20" borderId="16" xfId="0" applyNumberFormat="1" applyFont="1" applyFill="1" applyBorder="1" applyAlignment="1">
      <alignment horizontal="center" vertical="center"/>
    </xf>
    <xf numFmtId="0" fontId="1" fillId="20" borderId="0" xfId="0" applyNumberFormat="1" applyFont="1" applyFill="1" applyBorder="1" applyAlignment="1">
      <alignment horizontal="center" vertical="center"/>
    </xf>
    <xf numFmtId="0" fontId="1" fillId="20" borderId="0" xfId="0" applyNumberFormat="1" applyFont="1" applyFill="1" applyBorder="1" applyAlignment="1">
      <alignment horizontal="center" vertical="center"/>
    </xf>
    <xf numFmtId="0" fontId="1" fillId="20" borderId="17" xfId="0" applyNumberFormat="1" applyFont="1" applyFill="1" applyBorder="1" applyAlignment="1">
      <alignment horizontal="center" vertical="center"/>
    </xf>
    <xf numFmtId="0" fontId="22" fillId="0" borderId="17" xfId="0" applyNumberFormat="1" applyFont="1" applyFill="1" applyBorder="1" applyAlignment="1">
      <alignment horizontal="center" vertical="center"/>
    </xf>
    <xf numFmtId="0" fontId="1" fillId="20" borderId="7" xfId="0" applyFont="1" applyFill="1" applyBorder="1" applyAlignment="1">
      <alignment horizontal="center" vertical="center"/>
    </xf>
    <xf numFmtId="0" fontId="1" fillId="20" borderId="8" xfId="0" applyFont="1" applyFill="1" applyBorder="1" applyAlignment="1">
      <alignment horizontal="center" vertical="center"/>
    </xf>
    <xf numFmtId="0" fontId="1" fillId="20" borderId="9" xfId="0" applyFont="1" applyFill="1" applyBorder="1" applyAlignment="1">
      <alignment horizontal="center" vertical="center"/>
    </xf>
    <xf numFmtId="0" fontId="146" fillId="20" borderId="7" xfId="0" applyFont="1" applyFill="1" applyBorder="1" applyAlignment="1">
      <alignment horizontal="center" vertical="center"/>
    </xf>
    <xf numFmtId="0" fontId="146" fillId="20" borderId="8" xfId="0" applyFont="1" applyFill="1" applyBorder="1" applyAlignment="1">
      <alignment horizontal="center" vertical="center"/>
    </xf>
    <xf numFmtId="0" fontId="146" fillId="20" borderId="9" xfId="0" applyFont="1" applyFill="1" applyBorder="1" applyAlignment="1">
      <alignment horizontal="center" vertical="center"/>
    </xf>
    <xf numFmtId="0" fontId="14" fillId="0" borderId="0" xfId="0" applyFont="1" applyFill="1" applyBorder="1">
      <alignment vertical="center"/>
    </xf>
    <xf numFmtId="0" fontId="1" fillId="0" borderId="16"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4" fillId="0" borderId="0" xfId="0" applyFont="1" applyFill="1" applyBorder="1" applyAlignment="1">
      <alignment vertical="center" wrapText="1"/>
    </xf>
    <xf numFmtId="182" fontId="8" fillId="0" borderId="0" xfId="0" applyNumberFormat="1" applyFont="1" applyFill="1" applyAlignment="1">
      <alignment horizontal="center" vertical="center"/>
    </xf>
    <xf numFmtId="0" fontId="1" fillId="20" borderId="16" xfId="0" applyFont="1" applyFill="1" applyBorder="1" applyAlignment="1">
      <alignment horizontal="center" vertical="center"/>
    </xf>
    <xf numFmtId="0" fontId="1" fillId="20" borderId="17" xfId="0" applyFont="1" applyFill="1" applyBorder="1" applyAlignment="1">
      <alignment horizontal="center" vertical="center"/>
    </xf>
    <xf numFmtId="0" fontId="1" fillId="0" borderId="30" xfId="0" applyFont="1" applyFill="1" applyBorder="1" applyAlignment="1">
      <alignment horizontal="left" vertical="center" wrapText="1"/>
    </xf>
    <xf numFmtId="0" fontId="1" fillId="0" borderId="29" xfId="0" applyFont="1" applyFill="1" applyBorder="1" applyAlignment="1">
      <alignment horizontal="left" vertical="center" wrapText="1"/>
    </xf>
    <xf numFmtId="0" fontId="1" fillId="0" borderId="31" xfId="0" applyFont="1" applyFill="1" applyBorder="1" applyAlignment="1">
      <alignment horizontal="left" vertical="center" wrapText="1"/>
    </xf>
    <xf numFmtId="0" fontId="68" fillId="0" borderId="0" xfId="0" applyFont="1" applyFill="1" applyBorder="1">
      <alignment vertical="center"/>
    </xf>
    <xf numFmtId="0" fontId="149" fillId="0" borderId="0" xfId="0" applyFont="1" applyAlignment="1">
      <alignment horizontal="left" vertical="center" indent="4"/>
    </xf>
    <xf numFmtId="0" fontId="150" fillId="0" borderId="0" xfId="0" applyFont="1" applyAlignment="1">
      <alignment horizontal="left" vertical="center" indent="4"/>
    </xf>
    <xf numFmtId="0" fontId="87" fillId="18" borderId="7" xfId="0" applyFont="1" applyFill="1" applyBorder="1" applyAlignment="1">
      <alignment horizontal="center" vertical="center"/>
    </xf>
    <xf numFmtId="0" fontId="87" fillId="18" borderId="8" xfId="0" applyFont="1" applyFill="1" applyBorder="1" applyAlignment="1">
      <alignment horizontal="center" vertical="center"/>
    </xf>
    <xf numFmtId="0" fontId="87" fillId="18" borderId="9" xfId="0" applyFont="1" applyFill="1" applyBorder="1" applyAlignment="1">
      <alignment horizontal="center" vertical="center"/>
    </xf>
    <xf numFmtId="0" fontId="13" fillId="0" borderId="0" xfId="0" applyFont="1">
      <alignment vertical="center"/>
      <protection locked="0" hidden="0"/>
    </xf>
    <xf numFmtId="0" fontId="87" fillId="18" borderId="7" xfId="0" applyNumberFormat="1" applyFont="1" applyFill="1" applyBorder="1" applyAlignment="1">
      <alignment horizontal="center" vertical="center"/>
    </xf>
    <xf numFmtId="0" fontId="87" fillId="18" borderId="8" xfId="0" applyNumberFormat="1" applyFont="1" applyFill="1" applyBorder="1" applyAlignment="1">
      <alignment horizontal="center" vertical="center"/>
    </xf>
    <xf numFmtId="0" fontId="87" fillId="18" borderId="9" xfId="0" applyNumberFormat="1" applyFont="1" applyFill="1" applyBorder="1" applyAlignment="1">
      <alignment horizontal="center" vertical="center"/>
    </xf>
    <xf numFmtId="0" fontId="29" fillId="0" borderId="0" xfId="0" applyNumberFormat="1" applyFont="1" applyFill="1" applyBorder="1">
      <alignment vertical="center"/>
      <protection locked="0" hidden="0"/>
    </xf>
    <xf numFmtId="0" fontId="29" fillId="0" borderId="0" xfId="0" applyFont="1">
      <alignment vertical="center"/>
    </xf>
    <xf numFmtId="0" fontId="29" fillId="5" borderId="16" xfId="0" applyFont="1" applyFill="1" applyBorder="1" applyAlignment="1">
      <alignment horizontal="center" vertical="center"/>
    </xf>
    <xf numFmtId="0" fontId="29" fillId="5" borderId="0" xfId="0" applyFont="1" applyFill="1" applyAlignment="1">
      <alignment horizontal="center" vertical="center"/>
    </xf>
    <xf numFmtId="0" fontId="29" fillId="5" borderId="17" xfId="0" applyFont="1" applyFill="1" applyBorder="1" applyAlignment="1">
      <alignment horizontal="center" vertical="center"/>
    </xf>
    <xf numFmtId="0" fontId="29" fillId="5" borderId="16" xfId="0" applyNumberFormat="1" applyFont="1" applyFill="1" applyBorder="1" applyAlignment="1">
      <alignment horizontal="center" vertical="center"/>
    </xf>
    <xf numFmtId="0" fontId="29" fillId="5" borderId="0" xfId="0" applyNumberFormat="1" applyFont="1" applyFill="1" applyAlignment="1">
      <alignment horizontal="center" vertical="center"/>
    </xf>
    <xf numFmtId="0" fontId="29" fillId="5" borderId="17" xfId="0" applyNumberFormat="1" applyFont="1" applyFill="1" applyBorder="1" applyAlignment="1">
      <alignment horizontal="center" vertical="center"/>
    </xf>
    <xf numFmtId="0" fontId="29" fillId="5" borderId="0" xfId="0" applyNumberFormat="1" applyFont="1" applyFill="1" applyAlignment="1">
      <alignment horizontal="center" vertical="center"/>
    </xf>
    <xf numFmtId="0" fontId="29" fillId="0" borderId="16" xfId="0" applyNumberFormat="1" applyFont="1" applyBorder="1" applyAlignment="1">
      <alignment horizontal="left" vertical="center" indent="1"/>
      <protection locked="0" hidden="0"/>
    </xf>
    <xf numFmtId="0" fontId="29" fillId="0" borderId="0" xfId="0" applyNumberFormat="1" applyFont="1" applyAlignment="1">
      <alignment horizontal="left" vertical="center" indent="1"/>
      <protection locked="0" hidden="0"/>
    </xf>
    <xf numFmtId="0" fontId="29" fillId="0" borderId="17" xfId="0" applyNumberFormat="1" applyFont="1" applyBorder="1" applyAlignment="1">
      <alignment horizontal="left" vertical="center"/>
      <protection locked="0" hidden="0"/>
    </xf>
    <xf numFmtId="0" fontId="29" fillId="0" borderId="16" xfId="0" applyNumberFormat="1" applyFont="1" applyBorder="1" applyAlignment="1">
      <alignment horizontal="left" vertical="center" wrapText="1" indent="1"/>
      <protection locked="0" hidden="0"/>
    </xf>
    <xf numFmtId="0" fontId="29" fillId="0" borderId="0" xfId="0" applyNumberFormat="1" applyFont="1" applyAlignment="1">
      <alignment horizontal="left" vertical="center" wrapText="1" indent="1"/>
      <protection locked="0" hidden="0"/>
    </xf>
    <xf numFmtId="0" fontId="29" fillId="0" borderId="17" xfId="0" applyNumberFormat="1" applyFont="1" applyBorder="1" applyAlignment="1">
      <alignment horizontal="left" vertical="center" indent="1"/>
      <protection locked="0" hidden="0"/>
    </xf>
    <xf numFmtId="0" fontId="29" fillId="0" borderId="16" xfId="0" applyNumberFormat="1" applyFont="1" applyBorder="1" applyAlignment="1">
      <alignment horizontal="left" vertical="top" indent="1"/>
      <protection locked="0" hidden="0"/>
    </xf>
    <xf numFmtId="0" fontId="29" fillId="0" borderId="0" xfId="0" applyNumberFormat="1" applyFont="1" applyAlignment="1">
      <alignment horizontal="left" vertical="top" indent="1"/>
      <protection locked="0" hidden="0"/>
    </xf>
    <xf numFmtId="0" fontId="29" fillId="0" borderId="0" xfId="0" applyNumberFormat="1" applyFont="1" applyAlignment="1">
      <alignment horizontal="left" vertical="center"/>
      <protection locked="0" hidden="0"/>
    </xf>
    <xf numFmtId="0" fontId="29" fillId="0" borderId="0" xfId="0" applyNumberFormat="1" applyFont="1">
      <alignment vertical="center"/>
    </xf>
    <xf numFmtId="0" fontId="29" fillId="4" borderId="16" xfId="0" applyNumberFormat="1" applyFont="1" applyFill="1" applyBorder="1" applyAlignment="1">
      <alignment horizontal="left" vertical="center" indent="1"/>
      <protection locked="0" hidden="0"/>
    </xf>
    <xf numFmtId="0" fontId="29" fillId="4" borderId="0" xfId="0" applyNumberFormat="1" applyFont="1" applyFill="1" applyAlignment="1">
      <alignment horizontal="left" vertical="center" indent="1"/>
      <protection locked="0" hidden="0"/>
    </xf>
    <xf numFmtId="0" fontId="29" fillId="4" borderId="17" xfId="0" applyNumberFormat="1" applyFont="1" applyFill="1" applyBorder="1" applyAlignment="1">
      <alignment horizontal="left" vertical="center"/>
      <protection locked="0" hidden="0"/>
    </xf>
    <xf numFmtId="0" fontId="29" fillId="4" borderId="16" xfId="0" applyNumberFormat="1" applyFont="1" applyFill="1" applyBorder="1" applyAlignment="1">
      <alignment horizontal="left" vertical="center" wrapText="1" indent="1"/>
      <protection locked="0" hidden="0"/>
    </xf>
    <xf numFmtId="0" fontId="29" fillId="4" borderId="0" xfId="0" applyNumberFormat="1" applyFont="1" applyFill="1" applyAlignment="1">
      <alignment horizontal="left" vertical="center" wrapText="1" indent="1"/>
      <protection locked="0" hidden="0"/>
    </xf>
    <xf numFmtId="0" fontId="29" fillId="4" borderId="17" xfId="0" applyNumberFormat="1" applyFont="1" applyFill="1" applyBorder="1" applyAlignment="1">
      <alignment horizontal="left" vertical="center" indent="1"/>
      <protection locked="0" hidden="0"/>
    </xf>
    <xf numFmtId="0" fontId="39" fillId="4" borderId="16" xfId="0" applyNumberFormat="1" applyFont="1" applyFill="1" applyBorder="1" applyAlignment="1">
      <alignment horizontal="left" vertical="top" indent="1"/>
      <protection locked="0" hidden="0"/>
    </xf>
    <xf numFmtId="0" fontId="39" fillId="4" borderId="0" xfId="0" applyNumberFormat="1" applyFont="1" applyFill="1" applyAlignment="1">
      <alignment horizontal="left" vertical="top" indent="1"/>
      <protection locked="0" hidden="0"/>
    </xf>
    <xf numFmtId="0" fontId="87" fillId="4" borderId="0" xfId="0" applyNumberFormat="1" applyFont="1" applyFill="1" applyAlignment="1">
      <alignment horizontal="left" vertical="top"/>
      <protection locked="0" hidden="0"/>
    </xf>
    <xf numFmtId="0" fontId="29" fillId="0" borderId="30" xfId="0" applyNumberFormat="1" applyFont="1" applyBorder="1" applyAlignment="1">
      <alignment horizontal="left" vertical="center" indent="1"/>
      <protection locked="0" hidden="0"/>
    </xf>
    <xf numFmtId="0" fontId="29" fillId="0" borderId="29" xfId="0" applyNumberFormat="1" applyFont="1" applyBorder="1" applyAlignment="1">
      <alignment horizontal="left" vertical="center" indent="1"/>
      <protection locked="0" hidden="0"/>
    </xf>
    <xf numFmtId="0" fontId="29" fillId="0" borderId="31" xfId="0" applyNumberFormat="1" applyFont="1" applyBorder="1" applyAlignment="1">
      <alignment horizontal="left" vertical="center" indent="1"/>
      <protection locked="0" hidden="0"/>
    </xf>
    <xf numFmtId="0" fontId="39" fillId="0" borderId="16" xfId="0" applyNumberFormat="1" applyFont="1" applyBorder="1" applyAlignment="1">
      <alignment horizontal="left" vertical="top" wrapText="1" indent="1"/>
      <protection locked="0" hidden="0"/>
    </xf>
    <xf numFmtId="0" fontId="39" fillId="0" borderId="0" xfId="0" applyNumberFormat="1" applyFont="1" applyAlignment="1">
      <alignment horizontal="left" vertical="top" wrapText="1" indent="1"/>
      <protection locked="0" hidden="0"/>
    </xf>
    <xf numFmtId="0" fontId="87" fillId="0" borderId="0" xfId="0" applyNumberFormat="1" applyFont="1" applyAlignment="1">
      <alignment horizontal="left" vertical="center" wrapText="1"/>
      <protection locked="0" hidden="0"/>
    </xf>
    <xf numFmtId="0" fontId="13" fillId="0" borderId="0" xfId="0" applyFont="1" applyAlignment="1">
      <alignment horizontal="center" vertical="center"/>
      <protection locked="0" hidden="0"/>
    </xf>
    <xf numFmtId="0" fontId="29" fillId="4" borderId="16" xfId="0" applyNumberFormat="1" applyFont="1" applyFill="1" applyBorder="1" applyAlignment="1">
      <alignment horizontal="left" vertical="top" wrapText="1" indent="1"/>
      <protection locked="0" hidden="0"/>
    </xf>
    <xf numFmtId="0" fontId="29" fillId="4" borderId="0" xfId="0" applyNumberFormat="1" applyFont="1" applyFill="1" applyAlignment="1">
      <alignment horizontal="left" vertical="top" wrapText="1" indent="1"/>
      <protection locked="0" hidden="0"/>
    </xf>
    <xf numFmtId="0" fontId="87" fillId="4" borderId="0" xfId="0" applyNumberFormat="1" applyFont="1" applyFill="1" applyAlignment="1">
      <alignment horizontal="left" vertical="center" wrapText="1"/>
      <protection locked="0" hidden="0"/>
    </xf>
    <xf numFmtId="0" fontId="87" fillId="0" borderId="0" xfId="0" applyNumberFormat="1" applyFont="1" applyAlignment="1">
      <alignment horizontal="left" vertical="center"/>
      <protection locked="0" hidden="0"/>
    </xf>
    <xf numFmtId="0" fontId="29" fillId="4" borderId="16" xfId="0" applyNumberFormat="1" applyFont="1" applyFill="1" applyBorder="1" applyAlignment="1">
      <alignment horizontal="left" vertical="top" indent="1"/>
      <protection locked="0" hidden="0"/>
    </xf>
    <xf numFmtId="0" fontId="29" fillId="4" borderId="0" xfId="0" applyNumberFormat="1" applyFont="1" applyFill="1" applyAlignment="1">
      <alignment horizontal="left" vertical="top" indent="1"/>
      <protection locked="0" hidden="0"/>
    </xf>
    <xf numFmtId="0" fontId="87" fillId="4" borderId="0" xfId="0" applyNumberFormat="1" applyFont="1" applyFill="1" applyAlignment="1">
      <alignment horizontal="left" vertical="center"/>
      <protection locked="0" hidden="0"/>
    </xf>
    <xf numFmtId="0" fontId="29" fillId="5" borderId="16" xfId="0" applyNumberFormat="1" applyFont="1" applyFill="1" applyBorder="1" applyAlignment="1">
      <alignment horizontal="center" vertical="center" wrapText="1"/>
    </xf>
    <xf numFmtId="0" fontId="29" fillId="5" borderId="0" xfId="0" applyNumberFormat="1" applyFont="1" applyFill="1" applyAlignment="1">
      <alignment horizontal="center" vertical="center" wrapText="1"/>
    </xf>
    <xf numFmtId="0" fontId="29" fillId="0" borderId="30" xfId="0" applyNumberFormat="1" applyFont="1" applyBorder="1" applyAlignment="1">
      <alignment horizontal="left" vertical="center" wrapText="1" indent="1"/>
      <protection locked="0" hidden="0"/>
    </xf>
    <xf numFmtId="0" fontId="29" fillId="0" borderId="29" xfId="0" applyNumberFormat="1" applyFont="1" applyBorder="1" applyAlignment="1">
      <alignment horizontal="left" vertical="center" wrapText="1" indent="1"/>
      <protection locked="0" hidden="0"/>
    </xf>
    <xf numFmtId="0" fontId="29" fillId="0" borderId="31" xfId="0" applyNumberFormat="1" applyFont="1" applyBorder="1" applyAlignment="1">
      <alignment horizontal="left" vertical="center"/>
      <protection locked="0" hidden="0"/>
    </xf>
    <xf numFmtId="0" fontId="29" fillId="0" borderId="0" xfId="0" applyNumberFormat="1" applyFont="1">
      <alignment vertical="center"/>
      <protection locked="0" hidden="0"/>
    </xf>
    <xf numFmtId="0" fontId="29" fillId="4" borderId="30" xfId="0" applyNumberFormat="1" applyFont="1" applyFill="1" applyBorder="1" applyAlignment="1">
      <alignment horizontal="left" vertical="center" indent="1"/>
      <protection locked="0" hidden="0"/>
    </xf>
    <xf numFmtId="0" fontId="29" fillId="4" borderId="29" xfId="0" applyNumberFormat="1" applyFont="1" applyFill="1" applyBorder="1" applyAlignment="1">
      <alignment horizontal="left" vertical="center" indent="1"/>
      <protection locked="0" hidden="0"/>
    </xf>
    <xf numFmtId="0" fontId="29" fillId="4" borderId="31" xfId="0" applyNumberFormat="1" applyFont="1" applyFill="1" applyBorder="1" applyAlignment="1">
      <alignment horizontal="left" vertical="center" indent="1"/>
      <protection locked="0" hidden="0"/>
    </xf>
    <xf numFmtId="0" fontId="29" fillId="4" borderId="0" xfId="0" applyNumberFormat="1" applyFont="1" applyFill="1" applyAlignment="1">
      <alignment horizontal="left" vertical="center"/>
      <protection locked="0" hidden="0"/>
    </xf>
    <xf numFmtId="0" fontId="29" fillId="0" borderId="30" xfId="0" applyNumberFormat="1" applyFont="1" applyBorder="1" applyAlignment="1">
      <alignment horizontal="left" vertical="top" indent="1"/>
      <protection locked="0" hidden="0"/>
    </xf>
    <xf numFmtId="0" fontId="29" fillId="0" borderId="29" xfId="0" applyNumberFormat="1" applyFont="1" applyBorder="1" applyAlignment="1">
      <alignment horizontal="left" vertical="top" indent="1"/>
      <protection locked="0" hidden="0"/>
    </xf>
    <xf numFmtId="0" fontId="29" fillId="0" borderId="29" xfId="0" applyNumberFormat="1" applyFont="1" applyBorder="1" applyAlignment="1">
      <alignment horizontal="left" vertical="center"/>
      <protection locked="0" hidden="0"/>
    </xf>
    <xf numFmtId="0" fontId="29" fillId="63" borderId="31" xfId="0" applyNumberFormat="1" applyFont="1" applyFill="1" applyBorder="1" applyAlignment="1">
      <alignment horizontal="left" vertical="center"/>
      <protection locked="0" hidden="0"/>
    </xf>
    <xf numFmtId="0" fontId="29" fillId="0" borderId="16" xfId="0" applyNumberFormat="1" applyFont="1" applyBorder="1" applyAlignment="1">
      <alignment horizontal="left" vertical="center"/>
      <protection locked="0" hidden="0"/>
    </xf>
    <xf numFmtId="0" fontId="29" fillId="0" borderId="0" xfId="0" applyNumberFormat="1" applyFont="1" applyAlignment="1">
      <alignment horizontal="left" vertical="center"/>
      <protection locked="0" hidden="0"/>
    </xf>
    <xf numFmtId="0" fontId="39" fillId="4" borderId="16" xfId="0" applyNumberFormat="1" applyFont="1" applyFill="1" applyBorder="1" applyAlignment="1">
      <alignment horizontal="left" vertical="center"/>
      <protection locked="0" hidden="0"/>
    </xf>
    <xf numFmtId="0" fontId="39" fillId="4" borderId="0" xfId="0" applyNumberFormat="1" applyFont="1" applyFill="1" applyAlignment="1">
      <alignment horizontal="left" vertical="center"/>
      <protection locked="0" hidden="0"/>
    </xf>
    <xf numFmtId="0" fontId="29" fillId="4" borderId="31" xfId="0" applyNumberFormat="1" applyFont="1" applyFill="1" applyBorder="1" applyAlignment="1">
      <alignment horizontal="left" vertical="center"/>
      <protection locked="0" hidden="0"/>
    </xf>
    <xf numFmtId="0" fontId="29" fillId="18" borderId="7" xfId="0" applyNumberFormat="1" applyFont="1" applyFill="1" applyBorder="1" applyAlignment="1">
      <alignment horizontal="center" vertical="center"/>
    </xf>
    <xf numFmtId="0" fontId="29" fillId="18" borderId="8" xfId="0" applyNumberFormat="1" applyFont="1" applyFill="1" applyBorder="1" applyAlignment="1">
      <alignment horizontal="center" vertical="center"/>
    </xf>
    <xf numFmtId="0" fontId="29" fillId="18" borderId="9" xfId="0" applyNumberFormat="1" applyFont="1" applyFill="1" applyBorder="1" applyAlignment="1">
      <alignment horizontal="center" vertical="center"/>
    </xf>
    <xf numFmtId="0" fontId="29" fillId="5" borderId="17" xfId="0" applyNumberFormat="1" applyFont="1" applyFill="1" applyBorder="1" applyAlignment="1">
      <alignment horizontal="center" vertical="center"/>
    </xf>
    <xf numFmtId="0" fontId="29" fillId="0" borderId="0" xfId="0" applyNumberFormat="1" applyFont="1">
      <alignment vertical="center"/>
      <protection locked="0" hidden="0"/>
    </xf>
    <xf numFmtId="0" fontId="29" fillId="4" borderId="30" xfId="0" applyNumberFormat="1" applyFont="1" applyFill="1" applyBorder="1" applyAlignment="1">
      <alignment horizontal="left" vertical="center"/>
      <protection locked="0" hidden="0"/>
    </xf>
    <xf numFmtId="0" fontId="29" fillId="4" borderId="29" xfId="0" applyNumberFormat="1" applyFont="1" applyFill="1" applyBorder="1" applyAlignment="1">
      <alignment horizontal="left" vertical="center"/>
      <protection locked="0" hidden="0"/>
    </xf>
    <xf numFmtId="0" fontId="29" fillId="4" borderId="17" xfId="0" applyNumberFormat="1" applyFont="1" applyFill="1" applyBorder="1" applyAlignment="1">
      <alignment horizontal="left" vertical="center" indent="1"/>
      <protection locked="0" hidden="0"/>
    </xf>
    <xf numFmtId="0" fontId="29" fillId="0" borderId="17" xfId="0" applyNumberFormat="1" applyFont="1" applyBorder="1" applyAlignment="1">
      <alignment horizontal="left" vertical="center" indent="1"/>
      <protection locked="0" hidden="0"/>
    </xf>
    <xf numFmtId="0" fontId="29" fillId="63" borderId="0" xfId="0" applyNumberFormat="1" applyFont="1" applyFill="1" applyAlignment="1">
      <alignment horizontal="left" vertical="center" indent="1"/>
      <protection locked="0" hidden="0"/>
    </xf>
    <xf numFmtId="0" fontId="29" fillId="63" borderId="17" xfId="0" applyNumberFormat="1" applyFont="1" applyFill="1" applyBorder="1" applyAlignment="1">
      <alignment horizontal="left" vertical="center" indent="1"/>
      <protection locked="0" hidden="0"/>
    </xf>
    <xf numFmtId="0" fontId="93" fillId="0" borderId="16" xfId="0" applyNumberFormat="1" applyFont="1" applyBorder="1" applyAlignment="1">
      <alignment horizontal="left" vertical="center"/>
      <protection locked="0" hidden="0"/>
    </xf>
    <xf numFmtId="0" fontId="93" fillId="0" borderId="0" xfId="0" applyNumberFormat="1" applyFont="1" applyAlignment="1">
      <alignment horizontal="left" vertical="center"/>
      <protection locked="0" hidden="0"/>
    </xf>
    <xf numFmtId="0" fontId="29" fillId="4" borderId="16" xfId="0" applyNumberFormat="1" applyFont="1" applyFill="1" applyBorder="1" applyAlignment="1">
      <alignment horizontal="left" vertical="center"/>
      <protection locked="0" hidden="0"/>
    </xf>
    <xf numFmtId="0" fontId="29" fillId="4" borderId="0" xfId="0" applyNumberFormat="1" applyFont="1" applyFill="1" applyAlignment="1">
      <alignment horizontal="left" vertical="center"/>
      <protection locked="0" hidden="0"/>
    </xf>
    <xf numFmtId="0" fontId="29" fillId="0" borderId="16" xfId="0" applyFont="1" applyBorder="1" applyAlignment="1">
      <alignment horizontal="left" vertical="center" indent="1"/>
      <protection locked="0" hidden="0"/>
    </xf>
    <xf numFmtId="0" fontId="29" fillId="0" borderId="0" xfId="0" applyFont="1" applyAlignment="1">
      <alignment horizontal="left" vertical="center" indent="1"/>
      <protection locked="0" hidden="0"/>
    </xf>
    <xf numFmtId="176" fontId="29" fillId="0" borderId="17" xfId="0" applyNumberFormat="1" applyFont="1" applyBorder="1" applyAlignment="1">
      <alignment horizontal="left" vertical="center"/>
      <protection locked="0" hidden="0"/>
    </xf>
    <xf numFmtId="0" fontId="29" fillId="4" borderId="16" xfId="0" applyFont="1" applyFill="1" applyBorder="1" applyAlignment="1">
      <alignment horizontal="left" vertical="center" indent="1"/>
      <protection locked="0" hidden="0"/>
    </xf>
    <xf numFmtId="0" fontId="29" fillId="4" borderId="0" xfId="0" applyFont="1" applyFill="1" applyAlignment="1">
      <alignment horizontal="left" vertical="center" indent="1"/>
      <protection locked="0" hidden="0"/>
    </xf>
    <xf numFmtId="176" fontId="29" fillId="4" borderId="17" xfId="0" applyNumberFormat="1" applyFont="1" applyFill="1" applyBorder="1" applyAlignment="1">
      <alignment horizontal="left" vertical="center"/>
      <protection locked="0" hidden="0"/>
    </xf>
    <xf numFmtId="0" fontId="29" fillId="4" borderId="30" xfId="0" applyFont="1" applyFill="1" applyBorder="1" applyAlignment="1">
      <alignment horizontal="left" vertical="center" indent="1"/>
      <protection locked="0" hidden="0"/>
    </xf>
    <xf numFmtId="0" fontId="29" fillId="4" borderId="29" xfId="0" applyFont="1" applyFill="1" applyBorder="1" applyAlignment="1">
      <alignment horizontal="left" vertical="center" indent="1"/>
      <protection locked="0" hidden="0"/>
    </xf>
    <xf numFmtId="176" fontId="29" fillId="4" borderId="31" xfId="0" applyNumberFormat="1" applyFont="1" applyFill="1" applyBorder="1" applyAlignment="1">
      <alignment horizontal="left" vertical="center"/>
      <protection locked="0" hidden="0"/>
    </xf>
    <xf numFmtId="0" fontId="29" fillId="0" borderId="31" xfId="0" applyNumberFormat="1" applyFont="1" applyBorder="1" applyAlignment="1">
      <alignment horizontal="left" vertical="center" indent="1"/>
      <protection locked="0" hidden="0"/>
    </xf>
    <xf numFmtId="0" fontId="82" fillId="0" borderId="0" xfId="0" applyNumberFormat="1" applyFont="1" applyFill="1" applyBorder="1">
      <alignment vertical="center"/>
      <protection locked="0" hidden="0"/>
    </xf>
    <xf numFmtId="0" fontId="29" fillId="5" borderId="0" xfId="0" applyFont="1" applyFill="1" applyBorder="1" applyAlignment="1">
      <alignment horizontal="center" vertical="center"/>
    </xf>
    <xf numFmtId="0" fontId="29" fillId="4" borderId="0" xfId="0" applyFont="1" applyFill="1" applyBorder="1" applyAlignment="1">
      <alignment horizontal="left" vertical="center" indent="1"/>
      <protection locked="0" hidden="0"/>
    </xf>
    <xf numFmtId="0" fontId="29" fillId="0" borderId="0" xfId="0" applyFont="1" applyBorder="1" applyAlignment="1">
      <alignment horizontal="left" vertical="center" indent="1"/>
      <protection locked="0" hidden="0"/>
    </xf>
    <xf numFmtId="0" fontId="29" fillId="0" borderId="30" xfId="0" applyNumberFormat="1" applyFont="1" applyBorder="1" applyAlignment="1">
      <alignment horizontal="left" vertical="center"/>
      <protection locked="0" hidden="0"/>
    </xf>
    <xf numFmtId="0" fontId="29" fillId="0" borderId="29" xfId="0" applyNumberFormat="1" applyFont="1" applyBorder="1" applyAlignment="1">
      <alignment horizontal="left" vertical="center"/>
      <protection locked="0" hidden="0"/>
    </xf>
    <xf numFmtId="0" fontId="16" fillId="0" borderId="0" xfId="0" applyFont="1" applyFill="1" applyBorder="1">
      <alignment vertical="center"/>
      <protection locked="0" hidden="0"/>
    </xf>
    <xf numFmtId="0" fontId="13" fillId="0" borderId="0" xfId="0" applyFont="1" applyAlignment="1">
      <alignment horizontal="center" vertical="center"/>
    </xf>
    <xf numFmtId="0" fontId="16" fillId="0" borderId="0" xfId="0" applyFont="1" applyFill="1" applyBorder="1">
      <alignment vertical="center"/>
    </xf>
    <xf numFmtId="0" fontId="86" fillId="0" borderId="0" xfId="0" applyNumberFormat="1" applyFont="1" applyFill="1" applyBorder="1">
      <alignment vertical="center"/>
    </xf>
    <xf numFmtId="0" fontId="87" fillId="0" borderId="0" xfId="0" applyNumberFormat="1" applyFont="1" applyFill="1" applyBorder="1">
      <alignment vertical="center"/>
    </xf>
    <xf numFmtId="0" fontId="29" fillId="5" borderId="0" xfId="0" applyFont="1" applyFill="1" applyBorder="1" applyAlignment="1">
      <alignment horizontal="center" vertical="center"/>
    </xf>
    <xf numFmtId="0" fontId="29" fillId="5" borderId="0" xfId="0" applyNumberFormat="1" applyFont="1" applyFill="1" applyBorder="1" applyAlignment="1">
      <alignment horizontal="center" vertical="center"/>
    </xf>
    <xf numFmtId="0" fontId="29" fillId="5" borderId="0" xfId="0" applyNumberFormat="1" applyFont="1" applyFill="1" applyBorder="1" applyAlignment="1">
      <alignment horizontal="center" vertical="center"/>
    </xf>
    <xf numFmtId="0" fontId="39" fillId="5" borderId="17" xfId="0" applyNumberFormat="1" applyFont="1" applyFill="1" applyBorder="1" applyAlignment="1">
      <alignment horizontal="center" vertical="center"/>
    </xf>
    <xf numFmtId="0" fontId="82" fillId="0" borderId="0" xfId="0" applyNumberFormat="1" applyFont="1" applyFill="1" applyBorder="1">
      <alignment vertical="center"/>
    </xf>
    <xf numFmtId="0" fontId="29" fillId="0" borderId="0" xfId="0" applyNumberFormat="1" applyFont="1" applyBorder="1" applyAlignment="1">
      <alignment horizontal="left" vertical="center"/>
      <protection locked="0" hidden="0"/>
    </xf>
    <xf numFmtId="0" fontId="29" fillId="0" borderId="0" xfId="0" applyNumberFormat="1" applyFont="1" applyBorder="1" applyAlignment="1">
      <alignment horizontal="left" vertical="center" indent="1"/>
      <protection locked="0" hidden="0"/>
    </xf>
    <xf numFmtId="0" fontId="39" fillId="0" borderId="16" xfId="0" applyNumberFormat="1" applyFont="1" applyBorder="1" applyAlignment="1">
      <alignment horizontal="left" vertical="center" indent="1"/>
      <protection locked="0" hidden="0"/>
    </xf>
    <xf numFmtId="0" fontId="39" fillId="0" borderId="0" xfId="0" applyNumberFormat="1" applyFont="1" applyAlignment="1">
      <alignment horizontal="left" vertical="center" indent="1"/>
      <protection locked="0" hidden="0"/>
    </xf>
    <xf numFmtId="0" fontId="39" fillId="0" borderId="16" xfId="0" applyNumberFormat="1" applyFont="1" applyBorder="1">
      <alignment vertical="center"/>
      <protection locked="0" hidden="0"/>
    </xf>
    <xf numFmtId="0" fontId="39" fillId="0" borderId="0" xfId="0" applyNumberFormat="1" applyFont="1">
      <alignment vertical="center"/>
      <protection locked="0" hidden="0"/>
    </xf>
    <xf numFmtId="0" fontId="29" fillId="4" borderId="0" xfId="0" applyNumberFormat="1" applyFont="1" applyFill="1" applyBorder="1" applyAlignment="1">
      <alignment horizontal="left" vertical="center"/>
      <protection locked="0" hidden="0"/>
    </xf>
    <xf numFmtId="0" fontId="29" fillId="4" borderId="0" xfId="0" applyNumberFormat="1" applyFont="1" applyFill="1" applyBorder="1" applyAlignment="1">
      <alignment horizontal="left" vertical="center" indent="1"/>
      <protection locked="0" hidden="0"/>
    </xf>
    <xf numFmtId="0" fontId="151" fillId="4" borderId="16" xfId="0" applyNumberFormat="1" applyFont="1" applyFill="1" applyBorder="1">
      <alignment vertical="center"/>
      <protection locked="0" hidden="0"/>
    </xf>
    <xf numFmtId="0" fontId="151" fillId="4" borderId="0" xfId="0" applyNumberFormat="1" applyFont="1" applyFill="1">
      <alignment vertical="center"/>
      <protection locked="0" hidden="0"/>
    </xf>
    <xf numFmtId="0" fontId="151" fillId="0" borderId="16" xfId="0" applyNumberFormat="1" applyFont="1" applyBorder="1">
      <alignment vertical="center"/>
      <protection locked="0" hidden="0"/>
    </xf>
    <xf numFmtId="0" fontId="151" fillId="0" borderId="0" xfId="0" applyNumberFormat="1" applyFont="1">
      <alignment vertical="center"/>
      <protection locked="0" hidden="0"/>
    </xf>
    <xf numFmtId="0" fontId="39" fillId="4" borderId="16" xfId="0" applyNumberFormat="1" applyFont="1" applyFill="1" applyBorder="1" applyAlignment="1">
      <alignment vertical="center" wrapText="1"/>
      <protection locked="0" hidden="0"/>
    </xf>
    <xf numFmtId="0" fontId="39" fillId="4" borderId="0" xfId="0" applyNumberFormat="1" applyFont="1" applyFill="1">
      <alignment vertical="center"/>
      <protection locked="0" hidden="0"/>
    </xf>
    <xf numFmtId="0" fontId="151" fillId="0" borderId="16" xfId="0" applyNumberFormat="1" applyFont="1" applyBorder="1" applyAlignment="1">
      <alignment horizontal="left" vertical="center" indent="1"/>
      <protection locked="0" hidden="0"/>
    </xf>
    <xf numFmtId="0" fontId="151" fillId="0" borderId="0" xfId="0" applyNumberFormat="1" applyFont="1" applyBorder="1" applyAlignment="1">
      <alignment horizontal="left" vertical="center" indent="1"/>
      <protection locked="0" hidden="0"/>
    </xf>
    <xf numFmtId="0" fontId="29" fillId="4" borderId="29" xfId="0" applyNumberFormat="1" applyFont="1" applyFill="1" applyBorder="1" applyAlignment="1">
      <alignment horizontal="left" vertical="center"/>
      <protection locked="0" hidden="0"/>
    </xf>
    <xf numFmtId="0" fontId="29" fillId="0" borderId="16" xfId="0" applyNumberFormat="1" applyFont="1" applyBorder="1">
      <alignment vertical="center"/>
      <protection locked="0" hidden="0"/>
    </xf>
    <xf numFmtId="0" fontId="93" fillId="4" borderId="16" xfId="0" applyNumberFormat="1" applyFont="1" applyFill="1" applyBorder="1" applyAlignment="1">
      <alignment horizontal="left" vertical="center"/>
      <protection locked="0" hidden="0"/>
    </xf>
    <xf numFmtId="0" fontId="93" fillId="4" borderId="0" xfId="0" applyNumberFormat="1" applyFont="1" applyFill="1" applyAlignment="1">
      <alignment horizontal="left" vertical="center"/>
      <protection locked="0" hidden="0"/>
    </xf>
    <xf numFmtId="0" fontId="29" fillId="4" borderId="0" xfId="0" applyNumberFormat="1" applyFont="1" applyFill="1" applyBorder="1" applyAlignment="1">
      <alignment horizontal="left" vertical="center" wrapText="1"/>
      <protection locked="0" hidden="0"/>
    </xf>
    <xf numFmtId="0" fontId="39" fillId="4" borderId="16" xfId="0" applyNumberFormat="1" applyFont="1" applyFill="1" applyBorder="1">
      <alignment vertical="center"/>
      <protection locked="0" hidden="0"/>
    </xf>
    <xf numFmtId="0" fontId="151" fillId="0" borderId="0" xfId="0" applyNumberFormat="1" applyFont="1" applyBorder="1" applyAlignment="1">
      <alignment horizontal="left" vertical="center"/>
      <protection locked="0" hidden="0"/>
    </xf>
    <xf numFmtId="0" fontId="39" fillId="4" borderId="16" xfId="0" applyNumberFormat="1" applyFont="1" applyFill="1" applyBorder="1" applyAlignment="1">
      <alignment horizontal="left" vertical="center" indent="1"/>
      <protection locked="0" hidden="0"/>
    </xf>
    <xf numFmtId="0" fontId="39" fillId="4" borderId="0" xfId="0" applyNumberFormat="1" applyFont="1" applyFill="1" applyAlignment="1">
      <alignment horizontal="left" vertical="center" indent="1"/>
      <protection locked="0" hidden="0"/>
    </xf>
    <xf numFmtId="0" fontId="29" fillId="4" borderId="16" xfId="0" applyNumberFormat="1" applyFont="1" applyFill="1" applyBorder="1">
      <alignment vertical="center"/>
      <protection locked="0" hidden="0"/>
    </xf>
    <xf numFmtId="0" fontId="29" fillId="4" borderId="0" xfId="0" applyNumberFormat="1" applyFont="1" applyFill="1">
      <alignment vertical="center"/>
      <protection locked="0" hidden="0"/>
    </xf>
    <xf numFmtId="0" fontId="106" fillId="0" borderId="0" xfId="0" applyNumberFormat="1" applyFont="1" applyFill="1" applyBorder="1">
      <alignment vertical="center"/>
    </xf>
    <xf numFmtId="0" fontId="39" fillId="0" borderId="30" xfId="0" applyNumberFormat="1" applyFont="1" applyBorder="1">
      <alignment vertical="center"/>
      <protection locked="0" hidden="0"/>
    </xf>
    <xf numFmtId="0" fontId="39" fillId="0" borderId="29" xfId="0" applyNumberFormat="1" applyFont="1" applyBorder="1">
      <alignment vertical="center"/>
      <protection locked="0" hidden="0"/>
    </xf>
    <xf numFmtId="0" fontId="39" fillId="4" borderId="0" xfId="0" applyNumberFormat="1" applyFont="1" applyFill="1" applyBorder="1" applyAlignment="1">
      <alignment horizontal="left" vertical="center" indent="1"/>
      <protection locked="0" hidden="0"/>
    </xf>
    <xf numFmtId="49" fontId="29" fillId="4" borderId="0" xfId="0" applyNumberFormat="1" applyFont="1" applyFill="1" applyBorder="1" applyAlignment="1">
      <alignment horizontal="left" vertical="center"/>
      <protection locked="0" hidden="0"/>
    </xf>
    <xf numFmtId="0" fontId="151" fillId="0" borderId="16" xfId="0" applyNumberFormat="1" applyFont="1" applyBorder="1" applyAlignment="1">
      <alignment horizontal="left" vertical="center"/>
      <protection locked="0" hidden="0"/>
    </xf>
    <xf numFmtId="0" fontId="151" fillId="0" borderId="0" xfId="0" applyNumberFormat="1" applyFont="1" applyAlignment="1">
      <alignment horizontal="left" vertical="center"/>
      <protection locked="0" hidden="0"/>
    </xf>
    <xf numFmtId="0" fontId="93" fillId="4" borderId="16" xfId="0" applyNumberFormat="1" applyFont="1" applyFill="1" applyBorder="1">
      <alignment vertical="center"/>
      <protection locked="0" hidden="0"/>
    </xf>
    <xf numFmtId="0" fontId="93" fillId="4" borderId="0" xfId="0" applyNumberFormat="1" applyFont="1" applyFill="1" applyBorder="1">
      <alignment vertical="center"/>
      <protection locked="0" hidden="0"/>
    </xf>
    <xf numFmtId="0" fontId="93" fillId="0" borderId="16" xfId="0" applyNumberFormat="1" applyFont="1" applyBorder="1">
      <alignment vertical="center"/>
      <protection locked="0" hidden="0"/>
    </xf>
    <xf numFmtId="0" fontId="93" fillId="0" borderId="0" xfId="0" applyNumberFormat="1" applyFont="1" applyBorder="1">
      <alignment vertical="center"/>
      <protection locked="0" hidden="0"/>
    </xf>
    <xf numFmtId="0" fontId="152" fillId="0" borderId="0" xfId="0" applyNumberFormat="1" applyFont="1" applyFill="1" applyBorder="1">
      <alignment vertical="center"/>
    </xf>
    <xf numFmtId="0" fontId="29" fillId="4" borderId="30" xfId="0" applyNumberFormat="1" applyFont="1" applyFill="1" applyBorder="1">
      <alignment vertical="center"/>
      <protection locked="0" hidden="0"/>
    </xf>
    <xf numFmtId="0" fontId="29" fillId="4" borderId="29" xfId="0" applyNumberFormat="1" applyFont="1" applyFill="1" applyBorder="1">
      <alignment vertical="center"/>
      <protection locked="0" hidden="0"/>
    </xf>
    <xf numFmtId="0" fontId="29" fillId="0" borderId="0" xfId="0" applyNumberFormat="1" applyFont="1" applyBorder="1">
      <alignment vertical="center"/>
      <protection locked="0" hidden="0"/>
    </xf>
    <xf numFmtId="0" fontId="87" fillId="18" borderId="16" xfId="0" applyNumberFormat="1" applyFont="1" applyFill="1" applyBorder="1" applyAlignment="1">
      <alignment horizontal="center" vertical="center"/>
    </xf>
    <xf numFmtId="0" fontId="87" fillId="18" borderId="0" xfId="0" applyNumberFormat="1" applyFont="1" applyFill="1" applyBorder="1" applyAlignment="1">
      <alignment horizontal="center" vertical="center"/>
    </xf>
    <xf numFmtId="0" fontId="87" fillId="18" borderId="17" xfId="0" applyNumberFormat="1" applyFont="1" applyFill="1" applyBorder="1" applyAlignment="1">
      <alignment horizontal="center" vertical="center"/>
    </xf>
    <xf numFmtId="0" fontId="29" fillId="4" borderId="0" xfId="0" applyNumberFormat="1" applyFont="1" applyFill="1" applyBorder="1">
      <alignment vertical="center"/>
      <protection locked="0" hidden="0"/>
    </xf>
    <xf numFmtId="0" fontId="39" fillId="4" borderId="0" xfId="0" applyNumberFormat="1" applyFont="1" applyFill="1" applyBorder="1" applyAlignment="1">
      <alignment horizontal="left" vertical="center"/>
      <protection locked="0" hidden="0"/>
    </xf>
    <xf numFmtId="0" fontId="39" fillId="4" borderId="17" xfId="0" applyNumberFormat="1" applyFont="1" applyFill="1" applyBorder="1" applyAlignment="1">
      <alignment horizontal="left" vertical="center"/>
      <protection locked="0" hidden="0"/>
    </xf>
    <xf numFmtId="0" fontId="39" fillId="0" borderId="0" xfId="0" applyNumberFormat="1" applyFont="1" applyBorder="1" applyAlignment="1">
      <alignment horizontal="left" vertical="center" indent="1"/>
      <protection locked="0" hidden="0"/>
    </xf>
    <xf numFmtId="0" fontId="82" fillId="0" borderId="0" xfId="0" applyNumberFormat="1" applyFont="1" applyFill="1">
      <alignment vertical="center"/>
    </xf>
    <xf numFmtId="0" fontId="151" fillId="4" borderId="16" xfId="0" applyNumberFormat="1" applyFont="1" applyFill="1" applyBorder="1" applyAlignment="1">
      <alignment horizontal="left" vertical="center" indent="1"/>
      <protection locked="0" hidden="0"/>
    </xf>
    <xf numFmtId="0" fontId="151" fillId="4" borderId="0" xfId="0" applyNumberFormat="1" applyFont="1" applyFill="1" applyBorder="1" applyAlignment="1">
      <alignment horizontal="left" vertical="center" indent="1"/>
      <protection locked="0" hidden="0"/>
    </xf>
    <xf numFmtId="0" fontId="29" fillId="0" borderId="30" xfId="0" applyNumberFormat="1" applyFont="1" applyBorder="1">
      <alignment vertical="center"/>
      <protection locked="0" hidden="0"/>
    </xf>
    <xf numFmtId="0" fontId="29" fillId="0" borderId="29" xfId="0" applyNumberFormat="1" applyFont="1" applyBorder="1">
      <alignment vertical="center"/>
      <protection locked="0" hidden="0"/>
    </xf>
    <xf numFmtId="0" fontId="151" fillId="5" borderId="17" xfId="0" applyNumberFormat="1" applyFont="1" applyFill="1" applyBorder="1" applyAlignment="1">
      <alignment horizontal="center" vertical="center"/>
    </xf>
    <xf numFmtId="0" fontId="151" fillId="4" borderId="0" xfId="0" applyNumberFormat="1" applyFont="1" applyFill="1" applyAlignment="1">
      <alignment horizontal="left" vertical="center" indent="1"/>
      <protection locked="0" hidden="0"/>
    </xf>
    <xf numFmtId="0" fontId="153" fillId="4" borderId="17" xfId="0" applyNumberFormat="1" applyFont="1" applyFill="1" applyBorder="1" applyAlignment="1">
      <alignment horizontal="left" vertical="center"/>
      <protection locked="0" hidden="0"/>
    </xf>
    <xf numFmtId="0" fontId="29" fillId="63" borderId="16" xfId="0" applyNumberFormat="1" applyFont="1" applyFill="1" applyBorder="1">
      <alignment vertical="center"/>
      <protection locked="0" hidden="0"/>
    </xf>
    <xf numFmtId="0" fontId="29" fillId="63" borderId="0" xfId="0" applyNumberFormat="1" applyFont="1" applyFill="1">
      <alignment vertical="center"/>
      <protection locked="0" hidden="0"/>
    </xf>
    <xf numFmtId="0" fontId="39" fillId="63" borderId="16" xfId="0" applyNumberFormat="1" applyFont="1" applyFill="1" applyBorder="1">
      <alignment vertical="center"/>
      <protection locked="0" hidden="0"/>
    </xf>
    <xf numFmtId="0" fontId="39" fillId="63" borderId="0" xfId="0" applyNumberFormat="1" applyFont="1" applyFill="1">
      <alignment vertical="center"/>
      <protection locked="0" hidden="0"/>
    </xf>
    <xf numFmtId="0" fontId="153" fillId="0" borderId="17" xfId="0" applyNumberFormat="1" applyFont="1" applyBorder="1" applyAlignment="1">
      <alignment horizontal="left" vertical="center"/>
      <protection locked="0" hidden="0"/>
    </xf>
    <xf numFmtId="0" fontId="151" fillId="63" borderId="16" xfId="0" applyNumberFormat="1" applyFont="1" applyFill="1" applyBorder="1">
      <alignment vertical="center"/>
      <protection locked="0" hidden="0"/>
    </xf>
    <xf numFmtId="0" fontId="151" fillId="63" borderId="0" xfId="0" applyNumberFormat="1" applyFont="1" applyFill="1">
      <alignment vertical="center"/>
      <protection locked="0" hidden="0"/>
    </xf>
    <xf numFmtId="0" fontId="29" fillId="0" borderId="16" xfId="0" applyFont="1" applyBorder="1" applyAlignment="1">
      <alignment horizontal="center" vertical="center" wrapText="1"/>
    </xf>
    <xf numFmtId="0" fontId="29" fillId="0" borderId="0" xfId="0" applyFont="1" applyAlignment="1">
      <alignment horizontal="center" vertical="center" wrapText="1"/>
    </xf>
    <xf numFmtId="0" fontId="29" fillId="0" borderId="17" xfId="0" applyFont="1" applyBorder="1" applyAlignment="1">
      <alignment horizontal="center" vertical="center" wrapText="1"/>
    </xf>
    <xf numFmtId="0" fontId="29" fillId="0" borderId="30"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31" xfId="0" applyFont="1" applyBorder="1" applyAlignment="1">
      <alignment horizontal="center" vertical="center" wrapText="1"/>
    </xf>
    <xf numFmtId="0" fontId="29" fillId="0" borderId="0" xfId="0" applyNumberFormat="1" applyFont="1" applyBorder="1">
      <alignment vertical="center"/>
    </xf>
    <xf numFmtId="0" fontId="29" fillId="0" borderId="0" xfId="0" applyNumberFormat="1" applyFont="1" applyFill="1" applyBorder="1">
      <alignment vertical="center"/>
    </xf>
    <xf numFmtId="0" fontId="29" fillId="4" borderId="30" xfId="0" applyNumberFormat="1" applyFont="1" applyFill="1" applyBorder="1" applyAlignment="1">
      <alignment horizontal="left" vertical="center" wrapText="1" indent="1"/>
      <protection locked="0" hidden="0"/>
    </xf>
    <xf numFmtId="0" fontId="29" fillId="4" borderId="29" xfId="0" applyNumberFormat="1" applyFont="1" applyFill="1" applyBorder="1" applyAlignment="1">
      <alignment horizontal="left" vertical="center" wrapText="1" indent="1"/>
      <protection locked="0" hidden="0"/>
    </xf>
    <xf numFmtId="0" fontId="29" fillId="0" borderId="0" xfId="0" applyNumberFormat="1" applyFont="1" applyFill="1" applyBorder="1" applyAlignment="1">
      <alignment horizontal="left" vertical="center"/>
    </xf>
    <xf numFmtId="0" fontId="13" fillId="0" borderId="0" xfId="0" applyFont="1" applyAlignment="1">
      <alignment vertical="center" wrapText="1"/>
    </xf>
    <xf numFmtId="0" fontId="151" fillId="4" borderId="0" xfId="0" applyNumberFormat="1" applyFont="1" applyFill="1" applyBorder="1" applyAlignment="1">
      <alignment horizontal="left" vertical="center"/>
      <protection locked="0" hidden="0"/>
    </xf>
    <xf numFmtId="0" fontId="13" fillId="0" borderId="0" xfId="0" applyFont="1" applyFill="1">
      <alignment vertical="center"/>
    </xf>
    <xf numFmtId="0" fontId="29" fillId="0" borderId="0" xfId="0" applyNumberFormat="1" applyFont="1" applyBorder="1" applyAlignment="1">
      <alignment horizontal="left" vertical="center"/>
      <protection locked="0" hidden="0"/>
    </xf>
    <xf numFmtId="0" fontId="39" fillId="0" borderId="30" xfId="0" applyNumberFormat="1" applyFont="1" applyBorder="1" applyAlignment="1">
      <alignment horizontal="left" vertical="center" indent="1"/>
      <protection locked="0" hidden="0"/>
    </xf>
    <xf numFmtId="0" fontId="39" fillId="0" borderId="29" xfId="0" applyNumberFormat="1" applyFont="1" applyBorder="1" applyAlignment="1">
      <alignment horizontal="left" vertical="center" indent="1"/>
      <protection locked="0" hidden="0"/>
    </xf>
    <xf numFmtId="0" fontId="29" fillId="4" borderId="0" xfId="0" applyNumberFormat="1" applyFont="1" applyFill="1" applyBorder="1" applyAlignment="1">
      <alignment horizontal="left" vertical="center"/>
      <protection locked="0" hidden="0"/>
    </xf>
    <xf numFmtId="0" fontId="93" fillId="0" borderId="16" xfId="0" applyNumberFormat="1" applyFont="1" applyBorder="1" applyAlignment="1">
      <alignment horizontal="left" vertical="center" wrapText="1"/>
      <protection locked="0" hidden="0"/>
    </xf>
    <xf numFmtId="0" fontId="93" fillId="0" borderId="0" xfId="0" applyNumberFormat="1" applyFont="1" applyBorder="1" applyAlignment="1">
      <alignment horizontal="left" vertical="center"/>
      <protection locked="0" hidden="0"/>
    </xf>
    <xf numFmtId="0" fontId="39" fillId="0" borderId="17" xfId="0" applyNumberFormat="1" applyFont="1" applyBorder="1" applyAlignment="1">
      <alignment horizontal="center" vertical="center"/>
      <protection locked="0" hidden="0"/>
    </xf>
    <xf numFmtId="0" fontId="29" fillId="0" borderId="0" xfId="0" applyNumberFormat="1" applyFont="1" applyBorder="1">
      <alignment vertical="center"/>
      <protection locked="0" hidden="0"/>
    </xf>
    <xf numFmtId="0" fontId="39" fillId="0" borderId="17" xfId="0" applyNumberFormat="1" applyFont="1" applyFill="1" applyBorder="1" applyAlignment="1">
      <alignment horizontal="center" vertical="center"/>
      <protection locked="0" hidden="0"/>
    </xf>
    <xf numFmtId="0" fontId="39" fillId="0" borderId="16" xfId="0" applyNumberFormat="1" applyFont="1" applyBorder="1" applyAlignment="1">
      <alignment horizontal="left" vertical="center"/>
      <protection locked="0" hidden="0"/>
    </xf>
    <xf numFmtId="0" fontId="39" fillId="0" borderId="0" xfId="0" applyNumberFormat="1" applyFont="1" applyBorder="1" applyAlignment="1">
      <alignment horizontal="left" vertical="center"/>
      <protection locked="0" hidden="0"/>
    </xf>
    <xf numFmtId="49" fontId="29" fillId="0" borderId="0" xfId="0" applyNumberFormat="1" applyFont="1" applyBorder="1" applyAlignment="1">
      <alignment horizontal="left" vertical="center"/>
      <protection locked="0" hidden="0"/>
    </xf>
    <xf numFmtId="0" fontId="151" fillId="4" borderId="17" xfId="0" applyNumberFormat="1" applyFont="1" applyFill="1" applyBorder="1" applyAlignment="1">
      <alignment horizontal="left" vertical="center"/>
      <protection locked="0" hidden="0"/>
    </xf>
    <xf numFmtId="0" fontId="39" fillId="4" borderId="0" xfId="0" applyNumberFormat="1" applyFont="1" applyFill="1" applyBorder="1" applyAlignment="1">
      <alignment horizontal="left" vertical="center"/>
      <protection locked="0" hidden="0"/>
    </xf>
    <xf numFmtId="0" fontId="151" fillId="0" borderId="0" xfId="0" applyNumberFormat="1" applyFont="1" applyBorder="1" applyAlignment="1">
      <alignment horizontal="left" vertical="center"/>
      <protection locked="0" hidden="0"/>
    </xf>
    <xf numFmtId="0" fontId="39" fillId="0" borderId="0" xfId="0" applyNumberFormat="1" applyFont="1" applyBorder="1" applyAlignment="1">
      <alignment horizontal="left" vertical="center"/>
      <protection locked="0" hidden="0"/>
    </xf>
    <xf numFmtId="0" fontId="39" fillId="0" borderId="0" xfId="0" applyNumberFormat="1" applyFont="1" applyAlignment="1">
      <alignment horizontal="left" vertical="center"/>
      <protection locked="0" hidden="0"/>
    </xf>
    <xf numFmtId="0" fontId="29" fillId="0" borderId="17" xfId="0" applyNumberFormat="1" applyFont="1" applyBorder="1" applyAlignment="1">
      <alignment horizontal="center" vertical="center"/>
      <protection locked="0" hidden="0"/>
    </xf>
    <xf numFmtId="0" fontId="29" fillId="0" borderId="17" xfId="0" applyNumberFormat="1" applyFont="1" applyFill="1" applyBorder="1" applyAlignment="1">
      <alignment horizontal="center" vertical="center"/>
      <protection locked="0" hidden="0"/>
    </xf>
    <xf numFmtId="0" fontId="39" fillId="0" borderId="17" xfId="0" applyNumberFormat="1" applyFont="1" applyBorder="1" applyAlignment="1">
      <alignment horizontal="left" vertical="center"/>
      <protection locked="0" hidden="0"/>
    </xf>
    <xf numFmtId="0" fontId="93" fillId="4" borderId="0" xfId="0" applyNumberFormat="1" applyFont="1" applyFill="1" applyBorder="1" applyAlignment="1">
      <alignment horizontal="left" vertical="center" wrapText="1"/>
      <protection locked="0" hidden="0"/>
    </xf>
    <xf numFmtId="0" fontId="39" fillId="4" borderId="30" xfId="0" applyNumberFormat="1" applyFont="1" applyFill="1" applyBorder="1" applyAlignment="1">
      <alignment horizontal="left" vertical="center" indent="1"/>
      <protection locked="0" hidden="0"/>
    </xf>
    <xf numFmtId="0" fontId="39" fillId="4" borderId="29" xfId="0" applyNumberFormat="1" applyFont="1" applyFill="1" applyBorder="1" applyAlignment="1">
      <alignment horizontal="left" vertical="center" indent="1"/>
      <protection locked="0" hidden="0"/>
    </xf>
    <xf numFmtId="0" fontId="106" fillId="0" borderId="0" xfId="5" applyFont="1">
      <alignment vertical="center"/>
      <protection locked="0" hidden="0"/>
    </xf>
    <xf numFmtId="0" fontId="82" fillId="0" borderId="0" xfId="5">
      <alignment vertical="center"/>
      <protection locked="0" hidden="0"/>
    </xf>
    <xf numFmtId="0" fontId="82" fillId="0" borderId="0" xfId="5" applyFont="1">
      <alignment vertical="center"/>
      <protection locked="0" hidden="0"/>
    </xf>
    <xf numFmtId="49" fontId="154" fillId="64" borderId="0" xfId="0" applyNumberFormat="1" applyFont="1" applyFill="1" applyAlignment="1">
      <alignment horizontal="center" vertical="center"/>
      <protection locked="0" hidden="0"/>
    </xf>
    <xf numFmtId="49" fontId="155" fillId="64" borderId="0" xfId="0" applyNumberFormat="1" applyFont="1" applyFill="1" applyAlignment="1">
      <alignment horizontal="center" vertical="center"/>
      <protection locked="0" hidden="0"/>
    </xf>
    <xf numFmtId="49" fontId="154" fillId="64" borderId="9" xfId="0" applyNumberFormat="1" applyFont="1" applyFill="1" applyBorder="1" applyAlignment="1">
      <alignment horizontal="center" vertical="center"/>
      <protection locked="0" hidden="0"/>
    </xf>
    <xf numFmtId="49" fontId="154" fillId="64" borderId="0" xfId="0" applyNumberFormat="1" applyFont="1" applyFill="1" applyAlignment="1">
      <alignment horizontal="center" vertical="center"/>
      <protection locked="0" hidden="0"/>
    </xf>
    <xf numFmtId="0" fontId="82" fillId="0" borderId="0" xfId="5">
      <alignment vertical="center"/>
    </xf>
    <xf numFmtId="0" fontId="156" fillId="0" borderId="0" xfId="0" applyFont="1">
      <alignment vertical="center"/>
      <protection locked="0" hidden="0"/>
    </xf>
    <xf numFmtId="49" fontId="157" fillId="0" borderId="0" xfId="0" applyNumberFormat="1" applyFont="1" applyFill="1" applyBorder="1">
      <alignment vertical="center"/>
      <protection locked="0" hidden="0"/>
    </xf>
    <xf numFmtId="49" fontId="158" fillId="0" borderId="0" xfId="0" applyNumberFormat="1" applyFont="1" applyFill="1" applyBorder="1">
      <alignment vertical="center"/>
      <protection locked="0" hidden="0"/>
    </xf>
    <xf numFmtId="0" fontId="159" fillId="0" borderId="149" xfId="5" applyFont="1" applyBorder="1" applyAlignment="1">
      <alignment horizontal="left" vertical="center" wrapText="1"/>
      <protection locked="0" hidden="0"/>
    </xf>
    <xf numFmtId="0" fontId="160" fillId="27" borderId="142" xfId="0" applyFont="1" applyFill="1" applyBorder="1" applyAlignment="1">
      <alignment horizontal="left" vertical="center"/>
      <protection locked="0" hidden="0"/>
    </xf>
    <xf numFmtId="49" fontId="160" fillId="27" borderId="134" xfId="0" applyNumberFormat="1" applyFont="1" applyFill="1" applyBorder="1" applyAlignment="1">
      <alignment horizontal="center" vertical="center"/>
      <protection locked="0" hidden="0"/>
    </xf>
    <xf numFmtId="0" fontId="160" fillId="27" borderId="134" xfId="0" applyFont="1" applyFill="1" applyBorder="1" applyAlignment="1">
      <alignment horizontal="center" vertical="center"/>
      <protection locked="0" hidden="0"/>
    </xf>
    <xf numFmtId="0" fontId="160" fillId="27" borderId="140" xfId="0" applyFont="1" applyFill="1" applyBorder="1" applyAlignment="1">
      <alignment horizontal="center" vertical="center"/>
      <protection locked="0" hidden="0"/>
    </xf>
    <xf numFmtId="0" fontId="161" fillId="6" borderId="137" xfId="5" applyFont="1" applyFill="1" applyBorder="1" applyAlignment="1">
      <alignment horizontal="center" vertical="center" wrapText="1"/>
      <protection locked="0" hidden="0"/>
    </xf>
    <xf numFmtId="0" fontId="82" fillId="65" borderId="142" xfId="5" applyFill="1" applyBorder="1" applyAlignment="1">
      <alignment horizontal="left" vertical="center" wrapText="1"/>
      <protection locked="0" hidden="0"/>
    </xf>
    <xf numFmtId="0" fontId="82" fillId="65" borderId="134" xfId="5" applyFill="1" applyBorder="1" applyAlignment="1">
      <alignment horizontal="left" vertical="center" wrapText="1"/>
      <protection locked="0" hidden="0"/>
    </xf>
    <xf numFmtId="0" fontId="82" fillId="65" borderId="140" xfId="5" applyFill="1" applyBorder="1" applyAlignment="1">
      <alignment horizontal="left" vertical="center" wrapText="1"/>
      <protection locked="0" hidden="0"/>
    </xf>
    <xf numFmtId="0" fontId="81" fillId="0" borderId="0" xfId="0" applyNumberFormat="1" applyFont="1" applyFill="1" applyBorder="1">
      <alignment vertical="center"/>
    </xf>
    <xf numFmtId="49" fontId="110" fillId="0" borderId="0" xfId="0" applyNumberFormat="1" applyFont="1" applyFill="1" applyBorder="1">
      <alignment vertical="center"/>
      <protection locked="0" hidden="0"/>
    </xf>
    <xf numFmtId="0" fontId="110" fillId="0" borderId="0" xfId="0" applyFont="1" applyFill="1" applyBorder="1">
      <alignment vertical="center"/>
      <protection locked="0" hidden="0"/>
    </xf>
    <xf numFmtId="14" fontId="110" fillId="0" borderId="0" xfId="0" applyNumberFormat="1" applyFont="1" applyFill="1" applyBorder="1">
      <alignment vertical="center"/>
      <protection locked="0" hidden="0"/>
    </xf>
    <xf numFmtId="0" fontId="161" fillId="0" borderId="0" xfId="5" applyFont="1" applyFill="1" applyBorder="1" applyAlignment="1">
      <alignment vertical="center" wrapText="1"/>
      <protection locked="0" hidden="0"/>
    </xf>
    <xf numFmtId="0" fontId="82" fillId="0" borderId="0" xfId="5" applyFont="1" applyFill="1" applyBorder="1" applyAlignment="1">
      <alignment vertical="center" wrapText="1"/>
      <protection locked="0" hidden="0"/>
    </xf>
    <xf numFmtId="0" fontId="159" fillId="0" borderId="149" xfId="5" applyFont="1" applyBorder="1" applyAlignment="1">
      <alignment horizontal="left" vertical="center"/>
      <protection locked="0" hidden="0"/>
    </xf>
    <xf numFmtId="0" fontId="160" fillId="6" borderId="148" xfId="0" applyFont="1" applyFill="1" applyBorder="1" applyAlignment="1">
      <alignment horizontal="left" vertical="center"/>
      <protection locked="0" hidden="0"/>
    </xf>
    <xf numFmtId="49" fontId="160" fillId="6" borderId="0" xfId="0" applyNumberFormat="1" applyFont="1" applyFill="1" applyAlignment="1">
      <alignment horizontal="center" vertical="center"/>
      <protection locked="0" hidden="0"/>
    </xf>
    <xf numFmtId="0" fontId="160" fillId="6" borderId="0" xfId="0" applyFont="1" applyFill="1" applyAlignment="1">
      <alignment horizontal="center" vertical="center"/>
      <protection locked="0" hidden="0"/>
    </xf>
    <xf numFmtId="0" fontId="160" fillId="6" borderId="149" xfId="0" applyFont="1" applyFill="1" applyBorder="1" applyAlignment="1">
      <alignment horizontal="center" vertical="center"/>
      <protection locked="0" hidden="0"/>
    </xf>
    <xf numFmtId="0" fontId="82" fillId="6" borderId="137" xfId="5" applyFill="1" applyBorder="1" applyAlignment="1">
      <alignment horizontal="center" vertical="center" wrapText="1"/>
      <protection locked="0" hidden="0"/>
    </xf>
    <xf numFmtId="0" fontId="82" fillId="65" borderId="148" xfId="5" applyFill="1" applyBorder="1" applyAlignment="1">
      <alignment horizontal="left" vertical="center" wrapText="1"/>
      <protection locked="0" hidden="0"/>
    </xf>
    <xf numFmtId="0" fontId="82" fillId="65" borderId="0" xfId="5" applyFill="1" applyAlignment="1">
      <alignment horizontal="left" vertical="center" wrapText="1"/>
      <protection locked="0" hidden="0"/>
    </xf>
    <xf numFmtId="0" fontId="82" fillId="65" borderId="149" xfId="5" applyFill="1" applyBorder="1" applyAlignment="1">
      <alignment horizontal="left" vertical="center" wrapText="1"/>
      <protection locked="0" hidden="0"/>
    </xf>
    <xf numFmtId="28" fontId="110" fillId="0" borderId="0" xfId="0" applyNumberFormat="1" applyFont="1" applyFill="1" applyBorder="1">
      <alignment vertical="center"/>
      <protection locked="0" hidden="0"/>
    </xf>
    <xf numFmtId="0" fontId="160" fillId="27" borderId="148" xfId="0" applyFont="1" applyFill="1" applyBorder="1" applyAlignment="1">
      <alignment horizontal="left" vertical="center"/>
      <protection locked="0" hidden="0"/>
    </xf>
    <xf numFmtId="49" fontId="160" fillId="27" borderId="0" xfId="0" applyNumberFormat="1" applyFont="1" applyFill="1" applyAlignment="1">
      <alignment horizontal="center" vertical="center"/>
      <protection locked="0" hidden="0"/>
    </xf>
    <xf numFmtId="0" fontId="160" fillId="27" borderId="0" xfId="0" applyFont="1" applyFill="1" applyAlignment="1">
      <alignment horizontal="center" vertical="center"/>
      <protection locked="0" hidden="0"/>
    </xf>
    <xf numFmtId="0" fontId="160" fillId="27" borderId="149" xfId="0" applyFont="1" applyFill="1" applyBorder="1" applyAlignment="1">
      <alignment horizontal="center" vertical="center"/>
      <protection locked="0" hidden="0"/>
    </xf>
    <xf numFmtId="0" fontId="160" fillId="65" borderId="148" xfId="0" applyFont="1" applyFill="1" applyBorder="1" applyAlignment="1">
      <alignment horizontal="left" vertical="center"/>
      <protection locked="0" hidden="0"/>
    </xf>
    <xf numFmtId="49" fontId="160" fillId="65" borderId="0" xfId="0" applyNumberFormat="1" applyFont="1" applyFill="1" applyAlignment="1">
      <alignment horizontal="center" vertical="center"/>
      <protection locked="0" hidden="0"/>
    </xf>
    <xf numFmtId="0" fontId="160" fillId="65" borderId="0" xfId="0" applyFont="1" applyFill="1" applyAlignment="1">
      <alignment horizontal="center" vertical="center"/>
      <protection locked="0" hidden="0"/>
    </xf>
    <xf numFmtId="0" fontId="160" fillId="65" borderId="149" xfId="0" applyFont="1" applyFill="1" applyBorder="1" applyAlignment="1">
      <alignment horizontal="center" vertical="center"/>
      <protection locked="0" hidden="0"/>
    </xf>
    <xf numFmtId="0" fontId="110" fillId="6" borderId="148" xfId="0" applyFont="1" applyFill="1" applyBorder="1" applyAlignment="1">
      <alignment horizontal="left" vertical="center"/>
      <protection locked="0" hidden="0"/>
    </xf>
    <xf numFmtId="49" fontId="110" fillId="6" borderId="0" xfId="0" applyNumberFormat="1" applyFont="1" applyFill="1" applyAlignment="1">
      <alignment horizontal="center" vertical="center"/>
      <protection locked="0" hidden="0"/>
    </xf>
    <xf numFmtId="0" fontId="110" fillId="6" borderId="0" xfId="0" applyFont="1" applyFill="1" applyAlignment="1">
      <alignment horizontal="center" vertical="center"/>
      <protection locked="0" hidden="0"/>
    </xf>
    <xf numFmtId="0" fontId="110" fillId="6" borderId="149" xfId="0" applyFont="1" applyFill="1" applyBorder="1" applyAlignment="1">
      <alignment horizontal="center" vertical="center"/>
      <protection locked="0" hidden="0"/>
    </xf>
    <xf numFmtId="0" fontId="82" fillId="65" borderId="160" xfId="5" applyFill="1" applyBorder="1" applyAlignment="1">
      <alignment horizontal="left" vertical="center" wrapText="1"/>
      <protection locked="0" hidden="0"/>
    </xf>
    <xf numFmtId="0" fontId="82" fillId="65" borderId="161" xfId="5" applyFill="1" applyBorder="1" applyAlignment="1">
      <alignment horizontal="left" vertical="center" wrapText="1"/>
      <protection locked="0" hidden="0"/>
    </xf>
    <xf numFmtId="0" fontId="82" fillId="65" borderId="162" xfId="5" applyFill="1" applyBorder="1" applyAlignment="1">
      <alignment horizontal="left" vertical="center" wrapText="1"/>
      <protection locked="0" hidden="0"/>
    </xf>
    <xf numFmtId="0" fontId="82" fillId="0" borderId="0" xfId="5" applyFont="1" applyFill="1" applyBorder="1">
      <alignment vertical="center"/>
      <protection locked="0" hidden="0"/>
    </xf>
    <xf numFmtId="0" fontId="160" fillId="66" borderId="148" xfId="0" applyFont="1" applyFill="1" applyBorder="1" applyAlignment="1">
      <alignment horizontal="left" vertical="center"/>
      <protection locked="0" hidden="0"/>
    </xf>
    <xf numFmtId="49" fontId="160" fillId="66" borderId="0" xfId="0" applyNumberFormat="1" applyFont="1" applyFill="1" applyAlignment="1">
      <alignment horizontal="center" vertical="center"/>
      <protection locked="0" hidden="0"/>
    </xf>
    <xf numFmtId="0" fontId="160" fillId="66" borderId="0" xfId="0" applyFont="1" applyFill="1" applyAlignment="1">
      <alignment horizontal="center" vertical="center"/>
      <protection locked="0" hidden="0"/>
    </xf>
    <xf numFmtId="0" fontId="160" fillId="66" borderId="149" xfId="0" applyFont="1" applyFill="1" applyBorder="1" applyAlignment="1">
      <alignment horizontal="center" vertical="center"/>
      <protection locked="0" hidden="0"/>
    </xf>
    <xf numFmtId="0" fontId="14" fillId="66" borderId="142" xfId="5" applyFont="1" applyFill="1" applyBorder="1" applyAlignment="1">
      <alignment horizontal="left" vertical="center" wrapText="1"/>
      <protection locked="0" hidden="0"/>
    </xf>
    <xf numFmtId="0" fontId="14" fillId="66" borderId="134" xfId="5" applyFont="1" applyFill="1" applyBorder="1" applyAlignment="1">
      <alignment horizontal="left" vertical="center" wrapText="1"/>
      <protection locked="0" hidden="0"/>
    </xf>
    <xf numFmtId="0" fontId="14" fillId="66" borderId="140" xfId="5" applyFont="1" applyFill="1" applyBorder="1" applyAlignment="1">
      <alignment horizontal="left" vertical="center" wrapText="1"/>
      <protection locked="0" hidden="0"/>
    </xf>
    <xf numFmtId="0" fontId="14" fillId="66" borderId="148" xfId="5" applyFont="1" applyFill="1" applyBorder="1" applyAlignment="1">
      <alignment horizontal="left" vertical="center" wrapText="1"/>
      <protection locked="0" hidden="0"/>
    </xf>
    <xf numFmtId="0" fontId="14" fillId="66" borderId="0" xfId="5" applyFont="1" applyFill="1" applyAlignment="1">
      <alignment horizontal="left" vertical="center" wrapText="1"/>
      <protection locked="0" hidden="0"/>
    </xf>
    <xf numFmtId="0" fontId="14" fillId="66" borderId="149" xfId="5" applyFont="1" applyFill="1" applyBorder="1" applyAlignment="1">
      <alignment horizontal="left" vertical="center" wrapText="1"/>
      <protection locked="0" hidden="0"/>
    </xf>
    <xf numFmtId="0" fontId="160" fillId="67" borderId="148" xfId="0" applyFont="1" applyFill="1" applyBorder="1" applyAlignment="1">
      <alignment horizontal="left" vertical="center"/>
      <protection locked="0" hidden="0"/>
    </xf>
    <xf numFmtId="49" fontId="160" fillId="67" borderId="0" xfId="0" applyNumberFormat="1" applyFont="1" applyFill="1" applyAlignment="1">
      <alignment horizontal="center" vertical="center"/>
      <protection locked="0" hidden="0"/>
    </xf>
    <xf numFmtId="0" fontId="160" fillId="67" borderId="0" xfId="0" applyFont="1" applyFill="1" applyAlignment="1">
      <alignment horizontal="center" vertical="center"/>
      <protection locked="0" hidden="0"/>
    </xf>
    <xf numFmtId="0" fontId="160" fillId="67" borderId="149" xfId="0" applyFont="1" applyFill="1" applyBorder="1" applyAlignment="1">
      <alignment horizontal="center" vertical="center"/>
      <protection locked="0" hidden="0"/>
    </xf>
    <xf numFmtId="0" fontId="14" fillId="66" borderId="160" xfId="5" applyFont="1" applyFill="1" applyBorder="1" applyAlignment="1">
      <alignment horizontal="left" vertical="center" wrapText="1"/>
      <protection locked="0" hidden="0"/>
    </xf>
    <xf numFmtId="0" fontId="14" fillId="66" borderId="161" xfId="5" applyFont="1" applyFill="1" applyBorder="1" applyAlignment="1">
      <alignment horizontal="left" vertical="center" wrapText="1"/>
      <protection locked="0" hidden="0"/>
    </xf>
    <xf numFmtId="0" fontId="14" fillId="66" borderId="162" xfId="5" applyFont="1" applyFill="1" applyBorder="1" applyAlignment="1">
      <alignment horizontal="left" vertical="center" wrapText="1"/>
      <protection locked="0" hidden="0"/>
    </xf>
    <xf numFmtId="0" fontId="82" fillId="67" borderId="142" xfId="5" applyFill="1" applyBorder="1" applyAlignment="1">
      <alignment horizontal="left" vertical="center" wrapText="1"/>
      <protection locked="0" hidden="0"/>
    </xf>
    <xf numFmtId="0" fontId="82" fillId="67" borderId="134" xfId="5" applyFill="1" applyBorder="1" applyAlignment="1">
      <alignment horizontal="left" vertical="center" wrapText="1"/>
      <protection locked="0" hidden="0"/>
    </xf>
    <xf numFmtId="0" fontId="82" fillId="67" borderId="140" xfId="5" applyFill="1" applyBorder="1" applyAlignment="1">
      <alignment horizontal="left" vertical="center" wrapText="1"/>
      <protection locked="0" hidden="0"/>
    </xf>
    <xf numFmtId="0" fontId="82" fillId="67" borderId="148" xfId="5" applyFill="1" applyBorder="1" applyAlignment="1">
      <alignment horizontal="left" vertical="center" wrapText="1"/>
      <protection locked="0" hidden="0"/>
    </xf>
    <xf numFmtId="0" fontId="82" fillId="67" borderId="0" xfId="5" applyFill="1" applyAlignment="1">
      <alignment horizontal="left" vertical="center" wrapText="1"/>
      <protection locked="0" hidden="0"/>
    </xf>
    <xf numFmtId="0" fontId="82" fillId="67" borderId="149" xfId="5" applyFill="1" applyBorder="1" applyAlignment="1">
      <alignment horizontal="left" vertical="center" wrapText="1"/>
      <protection locked="0" hidden="0"/>
    </xf>
    <xf numFmtId="0" fontId="110" fillId="0" borderId="0" xfId="0" applyNumberFormat="1" applyFont="1" applyFill="1" applyBorder="1">
      <alignment vertical="center"/>
      <protection locked="0" hidden="0"/>
    </xf>
    <xf numFmtId="0" fontId="82" fillId="67" borderId="160" xfId="5" applyFill="1" applyBorder="1" applyAlignment="1">
      <alignment horizontal="left" vertical="center" wrapText="1"/>
      <protection locked="0" hidden="0"/>
    </xf>
    <xf numFmtId="0" fontId="82" fillId="67" borderId="161" xfId="5" applyFill="1" applyBorder="1" applyAlignment="1">
      <alignment horizontal="left" vertical="center" wrapText="1"/>
      <protection locked="0" hidden="0"/>
    </xf>
    <xf numFmtId="0" fontId="82" fillId="67" borderId="162" xfId="5" applyFill="1" applyBorder="1" applyAlignment="1">
      <alignment horizontal="left" vertical="center" wrapText="1"/>
      <protection locked="0" hidden="0"/>
    </xf>
    <xf numFmtId="0" fontId="82" fillId="68" borderId="142" xfId="5" applyFill="1" applyBorder="1" applyAlignment="1">
      <alignment horizontal="left" vertical="center" wrapText="1"/>
      <protection locked="0" hidden="0"/>
    </xf>
    <xf numFmtId="0" fontId="82" fillId="68" borderId="134" xfId="5" applyFill="1" applyBorder="1" applyAlignment="1">
      <alignment horizontal="left" vertical="center" wrapText="1"/>
      <protection locked="0" hidden="0"/>
    </xf>
    <xf numFmtId="0" fontId="82" fillId="68" borderId="140" xfId="5" applyFill="1" applyBorder="1" applyAlignment="1">
      <alignment horizontal="left" vertical="center" wrapText="1"/>
      <protection locked="0" hidden="0"/>
    </xf>
    <xf numFmtId="0" fontId="82" fillId="68" borderId="148" xfId="5" applyFill="1" applyBorder="1" applyAlignment="1">
      <alignment horizontal="left" vertical="center" wrapText="1"/>
      <protection locked="0" hidden="0"/>
    </xf>
    <xf numFmtId="0" fontId="82" fillId="68" borderId="0" xfId="5" applyFill="1" applyAlignment="1">
      <alignment horizontal="left" vertical="center" wrapText="1"/>
      <protection locked="0" hidden="0"/>
    </xf>
    <xf numFmtId="0" fontId="82" fillId="68" borderId="149" xfId="5" applyFill="1" applyBorder="1" applyAlignment="1">
      <alignment horizontal="left" vertical="center" wrapText="1"/>
      <protection locked="0" hidden="0"/>
    </xf>
    <xf numFmtId="0" fontId="82" fillId="68" borderId="160" xfId="5" applyFill="1" applyBorder="1" applyAlignment="1">
      <alignment horizontal="left" vertical="center" wrapText="1"/>
      <protection locked="0" hidden="0"/>
    </xf>
    <xf numFmtId="0" fontId="82" fillId="68" borderId="161" xfId="5" applyFill="1" applyBorder="1" applyAlignment="1">
      <alignment horizontal="left" vertical="center" wrapText="1"/>
      <protection locked="0" hidden="0"/>
    </xf>
    <xf numFmtId="0" fontId="82" fillId="68" borderId="162" xfId="5" applyFill="1" applyBorder="1" applyAlignment="1">
      <alignment horizontal="left" vertical="center" wrapText="1"/>
      <protection locked="0" hidden="0"/>
    </xf>
    <xf numFmtId="0" fontId="160" fillId="68" borderId="148" xfId="0" applyFont="1" applyFill="1" applyBorder="1" applyAlignment="1">
      <alignment horizontal="left" vertical="center"/>
      <protection locked="0" hidden="0"/>
    </xf>
    <xf numFmtId="49" fontId="160" fillId="68" borderId="0" xfId="0" applyNumberFormat="1" applyFont="1" applyFill="1" applyAlignment="1">
      <alignment horizontal="center" vertical="center"/>
      <protection locked="0" hidden="0"/>
    </xf>
    <xf numFmtId="0" fontId="160" fillId="68" borderId="0" xfId="0" applyFont="1" applyFill="1" applyAlignment="1">
      <alignment horizontal="center" vertical="center"/>
      <protection locked="0" hidden="0"/>
    </xf>
    <xf numFmtId="0" fontId="160" fillId="68" borderId="149" xfId="0" applyFont="1" applyFill="1" applyBorder="1" applyAlignment="1">
      <alignment horizontal="center" vertical="center"/>
      <protection locked="0" hidden="0"/>
    </xf>
    <xf numFmtId="0" fontId="160" fillId="6" borderId="160" xfId="0" applyFont="1" applyFill="1" applyBorder="1" applyAlignment="1">
      <alignment horizontal="left" vertical="center"/>
      <protection locked="0" hidden="0"/>
    </xf>
    <xf numFmtId="49" fontId="160" fillId="6" borderId="161" xfId="0" applyNumberFormat="1" applyFont="1" applyFill="1" applyBorder="1" applyAlignment="1">
      <alignment horizontal="center" vertical="center"/>
      <protection locked="0" hidden="0"/>
    </xf>
    <xf numFmtId="0" fontId="160" fillId="6" borderId="161" xfId="0" applyFont="1" applyFill="1" applyBorder="1" applyAlignment="1">
      <alignment horizontal="center" vertical="center"/>
      <protection locked="0" hidden="0"/>
    </xf>
    <xf numFmtId="0" fontId="160" fillId="6" borderId="162" xfId="0" applyFont="1" applyFill="1" applyBorder="1" applyAlignment="1">
      <alignment horizontal="center" vertical="center"/>
      <protection locked="0" hidden="0"/>
    </xf>
    <xf numFmtId="0" fontId="110" fillId="0" borderId="0" xfId="5" applyNumberFormat="1" applyFont="1" applyFill="1" applyBorder="1">
      <alignment vertical="center"/>
      <protection locked="0" hidden="0"/>
    </xf>
    <xf numFmtId="0" fontId="160" fillId="69" borderId="142" xfId="0" applyFont="1" applyFill="1" applyBorder="1" applyAlignment="1">
      <alignment horizontal="left" vertical="center"/>
      <protection locked="0" hidden="0"/>
    </xf>
    <xf numFmtId="49" fontId="160" fillId="69" borderId="134" xfId="0" applyNumberFormat="1" applyFont="1" applyFill="1" applyBorder="1" applyAlignment="1">
      <alignment horizontal="center" vertical="center"/>
      <protection locked="0" hidden="0"/>
    </xf>
    <xf numFmtId="0" fontId="160" fillId="69" borderId="134" xfId="0" applyFont="1" applyFill="1" applyBorder="1" applyAlignment="1">
      <alignment horizontal="center" vertical="center"/>
      <protection locked="0" hidden="0"/>
    </xf>
    <xf numFmtId="0" fontId="160" fillId="69" borderId="140" xfId="0" applyFont="1" applyFill="1" applyBorder="1" applyAlignment="1">
      <alignment horizontal="center" vertical="center"/>
      <protection locked="0" hidden="0"/>
    </xf>
    <xf numFmtId="0" fontId="161" fillId="69" borderId="140" xfId="5" applyFont="1" applyFill="1" applyBorder="1" applyAlignment="1">
      <alignment horizontal="center" vertical="center" wrapText="1"/>
      <protection locked="0" hidden="0"/>
    </xf>
    <xf numFmtId="0" fontId="82" fillId="69" borderId="142" xfId="5" applyFill="1" applyBorder="1" applyAlignment="1">
      <alignment horizontal="left" vertical="center" wrapText="1"/>
      <protection locked="0" hidden="0"/>
    </xf>
    <xf numFmtId="0" fontId="24" fillId="0" borderId="142" xfId="5" applyFont="1" applyBorder="1" applyAlignment="1">
      <alignment horizontal="left" vertical="center" wrapText="1"/>
      <protection locked="0" hidden="0"/>
    </xf>
    <xf numFmtId="0" fontId="24" fillId="0" borderId="140" xfId="5" applyFont="1" applyBorder="1" applyAlignment="1">
      <alignment horizontal="left" vertical="center" wrapText="1"/>
      <protection locked="0" hidden="0"/>
    </xf>
    <xf numFmtId="0" fontId="162" fillId="0" borderId="0" xfId="5" applyFont="1" applyAlignment="1">
      <alignment vertical="center" wrapText="1"/>
      <protection locked="0" hidden="0"/>
    </xf>
    <xf numFmtId="0" fontId="82" fillId="69" borderId="149" xfId="5" applyFill="1" applyBorder="1" applyAlignment="1">
      <alignment horizontal="center" vertical="center" wrapText="1"/>
      <protection locked="0" hidden="0"/>
    </xf>
    <xf numFmtId="0" fontId="82" fillId="69" borderId="148" xfId="5" applyFill="1" applyBorder="1" applyAlignment="1">
      <alignment horizontal="left" vertical="center" wrapText="1"/>
      <protection locked="0" hidden="0"/>
    </xf>
    <xf numFmtId="0" fontId="24" fillId="0" borderId="148" xfId="5" applyFont="1" applyBorder="1" applyAlignment="1">
      <alignment horizontal="left" vertical="center" wrapText="1"/>
      <protection locked="0" hidden="0"/>
    </xf>
    <xf numFmtId="0" fontId="24" fillId="0" borderId="149" xfId="5" applyFont="1" applyBorder="1" applyAlignment="1">
      <alignment horizontal="left" vertical="center" wrapText="1"/>
      <protection locked="0" hidden="0"/>
    </xf>
    <xf numFmtId="0" fontId="160" fillId="69" borderId="148" xfId="0" applyFont="1" applyFill="1" applyBorder="1" applyAlignment="1">
      <alignment horizontal="left" vertical="center"/>
      <protection locked="0" hidden="0"/>
    </xf>
    <xf numFmtId="49" fontId="160" fillId="69" borderId="0" xfId="0" applyNumberFormat="1" applyFont="1" applyFill="1" applyAlignment="1">
      <alignment horizontal="center" vertical="center"/>
      <protection locked="0" hidden="0"/>
    </xf>
    <xf numFmtId="0" fontId="160" fillId="69" borderId="0" xfId="0" applyFont="1" applyFill="1" applyAlignment="1">
      <alignment horizontal="center" vertical="center"/>
      <protection locked="0" hidden="0"/>
    </xf>
    <xf numFmtId="0" fontId="160" fillId="69" borderId="149" xfId="0" applyFont="1" applyFill="1" applyBorder="1" applyAlignment="1">
      <alignment horizontal="center" vertical="center"/>
      <protection locked="0" hidden="0"/>
    </xf>
    <xf numFmtId="183" fontId="160" fillId="27" borderId="0" xfId="0" applyNumberFormat="1" applyFont="1" applyFill="1" applyAlignment="1">
      <alignment horizontal="center" vertical="center"/>
      <protection locked="0" hidden="0"/>
    </xf>
    <xf numFmtId="0" fontId="160" fillId="69" borderId="160" xfId="0" applyFont="1" applyFill="1" applyBorder="1" applyAlignment="1">
      <alignment horizontal="left" vertical="center"/>
      <protection locked="0" hidden="0"/>
    </xf>
    <xf numFmtId="49" fontId="160" fillId="69" borderId="161" xfId="0" applyNumberFormat="1" applyFont="1" applyFill="1" applyBorder="1" applyAlignment="1">
      <alignment horizontal="center" vertical="center"/>
      <protection locked="0" hidden="0"/>
    </xf>
    <xf numFmtId="0" fontId="160" fillId="69" borderId="161" xfId="0" applyFont="1" applyFill="1" applyBorder="1" applyAlignment="1">
      <alignment horizontal="center" vertical="center"/>
      <protection locked="0" hidden="0"/>
    </xf>
    <xf numFmtId="0" fontId="160" fillId="69" borderId="162" xfId="0" applyFont="1" applyFill="1" applyBorder="1" applyAlignment="1">
      <alignment horizontal="center" vertical="center"/>
      <protection locked="0" hidden="0"/>
    </xf>
    <xf numFmtId="0" fontId="82" fillId="69" borderId="162" xfId="5" applyFill="1" applyBorder="1" applyAlignment="1">
      <alignment horizontal="center" vertical="center" wrapText="1"/>
      <protection locked="0" hidden="0"/>
    </xf>
    <xf numFmtId="0" fontId="82" fillId="69" borderId="160" xfId="5" applyFill="1" applyBorder="1" applyAlignment="1">
      <alignment horizontal="left" vertical="center" wrapText="1"/>
      <protection locked="0" hidden="0"/>
    </xf>
    <xf numFmtId="0" fontId="24" fillId="0" borderId="160" xfId="5" applyFont="1" applyBorder="1" applyAlignment="1">
      <alignment horizontal="left" vertical="center" wrapText="1"/>
      <protection locked="0" hidden="0"/>
    </xf>
    <xf numFmtId="0" fontId="24" fillId="0" borderId="162" xfId="5" applyFont="1" applyBorder="1" applyAlignment="1">
      <alignment horizontal="left" vertical="center" wrapText="1"/>
      <protection locked="0" hidden="0"/>
    </xf>
    <xf numFmtId="0" fontId="160" fillId="6" borderId="142" xfId="0" applyFont="1" applyFill="1" applyBorder="1" applyAlignment="1">
      <alignment horizontal="left" vertical="center"/>
      <protection locked="0" hidden="0"/>
    </xf>
    <xf numFmtId="49" fontId="160" fillId="6" borderId="134" xfId="0" applyNumberFormat="1" applyFont="1" applyFill="1" applyBorder="1" applyAlignment="1">
      <alignment horizontal="center" vertical="center"/>
      <protection locked="0" hidden="0"/>
    </xf>
    <xf numFmtId="0" fontId="160" fillId="6" borderId="134" xfId="0" applyFont="1" applyFill="1" applyBorder="1" applyAlignment="1">
      <alignment horizontal="center" vertical="center"/>
      <protection locked="0" hidden="0"/>
    </xf>
    <xf numFmtId="0" fontId="160" fillId="6" borderId="140" xfId="0" applyFont="1" applyFill="1" applyBorder="1" applyAlignment="1">
      <alignment horizontal="center" vertical="center"/>
      <protection locked="0" hidden="0"/>
    </xf>
    <xf numFmtId="0" fontId="161" fillId="6" borderId="140" xfId="5" applyFont="1" applyFill="1" applyBorder="1" applyAlignment="1">
      <alignment horizontal="center" vertical="center" wrapText="1"/>
      <protection locked="0" hidden="0"/>
    </xf>
    <xf numFmtId="0" fontId="82" fillId="6" borderId="140" xfId="5" applyFill="1" applyBorder="1" applyAlignment="1">
      <alignment horizontal="left" vertical="center" wrapText="1"/>
      <protection locked="0" hidden="0"/>
    </xf>
    <xf numFmtId="0" fontId="82" fillId="70" borderId="142" xfId="5" applyFill="1" applyBorder="1" applyAlignment="1">
      <alignment horizontal="left" vertical="center" wrapText="1"/>
      <protection locked="0" hidden="0"/>
    </xf>
    <xf numFmtId="0" fontId="82" fillId="70" borderId="140" xfId="5" applyFill="1" applyBorder="1" applyAlignment="1">
      <alignment horizontal="left" vertical="center" wrapText="1"/>
      <protection locked="0" hidden="0"/>
    </xf>
    <xf numFmtId="0" fontId="162" fillId="0" borderId="148" xfId="5" applyFont="1" applyBorder="1" applyAlignment="1">
      <alignment vertical="center" wrapText="1"/>
      <protection locked="0" hidden="0"/>
    </xf>
    <xf numFmtId="0" fontId="161" fillId="6" borderId="149" xfId="5" applyFont="1" applyFill="1" applyBorder="1" applyAlignment="1">
      <alignment horizontal="center" vertical="center" wrapText="1"/>
      <protection locked="0" hidden="0"/>
    </xf>
    <xf numFmtId="0" fontId="82" fillId="6" borderId="149" xfId="5" applyFill="1" applyBorder="1" applyAlignment="1">
      <alignment horizontal="left" vertical="center" wrapText="1"/>
      <protection locked="0" hidden="0"/>
    </xf>
    <xf numFmtId="0" fontId="82" fillId="70" borderId="148" xfId="5" applyFill="1" applyBorder="1" applyAlignment="1">
      <alignment horizontal="left" vertical="center" wrapText="1"/>
      <protection locked="0" hidden="0"/>
    </xf>
    <xf numFmtId="0" fontId="82" fillId="70" borderId="149" xfId="5" applyFill="1" applyBorder="1" applyAlignment="1">
      <alignment horizontal="left" vertical="center" wrapText="1"/>
      <protection locked="0" hidden="0"/>
    </xf>
    <xf numFmtId="49" fontId="160" fillId="6" borderId="0" xfId="0" applyNumberFormat="1" applyFont="1" applyFill="1" applyAlignment="1">
      <alignment horizontal="center" vertical="center"/>
      <protection locked="0" hidden="0"/>
    </xf>
    <xf numFmtId="0" fontId="160" fillId="6" borderId="0" xfId="0" applyFont="1" applyFill="1" applyAlignment="1">
      <alignment horizontal="center" vertical="center"/>
      <protection locked="0" hidden="0"/>
    </xf>
    <xf numFmtId="0" fontId="160" fillId="6" borderId="149" xfId="0" applyFont="1" applyFill="1" applyBorder="1" applyAlignment="1">
      <alignment horizontal="center" vertical="center"/>
      <protection locked="0" hidden="0"/>
    </xf>
    <xf numFmtId="0" fontId="160" fillId="70" borderId="148" xfId="0" applyFont="1" applyFill="1" applyBorder="1" applyAlignment="1">
      <alignment horizontal="left" vertical="center"/>
      <protection locked="0" hidden="0"/>
    </xf>
    <xf numFmtId="49" fontId="160" fillId="70" borderId="0" xfId="0" applyNumberFormat="1" applyFont="1" applyFill="1" applyAlignment="1">
      <alignment horizontal="center" vertical="center"/>
      <protection locked="0" hidden="0"/>
    </xf>
    <xf numFmtId="0" fontId="160" fillId="70" borderId="0" xfId="0" applyFont="1" applyFill="1" applyAlignment="1">
      <alignment horizontal="center" vertical="center"/>
      <protection locked="0" hidden="0"/>
    </xf>
    <xf numFmtId="0" fontId="160" fillId="70" borderId="149" xfId="0" applyFont="1" applyFill="1" applyBorder="1" applyAlignment="1">
      <alignment horizontal="center" vertical="center"/>
      <protection locked="0" hidden="0"/>
    </xf>
    <xf numFmtId="49" fontId="160" fillId="6" borderId="0" xfId="0" applyNumberFormat="1" applyFont="1" applyFill="1" applyAlignment="1">
      <alignment horizontal="center" vertical="center"/>
      <protection locked="0" hidden="0"/>
    </xf>
    <xf numFmtId="0" fontId="160" fillId="6" borderId="0" xfId="0" applyFont="1" applyFill="1" applyAlignment="1">
      <alignment horizontal="center" vertical="center"/>
      <protection locked="0" hidden="0"/>
    </xf>
    <xf numFmtId="0" fontId="160" fillId="6" borderId="149" xfId="0" applyFont="1" applyFill="1" applyBorder="1" applyAlignment="1">
      <alignment horizontal="center" vertical="center"/>
      <protection locked="0" hidden="0"/>
    </xf>
    <xf numFmtId="49" fontId="160" fillId="0" borderId="0" xfId="0" applyNumberFormat="1" applyFont="1" applyAlignment="1">
      <alignment horizontal="center" vertical="center"/>
      <protection locked="0" hidden="0"/>
    </xf>
    <xf numFmtId="0" fontId="160" fillId="0" borderId="0" xfId="0" applyFont="1" applyAlignment="1">
      <alignment horizontal="center" vertical="center"/>
      <protection locked="0" hidden="0"/>
    </xf>
    <xf numFmtId="0" fontId="160" fillId="0" borderId="149" xfId="0" applyFont="1" applyBorder="1" applyAlignment="1">
      <alignment horizontal="center" vertical="center"/>
      <protection locked="0" hidden="0"/>
    </xf>
    <xf numFmtId="0" fontId="86" fillId="0" borderId="0" xfId="5" applyFont="1" applyFill="1" applyBorder="1" applyAlignment="1">
      <alignment vertical="center" wrapText="1"/>
      <protection locked="0" hidden="0"/>
    </xf>
    <xf numFmtId="0" fontId="163" fillId="0" borderId="0" xfId="5" applyFont="1" applyFill="1" applyBorder="1" applyAlignment="1">
      <alignment vertical="center" wrapText="1"/>
      <protection locked="0" hidden="0"/>
    </xf>
    <xf numFmtId="0" fontId="164" fillId="6" borderId="140" xfId="5" applyFont="1" applyFill="1" applyBorder="1" applyAlignment="1">
      <alignment horizontal="center" vertical="center" wrapText="1"/>
      <protection locked="0" hidden="0"/>
    </xf>
    <xf numFmtId="0" fontId="106" fillId="6" borderId="140" xfId="5" applyFont="1" applyFill="1" applyBorder="1" applyAlignment="1">
      <alignment horizontal="left" vertical="center" wrapText="1"/>
      <protection locked="0" hidden="0"/>
    </xf>
    <xf numFmtId="0" fontId="106" fillId="6" borderId="142" xfId="5" applyFont="1" applyFill="1" applyBorder="1" applyAlignment="1">
      <alignment horizontal="left" vertical="center" wrapText="1"/>
      <protection locked="0" hidden="0"/>
    </xf>
    <xf numFmtId="0" fontId="160" fillId="6" borderId="149" xfId="0" applyFont="1" applyFill="1" applyBorder="1" applyAlignment="1">
      <alignment horizontal="center" vertical="center" wrapText="1"/>
      <protection locked="0" hidden="0"/>
    </xf>
    <xf numFmtId="0" fontId="164" fillId="6" borderId="149" xfId="5" applyFont="1" applyFill="1" applyBorder="1" applyAlignment="1">
      <alignment horizontal="center" vertical="center" wrapText="1"/>
      <protection locked="0" hidden="0"/>
    </xf>
    <xf numFmtId="0" fontId="106" fillId="6" borderId="149" xfId="5" applyFont="1" applyFill="1" applyBorder="1" applyAlignment="1">
      <alignment horizontal="left" vertical="center" wrapText="1"/>
      <protection locked="0" hidden="0"/>
    </xf>
    <xf numFmtId="0" fontId="106" fillId="6" borderId="148" xfId="5" applyFont="1" applyFill="1" applyBorder="1" applyAlignment="1">
      <alignment horizontal="left" vertical="center" wrapText="1"/>
      <protection locked="0" hidden="0"/>
    </xf>
    <xf numFmtId="0" fontId="160" fillId="0" borderId="149" xfId="0" applyFont="1" applyBorder="1" applyAlignment="1">
      <alignment horizontal="center" vertical="center" wrapText="1"/>
      <protection locked="0" hidden="0"/>
    </xf>
    <xf numFmtId="0" fontId="164" fillId="0" borderId="0" xfId="5" applyFont="1" applyFill="1" applyBorder="1" applyAlignment="1">
      <alignment vertical="center" wrapText="1"/>
      <protection locked="0" hidden="0"/>
    </xf>
    <xf numFmtId="49" fontId="160" fillId="6" borderId="161" xfId="0" applyNumberFormat="1" applyFont="1" applyFill="1" applyBorder="1" applyAlignment="1">
      <alignment horizontal="center" vertical="center"/>
      <protection locked="0" hidden="0"/>
    </xf>
    <xf numFmtId="0" fontId="160" fillId="6" borderId="161" xfId="0" applyFont="1" applyFill="1" applyBorder="1" applyAlignment="1">
      <alignment horizontal="center" vertical="center"/>
      <protection locked="0" hidden="0"/>
    </xf>
    <xf numFmtId="0" fontId="160" fillId="6" borderId="162" xfId="0" applyFont="1" applyFill="1" applyBorder="1" applyAlignment="1">
      <alignment horizontal="center" vertical="center"/>
      <protection locked="0" hidden="0"/>
    </xf>
    <xf numFmtId="0" fontId="164" fillId="6" borderId="162" xfId="5" applyFont="1" applyFill="1" applyBorder="1" applyAlignment="1">
      <alignment horizontal="center" vertical="center" wrapText="1"/>
      <protection locked="0" hidden="0"/>
    </xf>
    <xf numFmtId="0" fontId="106" fillId="6" borderId="162" xfId="5" applyFont="1" applyFill="1" applyBorder="1" applyAlignment="1">
      <alignment horizontal="left" vertical="center" wrapText="1"/>
      <protection locked="0" hidden="0"/>
    </xf>
    <xf numFmtId="0" fontId="160" fillId="71" borderId="142" xfId="0" applyFont="1" applyFill="1" applyBorder="1" applyAlignment="1">
      <alignment horizontal="left" vertical="center"/>
      <protection locked="0" hidden="0"/>
    </xf>
    <xf numFmtId="49" fontId="160" fillId="71" borderId="134" xfId="0" applyNumberFormat="1" applyFont="1" applyFill="1" applyBorder="1" applyAlignment="1">
      <alignment horizontal="center" vertical="center"/>
      <protection locked="0" hidden="0"/>
    </xf>
    <xf numFmtId="0" fontId="160" fillId="71" borderId="134" xfId="0" applyFont="1" applyFill="1" applyBorder="1" applyAlignment="1">
      <alignment horizontal="center" vertical="center"/>
      <protection locked="0" hidden="0"/>
    </xf>
    <xf numFmtId="0" fontId="160" fillId="71" borderId="140" xfId="0" applyFont="1" applyFill="1" applyBorder="1" applyAlignment="1">
      <alignment horizontal="center" vertical="center"/>
      <protection locked="0" hidden="0"/>
    </xf>
    <xf numFmtId="0" fontId="165" fillId="71" borderId="134" xfId="5" applyFont="1" applyFill="1" applyBorder="1" applyAlignment="1">
      <alignment horizontal="center" vertical="center" wrapText="1"/>
      <protection locked="0" hidden="0"/>
    </xf>
    <xf numFmtId="0" fontId="86" fillId="0" borderId="142" xfId="5" applyFont="1" applyBorder="1" applyAlignment="1">
      <alignment horizontal="left" vertical="center" wrapText="1"/>
      <protection locked="0" hidden="0"/>
    </xf>
    <xf numFmtId="49" fontId="154" fillId="64" borderId="7" xfId="0" applyNumberFormat="1" applyFont="1" applyFill="1" applyBorder="1" applyAlignment="1">
      <alignment horizontal="center" vertical="center"/>
      <protection locked="0" hidden="0"/>
    </xf>
    <xf numFmtId="49" fontId="154" fillId="64" borderId="9" xfId="0" applyNumberFormat="1" applyFont="1" applyFill="1" applyBorder="1" applyAlignment="1">
      <alignment horizontal="center" vertical="center"/>
      <protection locked="0" hidden="0"/>
    </xf>
    <xf numFmtId="0" fontId="86" fillId="0" borderId="134" xfId="5" applyFont="1" applyBorder="1" applyAlignment="1">
      <alignment horizontal="left" vertical="center" wrapText="1"/>
      <protection locked="0" hidden="0"/>
    </xf>
    <xf numFmtId="0" fontId="86" fillId="0" borderId="140" xfId="5" applyFont="1" applyBorder="1" applyAlignment="1">
      <alignment horizontal="left" vertical="center" wrapText="1"/>
      <protection locked="0" hidden="0"/>
    </xf>
    <xf numFmtId="0" fontId="160" fillId="0" borderId="148" xfId="0" applyFont="1" applyBorder="1" applyAlignment="1">
      <alignment horizontal="left" vertical="center"/>
      <protection locked="0" hidden="0"/>
    </xf>
    <xf numFmtId="0" fontId="165" fillId="71" borderId="0" xfId="5" applyFont="1" applyFill="1" applyAlignment="1">
      <alignment horizontal="center" vertical="center" wrapText="1"/>
      <protection locked="0" hidden="0"/>
    </xf>
    <xf numFmtId="0" fontId="86" fillId="0" borderId="148" xfId="5" applyFont="1" applyBorder="1" applyAlignment="1">
      <alignment horizontal="left" vertical="center" wrapText="1"/>
      <protection locked="0" hidden="0"/>
    </xf>
    <xf numFmtId="0" fontId="86" fillId="0" borderId="16" xfId="5" applyFont="1" applyBorder="1" applyAlignment="1">
      <alignment horizontal="left" vertical="top" wrapText="1"/>
      <protection locked="0" hidden="0"/>
    </xf>
    <xf numFmtId="0" fontId="86" fillId="0" borderId="17" xfId="5" applyFont="1" applyBorder="1" applyAlignment="1">
      <alignment horizontal="left" vertical="top" wrapText="1"/>
      <protection locked="0" hidden="0"/>
    </xf>
    <xf numFmtId="0" fontId="86" fillId="0" borderId="0" xfId="5" applyFont="1" applyAlignment="1">
      <alignment horizontal="left" vertical="center" wrapText="1"/>
      <protection locked="0" hidden="0"/>
    </xf>
    <xf numFmtId="0" fontId="86" fillId="0" borderId="149" xfId="5" applyFont="1" applyBorder="1" applyAlignment="1">
      <alignment horizontal="left" vertical="center" wrapText="1"/>
      <protection locked="0" hidden="0"/>
    </xf>
    <xf numFmtId="0" fontId="160" fillId="71" borderId="148" xfId="0" applyFont="1" applyFill="1" applyBorder="1" applyAlignment="1">
      <alignment horizontal="left" vertical="center"/>
      <protection locked="0" hidden="0"/>
    </xf>
    <xf numFmtId="49" fontId="160" fillId="71" borderId="0" xfId="0" applyNumberFormat="1" applyFont="1" applyFill="1" applyAlignment="1">
      <alignment horizontal="center" vertical="center"/>
      <protection locked="0" hidden="0"/>
    </xf>
    <xf numFmtId="0" fontId="160" fillId="71" borderId="0" xfId="0" applyFont="1" applyFill="1" applyAlignment="1">
      <alignment horizontal="center" vertical="center"/>
      <protection locked="0" hidden="0"/>
    </xf>
    <xf numFmtId="0" fontId="160" fillId="71" borderId="149" xfId="0" applyFont="1" applyFill="1" applyBorder="1" applyAlignment="1">
      <alignment horizontal="center" vertical="center"/>
      <protection locked="0" hidden="0"/>
    </xf>
    <xf numFmtId="0" fontId="165" fillId="71" borderId="161" xfId="5" applyFont="1" applyFill="1" applyBorder="1" applyAlignment="1">
      <alignment horizontal="center" vertical="center" wrapText="1"/>
      <protection locked="0" hidden="0"/>
    </xf>
    <xf numFmtId="0" fontId="110" fillId="0" borderId="0" xfId="0" applyNumberFormat="1" applyFont="1" applyFill="1" applyBorder="1" applyAlignment="1">
      <alignment vertical="center" wrapText="1"/>
      <protection locked="0" hidden="0"/>
    </xf>
    <xf numFmtId="0" fontId="166" fillId="71" borderId="0" xfId="5" applyFont="1" applyFill="1" applyAlignment="1">
      <alignment horizontal="center" vertical="center" wrapText="1"/>
      <protection locked="0" hidden="0"/>
    </xf>
    <xf numFmtId="0" fontId="86" fillId="0" borderId="30" xfId="5" applyFont="1" applyBorder="1" applyAlignment="1">
      <alignment horizontal="left" vertical="top" wrapText="1"/>
      <protection locked="0" hidden="0"/>
    </xf>
    <xf numFmtId="0" fontId="86" fillId="0" borderId="31" xfId="5" applyFont="1" applyBorder="1" applyAlignment="1">
      <alignment horizontal="left" vertical="top" wrapText="1"/>
      <protection locked="0" hidden="0"/>
    </xf>
    <xf numFmtId="0" fontId="161" fillId="71" borderId="136" xfId="5" applyFont="1" applyFill="1" applyBorder="1" applyAlignment="1">
      <alignment horizontal="center" vertical="center" wrapText="1"/>
      <protection locked="0" hidden="0"/>
    </xf>
    <xf numFmtId="0" fontId="86" fillId="0" borderId="217" xfId="5" applyFont="1" applyBorder="1" applyAlignment="1">
      <alignment horizontal="left" vertical="center" wrapText="1"/>
      <protection locked="0" hidden="0"/>
    </xf>
    <xf numFmtId="0" fontId="82" fillId="72" borderId="147" xfId="5" applyFill="1" applyBorder="1" applyAlignment="1">
      <alignment horizontal="center" vertical="center" wrapText="1"/>
      <protection locked="0" hidden="0"/>
    </xf>
    <xf numFmtId="0" fontId="82" fillId="72" borderId="160" xfId="5" applyFill="1" applyBorder="1" applyAlignment="1">
      <alignment horizontal="center" vertical="center" wrapText="1"/>
      <protection locked="0" hidden="0"/>
    </xf>
    <xf numFmtId="0" fontId="82" fillId="72" borderId="96" xfId="5" applyFill="1" applyBorder="1" applyAlignment="1">
      <alignment horizontal="center" vertical="center" wrapText="1"/>
      <protection locked="0" hidden="0"/>
    </xf>
    <xf numFmtId="0" fontId="82" fillId="72" borderId="139" xfId="5" applyFill="1" applyBorder="1" applyAlignment="1">
      <alignment horizontal="center" vertical="center" wrapText="1"/>
      <protection locked="0" hidden="0"/>
    </xf>
    <xf numFmtId="0" fontId="160" fillId="72" borderId="148" xfId="0" applyFont="1" applyFill="1" applyBorder="1" applyAlignment="1">
      <alignment horizontal="left" vertical="center"/>
      <protection locked="0" hidden="0"/>
    </xf>
    <xf numFmtId="49" fontId="160" fillId="72" borderId="0" xfId="0" applyNumberFormat="1" applyFont="1" applyFill="1" applyAlignment="1">
      <alignment horizontal="center" vertical="center"/>
      <protection locked="0" hidden="0"/>
    </xf>
    <xf numFmtId="0" fontId="160" fillId="72" borderId="0" xfId="0" applyFont="1" applyFill="1" applyAlignment="1">
      <alignment horizontal="center" vertical="center"/>
      <protection locked="0" hidden="0"/>
    </xf>
    <xf numFmtId="0" fontId="160" fillId="72" borderId="149" xfId="0" applyFont="1" applyFill="1" applyBorder="1" applyAlignment="1">
      <alignment horizontal="center" vertical="center"/>
      <protection locked="0" hidden="0"/>
    </xf>
    <xf numFmtId="0" fontId="160" fillId="71" borderId="160" xfId="0" applyFont="1" applyFill="1" applyBorder="1" applyAlignment="1">
      <alignment horizontal="left" vertical="center"/>
      <protection locked="0" hidden="0"/>
    </xf>
    <xf numFmtId="49" fontId="160" fillId="71" borderId="161" xfId="0" applyNumberFormat="1" applyFont="1" applyFill="1" applyBorder="1" applyAlignment="1">
      <alignment horizontal="center" vertical="center"/>
      <protection locked="0" hidden="0"/>
    </xf>
    <xf numFmtId="0" fontId="160" fillId="71" borderId="161" xfId="0" applyFont="1" applyFill="1" applyBorder="1" applyAlignment="1">
      <alignment horizontal="center" vertical="center"/>
      <protection locked="0" hidden="0"/>
    </xf>
    <xf numFmtId="0" fontId="160" fillId="71" borderId="162" xfId="0" applyFont="1" applyFill="1" applyBorder="1" applyAlignment="1">
      <alignment horizontal="center" vertical="center"/>
      <protection locked="0" hidden="0"/>
    </xf>
    <xf numFmtId="0" fontId="86" fillId="0" borderId="147" xfId="5" applyFont="1" applyBorder="1" applyAlignment="1">
      <alignment horizontal="left" vertical="center" wrapText="1"/>
      <protection locked="0" hidden="0"/>
    </xf>
    <xf numFmtId="0" fontId="82" fillId="72" borderId="142" xfId="5" applyFill="1" applyBorder="1" applyAlignment="1">
      <alignment horizontal="center" vertical="center" wrapText="1"/>
      <protection locked="0" hidden="0"/>
    </xf>
    <xf numFmtId="0" fontId="86" fillId="0" borderId="160" xfId="5" applyFont="1" applyBorder="1" applyAlignment="1">
      <alignment horizontal="left" vertical="center" wrapText="1"/>
      <protection locked="0" hidden="0"/>
    </xf>
    <xf numFmtId="0" fontId="86" fillId="0" borderId="162" xfId="5" applyFont="1" applyBorder="1" applyAlignment="1">
      <alignment horizontal="left" vertical="center" wrapText="1"/>
      <protection locked="0" hidden="0"/>
    </xf>
    <xf numFmtId="0" fontId="160" fillId="6" borderId="142" xfId="0" applyFont="1" applyFill="1" applyBorder="1" applyAlignment="1">
      <alignment horizontal="left" vertical="center"/>
      <protection locked="0" hidden="0"/>
    </xf>
    <xf numFmtId="49" fontId="160" fillId="6" borderId="134" xfId="0" applyNumberFormat="1" applyFont="1" applyFill="1" applyBorder="1" applyAlignment="1">
      <alignment horizontal="center" vertical="center"/>
      <protection locked="0" hidden="0"/>
    </xf>
    <xf numFmtId="0" fontId="160" fillId="6" borderId="134" xfId="0" applyFont="1" applyFill="1" applyBorder="1" applyAlignment="1">
      <alignment horizontal="center" vertical="center"/>
      <protection locked="0" hidden="0"/>
    </xf>
    <xf numFmtId="0" fontId="160" fillId="6" borderId="140" xfId="0" applyFont="1" applyFill="1" applyBorder="1" applyAlignment="1">
      <alignment horizontal="center" vertical="center"/>
      <protection locked="0" hidden="0"/>
    </xf>
    <xf numFmtId="0" fontId="161" fillId="6" borderId="149" xfId="5" applyFont="1" applyFill="1" applyBorder="1" applyAlignment="1">
      <alignment horizontal="center" vertical="center" wrapText="1"/>
      <protection locked="0" hidden="0"/>
    </xf>
    <xf numFmtId="0" fontId="82" fillId="73" borderId="96" xfId="5" applyFill="1" applyBorder="1" applyAlignment="1">
      <alignment horizontal="left" vertical="center" wrapText="1"/>
      <protection locked="0" hidden="0"/>
    </xf>
    <xf numFmtId="0" fontId="82" fillId="73" borderId="96" xfId="5" applyFill="1" applyBorder="1">
      <alignment vertical="center"/>
      <protection locked="0" hidden="0"/>
    </xf>
    <xf numFmtId="0" fontId="82" fillId="73" borderId="96" xfId="5" applyFill="1" applyBorder="1" applyAlignment="1">
      <alignment horizontal="center" vertical="bottom" wrapText="1"/>
      <protection locked="0" hidden="0"/>
    </xf>
    <xf numFmtId="0" fontId="160" fillId="73" borderId="148" xfId="0" applyFont="1" applyFill="1" applyBorder="1" applyAlignment="1">
      <alignment horizontal="left" vertical="center"/>
      <protection locked="0" hidden="0"/>
    </xf>
    <xf numFmtId="0" fontId="161" fillId="6" borderId="162" xfId="5" applyFont="1" applyFill="1" applyBorder="1" applyAlignment="1">
      <alignment horizontal="center" vertical="center" wrapText="1"/>
      <protection locked="0" hidden="0"/>
    </xf>
    <xf numFmtId="0" fontId="82" fillId="73" borderId="127" xfId="5" applyFill="1" applyBorder="1" applyAlignment="1">
      <alignment horizontal="center" vertical="bottom" wrapText="1"/>
      <protection locked="0" hidden="0"/>
    </xf>
    <xf numFmtId="0" fontId="82" fillId="73" borderId="147" xfId="5" applyFill="1" applyBorder="1" applyAlignment="1">
      <alignment horizontal="center" vertical="top" wrapText="1"/>
      <protection locked="0" hidden="0"/>
    </xf>
    <xf numFmtId="0" fontId="82" fillId="73" borderId="96" xfId="5" applyFill="1" applyBorder="1" applyAlignment="1">
      <alignment horizontal="center" vertical="center" wrapText="1"/>
      <protection locked="0" hidden="0"/>
    </xf>
    <xf numFmtId="0" fontId="82" fillId="73" borderId="96" xfId="5" applyFill="1" applyBorder="1" applyAlignment="1">
      <alignment horizontal="center" vertical="top" wrapText="1"/>
      <protection locked="0" hidden="0"/>
    </xf>
    <xf numFmtId="0" fontId="82" fillId="73" borderId="96" xfId="5" applyFill="1" applyBorder="1" applyAlignment="1">
      <alignment horizontal="center" vertical="center"/>
      <protection locked="0" hidden="0"/>
    </xf>
    <xf numFmtId="0" fontId="82" fillId="7" borderId="96" xfId="5" applyFill="1" applyBorder="1" applyAlignment="1">
      <alignment horizontal="center" vertical="center" wrapText="1"/>
      <protection locked="0" hidden="0"/>
    </xf>
    <xf numFmtId="49" fontId="160" fillId="7" borderId="0" xfId="0" applyNumberFormat="1" applyFont="1" applyFill="1" applyAlignment="1">
      <alignment horizontal="center" vertical="center"/>
      <protection locked="0" hidden="0"/>
    </xf>
    <xf numFmtId="0" fontId="160" fillId="7" borderId="0" xfId="0" applyFont="1" applyFill="1" applyAlignment="1">
      <alignment horizontal="center" vertical="center"/>
      <protection locked="0" hidden="0"/>
    </xf>
    <xf numFmtId="0" fontId="160" fillId="7" borderId="149" xfId="0" applyFont="1" applyFill="1" applyBorder="1" applyAlignment="1">
      <alignment horizontal="center" vertical="center"/>
      <protection locked="0" hidden="0"/>
    </xf>
    <xf numFmtId="49" fontId="106" fillId="0" borderId="0" xfId="5" applyNumberFormat="1" applyFont="1">
      <alignment vertical="center"/>
      <protection locked="0" hidden="0"/>
    </xf>
    <xf numFmtId="0" fontId="160" fillId="73" borderId="160" xfId="0" applyFont="1" applyFill="1" applyBorder="1" applyAlignment="1">
      <alignment horizontal="left" vertical="center"/>
      <protection locked="0" hidden="0"/>
    </xf>
    <xf numFmtId="49" fontId="160" fillId="27" borderId="161" xfId="0" applyNumberFormat="1" applyFont="1" applyFill="1" applyBorder="1" applyAlignment="1">
      <alignment horizontal="center" vertical="center"/>
      <protection locked="0" hidden="0"/>
    </xf>
    <xf numFmtId="0" fontId="160" fillId="27" borderId="161" xfId="0" applyFont="1" applyFill="1" applyBorder="1" applyAlignment="1">
      <alignment horizontal="center" vertical="center"/>
      <protection locked="0" hidden="0"/>
    </xf>
    <xf numFmtId="0" fontId="160" fillId="27" borderId="162" xfId="0" applyFont="1" applyFill="1" applyBorder="1" applyAlignment="1">
      <alignment horizontal="center" vertical="center"/>
      <protection locked="0" hidden="0"/>
    </xf>
    <xf numFmtId="0" fontId="82" fillId="73" borderId="127" xfId="5" applyFill="1" applyBorder="1" applyAlignment="1">
      <alignment horizontal="left" vertical="center" wrapText="1"/>
      <protection locked="0" hidden="0"/>
    </xf>
    <xf numFmtId="0" fontId="82" fillId="7" borderId="127" xfId="5" applyFill="1" applyBorder="1" applyAlignment="1">
      <alignment horizontal="center" vertical="center" wrapText="1"/>
      <protection locked="0" hidden="0"/>
    </xf>
    <xf numFmtId="49" fontId="106" fillId="0" borderId="0" xfId="5" applyNumberFormat="1" applyFont="1">
      <alignment vertical="center"/>
    </xf>
    <xf numFmtId="0" fontId="82" fillId="27" borderId="134" xfId="5" applyFill="1" applyBorder="1" applyAlignment="1">
      <alignment horizontal="center" vertical="center"/>
    </xf>
    <xf numFmtId="49" fontId="3" fillId="74" borderId="7" xfId="5" applyNumberFormat="1" applyFont="1" applyFill="1" applyBorder="1" applyAlignment="1">
      <alignment horizontal="center" vertical="center"/>
    </xf>
    <xf numFmtId="49" fontId="3" fillId="74" borderId="8" xfId="5" applyNumberFormat="1" applyFont="1" applyFill="1" applyBorder="1" applyAlignment="1">
      <alignment horizontal="center" vertical="center"/>
    </xf>
    <xf numFmtId="49" fontId="3" fillId="74" borderId="9" xfId="5" applyNumberFormat="1" applyFont="1" applyFill="1" applyBorder="1" applyAlignment="1">
      <alignment horizontal="center" vertical="center"/>
    </xf>
    <xf numFmtId="49" fontId="24" fillId="0" borderId="16" xfId="5" applyNumberFormat="1" applyFont="1" applyBorder="1" applyAlignment="1">
      <alignment horizontal="center" vertical="center" wrapText="1"/>
    </xf>
    <xf numFmtId="49" fontId="24" fillId="0" borderId="0" xfId="5" applyNumberFormat="1" applyFont="1" applyAlignment="1">
      <alignment horizontal="center" vertical="center" wrapText="1"/>
    </xf>
    <xf numFmtId="49" fontId="24" fillId="0" borderId="17" xfId="5" applyNumberFormat="1" applyFont="1" applyBorder="1" applyAlignment="1">
      <alignment horizontal="center" vertical="center" wrapText="1"/>
    </xf>
    <xf numFmtId="0" fontId="7" fillId="74" borderId="7" xfId="5" applyFont="1" applyFill="1" applyBorder="1" applyAlignment="1">
      <alignment horizontal="center" vertical="center"/>
    </xf>
    <xf numFmtId="0" fontId="7" fillId="74" borderId="8" xfId="5" applyFont="1" applyFill="1" applyBorder="1" applyAlignment="1">
      <alignment horizontal="center" vertical="center"/>
    </xf>
    <xf numFmtId="0" fontId="7" fillId="74" borderId="9" xfId="5" applyFont="1" applyFill="1" applyBorder="1" applyAlignment="1">
      <alignment horizontal="center" vertical="center"/>
    </xf>
    <xf numFmtId="49" fontId="14" fillId="0" borderId="16" xfId="5" applyNumberFormat="1" applyFont="1" applyBorder="1" applyAlignment="1">
      <alignment horizontal="center" vertical="center" wrapText="1"/>
    </xf>
    <xf numFmtId="49" fontId="14" fillId="0" borderId="0" xfId="5" applyNumberFormat="1" applyFont="1" applyAlignment="1">
      <alignment horizontal="center" vertical="center" wrapText="1"/>
    </xf>
    <xf numFmtId="49" fontId="14" fillId="0" borderId="17" xfId="5" applyNumberFormat="1" applyFont="1" applyBorder="1" applyAlignment="1">
      <alignment horizontal="center" vertical="center" wrapText="1"/>
    </xf>
    <xf numFmtId="0" fontId="24" fillId="18" borderId="16" xfId="5" applyFont="1" applyFill="1" applyBorder="1" applyAlignment="1">
      <alignment horizontal="center" vertical="center"/>
    </xf>
    <xf numFmtId="0" fontId="24" fillId="18" borderId="0" xfId="5" applyFont="1" applyFill="1" applyAlignment="1">
      <alignment horizontal="center" vertical="center"/>
    </xf>
    <xf numFmtId="0" fontId="24" fillId="18" borderId="0" xfId="5" applyFont="1" applyFill="1">
      <alignment vertical="center"/>
    </xf>
    <xf numFmtId="0" fontId="24" fillId="18" borderId="17" xfId="5" applyFont="1" applyFill="1" applyBorder="1" applyAlignment="1">
      <alignment horizontal="center" vertical="center"/>
    </xf>
    <xf numFmtId="0" fontId="14" fillId="0" borderId="211" xfId="5" applyFont="1" applyBorder="1" applyAlignment="1">
      <alignment horizontal="center" vertical="center"/>
    </xf>
    <xf numFmtId="0" fontId="14" fillId="0" borderId="134" xfId="5" applyFont="1" applyBorder="1" applyAlignment="1">
      <alignment horizontal="center" vertical="center"/>
    </xf>
    <xf numFmtId="0" fontId="24" fillId="75" borderId="127" xfId="5" applyFont="1" applyFill="1" applyBorder="1" applyAlignment="1">
      <alignment horizontal="center" vertical="center"/>
    </xf>
    <xf numFmtId="0" fontId="14" fillId="0" borderId="96" xfId="5" applyFont="1" applyBorder="1" applyAlignment="1">
      <alignment horizontal="center" vertical="center" wrapText="1"/>
    </xf>
    <xf numFmtId="0" fontId="14" fillId="0" borderId="168" xfId="5" applyFont="1" applyBorder="1" applyAlignment="1">
      <alignment horizontal="center" vertical="center"/>
    </xf>
    <xf numFmtId="49" fontId="24" fillId="0" borderId="211" xfId="5" applyNumberFormat="1" applyFont="1" applyBorder="1" applyAlignment="1">
      <alignment horizontal="center" vertical="center"/>
    </xf>
    <xf numFmtId="49" fontId="24" fillId="0" borderId="134" xfId="5" applyNumberFormat="1" applyFont="1" applyBorder="1" applyAlignment="1">
      <alignment horizontal="center" vertical="center"/>
    </xf>
    <xf numFmtId="49" fontId="24" fillId="0" borderId="212" xfId="5" applyNumberFormat="1" applyFont="1" applyBorder="1" applyAlignment="1">
      <alignment horizontal="center" vertical="center"/>
    </xf>
    <xf numFmtId="0" fontId="14" fillId="0" borderId="16" xfId="5" applyFont="1" applyBorder="1" applyAlignment="1">
      <alignment horizontal="center" vertical="center"/>
    </xf>
    <xf numFmtId="0" fontId="14" fillId="0" borderId="0" xfId="5" applyFont="1" applyAlignment="1">
      <alignment horizontal="center" vertical="center"/>
    </xf>
    <xf numFmtId="0" fontId="24" fillId="75" borderId="217" xfId="5" applyFont="1" applyFill="1" applyBorder="1" applyAlignment="1">
      <alignment horizontal="center" vertical="center"/>
    </xf>
    <xf numFmtId="0" fontId="14" fillId="0" borderId="96" xfId="5" applyFont="1" applyBorder="1" applyAlignment="1">
      <alignment horizontal="center" vertical="center"/>
    </xf>
    <xf numFmtId="49" fontId="14" fillId="0" borderId="16" xfId="5" applyNumberFormat="1" applyFont="1" applyBorder="1" applyAlignment="1">
      <alignment horizontal="center" vertical="center"/>
    </xf>
    <xf numFmtId="49" fontId="14" fillId="0" borderId="0" xfId="5" applyNumberFormat="1" applyFont="1" applyAlignment="1">
      <alignment horizontal="center" vertical="center"/>
    </xf>
    <xf numFmtId="49" fontId="14" fillId="0" borderId="17" xfId="5" applyNumberFormat="1" applyFont="1" applyBorder="1" applyAlignment="1">
      <alignment horizontal="center" vertical="center"/>
    </xf>
    <xf numFmtId="0" fontId="82" fillId="0" borderId="16" xfId="5" applyBorder="1">
      <alignment vertical="center"/>
    </xf>
    <xf numFmtId="49" fontId="14" fillId="0" borderId="211" xfId="5" applyNumberFormat="1" applyFont="1" applyBorder="1" applyAlignment="1">
      <alignment horizontal="center" vertical="center"/>
    </xf>
    <xf numFmtId="49" fontId="14" fillId="0" borderId="134" xfId="5" applyNumberFormat="1" applyFont="1" applyBorder="1" applyAlignment="1">
      <alignment horizontal="center" vertical="center"/>
    </xf>
    <xf numFmtId="49" fontId="14" fillId="0" borderId="212" xfId="5" applyNumberFormat="1" applyFont="1" applyBorder="1" applyAlignment="1">
      <alignment horizontal="center" vertical="center"/>
    </xf>
    <xf numFmtId="0" fontId="14" fillId="0" borderId="16" xfId="5" applyFont="1" applyBorder="1" applyAlignment="1">
      <alignment horizontal="center" vertical="center" wrapText="1"/>
    </xf>
    <xf numFmtId="49" fontId="14" fillId="0" borderId="259" xfId="5" applyNumberFormat="1" applyFont="1" applyBorder="1" applyAlignment="1">
      <alignment horizontal="center" vertical="center"/>
    </xf>
    <xf numFmtId="49" fontId="14" fillId="0" borderId="136" xfId="5" applyNumberFormat="1" applyFont="1" applyBorder="1" applyAlignment="1">
      <alignment horizontal="center" vertical="center"/>
    </xf>
    <xf numFmtId="49" fontId="14" fillId="0" borderId="260" xfId="5" applyNumberFormat="1" applyFont="1" applyBorder="1" applyAlignment="1">
      <alignment horizontal="center" vertical="center"/>
    </xf>
    <xf numFmtId="0" fontId="24" fillId="0" borderId="16" xfId="5" applyFont="1" applyBorder="1">
      <alignment vertical="center"/>
    </xf>
    <xf numFmtId="0" fontId="24" fillId="0" borderId="0" xfId="5" applyFont="1" applyBorder="1">
      <alignment vertical="center"/>
    </xf>
    <xf numFmtId="0" fontId="24" fillId="0" borderId="16" xfId="5" applyFont="1" applyBorder="1" applyAlignment="1">
      <alignment horizontal="center" vertical="center"/>
    </xf>
    <xf numFmtId="0" fontId="24" fillId="0" borderId="0" xfId="5" applyFont="1" applyAlignment="1">
      <alignment horizontal="center" vertical="center"/>
    </xf>
    <xf numFmtId="0" fontId="24" fillId="75" borderId="217" xfId="5" applyFont="1" applyFill="1" applyBorder="1">
      <alignment vertical="center"/>
    </xf>
    <xf numFmtId="0" fontId="14" fillId="0" borderId="168" xfId="5" applyFont="1" applyBorder="1" applyAlignment="1">
      <alignment horizontal="center" vertical="center" wrapText="1"/>
    </xf>
    <xf numFmtId="49" fontId="14" fillId="0" borderId="30" xfId="5" applyNumberFormat="1" applyFont="1" applyBorder="1" applyAlignment="1">
      <alignment horizontal="center" vertical="center"/>
    </xf>
    <xf numFmtId="49" fontId="14" fillId="0" borderId="29" xfId="5" applyNumberFormat="1" applyFont="1" applyBorder="1" applyAlignment="1">
      <alignment horizontal="center" vertical="center"/>
    </xf>
    <xf numFmtId="49" fontId="14" fillId="0" borderId="31" xfId="5" applyNumberFormat="1" applyFont="1" applyBorder="1" applyAlignment="1">
      <alignment horizontal="center" vertical="center"/>
    </xf>
    <xf numFmtId="49" fontId="14" fillId="0" borderId="0" xfId="5" applyNumberFormat="1" applyFont="1">
      <alignment vertical="center"/>
    </xf>
    <xf numFmtId="49" fontId="3" fillId="76" borderId="7" xfId="5" applyNumberFormat="1" applyFont="1" applyFill="1" applyBorder="1" applyAlignment="1">
      <alignment horizontal="center" vertical="center"/>
    </xf>
    <xf numFmtId="49" fontId="3" fillId="76" borderId="8" xfId="5" applyNumberFormat="1" applyFont="1" applyFill="1" applyBorder="1" applyAlignment="1">
      <alignment horizontal="center" vertical="center"/>
    </xf>
    <xf numFmtId="0" fontId="3" fillId="76" borderId="8" xfId="5" applyFont="1" applyFill="1" applyBorder="1" applyAlignment="1">
      <alignment horizontal="center" vertical="center"/>
    </xf>
    <xf numFmtId="0" fontId="3" fillId="76" borderId="9" xfId="5" applyFont="1" applyFill="1" applyBorder="1" applyAlignment="1">
      <alignment horizontal="center" vertical="center"/>
    </xf>
    <xf numFmtId="0" fontId="14" fillId="0" borderId="30" xfId="5" applyFont="1" applyBorder="1" applyAlignment="1">
      <alignment horizontal="center" vertical="center"/>
    </xf>
    <xf numFmtId="0" fontId="14" fillId="0" borderId="29" xfId="5" applyFont="1" applyBorder="1" applyAlignment="1">
      <alignment horizontal="center" vertical="center"/>
    </xf>
    <xf numFmtId="0" fontId="24" fillId="75" borderId="261" xfId="5" applyFont="1" applyFill="1" applyBorder="1">
      <alignment vertical="center"/>
    </xf>
    <xf numFmtId="0" fontId="14" fillId="0" borderId="183" xfId="5" applyFont="1" applyBorder="1" applyAlignment="1">
      <alignment horizontal="center" vertical="center" wrapText="1"/>
    </xf>
    <xf numFmtId="0" fontId="14" fillId="0" borderId="170" xfId="5" applyFont="1" applyBorder="1" applyAlignment="1">
      <alignment horizontal="center" vertical="center" wrapText="1"/>
    </xf>
    <xf numFmtId="49" fontId="3" fillId="76" borderId="16" xfId="5" applyNumberFormat="1" applyFont="1" applyFill="1" applyBorder="1" applyAlignment="1">
      <alignment horizontal="center" vertical="center"/>
    </xf>
    <xf numFmtId="49" fontId="3" fillId="76" borderId="0" xfId="5" applyNumberFormat="1" applyFont="1" applyFill="1" applyAlignment="1">
      <alignment horizontal="center" vertical="center"/>
    </xf>
    <xf numFmtId="0" fontId="3" fillId="76" borderId="0" xfId="5" applyFont="1" applyFill="1" applyAlignment="1">
      <alignment horizontal="center" vertical="center"/>
    </xf>
    <xf numFmtId="0" fontId="3" fillId="76" borderId="17" xfId="5" applyFont="1" applyFill="1" applyBorder="1" applyAlignment="1">
      <alignment horizontal="center" vertical="center"/>
    </xf>
    <xf numFmtId="0" fontId="24" fillId="0" borderId="0" xfId="5" applyFont="1" applyAlignment="1">
      <alignment horizontal="center" vertical="center" wrapText="1"/>
    </xf>
    <xf numFmtId="0" fontId="24" fillId="0" borderId="17" xfId="5" applyFont="1" applyBorder="1" applyAlignment="1">
      <alignment horizontal="center" vertical="center" wrapText="1"/>
    </xf>
    <xf numFmtId="0" fontId="7" fillId="77" borderId="7" xfId="5" applyFont="1" applyFill="1" applyBorder="1" applyAlignment="1">
      <alignment horizontal="center" vertical="center"/>
    </xf>
    <xf numFmtId="0" fontId="167" fillId="77" borderId="8" xfId="5" applyFont="1" applyFill="1" applyBorder="1" applyAlignment="1">
      <alignment horizontal="center" vertical="center"/>
    </xf>
    <xf numFmtId="0" fontId="167" fillId="77" borderId="9" xfId="5" applyFont="1" applyFill="1" applyBorder="1" applyAlignment="1">
      <alignment horizontal="center" vertical="center"/>
    </xf>
    <xf numFmtId="0" fontId="168" fillId="4" borderId="262" xfId="5" applyFont="1" applyFill="1" applyBorder="1" applyAlignment="1">
      <alignment horizontal="center" vertical="center"/>
    </xf>
    <xf numFmtId="0" fontId="24" fillId="4" borderId="263" xfId="5" applyFont="1" applyFill="1" applyBorder="1" applyAlignment="1">
      <alignment horizontal="left" vertical="center" wrapText="1"/>
    </xf>
    <xf numFmtId="0" fontId="24" fillId="4" borderId="264" xfId="5" applyFont="1" applyFill="1" applyBorder="1" applyAlignment="1">
      <alignment horizontal="left" vertical="center" wrapText="1"/>
    </xf>
    <xf numFmtId="0" fontId="24" fillId="4" borderId="265" xfId="5" applyFont="1" applyFill="1" applyBorder="1" applyAlignment="1">
      <alignment horizontal="left" vertical="center" wrapText="1"/>
    </xf>
    <xf numFmtId="0" fontId="168" fillId="4" borderId="266" xfId="5" applyFont="1" applyFill="1" applyBorder="1" applyAlignment="1">
      <alignment horizontal="center" vertical="center"/>
    </xf>
    <xf numFmtId="0" fontId="24" fillId="4" borderId="267" xfId="5" applyFont="1" applyFill="1" applyBorder="1" applyAlignment="1">
      <alignment horizontal="left" vertical="center" wrapText="1"/>
    </xf>
    <xf numFmtId="0" fontId="24" fillId="4" borderId="268" xfId="5" applyFont="1" applyFill="1" applyBorder="1" applyAlignment="1">
      <alignment horizontal="left" vertical="center" wrapText="1"/>
    </xf>
    <xf numFmtId="0" fontId="24" fillId="4" borderId="269" xfId="5" applyFont="1" applyFill="1" applyBorder="1" applyAlignment="1">
      <alignment horizontal="left" vertical="center" wrapText="1"/>
    </xf>
    <xf numFmtId="49" fontId="14" fillId="3" borderId="16" xfId="5" applyNumberFormat="1" applyFont="1" applyFill="1" applyBorder="1" applyAlignment="1">
      <alignment horizontal="center" vertical="center" wrapText="1"/>
    </xf>
    <xf numFmtId="49" fontId="14" fillId="3" borderId="0" xfId="5" applyNumberFormat="1" applyFont="1" applyFill="1" applyAlignment="1">
      <alignment horizontal="center" vertical="center"/>
    </xf>
    <xf numFmtId="0" fontId="24" fillId="3" borderId="0" xfId="5" applyFont="1" applyFill="1" applyAlignment="1">
      <alignment horizontal="center" vertical="center" wrapText="1"/>
    </xf>
    <xf numFmtId="0" fontId="24" fillId="3" borderId="17" xfId="5" applyFont="1" applyFill="1" applyBorder="1" applyAlignment="1">
      <alignment horizontal="center" vertical="center" wrapText="1"/>
    </xf>
    <xf numFmtId="0" fontId="169" fillId="0" borderId="16" xfId="5" applyFont="1" applyBorder="1" applyAlignment="1">
      <alignment horizontal="center" vertical="center"/>
    </xf>
    <xf numFmtId="0" fontId="24" fillId="0" borderId="270" xfId="5" applyFont="1" applyBorder="1" applyAlignment="1">
      <alignment horizontal="left" vertical="center" wrapText="1"/>
    </xf>
    <xf numFmtId="0" fontId="24" fillId="0" borderId="0" xfId="5" applyFont="1" applyAlignment="1">
      <alignment horizontal="left" vertical="center" wrapText="1"/>
    </xf>
    <xf numFmtId="0" fontId="24" fillId="0" borderId="17" xfId="5" applyFont="1" applyBorder="1" applyAlignment="1">
      <alignment horizontal="left" vertical="center" wrapText="1"/>
    </xf>
    <xf numFmtId="0" fontId="169" fillId="0" borderId="266" xfId="5" applyFont="1" applyBorder="1" applyAlignment="1">
      <alignment horizontal="center" vertical="center"/>
    </xf>
    <xf numFmtId="0" fontId="24" fillId="0" borderId="267" xfId="5" applyFont="1" applyBorder="1" applyAlignment="1">
      <alignment horizontal="left" vertical="center" wrapText="1"/>
    </xf>
    <xf numFmtId="0" fontId="24" fillId="0" borderId="268" xfId="5" applyFont="1" applyBorder="1" applyAlignment="1">
      <alignment horizontal="left" vertical="center" wrapText="1"/>
    </xf>
    <xf numFmtId="0" fontId="24" fillId="0" borderId="269" xfId="5" applyFont="1" applyBorder="1" applyAlignment="1">
      <alignment horizontal="left" vertical="center" wrapText="1"/>
    </xf>
    <xf numFmtId="0" fontId="170" fillId="3" borderId="16" xfId="5" applyFont="1" applyFill="1" applyBorder="1" applyAlignment="1">
      <alignment horizontal="center" vertical="center"/>
    </xf>
    <xf numFmtId="0" fontId="24" fillId="3" borderId="270" xfId="5" applyFont="1" applyFill="1" applyBorder="1" applyAlignment="1">
      <alignment horizontal="left" vertical="center" wrapText="1"/>
    </xf>
    <xf numFmtId="0" fontId="24" fillId="3" borderId="0" xfId="5" applyFont="1" applyFill="1" applyBorder="1" applyAlignment="1">
      <alignment horizontal="left" vertical="center" wrapText="1"/>
    </xf>
    <xf numFmtId="0" fontId="24" fillId="3" borderId="17" xfId="5" applyFont="1" applyFill="1" applyBorder="1" applyAlignment="1">
      <alignment horizontal="left" vertical="center" wrapText="1"/>
    </xf>
    <xf numFmtId="0" fontId="24" fillId="3" borderId="0" xfId="5" applyFont="1" applyFill="1" applyAlignment="1">
      <alignment horizontal="left" vertical="center" wrapText="1"/>
    </xf>
    <xf numFmtId="49" fontId="14" fillId="3" borderId="16" xfId="5" applyNumberFormat="1" applyFont="1" applyFill="1" applyBorder="1" applyAlignment="1">
      <alignment horizontal="center" vertical="center"/>
    </xf>
    <xf numFmtId="49" fontId="171" fillId="3" borderId="0" xfId="5" applyNumberFormat="1" applyFont="1" applyFill="1" applyAlignment="1">
      <alignment horizontal="center" vertical="center"/>
    </xf>
    <xf numFmtId="49" fontId="24" fillId="3" borderId="0" xfId="5" applyNumberFormat="1" applyFont="1" applyFill="1" applyAlignment="1">
      <alignment horizontal="center" vertical="center"/>
    </xf>
    <xf numFmtId="49" fontId="24" fillId="3" borderId="17" xfId="5" applyNumberFormat="1" applyFont="1" applyFill="1" applyBorder="1" applyAlignment="1">
      <alignment horizontal="center" vertical="center"/>
    </xf>
    <xf numFmtId="0" fontId="170" fillId="3" borderId="266" xfId="5" applyFont="1" applyFill="1" applyBorder="1" applyAlignment="1">
      <alignment horizontal="center" vertical="center"/>
    </xf>
    <xf numFmtId="0" fontId="24" fillId="3" borderId="267" xfId="5" applyFont="1" applyFill="1" applyBorder="1" applyAlignment="1">
      <alignment horizontal="left" vertical="center" wrapText="1"/>
    </xf>
    <xf numFmtId="0" fontId="24" fillId="3" borderId="268" xfId="5" applyFont="1" applyFill="1" applyBorder="1" applyAlignment="1">
      <alignment horizontal="left" vertical="center" wrapText="1"/>
    </xf>
    <xf numFmtId="0" fontId="24" fillId="3" borderId="269" xfId="5" applyFont="1" applyFill="1" applyBorder="1" applyAlignment="1">
      <alignment horizontal="left" vertical="center" wrapText="1"/>
    </xf>
    <xf numFmtId="49" fontId="171" fillId="3" borderId="16" xfId="5" applyNumberFormat="1" applyFont="1" applyFill="1" applyBorder="1" applyAlignment="1">
      <alignment horizontal="center" vertical="center"/>
    </xf>
    <xf numFmtId="0" fontId="172" fillId="0" borderId="16" xfId="5" applyFont="1" applyBorder="1" applyAlignment="1">
      <alignment horizontal="center" vertical="center"/>
    </xf>
    <xf numFmtId="0" fontId="24" fillId="0" borderId="0" xfId="5" applyFont="1" applyBorder="1" applyAlignment="1">
      <alignment horizontal="left" vertical="center" wrapText="1"/>
    </xf>
    <xf numFmtId="49" fontId="24" fillId="0" borderId="0" xfId="5" applyNumberFormat="1" applyFont="1" applyAlignment="1">
      <alignment horizontal="center" vertical="center"/>
    </xf>
    <xf numFmtId="49" fontId="24" fillId="0" borderId="17" xfId="5" applyNumberFormat="1" applyFont="1" applyBorder="1" applyAlignment="1">
      <alignment horizontal="center" vertical="center"/>
    </xf>
    <xf numFmtId="49" fontId="14" fillId="3" borderId="30" xfId="5" applyNumberFormat="1" applyFont="1" applyFill="1" applyBorder="1" applyAlignment="1">
      <alignment horizontal="center" vertical="center"/>
    </xf>
    <xf numFmtId="49" fontId="14" fillId="3" borderId="29" xfId="5" applyNumberFormat="1" applyFont="1" applyFill="1" applyBorder="1" applyAlignment="1">
      <alignment horizontal="center" vertical="center"/>
    </xf>
    <xf numFmtId="49" fontId="24" fillId="3" borderId="29" xfId="5" applyNumberFormat="1" applyFont="1" applyFill="1" applyBorder="1" applyAlignment="1">
      <alignment horizontal="center" vertical="center"/>
    </xf>
    <xf numFmtId="49" fontId="24" fillId="3" borderId="31" xfId="5" applyNumberFormat="1" applyFont="1" applyFill="1" applyBorder="1" applyAlignment="1">
      <alignment horizontal="center" vertical="center"/>
    </xf>
    <xf numFmtId="0" fontId="82" fillId="0" borderId="8" xfId="5" applyBorder="1">
      <alignment vertical="center"/>
    </xf>
    <xf numFmtId="49" fontId="147" fillId="3" borderId="7" xfId="5" applyNumberFormat="1" applyFont="1" applyFill="1" applyBorder="1" applyAlignment="1">
      <alignment horizontal="center" vertical="center"/>
    </xf>
    <xf numFmtId="49" fontId="147" fillId="3" borderId="8" xfId="5" applyNumberFormat="1" applyFont="1" applyFill="1" applyBorder="1" applyAlignment="1">
      <alignment horizontal="center" vertical="center"/>
    </xf>
    <xf numFmtId="49" fontId="147" fillId="3" borderId="9" xfId="5" applyNumberFormat="1" applyFont="1" applyFill="1" applyBorder="1" applyAlignment="1">
      <alignment horizontal="center" vertical="center"/>
    </xf>
    <xf numFmtId="49" fontId="147" fillId="3" borderId="16" xfId="5" applyNumberFormat="1" applyFont="1" applyFill="1" applyBorder="1" applyAlignment="1">
      <alignment horizontal="center" vertical="center"/>
    </xf>
    <xf numFmtId="49" fontId="147" fillId="3" borderId="0" xfId="5" applyNumberFormat="1" applyFont="1" applyFill="1" applyAlignment="1">
      <alignment horizontal="center" vertical="center"/>
    </xf>
    <xf numFmtId="49" fontId="147" fillId="3" borderId="17" xfId="5" applyNumberFormat="1" applyFont="1" applyFill="1" applyBorder="1" applyAlignment="1">
      <alignment horizontal="center" vertical="center"/>
    </xf>
    <xf numFmtId="49" fontId="147" fillId="3" borderId="30" xfId="5" applyNumberFormat="1" applyFont="1" applyFill="1" applyBorder="1" applyAlignment="1">
      <alignment horizontal="center" vertical="center"/>
    </xf>
    <xf numFmtId="49" fontId="147" fillId="3" borderId="29" xfId="5" applyNumberFormat="1" applyFont="1" applyFill="1" applyBorder="1" applyAlignment="1">
      <alignment horizontal="center" vertical="center"/>
    </xf>
    <xf numFmtId="49" fontId="147" fillId="3" borderId="31" xfId="5" applyNumberFormat="1" applyFont="1" applyFill="1" applyBorder="1" applyAlignment="1">
      <alignment horizontal="center" vertical="center"/>
    </xf>
    <xf numFmtId="49" fontId="173" fillId="3" borderId="184" xfId="5" applyNumberFormat="1" applyFont="1" applyFill="1" applyBorder="1" applyAlignment="1">
      <alignment horizontal="center" vertical="center"/>
    </xf>
    <xf numFmtId="49" fontId="173" fillId="3" borderId="7" xfId="5" applyNumberFormat="1" applyFont="1" applyFill="1" applyBorder="1" applyAlignment="1">
      <alignment horizontal="center" vertical="center"/>
    </xf>
    <xf numFmtId="49" fontId="173" fillId="3" borderId="9" xfId="5" applyNumberFormat="1" applyFont="1" applyFill="1" applyBorder="1" applyAlignment="1">
      <alignment horizontal="center" vertical="center"/>
    </xf>
    <xf numFmtId="49" fontId="173" fillId="3" borderId="8" xfId="5" applyNumberFormat="1" applyFont="1" applyFill="1" applyBorder="1" applyAlignment="1">
      <alignment horizontal="center" vertical="center"/>
    </xf>
    <xf numFmtId="0" fontId="173" fillId="3" borderId="7" xfId="5" applyFont="1" applyFill="1" applyBorder="1" applyAlignment="1">
      <alignment horizontal="center" vertical="center"/>
    </xf>
    <xf numFmtId="0" fontId="173" fillId="3" borderId="8" xfId="5" applyFont="1" applyFill="1" applyBorder="1" applyAlignment="1">
      <alignment horizontal="center" vertical="center"/>
    </xf>
    <xf numFmtId="0" fontId="173" fillId="3" borderId="9" xfId="5" applyFont="1" applyFill="1" applyBorder="1" applyAlignment="1">
      <alignment horizontal="center" vertical="center"/>
    </xf>
    <xf numFmtId="49" fontId="17" fillId="0" borderId="185" xfId="5" applyNumberFormat="1" applyFont="1" applyBorder="1" applyAlignment="1">
      <alignment horizontal="left" vertical="center" wrapText="1"/>
    </xf>
    <xf numFmtId="49" fontId="14" fillId="0" borderId="0" xfId="5" applyNumberFormat="1" applyFont="1" applyAlignment="1">
      <alignment horizontal="left" vertical="center"/>
    </xf>
    <xf numFmtId="49" fontId="24" fillId="0" borderId="16" xfId="5" applyNumberFormat="1" applyFont="1" applyBorder="1" applyAlignment="1">
      <alignment horizontal="left" vertical="center" wrapText="1"/>
    </xf>
    <xf numFmtId="49" fontId="24" fillId="0" borderId="17" xfId="5" applyNumberFormat="1" applyFont="1" applyBorder="1" applyAlignment="1">
      <alignment horizontal="left" vertical="center" wrapText="1"/>
    </xf>
    <xf numFmtId="49" fontId="24" fillId="0" borderId="0" xfId="5" applyNumberFormat="1" applyFont="1" applyAlignment="1">
      <alignment horizontal="left" vertical="center" wrapText="1"/>
    </xf>
    <xf numFmtId="0" fontId="24" fillId="0" borderId="16" xfId="5" applyFont="1" applyBorder="1" applyAlignment="1">
      <alignment horizontal="left" vertical="center" wrapText="1"/>
    </xf>
    <xf numFmtId="0" fontId="24" fillId="0" borderId="0" xfId="5" applyFont="1" applyAlignment="1">
      <alignment horizontal="left" vertical="center"/>
    </xf>
    <xf numFmtId="0" fontId="17" fillId="0" borderId="16" xfId="5" applyFont="1" applyBorder="1" applyAlignment="1">
      <alignment horizontal="left" vertical="center" wrapText="1"/>
    </xf>
    <xf numFmtId="0" fontId="17" fillId="0" borderId="0" xfId="5" applyFont="1" applyAlignment="1">
      <alignment horizontal="left" vertical="center" wrapText="1"/>
    </xf>
    <xf numFmtId="0" fontId="17" fillId="0" borderId="17" xfId="5" applyFont="1" applyBorder="1" applyAlignment="1">
      <alignment horizontal="left" vertical="center" wrapText="1"/>
    </xf>
    <xf numFmtId="49" fontId="17" fillId="0" borderId="186" xfId="5" applyNumberFormat="1" applyFont="1" applyBorder="1" applyAlignment="1">
      <alignment horizontal="left" vertical="center" wrapText="1"/>
    </xf>
    <xf numFmtId="49" fontId="24" fillId="0" borderId="30" xfId="5" applyNumberFormat="1" applyFont="1" applyBorder="1" applyAlignment="1">
      <alignment horizontal="left" vertical="center" wrapText="1"/>
    </xf>
    <xf numFmtId="49" fontId="24" fillId="0" borderId="31" xfId="5" applyNumberFormat="1" applyFont="1" applyBorder="1" applyAlignment="1">
      <alignment horizontal="left" vertical="center" wrapText="1"/>
    </xf>
    <xf numFmtId="49" fontId="24" fillId="0" borderId="29" xfId="5" applyNumberFormat="1" applyFont="1" applyBorder="1" applyAlignment="1">
      <alignment horizontal="left" vertical="center" wrapText="1"/>
    </xf>
    <xf numFmtId="0" fontId="24" fillId="0" borderId="30" xfId="5" applyFont="1" applyBorder="1" applyAlignment="1">
      <alignment horizontal="left" vertical="center" wrapText="1"/>
    </xf>
    <xf numFmtId="0" fontId="24" fillId="0" borderId="29" xfId="5" applyFont="1" applyBorder="1" applyAlignment="1">
      <alignment horizontal="left" vertical="center" wrapText="1"/>
    </xf>
    <xf numFmtId="0" fontId="24" fillId="0" borderId="31" xfId="5" applyFont="1" applyBorder="1" applyAlignment="1">
      <alignment horizontal="left" vertical="center" wrapText="1"/>
    </xf>
    <xf numFmtId="0" fontId="17" fillId="0" borderId="30" xfId="5" applyFont="1" applyBorder="1" applyAlignment="1">
      <alignment horizontal="left" vertical="center" wrapText="1"/>
    </xf>
    <xf numFmtId="0" fontId="17" fillId="0" borderId="29" xfId="5" applyFont="1" applyBorder="1" applyAlignment="1">
      <alignment horizontal="left" vertical="center" wrapText="1"/>
    </xf>
    <xf numFmtId="0" fontId="17" fillId="0" borderId="31" xfId="5" applyFont="1" applyBorder="1" applyAlignment="1">
      <alignment horizontal="left" vertical="center" wrapText="1"/>
    </xf>
    <xf numFmtId="49" fontId="173" fillId="3" borderId="16" xfId="5" applyNumberFormat="1" applyFont="1" applyFill="1" applyBorder="1" applyAlignment="1">
      <alignment horizontal="center" vertical="center"/>
    </xf>
    <xf numFmtId="49" fontId="173" fillId="3" borderId="17" xfId="5" applyNumberFormat="1" applyFont="1" applyFill="1" applyBorder="1" applyAlignment="1">
      <alignment horizontal="center" vertical="center"/>
    </xf>
    <xf numFmtId="49" fontId="173" fillId="3" borderId="0" xfId="5" applyNumberFormat="1" applyFont="1" applyFill="1" applyAlignment="1">
      <alignment horizontal="center" vertical="center"/>
    </xf>
    <xf numFmtId="0" fontId="173" fillId="3" borderId="16" xfId="5" applyFont="1" applyFill="1" applyBorder="1" applyAlignment="1">
      <alignment horizontal="center" vertical="center"/>
    </xf>
    <xf numFmtId="0" fontId="173" fillId="3" borderId="0" xfId="5" applyFont="1" applyFill="1" applyAlignment="1">
      <alignment horizontal="center" vertical="center"/>
    </xf>
    <xf numFmtId="0" fontId="173" fillId="3" borderId="17" xfId="5" applyFont="1" applyFill="1" applyBorder="1" applyAlignment="1">
      <alignment horizontal="center" vertical="center"/>
    </xf>
    <xf numFmtId="49" fontId="23" fillId="0" borderId="16" xfId="5" applyNumberFormat="1" applyFont="1" applyBorder="1" applyAlignment="1">
      <alignment horizontal="center" vertical="center" wrapText="1"/>
    </xf>
    <xf numFmtId="49" fontId="23" fillId="0" borderId="0" xfId="5" applyNumberFormat="1" applyFont="1" applyAlignment="1">
      <alignment horizontal="center" vertical="center" wrapText="1"/>
    </xf>
    <xf numFmtId="0" fontId="24" fillId="0" borderId="56" xfId="5" applyFont="1" applyBorder="1" applyAlignment="1">
      <alignment horizontal="center" vertical="center" wrapText="1"/>
    </xf>
    <xf numFmtId="0" fontId="24" fillId="0" borderId="22" xfId="5" applyFont="1" applyBorder="1" applyAlignment="1">
      <alignment horizontal="center" vertical="center" wrapText="1"/>
    </xf>
    <xf numFmtId="0" fontId="24" fillId="0" borderId="18" xfId="5" applyFont="1" applyBorder="1" applyAlignment="1">
      <alignment horizontal="center" vertical="center" wrapText="1"/>
    </xf>
    <xf numFmtId="0" fontId="14" fillId="0" borderId="19" xfId="5" applyFont="1" applyBorder="1" applyAlignment="1">
      <alignment horizontal="center" vertical="center" wrapText="1"/>
    </xf>
    <xf numFmtId="0" fontId="14" fillId="0" borderId="22" xfId="5" applyFont="1" applyBorder="1" applyAlignment="1">
      <alignment horizontal="center" vertical="center" wrapText="1"/>
    </xf>
    <xf numFmtId="0" fontId="14" fillId="0" borderId="51" xfId="5" applyFont="1" applyBorder="1" applyAlignment="1">
      <alignment horizontal="center" vertical="center" wrapText="1"/>
    </xf>
    <xf numFmtId="0" fontId="24" fillId="0" borderId="0" xfId="5" applyFont="1" applyAlignment="1">
      <alignment vertical="center" wrapText="1"/>
      <protection locked="0" hidden="0"/>
    </xf>
    <xf numFmtId="0" fontId="24" fillId="0" borderId="74" xfId="5" applyFont="1" applyBorder="1" applyAlignment="1">
      <alignment horizontal="center" vertical="center" wrapText="1"/>
    </xf>
    <xf numFmtId="0" fontId="24" fillId="0" borderId="75" xfId="5" applyFont="1" applyBorder="1" applyAlignment="1">
      <alignment horizontal="center" vertical="center" wrapText="1"/>
    </xf>
    <xf numFmtId="0" fontId="24" fillId="0" borderId="0" xfId="5" applyFont="1" applyBorder="1" applyAlignment="1">
      <alignment horizontal="center" vertical="center" wrapText="1"/>
    </xf>
    <xf numFmtId="0" fontId="24" fillId="0" borderId="69" xfId="5" applyFont="1" applyBorder="1" applyAlignment="1">
      <alignment horizontal="center" vertical="center" wrapText="1"/>
    </xf>
    <xf numFmtId="0" fontId="14" fillId="0" borderId="41" xfId="5" applyFont="1" applyBorder="1" applyAlignment="1">
      <alignment horizontal="center" vertical="center" wrapText="1"/>
    </xf>
    <xf numFmtId="0" fontId="14" fillId="0" borderId="0" xfId="5" applyFont="1" applyAlignment="1">
      <alignment horizontal="center" vertical="center" wrapText="1"/>
    </xf>
    <xf numFmtId="0" fontId="14" fillId="0" borderId="17" xfId="5" applyFont="1" applyBorder="1" applyAlignment="1">
      <alignment horizontal="center" vertical="center" wrapText="1"/>
    </xf>
    <xf numFmtId="0" fontId="174" fillId="3" borderId="16" xfId="5" applyFont="1" applyFill="1" applyBorder="1" applyAlignment="1">
      <alignment horizontal="center" vertical="center" wrapText="1"/>
    </xf>
    <xf numFmtId="0" fontId="174" fillId="3" borderId="0" xfId="5" applyFont="1" applyFill="1" applyAlignment="1">
      <alignment horizontal="center" vertical="center" wrapText="1"/>
    </xf>
    <xf numFmtId="0" fontId="174" fillId="3" borderId="19" xfId="5" applyFont="1" applyFill="1" applyBorder="1" applyAlignment="1">
      <alignment horizontal="center" vertical="center" wrapText="1"/>
    </xf>
    <xf numFmtId="0" fontId="174" fillId="3" borderId="22" xfId="5" applyFont="1" applyFill="1" applyBorder="1" applyAlignment="1">
      <alignment horizontal="center" vertical="center" wrapText="1"/>
    </xf>
    <xf numFmtId="0" fontId="174" fillId="3" borderId="51" xfId="5" applyFont="1" applyFill="1" applyBorder="1" applyAlignment="1">
      <alignment horizontal="center" vertical="center" wrapText="1"/>
    </xf>
    <xf numFmtId="49" fontId="24" fillId="0" borderId="7" xfId="5" applyNumberFormat="1" applyFont="1" applyBorder="1" applyAlignment="1">
      <alignment horizontal="center" vertical="center" wrapText="1"/>
    </xf>
    <xf numFmtId="49" fontId="24" fillId="0" borderId="9" xfId="5" applyNumberFormat="1" applyFont="1" applyBorder="1" applyAlignment="1">
      <alignment horizontal="center" vertical="center" wrapText="1"/>
    </xf>
    <xf numFmtId="0" fontId="174" fillId="3" borderId="74" xfId="5" applyFont="1" applyFill="1" applyBorder="1" applyAlignment="1">
      <alignment horizontal="center" vertical="center" wrapText="1"/>
    </xf>
    <xf numFmtId="0" fontId="174" fillId="3" borderId="75" xfId="5" applyFont="1" applyFill="1" applyBorder="1" applyAlignment="1">
      <alignment horizontal="center" vertical="center" wrapText="1"/>
    </xf>
    <xf numFmtId="0" fontId="174" fillId="3" borderId="67" xfId="5" applyFont="1" applyFill="1" applyBorder="1" applyAlignment="1">
      <alignment horizontal="center" vertical="center" wrapText="1"/>
    </xf>
    <xf numFmtId="0" fontId="174" fillId="3" borderId="68" xfId="5" applyFont="1" applyFill="1" applyBorder="1" applyAlignment="1">
      <alignment horizontal="center" vertical="center" wrapText="1"/>
    </xf>
    <xf numFmtId="49" fontId="24" fillId="0" borderId="16" xfId="5" applyNumberFormat="1" applyFont="1" applyBorder="1" applyAlignment="1">
      <alignment horizontal="center" vertical="center" wrapText="1"/>
    </xf>
    <xf numFmtId="49" fontId="24" fillId="0" borderId="17" xfId="5" applyNumberFormat="1" applyFont="1" applyBorder="1" applyAlignment="1">
      <alignment horizontal="center" vertical="center" wrapText="1"/>
    </xf>
    <xf numFmtId="0" fontId="24" fillId="0" borderId="16" xfId="5" applyFont="1" applyFill="1" applyBorder="1" applyAlignment="1">
      <alignment horizontal="center" vertical="center" wrapText="1"/>
    </xf>
    <xf numFmtId="0" fontId="24" fillId="0" borderId="0" xfId="5" applyFont="1" applyFill="1" applyAlignment="1">
      <alignment horizontal="center" vertical="center" wrapText="1"/>
    </xf>
    <xf numFmtId="0" fontId="24" fillId="0" borderId="17" xfId="5" applyFont="1" applyFill="1" applyBorder="1" applyAlignment="1">
      <alignment horizontal="center" vertical="center" wrapText="1"/>
    </xf>
    <xf numFmtId="0" fontId="24" fillId="0" borderId="53" xfId="5" applyFont="1" applyFill="1" applyBorder="1" applyAlignment="1">
      <alignment horizontal="center" vertical="center" wrapText="1"/>
    </xf>
    <xf numFmtId="0" fontId="24" fillId="0" borderId="54" xfId="5" applyFont="1" applyFill="1" applyBorder="1" applyAlignment="1">
      <alignment horizontal="center" vertical="center" wrapText="1"/>
    </xf>
    <xf numFmtId="0" fontId="24" fillId="0" borderId="55" xfId="5" applyFont="1" applyFill="1" applyBorder="1" applyAlignment="1">
      <alignment horizontal="center" vertical="center" wrapText="1"/>
    </xf>
    <xf numFmtId="0" fontId="24" fillId="0" borderId="16" xfId="5" applyFont="1" applyFill="1" applyBorder="1" applyAlignment="1" quotePrefix="1">
      <alignment horizontal="center" vertical="center" wrapText="1"/>
    </xf>
    <xf numFmtId="0" fontId="24" fillId="0" borderId="46" xfId="5" applyFont="1" applyFill="1" applyBorder="1" applyAlignment="1">
      <alignment horizontal="center" vertical="center" wrapText="1"/>
    </xf>
    <xf numFmtId="49" fontId="14" fillId="0" borderId="30" xfId="5" applyNumberFormat="1" applyFont="1" applyBorder="1" applyAlignment="1">
      <alignment horizontal="center" vertical="center" wrapText="1"/>
    </xf>
    <xf numFmtId="0" fontId="24" fillId="0" borderId="30" xfId="5" applyFont="1" applyBorder="1" applyAlignment="1">
      <alignment horizontal="center" vertical="center"/>
    </xf>
    <xf numFmtId="49" fontId="24" fillId="0" borderId="31" xfId="5" applyNumberFormat="1" applyFont="1" applyBorder="1" applyAlignment="1">
      <alignment horizontal="center" vertical="center" wrapText="1"/>
    </xf>
    <xf numFmtId="49" fontId="23" fillId="0" borderId="30" xfId="5" applyNumberFormat="1" applyFont="1" applyBorder="1" applyAlignment="1">
      <alignment horizontal="center" vertical="center" wrapText="1"/>
    </xf>
    <xf numFmtId="49" fontId="23" fillId="0" borderId="29" xfId="5" applyNumberFormat="1" applyFont="1" applyBorder="1" applyAlignment="1">
      <alignment horizontal="center" vertical="center" wrapText="1"/>
    </xf>
    <xf numFmtId="0" fontId="24" fillId="0" borderId="30" xfId="5" applyFont="1" applyFill="1" applyBorder="1" applyAlignment="1">
      <alignment horizontal="center" vertical="center" wrapText="1"/>
    </xf>
    <xf numFmtId="0" fontId="24" fillId="0" borderId="29" xfId="5" applyFont="1" applyFill="1" applyBorder="1" applyAlignment="1">
      <alignment horizontal="center" vertical="center" wrapText="1"/>
    </xf>
    <xf numFmtId="0" fontId="24" fillId="0" borderId="44" xfId="5" applyFont="1" applyFill="1" applyBorder="1" applyAlignment="1">
      <alignment horizontal="center" vertical="center" wrapText="1"/>
    </xf>
    <xf numFmtId="0" fontId="24" fillId="0" borderId="31" xfId="5" applyFont="1" applyFill="1" applyBorder="1" applyAlignment="1">
      <alignment horizontal="center" vertical="center" wrapText="1"/>
    </xf>
    <xf numFmtId="0" fontId="24" fillId="0" borderId="0" xfId="5" applyFont="1" applyBorder="1" applyAlignment="1">
      <alignment vertical="center" wrapText="1"/>
    </xf>
    <xf numFmtId="0" fontId="14" fillId="0" borderId="0" xfId="5" applyFont="1" applyBorder="1" applyAlignment="1">
      <alignment vertical="center" wrapText="1"/>
    </xf>
    <xf numFmtId="0" fontId="175" fillId="3" borderId="7" xfId="5" applyFont="1" applyFill="1" applyBorder="1" applyAlignment="1">
      <alignment horizontal="center" vertical="center"/>
    </xf>
    <xf numFmtId="0" fontId="175" fillId="3" borderId="8" xfId="5" applyFont="1" applyFill="1" applyBorder="1" applyAlignment="1">
      <alignment horizontal="center" vertical="center"/>
    </xf>
    <xf numFmtId="0" fontId="175" fillId="3" borderId="9" xfId="5" applyFont="1" applyFill="1" applyBorder="1" applyAlignment="1">
      <alignment horizontal="center" vertical="center"/>
    </xf>
    <xf numFmtId="0" fontId="175" fillId="3" borderId="16" xfId="5" applyFont="1" applyFill="1" applyBorder="1" applyAlignment="1">
      <alignment horizontal="center" vertical="center"/>
    </xf>
    <xf numFmtId="0" fontId="175" fillId="3" borderId="0" xfId="5" applyFont="1" applyFill="1" applyAlignment="1">
      <alignment horizontal="center" vertical="center"/>
    </xf>
    <xf numFmtId="0" fontId="175" fillId="3" borderId="17" xfId="5" applyFont="1" applyFill="1" applyBorder="1" applyAlignment="1">
      <alignment horizontal="center" vertical="center"/>
    </xf>
    <xf numFmtId="0" fontId="24" fillId="0" borderId="16" xfId="5" applyFont="1" applyBorder="1" applyAlignment="1">
      <alignment horizontal="center" vertical="center" wrapText="1"/>
    </xf>
    <xf numFmtId="0" fontId="24" fillId="0" borderId="0" xfId="5" applyFont="1" applyAlignment="1">
      <alignment vertical="center" wrapText="1"/>
    </xf>
    <xf numFmtId="0" fontId="14" fillId="0" borderId="30" xfId="5" applyFont="1" applyBorder="1" applyAlignment="1">
      <alignment horizontal="center" vertical="center" wrapText="1"/>
    </xf>
    <xf numFmtId="0" fontId="14" fillId="0" borderId="31" xfId="5" applyFont="1" applyBorder="1" applyAlignment="1">
      <alignment horizontal="center" vertical="center" wrapText="1"/>
    </xf>
    <xf numFmtId="0" fontId="24" fillId="0" borderId="30" xfId="5" applyFont="1" applyBorder="1" applyAlignment="1">
      <alignment horizontal="center" vertical="center" wrapText="1"/>
    </xf>
    <xf numFmtId="0" fontId="24" fillId="0" borderId="29" xfId="5" applyFont="1" applyBorder="1" applyAlignment="1">
      <alignment horizontal="center" vertical="center" wrapText="1"/>
    </xf>
    <xf numFmtId="0" fontId="24" fillId="0" borderId="31" xfId="5" applyFont="1" applyBorder="1" applyAlignment="1">
      <alignment horizontal="center" vertical="center" wrapText="1"/>
    </xf>
    <xf numFmtId="0" fontId="14" fillId="0" borderId="29" xfId="5" applyFont="1" applyBorder="1" applyAlignment="1">
      <alignment horizontal="center" vertical="center" wrapText="1"/>
    </xf>
    <xf numFmtId="0" fontId="106" fillId="0" borderId="0" xfId="5" applyFont="1" applyBorder="1">
      <alignment vertical="center"/>
      <protection locked="0" hidden="0"/>
    </xf>
    <xf numFmtId="0" fontId="14" fillId="0" borderId="0" xfId="5" applyFont="1" applyAlignment="1">
      <alignment vertical="center" wrapText="1"/>
    </xf>
    <xf numFmtId="0" fontId="82" fillId="0" borderId="0" xfId="5" applyBorder="1">
      <alignment vertical="center"/>
    </xf>
    <xf numFmtId="0" fontId="173" fillId="12" borderId="7" xfId="5" applyFont="1" applyFill="1" applyBorder="1" applyAlignment="1">
      <alignment horizontal="center" vertical="center"/>
    </xf>
    <xf numFmtId="0" fontId="173" fillId="12" borderId="8" xfId="5" applyFont="1" applyFill="1" applyBorder="1" applyAlignment="1">
      <alignment horizontal="center" vertical="center"/>
    </xf>
    <xf numFmtId="0" fontId="173" fillId="12" borderId="9" xfId="5" applyFont="1" applyFill="1" applyBorder="1" applyAlignment="1">
      <alignment horizontal="center" vertical="center"/>
    </xf>
    <xf numFmtId="0" fontId="109" fillId="36" borderId="7" xfId="5" applyFont="1" applyFill="1" applyBorder="1" applyAlignment="1">
      <alignment horizontal="center" vertical="center"/>
    </xf>
    <xf numFmtId="0" fontId="109" fillId="36" borderId="8" xfId="5" applyFont="1" applyFill="1" applyBorder="1" applyAlignment="1">
      <alignment horizontal="center" vertical="center"/>
    </xf>
    <xf numFmtId="0" fontId="109" fillId="36" borderId="9" xfId="5" applyFont="1" applyFill="1" applyBorder="1" applyAlignment="1">
      <alignment horizontal="center" vertical="center"/>
    </xf>
    <xf numFmtId="0" fontId="176" fillId="0" borderId="0" xfId="5" applyFont="1">
      <alignment vertical="center"/>
      <protection locked="0" hidden="0"/>
    </xf>
    <xf numFmtId="0" fontId="176" fillId="0" borderId="0" xfId="5" applyFont="1" applyFill="1" applyBorder="1">
      <alignment vertical="center"/>
      <protection locked="0" hidden="0"/>
    </xf>
    <xf numFmtId="0" fontId="82" fillId="0" borderId="0" xfId="5" applyFill="1" applyBorder="1">
      <alignment vertical="center"/>
      <protection locked="0" hidden="0"/>
    </xf>
    <xf numFmtId="0" fontId="173" fillId="12" borderId="16" xfId="5" applyFont="1" applyFill="1" applyBorder="1" applyAlignment="1">
      <alignment horizontal="center" vertical="center"/>
    </xf>
    <xf numFmtId="0" fontId="173" fillId="12" borderId="0" xfId="5" applyFont="1" applyFill="1" applyAlignment="1">
      <alignment horizontal="center" vertical="center"/>
    </xf>
    <xf numFmtId="0" fontId="173" fillId="12" borderId="17" xfId="5" applyFont="1" applyFill="1" applyBorder="1" applyAlignment="1">
      <alignment horizontal="center" vertical="center"/>
    </xf>
    <xf numFmtId="0" fontId="109" fillId="36" borderId="74" xfId="5" applyFont="1" applyFill="1" applyBorder="1" applyAlignment="1">
      <alignment horizontal="center" vertical="center"/>
    </xf>
    <xf numFmtId="0" fontId="109" fillId="36" borderId="75" xfId="5" applyFont="1" applyFill="1" applyBorder="1" applyAlignment="1">
      <alignment horizontal="center" vertical="center"/>
    </xf>
    <xf numFmtId="0" fontId="109" fillId="36" borderId="68" xfId="5" applyFont="1" applyFill="1" applyBorder="1" applyAlignment="1">
      <alignment horizontal="center" vertical="center"/>
    </xf>
    <xf numFmtId="0" fontId="23" fillId="0" borderId="16" xfId="5" applyFont="1" applyBorder="1" applyAlignment="1">
      <alignment horizontal="center" vertical="center" wrapText="1"/>
    </xf>
    <xf numFmtId="0" fontId="23" fillId="0" borderId="0" xfId="5" applyFont="1" applyAlignment="1">
      <alignment horizontal="center" vertical="center" wrapText="1"/>
    </xf>
    <xf numFmtId="0" fontId="23" fillId="12" borderId="53" xfId="5" applyFont="1" applyFill="1" applyBorder="1" applyAlignment="1">
      <alignment horizontal="center" vertical="center"/>
    </xf>
    <xf numFmtId="0" fontId="23" fillId="12" borderId="54" xfId="5" applyFont="1" applyFill="1" applyBorder="1" applyAlignment="1">
      <alignment horizontal="center" vertical="center"/>
    </xf>
    <xf numFmtId="0" fontId="23" fillId="12" borderId="21" xfId="5" applyFont="1" applyFill="1" applyBorder="1" applyAlignment="1">
      <alignment horizontal="center" vertical="center"/>
    </xf>
    <xf numFmtId="0" fontId="23" fillId="12" borderId="52" xfId="5" applyFont="1" applyFill="1" applyBorder="1" applyAlignment="1">
      <alignment horizontal="center" vertical="center"/>
    </xf>
    <xf numFmtId="0" fontId="23" fillId="12" borderId="55" xfId="5" applyFont="1" applyFill="1" applyBorder="1" applyAlignment="1">
      <alignment horizontal="center" vertical="center"/>
    </xf>
    <xf numFmtId="0" fontId="23" fillId="0" borderId="0" xfId="5" applyFont="1" applyFill="1" applyBorder="1">
      <alignment vertical="center"/>
      <protection locked="0" hidden="0"/>
    </xf>
    <xf numFmtId="0" fontId="23" fillId="35" borderId="16" xfId="5" applyFont="1" applyFill="1" applyBorder="1" applyAlignment="1">
      <alignment horizontal="center" vertical="center"/>
    </xf>
    <xf numFmtId="0" fontId="17" fillId="35" borderId="0" xfId="5" applyFont="1" applyFill="1" applyAlignment="1">
      <alignment horizontal="center" vertical="center" wrapText="1"/>
    </xf>
    <xf numFmtId="0" fontId="23" fillId="0" borderId="16" xfId="5" applyFont="1" applyBorder="1" applyAlignment="1">
      <alignment horizontal="center" vertical="center" wrapText="1"/>
      <protection locked="0" hidden="0"/>
    </xf>
    <xf numFmtId="0" fontId="23" fillId="0" borderId="0" xfId="5" applyFont="1" applyAlignment="1">
      <alignment horizontal="center" vertical="center" wrapText="1"/>
      <protection locked="0" hidden="0"/>
    </xf>
    <xf numFmtId="0" fontId="162" fillId="78" borderId="41" xfId="5" applyFont="1" applyFill="1" applyBorder="1" applyAlignment="1">
      <alignment horizontal="center" vertical="center"/>
    </xf>
    <xf numFmtId="0" fontId="162" fillId="78" borderId="46" xfId="5" applyFont="1" applyFill="1" applyBorder="1" applyAlignment="1">
      <alignment horizontal="center" vertical="center"/>
    </xf>
    <xf numFmtId="0" fontId="8" fillId="0" borderId="41" xfId="0" applyFont="1" applyBorder="1" applyAlignment="1">
      <alignment horizontal="center" vertical="center" wrapText="1"/>
    </xf>
    <xf numFmtId="0" fontId="48" fillId="78" borderId="0" xfId="0" applyFont="1" applyFill="1" applyAlignment="1">
      <alignment horizontal="center" vertical="center"/>
    </xf>
    <xf numFmtId="0" fontId="48" fillId="78" borderId="17" xfId="0" applyFont="1" applyFill="1" applyBorder="1" applyAlignment="1">
      <alignment horizontal="center" vertical="center"/>
    </xf>
    <xf numFmtId="0" fontId="8" fillId="0" borderId="46" xfId="0" applyFont="1" applyBorder="1" applyAlignment="1">
      <alignment horizontal="center" vertical="center" wrapText="1"/>
    </xf>
    <xf numFmtId="0" fontId="23" fillId="0" borderId="0" xfId="5" applyFont="1">
      <alignment vertical="center"/>
      <protection locked="0" hidden="0"/>
    </xf>
    <xf numFmtId="0" fontId="23" fillId="0" borderId="16" xfId="5" applyFont="1" applyBorder="1" applyAlignment="1">
      <alignment horizontal="center" vertical="center"/>
    </xf>
    <xf numFmtId="0" fontId="14" fillId="0" borderId="0" xfId="5" applyFont="1" applyFill="1" applyAlignment="1">
      <alignment horizontal="center" vertical="center"/>
    </xf>
    <xf numFmtId="0" fontId="23" fillId="35" borderId="16" xfId="5" applyFont="1" applyFill="1" applyBorder="1" applyAlignment="1">
      <alignment horizontal="center" vertical="center"/>
    </xf>
    <xf numFmtId="0" fontId="14" fillId="35" borderId="0" xfId="5" applyFont="1" applyFill="1" applyAlignment="1">
      <alignment horizontal="center" vertical="center"/>
    </xf>
    <xf numFmtId="0" fontId="23" fillId="12" borderId="56" xfId="5" applyFont="1" applyFill="1" applyBorder="1" applyAlignment="1">
      <alignment horizontal="center" vertical="center"/>
    </xf>
    <xf numFmtId="0" fontId="23" fillId="12" borderId="22" xfId="5" applyFont="1" applyFill="1" applyBorder="1" applyAlignment="1">
      <alignment horizontal="center" vertical="center"/>
    </xf>
    <xf numFmtId="0" fontId="23" fillId="12" borderId="51" xfId="5" applyFont="1" applyFill="1" applyBorder="1" applyAlignment="1">
      <alignment horizontal="center" vertical="center"/>
    </xf>
    <xf numFmtId="0" fontId="48" fillId="78" borderId="16" xfId="0" applyFont="1" applyFill="1" applyBorder="1" applyAlignment="1">
      <alignment horizontal="center" vertical="center" wrapText="1"/>
    </xf>
    <xf numFmtId="0" fontId="48" fillId="78" borderId="0" xfId="0" applyFont="1" applyFill="1" applyAlignment="1">
      <alignment horizontal="center" vertical="center" wrapText="1"/>
    </xf>
    <xf numFmtId="0" fontId="48" fillId="78" borderId="17" xfId="0" applyFont="1" applyFill="1" applyBorder="1" applyAlignment="1">
      <alignment horizontal="center" vertical="center" wrapText="1"/>
    </xf>
    <xf numFmtId="0" fontId="23" fillId="35" borderId="213" xfId="5" applyFont="1" applyFill="1" applyBorder="1" applyAlignment="1">
      <alignment horizontal="center" vertical="center"/>
    </xf>
    <xf numFmtId="0" fontId="23" fillId="35" borderId="161" xfId="5" applyFont="1" applyFill="1" applyBorder="1" applyAlignment="1">
      <alignment horizontal="center" vertical="center"/>
    </xf>
    <xf numFmtId="0" fontId="14" fillId="0" borderId="271" xfId="5" applyFont="1" applyBorder="1" applyAlignment="1">
      <alignment horizontal="center" vertical="center" wrapText="1"/>
    </xf>
    <xf numFmtId="0" fontId="14" fillId="0" borderId="161" xfId="5" applyFont="1" applyBorder="1" applyAlignment="1">
      <alignment horizontal="center" vertical="center" wrapText="1"/>
    </xf>
    <xf numFmtId="0" fontId="14" fillId="0" borderId="193" xfId="5" applyFont="1" applyBorder="1" applyAlignment="1">
      <alignment horizontal="center" vertical="center" wrapText="1"/>
    </xf>
    <xf numFmtId="0" fontId="48" fillId="78" borderId="30" xfId="0" applyFont="1" applyFill="1" applyBorder="1" applyAlignment="1">
      <alignment horizontal="center" vertical="center" wrapText="1"/>
    </xf>
    <xf numFmtId="0" fontId="48" fillId="78" borderId="29" xfId="0" applyFont="1" applyFill="1" applyBorder="1" applyAlignment="1">
      <alignment horizontal="center" vertical="center" wrapText="1"/>
    </xf>
    <xf numFmtId="0" fontId="48" fillId="78" borderId="31" xfId="0" applyFont="1" applyFill="1" applyBorder="1" applyAlignment="1">
      <alignment horizontal="center" vertical="center" wrapText="1"/>
    </xf>
    <xf numFmtId="0" fontId="24" fillId="0" borderId="0" xfId="5" applyFont="1" applyAlignment="1">
      <alignment horizontal="center" vertical="center" wrapText="1"/>
    </xf>
    <xf numFmtId="0" fontId="48" fillId="0" borderId="0" xfId="0" applyFont="1" applyFill="1" applyAlignment="1">
      <alignment horizontal="center" vertical="center" wrapText="1"/>
    </xf>
    <xf numFmtId="0" fontId="23" fillId="0" borderId="0" xfId="5" applyFont="1" applyFill="1">
      <alignment vertical="center"/>
      <protection locked="0" hidden="0"/>
    </xf>
    <xf numFmtId="0" fontId="82" fillId="0" borderId="0" xfId="5" applyFill="1">
      <alignment vertical="center"/>
      <protection locked="0" hidden="0"/>
    </xf>
    <xf numFmtId="0" fontId="82" fillId="0" borderId="0" xfId="5" applyFont="1" applyFill="1">
      <alignment vertical="center"/>
      <protection locked="0" hidden="0"/>
    </xf>
    <xf numFmtId="0" fontId="177" fillId="6" borderId="7" xfId="0" applyFont="1" applyFill="1" applyBorder="1" applyAlignment="1">
      <alignment horizontal="center" vertical="center"/>
      <protection locked="0" hidden="0"/>
    </xf>
    <xf numFmtId="0" fontId="177" fillId="6" borderId="8" xfId="0" applyFont="1" applyFill="1" applyBorder="1" applyAlignment="1">
      <alignment horizontal="center" vertical="center"/>
      <protection locked="0" hidden="0"/>
    </xf>
    <xf numFmtId="0" fontId="177" fillId="6" borderId="9" xfId="0" applyFont="1" applyFill="1" applyBorder="1" applyAlignment="1">
      <alignment horizontal="center" vertical="center"/>
      <protection locked="0" hidden="0"/>
    </xf>
    <xf numFmtId="0" fontId="177" fillId="0" borderId="0" xfId="0" applyFont="1">
      <alignment vertical="center"/>
      <protection locked="0" hidden="0"/>
    </xf>
    <xf numFmtId="0" fontId="177" fillId="6" borderId="16" xfId="0" applyFont="1" applyFill="1" applyBorder="1" applyAlignment="1">
      <alignment horizontal="center" vertical="center"/>
      <protection locked="0" hidden="0"/>
    </xf>
    <xf numFmtId="0" fontId="177" fillId="6" borderId="0" xfId="0" applyFont="1" applyFill="1" applyAlignment="1">
      <alignment horizontal="center" vertical="center"/>
      <protection locked="0" hidden="0"/>
    </xf>
    <xf numFmtId="0" fontId="177" fillId="6" borderId="17" xfId="0" applyFont="1" applyFill="1" applyBorder="1" applyAlignment="1">
      <alignment horizontal="center" vertical="center"/>
      <protection locked="0" hidden="0"/>
    </xf>
    <xf numFmtId="0" fontId="177" fillId="6" borderId="30" xfId="0" applyFont="1" applyFill="1" applyBorder="1" applyAlignment="1">
      <alignment horizontal="center" vertical="center"/>
      <protection locked="0" hidden="0"/>
    </xf>
    <xf numFmtId="0" fontId="177" fillId="6" borderId="29" xfId="0" applyFont="1" applyFill="1" applyBorder="1" applyAlignment="1">
      <alignment horizontal="center" vertical="center"/>
      <protection locked="0" hidden="0"/>
    </xf>
    <xf numFmtId="0" fontId="177" fillId="6" borderId="31" xfId="0" applyFont="1" applyFill="1" applyBorder="1" applyAlignment="1">
      <alignment horizontal="center" vertical="center"/>
      <protection locked="0" hidden="0"/>
    </xf>
    <xf numFmtId="0" fontId="14" fillId="0" borderId="0" xfId="5" applyFont="1">
      <alignment vertical="center"/>
      <protection locked="0" hidden="0"/>
    </xf>
    <xf numFmtId="0" fontId="24" fillId="0" borderId="0" xfId="5" applyFont="1">
      <alignment vertical="center"/>
      <protection locked="0" hidden="0"/>
    </xf>
    <xf numFmtId="0" fontId="178" fillId="0" borderId="0" xfId="0" applyFont="1" applyAlignment="1">
      <alignment horizontal="center" vertical="center"/>
      <protection locked="0" hidden="0"/>
    </xf>
    <xf numFmtId="0" fontId="179" fillId="0" borderId="7" xfId="5" applyFont="1" applyBorder="1" applyAlignment="1">
      <alignment horizontal="center" vertical="center"/>
      <protection locked="0" hidden="0"/>
    </xf>
    <xf numFmtId="0" fontId="179" fillId="0" borderId="8" xfId="5" applyFont="1" applyBorder="1" applyAlignment="1">
      <alignment horizontal="center" vertical="center"/>
      <protection locked="0" hidden="0"/>
    </xf>
    <xf numFmtId="0" fontId="179" fillId="0" borderId="9" xfId="5" applyFont="1" applyBorder="1" applyAlignment="1">
      <alignment horizontal="center" vertical="center"/>
      <protection locked="0" hidden="0"/>
    </xf>
    <xf numFmtId="0" fontId="14" fillId="0" borderId="16" xfId="5" applyFont="1" applyBorder="1">
      <alignment vertical="center"/>
      <protection locked="0" hidden="0"/>
    </xf>
    <xf numFmtId="0" fontId="179" fillId="0" borderId="30" xfId="5" applyFont="1" applyBorder="1" applyAlignment="1">
      <alignment horizontal="center" vertical="center"/>
      <protection locked="0" hidden="0"/>
    </xf>
    <xf numFmtId="0" fontId="179" fillId="0" borderId="29" xfId="5" applyFont="1" applyBorder="1" applyAlignment="1">
      <alignment horizontal="center" vertical="center"/>
      <protection locked="0" hidden="0"/>
    </xf>
    <xf numFmtId="0" fontId="179" fillId="0" borderId="31" xfId="5" applyFont="1" applyBorder="1" applyAlignment="1">
      <alignment horizontal="center" vertical="center"/>
      <protection locked="0" hidden="0"/>
    </xf>
    <xf numFmtId="0" fontId="176" fillId="0" borderId="184" xfId="5" applyFont="1" applyBorder="1" applyAlignment="1">
      <alignment horizontal="center" vertical="center" wrapText="1"/>
      <protection locked="0" hidden="0"/>
    </xf>
    <xf numFmtId="0" fontId="176" fillId="0" borderId="7" xfId="5" applyFont="1" applyBorder="1" applyAlignment="1">
      <alignment horizontal="center" vertical="center" wrapText="1"/>
      <protection locked="0" hidden="0"/>
    </xf>
    <xf numFmtId="0" fontId="162" fillId="0" borderId="8" xfId="5" applyFont="1" applyBorder="1" applyAlignment="1">
      <alignment horizontal="center" vertical="center"/>
      <protection locked="0" hidden="0"/>
    </xf>
    <xf numFmtId="0" fontId="162" fillId="0" borderId="9" xfId="5" applyFont="1" applyBorder="1" applyAlignment="1">
      <alignment horizontal="center" vertical="center"/>
      <protection locked="0" hidden="0"/>
    </xf>
    <xf numFmtId="0" fontId="126" fillId="0" borderId="7" xfId="5" applyFont="1" applyBorder="1" applyAlignment="1">
      <alignment horizontal="center" vertical="center" wrapText="1"/>
      <protection locked="0" hidden="0"/>
    </xf>
    <xf numFmtId="0" fontId="126" fillId="0" borderId="8" xfId="5" applyFont="1" applyBorder="1" applyAlignment="1">
      <alignment horizontal="center" vertical="center" wrapText="1"/>
      <protection locked="0" hidden="0"/>
    </xf>
    <xf numFmtId="0" fontId="126" fillId="0" borderId="9" xfId="5" applyFont="1" applyBorder="1" applyAlignment="1">
      <alignment horizontal="center" vertical="center" wrapText="1"/>
      <protection locked="0" hidden="0"/>
    </xf>
    <xf numFmtId="0" fontId="162" fillId="0" borderId="185" xfId="5" applyFont="1" applyBorder="1" applyAlignment="1">
      <alignment horizontal="center" vertical="center"/>
      <protection locked="0" hidden="0"/>
    </xf>
    <xf numFmtId="0" fontId="162" fillId="0" borderId="16" xfId="5" applyFont="1" applyBorder="1" applyAlignment="1">
      <alignment horizontal="center" vertical="center"/>
      <protection locked="0" hidden="0"/>
    </xf>
    <xf numFmtId="0" fontId="162" fillId="0" borderId="0" xfId="5" applyFont="1" applyAlignment="1">
      <alignment horizontal="center" vertical="center"/>
      <protection locked="0" hidden="0"/>
    </xf>
    <xf numFmtId="0" fontId="162" fillId="0" borderId="17" xfId="5" applyFont="1" applyBorder="1" applyAlignment="1">
      <alignment horizontal="center" vertical="center"/>
      <protection locked="0" hidden="0"/>
    </xf>
    <xf numFmtId="0" fontId="24" fillId="0" borderId="161" xfId="5" applyFont="1" applyBorder="1">
      <alignment vertical="center"/>
      <protection locked="0" hidden="0"/>
    </xf>
    <xf numFmtId="0" fontId="126" fillId="0" borderId="16" xfId="5" applyFont="1" applyBorder="1" applyAlignment="1">
      <alignment horizontal="center" vertical="center" wrapText="1"/>
      <protection locked="0" hidden="0"/>
    </xf>
    <xf numFmtId="0" fontId="126" fillId="0" borderId="0" xfId="5" applyFont="1" applyAlignment="1">
      <alignment horizontal="center" vertical="center" wrapText="1"/>
      <protection locked="0" hidden="0"/>
    </xf>
    <xf numFmtId="0" fontId="126" fillId="0" borderId="17" xfId="5" applyFont="1" applyBorder="1" applyAlignment="1">
      <alignment horizontal="center" vertical="center" wrapText="1"/>
      <protection locked="0" hidden="0"/>
    </xf>
    <xf numFmtId="0" fontId="180" fillId="0" borderId="0" xfId="5" applyFont="1" applyAlignment="1">
      <alignment horizontal="center" vertical="center"/>
      <protection locked="0" hidden="0"/>
    </xf>
    <xf numFmtId="0" fontId="181" fillId="0" borderId="0" xfId="5" applyFont="1" applyAlignment="1">
      <alignment horizontal="right" vertical="center"/>
      <protection locked="0" hidden="0"/>
    </xf>
    <xf numFmtId="0" fontId="181" fillId="0" borderId="0" xfId="5" applyFont="1" applyAlignment="1">
      <alignment horizontal="right" vertical="center"/>
      <protection locked="0" hidden="0"/>
    </xf>
    <xf numFmtId="0" fontId="126" fillId="0" borderId="30" xfId="5" applyFont="1" applyBorder="1" applyAlignment="1">
      <alignment horizontal="center" vertical="center" wrapText="1"/>
      <protection locked="0" hidden="0"/>
    </xf>
    <xf numFmtId="0" fontId="126" fillId="0" borderId="29" xfId="5" applyFont="1" applyBorder="1" applyAlignment="1">
      <alignment horizontal="center" vertical="center" wrapText="1"/>
      <protection locked="0" hidden="0"/>
    </xf>
    <xf numFmtId="0" fontId="126" fillId="0" borderId="31" xfId="5" applyFont="1" applyBorder="1" applyAlignment="1">
      <alignment horizontal="center" vertical="center" wrapText="1"/>
      <protection locked="0" hidden="0"/>
    </xf>
    <xf numFmtId="0" fontId="181" fillId="0" borderId="0" xfId="5" applyFont="1" applyAlignment="1">
      <alignment horizontal="left" vertical="center"/>
      <protection locked="0" hidden="0"/>
    </xf>
    <xf numFmtId="0" fontId="126" fillId="0" borderId="0" xfId="5" applyFont="1" applyAlignment="1">
      <alignment horizontal="center" vertical="center"/>
      <protection locked="0" hidden="0"/>
    </xf>
    <xf numFmtId="0" fontId="162" fillId="0" borderId="186" xfId="5" applyFont="1" applyBorder="1" applyAlignment="1">
      <alignment horizontal="center" vertical="center"/>
      <protection locked="0" hidden="0"/>
    </xf>
    <xf numFmtId="0" fontId="162" fillId="0" borderId="30" xfId="5" applyFont="1" applyBorder="1" applyAlignment="1">
      <alignment horizontal="center" vertical="center"/>
      <protection locked="0" hidden="0"/>
    </xf>
    <xf numFmtId="0" fontId="162" fillId="0" borderId="29" xfId="5" applyFont="1" applyBorder="1" applyAlignment="1">
      <alignment horizontal="center" vertical="center"/>
      <protection locked="0" hidden="0"/>
    </xf>
    <xf numFmtId="0" fontId="162" fillId="0" borderId="31" xfId="5" applyFont="1" applyBorder="1" applyAlignment="1">
      <alignment horizontal="center" vertical="center"/>
      <protection locked="0" hidden="0"/>
    </xf>
    <xf numFmtId="0" fontId="126" fillId="0" borderId="0" xfId="5" applyFont="1">
      <alignment vertical="center"/>
      <protection locked="0" hidden="0"/>
    </xf>
    <xf numFmtId="0" fontId="126" fillId="0" borderId="0" xfId="5" applyFont="1" applyAlignment="1">
      <alignment horizontal="right" vertical="center"/>
      <protection locked="0" hidden="0"/>
    </xf>
    <xf numFmtId="0" fontId="14" fillId="0" borderId="7" xfId="5" applyFont="1" applyBorder="1" applyAlignment="1">
      <alignment horizontal="center" vertical="center" wrapText="1"/>
      <protection locked="0" hidden="0"/>
    </xf>
    <xf numFmtId="0" fontId="14" fillId="0" borderId="9" xfId="5" applyFont="1" applyBorder="1" applyAlignment="1">
      <alignment horizontal="center" vertical="center"/>
      <protection locked="0" hidden="0"/>
    </xf>
    <xf numFmtId="0" fontId="126" fillId="0" borderId="0" xfId="5" applyFont="1" applyAlignment="1">
      <alignment horizontal="center" vertical="center"/>
      <protection locked="0" hidden="0"/>
    </xf>
    <xf numFmtId="0" fontId="14" fillId="0" borderId="16" xfId="5" applyFont="1" applyBorder="1" applyAlignment="1">
      <alignment horizontal="center" vertical="center"/>
      <protection locked="0" hidden="0"/>
    </xf>
    <xf numFmtId="0" fontId="14" fillId="0" borderId="17" xfId="5" applyFont="1" applyBorder="1" applyAlignment="1">
      <alignment horizontal="center" vertical="center"/>
      <protection locked="0" hidden="0"/>
    </xf>
    <xf numFmtId="0" fontId="23" fillId="0" borderId="7" xfId="5" applyFont="1" applyBorder="1" applyAlignment="1">
      <alignment horizontal="left" vertical="center" wrapText="1" indent="1"/>
      <protection locked="0" hidden="0"/>
    </xf>
    <xf numFmtId="0" fontId="23" fillId="0" borderId="8" xfId="5" applyFont="1" applyBorder="1" applyAlignment="1">
      <alignment horizontal="left" vertical="center" wrapText="1" indent="1"/>
      <protection locked="0" hidden="0"/>
    </xf>
    <xf numFmtId="0" fontId="23" fillId="0" borderId="9" xfId="5" applyFont="1" applyBorder="1" applyAlignment="1">
      <alignment horizontal="left" vertical="center" wrapText="1" indent="1"/>
      <protection locked="0" hidden="0"/>
    </xf>
    <xf numFmtId="0" fontId="24" fillId="0" borderId="7" xfId="5" applyFont="1" applyBorder="1" applyAlignment="1">
      <alignment horizontal="left" vertical="center" wrapText="1" indent="1"/>
      <protection locked="0" hidden="0"/>
    </xf>
    <xf numFmtId="0" fontId="24" fillId="0" borderId="8" xfId="5" applyFont="1" applyBorder="1" applyAlignment="1">
      <alignment horizontal="left" vertical="center" wrapText="1" indent="1"/>
      <protection locked="0" hidden="0"/>
    </xf>
    <xf numFmtId="0" fontId="24" fillId="0" borderId="9" xfId="5" applyFont="1" applyBorder="1" applyAlignment="1">
      <alignment horizontal="left" vertical="center" wrapText="1" indent="1"/>
      <protection locked="0" hidden="0"/>
    </xf>
    <xf numFmtId="0" fontId="182" fillId="0" borderId="7" xfId="5" applyFont="1" applyBorder="1" applyAlignment="1">
      <alignment horizontal="center" vertical="center" wrapText="1"/>
      <protection locked="0" hidden="0"/>
    </xf>
    <xf numFmtId="0" fontId="182" fillId="0" borderId="9" xfId="5" applyFont="1" applyBorder="1" applyAlignment="1">
      <alignment horizontal="center" vertical="center" wrapText="1"/>
      <protection locked="0" hidden="0"/>
    </xf>
    <xf numFmtId="0" fontId="23" fillId="0" borderId="16" xfId="5" applyFont="1" applyBorder="1" applyAlignment="1">
      <alignment horizontal="left" vertical="center" wrapText="1" indent="1"/>
      <protection locked="0" hidden="0"/>
    </xf>
    <xf numFmtId="0" fontId="23" fillId="0" borderId="0" xfId="5" applyFont="1" applyAlignment="1">
      <alignment horizontal="left" vertical="center" wrapText="1" indent="1"/>
      <protection locked="0" hidden="0"/>
    </xf>
    <xf numFmtId="0" fontId="23" fillId="0" borderId="17" xfId="5" applyFont="1" applyBorder="1" applyAlignment="1">
      <alignment horizontal="left" vertical="center" wrapText="1" indent="1"/>
      <protection locked="0" hidden="0"/>
    </xf>
    <xf numFmtId="0" fontId="24" fillId="0" borderId="16" xfId="5" applyFont="1" applyBorder="1" applyAlignment="1">
      <alignment horizontal="left" vertical="center" wrapText="1" indent="1"/>
      <protection locked="0" hidden="0"/>
    </xf>
    <xf numFmtId="0" fontId="24" fillId="0" borderId="0" xfId="5" applyFont="1" applyAlignment="1">
      <alignment horizontal="left" vertical="center" wrapText="1" indent="1"/>
      <protection locked="0" hidden="0"/>
    </xf>
    <xf numFmtId="0" fontId="24" fillId="0" borderId="17" xfId="5" applyFont="1" applyBorder="1" applyAlignment="1">
      <alignment horizontal="left" vertical="center" wrapText="1" indent="1"/>
      <protection locked="0" hidden="0"/>
    </xf>
    <xf numFmtId="0" fontId="182" fillId="0" borderId="16" xfId="5" applyFont="1" applyBorder="1" applyAlignment="1">
      <alignment horizontal="center" vertical="center" wrapText="1"/>
      <protection locked="0" hidden="0"/>
    </xf>
    <xf numFmtId="0" fontId="182" fillId="0" borderId="17" xfId="5" applyFont="1" applyBorder="1" applyAlignment="1">
      <alignment horizontal="center" vertical="center" wrapText="1"/>
      <protection locked="0" hidden="0"/>
    </xf>
    <xf numFmtId="0" fontId="14" fillId="0" borderId="30" xfId="5" applyFont="1" applyBorder="1" applyAlignment="1">
      <alignment horizontal="center" vertical="center"/>
      <protection locked="0" hidden="0"/>
    </xf>
    <xf numFmtId="0" fontId="14" fillId="0" borderId="31" xfId="5" applyFont="1" applyBorder="1" applyAlignment="1">
      <alignment horizontal="center" vertical="center"/>
      <protection locked="0" hidden="0"/>
    </xf>
    <xf numFmtId="0" fontId="180" fillId="0" borderId="0" xfId="5" applyFont="1" applyAlignment="1">
      <alignment horizontal="center" vertical="bottom"/>
      <protection locked="0" hidden="0"/>
    </xf>
    <xf numFmtId="0" fontId="23" fillId="0" borderId="30" xfId="5" applyFont="1" applyBorder="1" applyAlignment="1">
      <alignment horizontal="left" vertical="center" wrapText="1" indent="1"/>
      <protection locked="0" hidden="0"/>
    </xf>
    <xf numFmtId="0" fontId="23" fillId="0" borderId="29" xfId="5" applyFont="1" applyBorder="1" applyAlignment="1">
      <alignment horizontal="left" vertical="center" wrapText="1" indent="1"/>
      <protection locked="0" hidden="0"/>
    </xf>
    <xf numFmtId="0" fontId="23" fillId="0" borderId="31" xfId="5" applyFont="1" applyBorder="1" applyAlignment="1">
      <alignment horizontal="left" vertical="center" wrapText="1" indent="1"/>
      <protection locked="0" hidden="0"/>
    </xf>
    <xf numFmtId="0" fontId="24" fillId="0" borderId="30" xfId="5" applyFont="1" applyBorder="1" applyAlignment="1">
      <alignment horizontal="left" vertical="center" wrapText="1" indent="1"/>
      <protection locked="0" hidden="0"/>
    </xf>
    <xf numFmtId="0" fontId="24" fillId="0" borderId="29" xfId="5" applyFont="1" applyBorder="1" applyAlignment="1">
      <alignment horizontal="left" vertical="center" wrapText="1" indent="1"/>
      <protection locked="0" hidden="0"/>
    </xf>
    <xf numFmtId="0" fontId="24" fillId="0" borderId="31" xfId="5" applyFont="1" applyBorder="1" applyAlignment="1">
      <alignment horizontal="left" vertical="center" wrapText="1" indent="1"/>
      <protection locked="0" hidden="0"/>
    </xf>
    <xf numFmtId="0" fontId="182" fillId="0" borderId="30" xfId="5" applyFont="1" applyBorder="1" applyAlignment="1">
      <alignment horizontal="center" vertical="center" wrapText="1"/>
      <protection locked="0" hidden="0"/>
    </xf>
    <xf numFmtId="0" fontId="182" fillId="0" borderId="31" xfId="5" applyFont="1" applyBorder="1" applyAlignment="1">
      <alignment horizontal="center" vertical="center" wrapText="1"/>
      <protection locked="0" hidden="0"/>
    </xf>
    <xf numFmtId="0" fontId="126" fillId="0" borderId="8" xfId="5" applyFont="1" applyBorder="1" applyAlignment="1">
      <alignment horizontal="center" vertical="center"/>
      <protection locked="0" hidden="0"/>
    </xf>
    <xf numFmtId="0" fontId="126" fillId="0" borderId="9" xfId="5" applyFont="1" applyBorder="1" applyAlignment="1">
      <alignment horizontal="center" vertical="center"/>
      <protection locked="0" hidden="0"/>
    </xf>
    <xf numFmtId="0" fontId="126" fillId="0" borderId="16" xfId="5" applyFont="1" applyBorder="1" applyAlignment="1">
      <alignment horizontal="center" vertical="center"/>
      <protection locked="0" hidden="0"/>
    </xf>
    <xf numFmtId="0" fontId="126" fillId="0" borderId="17" xfId="5" applyFont="1" applyBorder="1" applyAlignment="1">
      <alignment horizontal="center" vertical="center"/>
      <protection locked="0" hidden="0"/>
    </xf>
    <xf numFmtId="0" fontId="24" fillId="0" borderId="8" xfId="5" applyFont="1" applyBorder="1">
      <alignment vertical="center"/>
      <protection locked="0" hidden="0"/>
    </xf>
    <xf numFmtId="0" fontId="129" fillId="0" borderId="7" xfId="5" applyFont="1" applyBorder="1" applyAlignment="1">
      <alignment horizontal="center" vertical="center" wrapText="1"/>
      <protection locked="0" hidden="0"/>
    </xf>
    <xf numFmtId="0" fontId="23" fillId="0" borderId="9" xfId="5" applyFont="1" applyBorder="1" applyAlignment="1">
      <alignment horizontal="center" vertical="center"/>
      <protection locked="0" hidden="0"/>
    </xf>
    <xf numFmtId="0" fontId="23" fillId="0" borderId="16" xfId="5" applyFont="1" applyBorder="1" applyAlignment="1">
      <alignment horizontal="center" vertical="center"/>
      <protection locked="0" hidden="0"/>
    </xf>
    <xf numFmtId="0" fontId="23" fillId="0" borderId="17" xfId="5" applyFont="1" applyBorder="1" applyAlignment="1">
      <alignment horizontal="center" vertical="center"/>
      <protection locked="0" hidden="0"/>
    </xf>
    <xf numFmtId="0" fontId="162" fillId="0" borderId="7" xfId="5" applyFont="1" applyBorder="1" applyAlignment="1">
      <alignment horizontal="center" vertical="center" wrapText="1"/>
      <protection locked="0" hidden="0"/>
    </xf>
    <xf numFmtId="0" fontId="162" fillId="0" borderId="8" xfId="5" applyFont="1" applyBorder="1" applyAlignment="1">
      <alignment horizontal="center" vertical="center" wrapText="1"/>
      <protection locked="0" hidden="0"/>
    </xf>
    <xf numFmtId="0" fontId="8" fillId="0" borderId="0" xfId="0" applyFont="1" applyFill="1" applyAlignment="1">
      <alignment horizontal="center" vertical="center"/>
      <protection locked="0" hidden="0"/>
    </xf>
    <xf numFmtId="0" fontId="126" fillId="0" borderId="0" xfId="5" applyFont="1" applyAlignment="1">
      <alignment vertical="center" wrapText="1"/>
      <protection locked="0" hidden="0"/>
    </xf>
    <xf numFmtId="0" fontId="24" fillId="0" borderId="0" xfId="5" applyFont="1" applyAlignment="1">
      <alignment horizontal="center" vertical="center"/>
      <protection locked="0" hidden="0"/>
    </xf>
    <xf numFmtId="0" fontId="23" fillId="0" borderId="7" xfId="5" applyFont="1" applyBorder="1" applyAlignment="1">
      <alignment horizontal="center" vertical="center" wrapText="1"/>
      <protection locked="0" hidden="0"/>
    </xf>
    <xf numFmtId="0" fontId="23" fillId="0" borderId="9" xfId="5" applyFont="1" applyBorder="1" applyAlignment="1">
      <alignment horizontal="center" vertical="center" wrapText="1"/>
      <protection locked="0" hidden="0"/>
    </xf>
    <xf numFmtId="0" fontId="23" fillId="0" borderId="17" xfId="5" applyFont="1" applyBorder="1" applyAlignment="1">
      <alignment horizontal="center" vertical="center" wrapText="1"/>
      <protection locked="0" hidden="0"/>
    </xf>
    <xf numFmtId="0" fontId="23" fillId="0" borderId="30" xfId="5" applyFont="1" applyBorder="1" applyAlignment="1">
      <alignment horizontal="center" vertical="center" wrapText="1"/>
      <protection locked="0" hidden="0"/>
    </xf>
    <xf numFmtId="0" fontId="23" fillId="0" borderId="31" xfId="5" applyFont="1" applyBorder="1" applyAlignment="1">
      <alignment horizontal="center" vertical="center" wrapText="1"/>
      <protection locked="0" hidden="0"/>
    </xf>
    <xf numFmtId="0" fontId="23" fillId="0" borderId="30" xfId="5" applyFont="1" applyBorder="1" applyAlignment="1">
      <alignment horizontal="center" vertical="center"/>
      <protection locked="0" hidden="0"/>
    </xf>
    <xf numFmtId="0" fontId="23" fillId="0" borderId="31" xfId="5" applyFont="1" applyBorder="1" applyAlignment="1">
      <alignment horizontal="center" vertical="center"/>
      <protection locked="0" hidden="0"/>
    </xf>
    <xf numFmtId="0" fontId="126" fillId="0" borderId="30" xfId="5" applyFont="1" applyBorder="1" applyAlignment="1">
      <alignment horizontal="center" vertical="center"/>
      <protection locked="0" hidden="0"/>
    </xf>
    <xf numFmtId="0" fontId="126" fillId="0" borderId="29" xfId="5" applyFont="1" applyBorder="1" applyAlignment="1">
      <alignment horizontal="center" vertical="center"/>
      <protection locked="0" hidden="0"/>
    </xf>
    <xf numFmtId="0" fontId="126" fillId="0" borderId="31" xfId="5" applyFont="1" applyBorder="1" applyAlignment="1">
      <alignment horizontal="center" vertical="center"/>
      <protection locked="0" hidden="0"/>
    </xf>
    <xf numFmtId="0" fontId="183" fillId="0" borderId="0" xfId="5" applyFont="1" applyAlignment="1">
      <alignment horizontal="center" vertical="center" wrapText="1"/>
      <protection locked="0" hidden="0"/>
    </xf>
    <xf numFmtId="0" fontId="23" fillId="0" borderId="8" xfId="5" applyFont="1" applyBorder="1" applyAlignment="1">
      <alignment horizontal="center" vertical="center" wrapText="1"/>
      <protection locked="0" hidden="0"/>
    </xf>
    <xf numFmtId="0" fontId="24" fillId="0" borderId="7" xfId="5" applyFont="1" applyBorder="1" applyAlignment="1">
      <alignment horizontal="center" vertical="center"/>
      <protection locked="0" hidden="0"/>
    </xf>
    <xf numFmtId="0" fontId="24" fillId="0" borderId="8" xfId="5" applyFont="1" applyBorder="1" applyAlignment="1">
      <alignment horizontal="center" vertical="center"/>
      <protection locked="0" hidden="0"/>
    </xf>
    <xf numFmtId="0" fontId="24" fillId="0" borderId="9" xfId="5" applyFont="1" applyBorder="1" applyAlignment="1">
      <alignment horizontal="center" vertical="center"/>
      <protection locked="0" hidden="0"/>
    </xf>
    <xf numFmtId="0" fontId="126" fillId="0" borderId="7" xfId="5" applyFont="1" applyBorder="1" applyAlignment="1">
      <alignment horizontal="center" vertical="center"/>
      <protection locked="0" hidden="0"/>
    </xf>
    <xf numFmtId="0" fontId="183" fillId="0" borderId="7" xfId="5" applyFont="1" applyBorder="1" applyAlignment="1">
      <alignment horizontal="center" vertical="center" wrapText="1"/>
      <protection locked="0" hidden="0"/>
    </xf>
    <xf numFmtId="0" fontId="24" fillId="0" borderId="30" xfId="5" applyFont="1" applyBorder="1" applyAlignment="1">
      <alignment horizontal="center" vertical="center"/>
      <protection locked="0" hidden="0"/>
    </xf>
    <xf numFmtId="0" fontId="24" fillId="0" borderId="29" xfId="5" applyFont="1" applyBorder="1" applyAlignment="1">
      <alignment horizontal="center" vertical="center"/>
      <protection locked="0" hidden="0"/>
    </xf>
    <xf numFmtId="0" fontId="24" fillId="0" borderId="31" xfId="5" applyFont="1" applyBorder="1" applyAlignment="1">
      <alignment horizontal="center" vertical="center"/>
      <protection locked="0" hidden="0"/>
    </xf>
    <xf numFmtId="0" fontId="162" fillId="0" borderId="9" xfId="5" applyFont="1" applyBorder="1" applyAlignment="1">
      <alignment horizontal="center" vertical="center" wrapText="1"/>
      <protection locked="0" hidden="0"/>
    </xf>
    <xf numFmtId="0" fontId="184" fillId="0" borderId="0" xfId="5" applyFont="1" applyAlignment="1">
      <alignment horizontal="center" vertical="center"/>
      <protection locked="0" hidden="0"/>
    </xf>
    <xf numFmtId="0" fontId="162" fillId="0" borderId="0" xfId="5" applyFont="1" applyAlignment="1">
      <alignment horizontal="center" vertical="center" wrapText="1"/>
      <protection locked="0" hidden="0"/>
    </xf>
    <xf numFmtId="0" fontId="162" fillId="0" borderId="16" xfId="5" applyFont="1" applyBorder="1" applyAlignment="1">
      <alignment horizontal="center" vertical="center" wrapText="1"/>
      <protection locked="0" hidden="0"/>
    </xf>
    <xf numFmtId="0" fontId="162" fillId="0" borderId="17" xfId="5" applyFont="1" applyBorder="1" applyAlignment="1">
      <alignment horizontal="center" vertical="center" wrapText="1"/>
      <protection locked="0" hidden="0"/>
    </xf>
    <xf numFmtId="0" fontId="109" fillId="0" borderId="9" xfId="5" applyFont="1" applyBorder="1" applyAlignment="1">
      <alignment horizontal="center" vertical="center"/>
      <protection locked="0" hidden="0"/>
    </xf>
    <xf numFmtId="0" fontId="162" fillId="0" borderId="30" xfId="5" applyFont="1" applyBorder="1" applyAlignment="1">
      <alignment horizontal="center" vertical="center" wrapText="1"/>
      <protection locked="0" hidden="0"/>
    </xf>
    <xf numFmtId="0" fontId="162" fillId="0" borderId="29" xfId="5" applyFont="1" applyBorder="1" applyAlignment="1">
      <alignment horizontal="center" vertical="center" wrapText="1"/>
      <protection locked="0" hidden="0"/>
    </xf>
    <xf numFmtId="0" fontId="162" fillId="0" borderId="31" xfId="5" applyFont="1" applyBorder="1" applyAlignment="1">
      <alignment horizontal="center" vertical="center" wrapText="1"/>
      <protection locked="0" hidden="0"/>
    </xf>
    <xf numFmtId="0" fontId="109" fillId="0" borderId="16" xfId="5" applyFont="1" applyBorder="1" applyAlignment="1">
      <alignment horizontal="center" vertical="center"/>
      <protection locked="0" hidden="0"/>
    </xf>
    <xf numFmtId="0" fontId="109" fillId="0" borderId="17" xfId="5" applyFont="1" applyBorder="1" applyAlignment="1">
      <alignment horizontal="center" vertical="center"/>
      <protection locked="0" hidden="0"/>
    </xf>
    <xf numFmtId="0" fontId="162" fillId="0" borderId="0" xfId="5" applyFont="1" applyAlignment="1">
      <alignment horizontal="center" vertical="center" wrapText="1"/>
      <protection locked="0" hidden="0"/>
    </xf>
    <xf numFmtId="0" fontId="24" fillId="0" borderId="7" xfId="5" applyFont="1" applyBorder="1" applyAlignment="1">
      <alignment horizontal="center" vertical="center" wrapText="1"/>
      <protection locked="0" hidden="0"/>
    </xf>
    <xf numFmtId="0" fontId="109" fillId="0" borderId="30" xfId="5" applyFont="1" applyBorder="1" applyAlignment="1">
      <alignment horizontal="center" vertical="center"/>
      <protection locked="0" hidden="0"/>
    </xf>
    <xf numFmtId="0" fontId="109" fillId="0" borderId="31" xfId="5" applyFont="1" applyBorder="1" applyAlignment="1">
      <alignment horizontal="center" vertical="center"/>
      <protection locked="0" hidden="0"/>
    </xf>
    <xf numFmtId="0" fontId="24" fillId="0" borderId="8" xfId="5" applyFont="1" applyBorder="1" applyAlignment="1">
      <alignment horizontal="center" vertical="center" wrapText="1"/>
      <protection locked="0" hidden="0"/>
    </xf>
    <xf numFmtId="0" fontId="24" fillId="0" borderId="9" xfId="5" applyFont="1" applyBorder="1" applyAlignment="1">
      <alignment horizontal="center" vertical="center" wrapText="1"/>
      <protection locked="0" hidden="0"/>
    </xf>
    <xf numFmtId="0" fontId="24" fillId="0" borderId="16" xfId="5" applyFont="1" applyBorder="1" applyAlignment="1">
      <alignment horizontal="center" vertical="center" wrapText="1"/>
      <protection locked="0" hidden="0"/>
    </xf>
    <xf numFmtId="0" fontId="24" fillId="0" borderId="0" xfId="5" applyFont="1" applyAlignment="1">
      <alignment horizontal="center" vertical="center" wrapText="1"/>
      <protection locked="0" hidden="0"/>
    </xf>
    <xf numFmtId="0" fontId="24" fillId="0" borderId="17" xfId="5" applyFont="1" applyBorder="1" applyAlignment="1">
      <alignment horizontal="center" vertical="center" wrapText="1"/>
      <protection locked="0" hidden="0"/>
    </xf>
    <xf numFmtId="0" fontId="24" fillId="0" borderId="30" xfId="5" applyFont="1" applyBorder="1" applyAlignment="1">
      <alignment horizontal="center" vertical="center" wrapText="1"/>
      <protection locked="0" hidden="0"/>
    </xf>
    <xf numFmtId="0" fontId="24" fillId="0" borderId="29" xfId="5" applyFont="1" applyBorder="1" applyAlignment="1">
      <alignment horizontal="center" vertical="center" wrapText="1"/>
      <protection locked="0" hidden="0"/>
    </xf>
    <xf numFmtId="0" fontId="24" fillId="0" borderId="31" xfId="5" applyFont="1" applyBorder="1" applyAlignment="1">
      <alignment horizontal="center" vertical="center" wrapText="1"/>
      <protection locked="0" hidden="0"/>
    </xf>
    <xf numFmtId="49" fontId="173" fillId="6" borderId="184" xfId="5" applyNumberFormat="1" applyFont="1" applyFill="1" applyBorder="1" applyAlignment="1">
      <alignment horizontal="center" vertical="center"/>
      <protection locked="0" hidden="0"/>
    </xf>
    <xf numFmtId="49" fontId="24" fillId="0" borderId="185" xfId="5" applyNumberFormat="1" applyFont="1" applyBorder="1" applyAlignment="1">
      <alignment horizontal="center" vertical="center" wrapText="1"/>
      <protection locked="0" hidden="0"/>
    </xf>
    <xf numFmtId="49" fontId="14" fillId="0" borderId="185" xfId="5" applyNumberFormat="1" applyFont="1" applyBorder="1" applyAlignment="1">
      <alignment horizontal="center" vertical="center"/>
      <protection locked="0" hidden="0"/>
    </xf>
    <xf numFmtId="49" fontId="14" fillId="0" borderId="186" xfId="5" applyNumberFormat="1" applyFont="1" applyBorder="1" applyAlignment="1">
      <alignment horizontal="center" vertical="center"/>
      <protection locked="0" hidden="0"/>
    </xf>
    <xf numFmtId="49" fontId="185" fillId="31" borderId="7" xfId="0" applyNumberFormat="1" applyFont="1" applyFill="1" applyBorder="1" applyAlignment="1">
      <alignment horizontal="center" vertical="center"/>
    </xf>
    <xf numFmtId="49" fontId="185" fillId="31" borderId="8" xfId="0" applyNumberFormat="1" applyFont="1" applyFill="1" applyBorder="1" applyAlignment="1">
      <alignment horizontal="center" vertical="center"/>
    </xf>
    <xf numFmtId="49" fontId="186" fillId="31" borderId="8" xfId="0" applyNumberFormat="1" applyFont="1" applyFill="1" applyBorder="1" applyAlignment="1">
      <alignment horizontal="center" vertical="center" wrapText="1"/>
    </xf>
    <xf numFmtId="49" fontId="185" fillId="31" borderId="9" xfId="0" applyNumberFormat="1" applyFont="1" applyFill="1" applyBorder="1" applyAlignment="1">
      <alignment horizontal="center" vertical="center"/>
    </xf>
    <xf numFmtId="49" fontId="185" fillId="31" borderId="0" xfId="0" applyNumberFormat="1" applyFont="1" applyFill="1" applyAlignment="1">
      <alignment horizontal="center" vertical="center"/>
    </xf>
    <xf numFmtId="49" fontId="187" fillId="31" borderId="7" xfId="0" applyNumberFormat="1" applyFont="1" applyFill="1" applyBorder="1" applyAlignment="1">
      <alignment horizontal="center" vertical="center"/>
    </xf>
    <xf numFmtId="49" fontId="187" fillId="31" borderId="8" xfId="0" applyNumberFormat="1" applyFont="1" applyFill="1" applyBorder="1" applyAlignment="1">
      <alignment horizontal="center" vertical="center"/>
    </xf>
    <xf numFmtId="49" fontId="187" fillId="31" borderId="8" xfId="0" applyNumberFormat="1" applyFont="1" applyFill="1" applyBorder="1" applyAlignment="1">
      <alignment horizontal="center" vertical="center" wrapText="1"/>
    </xf>
    <xf numFmtId="49" fontId="187" fillId="31" borderId="9" xfId="0" applyNumberFormat="1" applyFont="1" applyFill="1" applyBorder="1" applyAlignment="1">
      <alignment horizontal="center" vertical="center"/>
    </xf>
    <xf numFmtId="49" fontId="187" fillId="64" borderId="0" xfId="0" applyNumberFormat="1" applyFont="1" applyFill="1" applyAlignment="1">
      <alignment horizontal="center" vertical="center"/>
    </xf>
    <xf numFmtId="0" fontId="16" fillId="0" borderId="0" xfId="5" applyFont="1">
      <alignment vertical="center"/>
      <protection locked="0" hidden="0"/>
    </xf>
    <xf numFmtId="0" fontId="28" fillId="0" borderId="16" xfId="0" applyNumberFormat="1" applyFont="1" applyFill="1" applyBorder="1" applyAlignment="1">
      <alignment horizontal="left" vertical="center"/>
    </xf>
    <xf numFmtId="0" fontId="28" fillId="0" borderId="0" xfId="0" applyNumberFormat="1" applyFont="1" applyFill="1" applyBorder="1" applyAlignment="1">
      <alignment horizontal="center" vertical="center"/>
    </xf>
    <xf numFmtId="0" fontId="28" fillId="0" borderId="17" xfId="0" applyNumberFormat="1" applyFont="1" applyFill="1" applyBorder="1" applyAlignment="1">
      <alignment horizontal="center" vertical="center"/>
    </xf>
    <xf numFmtId="0" fontId="188" fillId="0" borderId="137" xfId="5" applyNumberFormat="1" applyFont="1" applyFill="1" applyBorder="1" applyAlignment="1">
      <alignment horizontal="center" vertical="center" wrapText="1"/>
    </xf>
    <xf numFmtId="0" fontId="189" fillId="79" borderId="137" xfId="5" applyNumberFormat="1" applyFont="1" applyFill="1" applyBorder="1" applyAlignment="1">
      <alignment horizontal="left" vertical="center" wrapText="1"/>
    </xf>
    <xf numFmtId="0" fontId="189" fillId="79" borderId="96" xfId="5" applyNumberFormat="1" applyFont="1" applyFill="1" applyBorder="1" applyAlignment="1">
      <alignment horizontal="left" vertical="center" wrapText="1"/>
    </xf>
    <xf numFmtId="0" fontId="82" fillId="0" borderId="0" xfId="5" applyNumberFormat="1" applyFont="1">
      <alignment vertical="center"/>
    </xf>
    <xf numFmtId="0" fontId="28" fillId="0" borderId="16" xfId="0" applyFont="1" applyFill="1" applyBorder="1" applyAlignment="1">
      <alignment horizontal="left" vertical="center"/>
    </xf>
    <xf numFmtId="0" fontId="28" fillId="0" borderId="0" xfId="0" applyFont="1" applyFill="1" applyBorder="1" applyAlignment="1">
      <alignment horizontal="center" vertical="center"/>
    </xf>
    <xf numFmtId="0" fontId="28" fillId="0" borderId="0" xfId="0" applyFont="1" applyFill="1" applyBorder="1" applyAlignment="1" quotePrefix="1">
      <alignment horizontal="center" vertical="center"/>
    </xf>
    <xf numFmtId="0" fontId="28" fillId="0" borderId="0" xfId="5" applyFont="1" applyAlignment="1">
      <alignment horizontal="center" vertical="center"/>
    </xf>
    <xf numFmtId="0" fontId="28" fillId="0" borderId="17" xfId="0" applyFont="1" applyFill="1" applyBorder="1" applyAlignment="1">
      <alignment horizontal="center" vertical="center"/>
    </xf>
    <xf numFmtId="0" fontId="190" fillId="0" borderId="137" xfId="5" applyFont="1" applyBorder="1" applyAlignment="1">
      <alignment horizontal="center" vertical="center" wrapText="1"/>
    </xf>
    <xf numFmtId="0" fontId="191" fillId="0" borderId="96" xfId="5" applyFont="1" applyFill="1" applyBorder="1" applyAlignment="1">
      <alignment horizontal="center" vertical="center" wrapText="1" textRotation="255"/>
    </xf>
    <xf numFmtId="0" fontId="192" fillId="0" borderId="0" xfId="5" applyFont="1" applyFill="1" applyAlignment="1">
      <alignment vertical="center" wrapText="1"/>
    </xf>
    <xf numFmtId="0" fontId="192" fillId="0" borderId="0" xfId="5" applyFont="1" applyFill="1" applyBorder="1" applyAlignment="1">
      <alignment vertical="center" wrapText="1"/>
    </xf>
    <xf numFmtId="0" fontId="192" fillId="0" borderId="0" xfId="5" applyFont="1">
      <alignment vertical="center"/>
    </xf>
    <xf numFmtId="0" fontId="28" fillId="0" borderId="201" xfId="0" applyNumberFormat="1" applyFont="1" applyFill="1" applyBorder="1" applyAlignment="1">
      <alignment horizontal="left" vertical="center"/>
    </xf>
    <xf numFmtId="0" fontId="28" fillId="0" borderId="202" xfId="0" applyNumberFormat="1" applyFont="1" applyFill="1" applyBorder="1" applyAlignment="1">
      <alignment horizontal="center" vertical="center"/>
    </xf>
    <xf numFmtId="0" fontId="28" fillId="0" borderId="203" xfId="0" applyNumberFormat="1" applyFont="1" applyFill="1" applyBorder="1" applyAlignment="1">
      <alignment horizontal="center" vertical="center"/>
    </xf>
    <xf numFmtId="0" fontId="110" fillId="0" borderId="0" xfId="5" applyFont="1" applyBorder="1">
      <alignment vertical="center"/>
      <protection locked="0" hidden="0"/>
    </xf>
    <xf numFmtId="0" fontId="28" fillId="0" borderId="17" xfId="0" applyNumberFormat="1" applyFont="1" applyFill="1" applyBorder="1" applyAlignment="1" quotePrefix="1">
      <alignment horizontal="center" vertical="center"/>
    </xf>
    <xf numFmtId="0" fontId="28" fillId="0" borderId="211" xfId="0" applyFont="1" applyFill="1" applyBorder="1" applyAlignment="1">
      <alignment horizontal="left" vertical="center"/>
    </xf>
    <xf numFmtId="0" fontId="28" fillId="0" borderId="134" xfId="0" applyFont="1" applyFill="1" applyBorder="1" applyAlignment="1">
      <alignment horizontal="center" vertical="center"/>
    </xf>
    <xf numFmtId="0" fontId="28" fillId="0" borderId="134" xfId="0" applyFont="1" applyFill="1" applyBorder="1" applyAlignment="1" quotePrefix="1">
      <alignment horizontal="center" vertical="center"/>
    </xf>
    <xf numFmtId="0" fontId="28" fillId="0" borderId="134" xfId="5" applyFont="1" applyBorder="1" applyAlignment="1">
      <alignment horizontal="center" vertical="center"/>
    </xf>
    <xf numFmtId="0" fontId="28" fillId="0" borderId="212" xfId="0" applyFont="1" applyFill="1" applyBorder="1" applyAlignment="1">
      <alignment horizontal="center" vertical="center"/>
    </xf>
    <xf numFmtId="0" fontId="16" fillId="0" borderId="0" xfId="5" applyFont="1" applyBorder="1">
      <alignment vertical="center"/>
      <protection locked="0" hidden="0"/>
    </xf>
    <xf numFmtId="0" fontId="28" fillId="0" borderId="161" xfId="0" applyFont="1" applyFill="1" applyBorder="1" applyAlignment="1">
      <alignment horizontal="center" vertical="center"/>
    </xf>
    <xf numFmtId="0" fontId="28" fillId="0" borderId="193" xfId="0" applyFont="1" applyFill="1" applyBorder="1" applyAlignment="1">
      <alignment horizontal="center" vertical="center"/>
    </xf>
    <xf numFmtId="0" fontId="28" fillId="0" borderId="211" xfId="0" applyNumberFormat="1" applyFont="1" applyFill="1" applyBorder="1" applyAlignment="1">
      <alignment horizontal="left" vertical="center"/>
    </xf>
    <xf numFmtId="0" fontId="28" fillId="0" borderId="134" xfId="0" applyNumberFormat="1" applyFont="1" applyFill="1" applyBorder="1" applyAlignment="1">
      <alignment horizontal="center" vertical="center"/>
    </xf>
    <xf numFmtId="0" fontId="28" fillId="0" borderId="212" xfId="0" applyNumberFormat="1" applyFont="1" applyFill="1" applyBorder="1" applyAlignment="1">
      <alignment horizontal="center" vertical="center"/>
    </xf>
    <xf numFmtId="0" fontId="28" fillId="79" borderId="201" xfId="0" applyNumberFormat="1" applyFont="1" applyFill="1" applyBorder="1" applyAlignment="1">
      <alignment horizontal="left" vertical="center"/>
    </xf>
    <xf numFmtId="0" fontId="28" fillId="79" borderId="202" xfId="0" applyNumberFormat="1" applyFont="1" applyFill="1" applyBorder="1" applyAlignment="1">
      <alignment horizontal="center" vertical="center"/>
    </xf>
    <xf numFmtId="0" fontId="28" fillId="79" borderId="203" xfId="0" applyNumberFormat="1" applyFont="1" applyFill="1" applyBorder="1" applyAlignment="1">
      <alignment horizontal="center" vertical="center"/>
    </xf>
    <xf numFmtId="0" fontId="28" fillId="79" borderId="16" xfId="0" applyFont="1" applyFill="1" applyBorder="1" applyAlignment="1">
      <alignment horizontal="left" vertical="center"/>
    </xf>
    <xf numFmtId="0" fontId="28" fillId="79" borderId="0" xfId="0" applyFont="1" applyFill="1" applyBorder="1" applyAlignment="1">
      <alignment horizontal="center" vertical="center"/>
    </xf>
    <xf numFmtId="0" fontId="28" fillId="79" borderId="0" xfId="0" applyFont="1" applyFill="1" applyBorder="1" applyAlignment="1" quotePrefix="1">
      <alignment horizontal="center" vertical="center"/>
    </xf>
    <xf numFmtId="0" fontId="28" fillId="79" borderId="0" xfId="5" applyFont="1" applyFill="1" applyAlignment="1" quotePrefix="1">
      <alignment horizontal="center" vertical="center"/>
    </xf>
    <xf numFmtId="0" fontId="28" fillId="79" borderId="17" xfId="0" applyFont="1" applyFill="1" applyBorder="1" applyAlignment="1">
      <alignment horizontal="center" vertical="center"/>
    </xf>
    <xf numFmtId="0" fontId="193" fillId="79" borderId="137" xfId="5" applyFont="1" applyFill="1" applyBorder="1" applyAlignment="1">
      <alignment horizontal="center" vertical="center" wrapText="1"/>
    </xf>
    <xf numFmtId="0" fontId="28" fillId="0" borderId="0" xfId="5" applyFont="1" applyBorder="1" applyAlignment="1">
      <alignment horizontal="center" vertical="center"/>
    </xf>
    <xf numFmtId="0" fontId="39" fillId="80" borderId="16" xfId="0" applyNumberFormat="1" applyFont="1" applyFill="1" applyBorder="1" applyAlignment="1">
      <alignment horizontal="left" vertical="center"/>
    </xf>
    <xf numFmtId="0" fontId="39" fillId="81" borderId="0" xfId="0" applyNumberFormat="1" applyFont="1" applyFill="1" applyBorder="1" applyAlignment="1">
      <alignment horizontal="center" vertical="center"/>
    </xf>
    <xf numFmtId="0" fontId="39" fillId="81" borderId="0" xfId="0" applyNumberFormat="1" applyFont="1" applyFill="1" applyAlignment="1">
      <alignment horizontal="center" vertical="center"/>
    </xf>
    <xf numFmtId="0" fontId="39" fillId="81" borderId="17" xfId="0" applyNumberFormat="1" applyFont="1" applyFill="1" applyBorder="1" applyAlignment="1">
      <alignment horizontal="center" vertical="center"/>
    </xf>
    <xf numFmtId="0" fontId="161" fillId="81" borderId="137" xfId="5" applyNumberFormat="1" applyFont="1" applyFill="1" applyBorder="1" applyAlignment="1">
      <alignment horizontal="center" vertical="center" wrapText="1"/>
    </xf>
    <xf numFmtId="0" fontId="82" fillId="80" borderId="134" xfId="5" applyNumberFormat="1" applyFont="1" applyFill="1" applyBorder="1" applyAlignment="1">
      <alignment horizontal="center" vertical="center" wrapText="1"/>
    </xf>
    <xf numFmtId="0" fontId="82" fillId="80" borderId="140" xfId="5" applyNumberFormat="1" applyFont="1" applyFill="1" applyBorder="1" applyAlignment="1">
      <alignment horizontal="center" vertical="center" wrapText="1"/>
    </xf>
    <xf numFmtId="0" fontId="28" fillId="79" borderId="0" xfId="5" applyFont="1" applyFill="1" applyAlignment="1">
      <alignment horizontal="center" vertical="center"/>
    </xf>
    <xf numFmtId="0" fontId="39" fillId="0" borderId="0" xfId="0" applyNumberFormat="1" applyFont="1" applyFill="1" applyBorder="1" applyAlignment="1">
      <alignment horizontal="center" vertical="center"/>
    </xf>
    <xf numFmtId="0" fontId="82" fillId="80" borderId="0" xfId="5" applyNumberFormat="1" applyFont="1" applyFill="1" applyBorder="1" applyAlignment="1">
      <alignment horizontal="center" vertical="center" wrapText="1"/>
    </xf>
    <xf numFmtId="0" fontId="82" fillId="80" borderId="0" xfId="5" applyNumberFormat="1" applyFont="1" applyFill="1" applyAlignment="1">
      <alignment horizontal="center" vertical="center" wrapText="1"/>
    </xf>
    <xf numFmtId="0" fontId="82" fillId="80" borderId="149" xfId="5" applyNumberFormat="1" applyFont="1" applyFill="1" applyBorder="1" applyAlignment="1">
      <alignment horizontal="center" vertical="center" wrapText="1"/>
    </xf>
    <xf numFmtId="0" fontId="28" fillId="81" borderId="16" xfId="0" applyFont="1" applyFill="1" applyBorder="1" applyAlignment="1">
      <alignment horizontal="left" vertical="center"/>
    </xf>
    <xf numFmtId="0" fontId="28" fillId="81" borderId="0" xfId="0" applyFont="1" applyFill="1" applyBorder="1" applyAlignment="1">
      <alignment horizontal="center" vertical="center"/>
    </xf>
    <xf numFmtId="0" fontId="28" fillId="81" borderId="0" xfId="0" applyFont="1" applyFill="1" applyBorder="1" applyAlignment="1" quotePrefix="1">
      <alignment horizontal="center" vertical="center"/>
    </xf>
    <xf numFmtId="0" fontId="28" fillId="81" borderId="17" xfId="0" applyFont="1" applyFill="1" applyBorder="1" applyAlignment="1">
      <alignment horizontal="center" vertical="center"/>
    </xf>
    <xf numFmtId="0" fontId="193" fillId="81" borderId="149" xfId="5" applyFont="1" applyFill="1" applyBorder="1" applyAlignment="1">
      <alignment horizontal="center" vertical="center" wrapText="1"/>
    </xf>
    <xf numFmtId="0" fontId="106" fillId="0" borderId="16" xfId="5" applyNumberFormat="1" applyFont="1" applyBorder="1" applyAlignment="1">
      <alignment horizontal="left" vertical="center"/>
    </xf>
    <xf numFmtId="0" fontId="106" fillId="0" borderId="0" xfId="5" applyNumberFormat="1" applyFont="1" applyAlignment="1">
      <alignment horizontal="center" vertical="center"/>
    </xf>
    <xf numFmtId="0" fontId="106" fillId="0" borderId="17" xfId="5" applyNumberFormat="1" applyFont="1" applyBorder="1" applyAlignment="1" quotePrefix="1">
      <alignment horizontal="center" vertical="center"/>
    </xf>
    <xf numFmtId="0" fontId="82" fillId="80" borderId="161" xfId="5" applyNumberFormat="1" applyFont="1" applyFill="1" applyBorder="1" applyAlignment="1">
      <alignment horizontal="center" vertical="center" wrapText="1"/>
    </xf>
    <xf numFmtId="0" fontId="82" fillId="80" borderId="162" xfId="5" applyNumberFormat="1" applyFont="1" applyFill="1" applyBorder="1" applyAlignment="1">
      <alignment horizontal="center" vertical="center" wrapText="1"/>
    </xf>
    <xf numFmtId="0" fontId="39" fillId="81" borderId="16" xfId="0" applyNumberFormat="1" applyFont="1" applyFill="1" applyBorder="1" applyAlignment="1">
      <alignment horizontal="left" vertical="center"/>
    </xf>
    <xf numFmtId="0" fontId="39" fillId="81" borderId="17" xfId="0" applyNumberFormat="1" applyFont="1" applyFill="1" applyBorder="1" applyAlignment="1">
      <alignment horizontal="center" vertical="center"/>
    </xf>
    <xf numFmtId="0" fontId="150" fillId="0" borderId="142" xfId="5" applyFont="1" applyBorder="1" applyAlignment="1">
      <alignment horizontal="center" vertical="center" wrapText="1"/>
    </xf>
    <xf numFmtId="0" fontId="82" fillId="0" borderId="134" xfId="5" applyBorder="1" applyAlignment="1">
      <alignment horizontal="center" vertical="center" wrapText="1"/>
    </xf>
    <xf numFmtId="0" fontId="28" fillId="82" borderId="16" xfId="0" applyFont="1" applyFill="1" applyBorder="1" applyAlignment="1">
      <alignment horizontal="left" vertical="center"/>
    </xf>
    <xf numFmtId="0" fontId="28" fillId="82" borderId="0" xfId="0" applyFont="1" applyFill="1" applyBorder="1" applyAlignment="1">
      <alignment horizontal="center" vertical="center"/>
    </xf>
    <xf numFmtId="0" fontId="28" fillId="82" borderId="0" xfId="0" applyFont="1" applyFill="1" applyBorder="1" applyAlignment="1" quotePrefix="1">
      <alignment horizontal="center" vertical="center"/>
    </xf>
    <xf numFmtId="0" fontId="28" fillId="82" borderId="0" xfId="5" applyFont="1" applyFill="1" applyAlignment="1">
      <alignment horizontal="center" vertical="center"/>
    </xf>
    <xf numFmtId="0" fontId="28" fillId="82" borderId="17" xfId="0" applyFont="1" applyFill="1" applyBorder="1" applyAlignment="1">
      <alignment horizontal="center" vertical="center"/>
    </xf>
    <xf numFmtId="0" fontId="194" fillId="82" borderId="137" xfId="5" applyFont="1" applyFill="1" applyBorder="1" applyAlignment="1">
      <alignment horizontal="center" vertical="center" wrapText="1"/>
    </xf>
    <xf numFmtId="0" fontId="39" fillId="0" borderId="16" xfId="0" applyNumberFormat="1" applyFont="1" applyFill="1" applyBorder="1" applyAlignment="1">
      <alignment horizontal="left" vertical="center"/>
    </xf>
    <xf numFmtId="0" fontId="39" fillId="0" borderId="17" xfId="0" applyNumberFormat="1" applyFont="1" applyFill="1" applyBorder="1" applyAlignment="1">
      <alignment horizontal="center" vertical="center"/>
    </xf>
    <xf numFmtId="0" fontId="82" fillId="0" borderId="148" xfId="5" applyBorder="1" applyAlignment="1">
      <alignment horizontal="center" vertical="center" wrapText="1"/>
    </xf>
    <xf numFmtId="0" fontId="82" fillId="0" borderId="0" xfId="5" applyAlignment="1">
      <alignment horizontal="center" vertical="center" wrapText="1"/>
    </xf>
    <xf numFmtId="0" fontId="106" fillId="0" borderId="17" xfId="5" applyNumberFormat="1" applyFont="1" applyBorder="1" applyAlignment="1">
      <alignment horizontal="center" vertical="center"/>
    </xf>
    <xf numFmtId="0" fontId="28" fillId="83" borderId="16" xfId="0" applyFont="1" applyFill="1" applyBorder="1" applyAlignment="1">
      <alignment horizontal="left" vertical="center"/>
    </xf>
    <xf numFmtId="0" fontId="192" fillId="83" borderId="142" xfId="5" applyFont="1" applyFill="1" applyBorder="1" applyAlignment="1">
      <alignment horizontal="center" vertical="center" wrapText="1"/>
    </xf>
    <xf numFmtId="0" fontId="192" fillId="83" borderId="134" xfId="5" applyFont="1" applyFill="1" applyBorder="1" applyAlignment="1">
      <alignment horizontal="center" vertical="center" wrapText="1"/>
    </xf>
    <xf numFmtId="0" fontId="192" fillId="83" borderId="140" xfId="5" applyFont="1" applyFill="1" applyBorder="1" applyAlignment="1">
      <alignment horizontal="center" vertical="center" wrapText="1"/>
    </xf>
    <xf numFmtId="0" fontId="192" fillId="83" borderId="148" xfId="5" applyFont="1" applyFill="1" applyBorder="1" applyAlignment="1">
      <alignment horizontal="center" vertical="center" wrapText="1"/>
    </xf>
    <xf numFmtId="0" fontId="192" fillId="83" borderId="0" xfId="5" applyFont="1" applyFill="1" applyAlignment="1">
      <alignment horizontal="center" vertical="center" wrapText="1"/>
    </xf>
    <xf numFmtId="0" fontId="192" fillId="83" borderId="149" xfId="5" applyFont="1" applyFill="1" applyBorder="1" applyAlignment="1">
      <alignment horizontal="center" vertical="center" wrapText="1"/>
    </xf>
    <xf numFmtId="0" fontId="192" fillId="83" borderId="160" xfId="5" applyFont="1" applyFill="1" applyBorder="1" applyAlignment="1">
      <alignment horizontal="center" vertical="center" wrapText="1"/>
    </xf>
    <xf numFmtId="0" fontId="192" fillId="83" borderId="161" xfId="5" applyFont="1" applyFill="1" applyBorder="1" applyAlignment="1">
      <alignment horizontal="center" vertical="center" wrapText="1"/>
    </xf>
    <xf numFmtId="0" fontId="192" fillId="83" borderId="162" xfId="5" applyFont="1" applyFill="1" applyBorder="1" applyAlignment="1">
      <alignment horizontal="center" vertical="center" wrapText="1"/>
    </xf>
    <xf numFmtId="0" fontId="39" fillId="0" borderId="17" xfId="0" applyNumberFormat="1" applyFont="1" applyFill="1" applyBorder="1" applyAlignment="1" quotePrefix="1">
      <alignment horizontal="center" vertical="center"/>
    </xf>
    <xf numFmtId="0" fontId="39" fillId="84" borderId="16" xfId="0" applyFont="1" applyFill="1" applyBorder="1" applyAlignment="1">
      <alignment horizontal="left" vertical="center"/>
    </xf>
    <xf numFmtId="0" fontId="39" fillId="84" borderId="0" xfId="0" applyFont="1" applyFill="1" applyBorder="1" applyAlignment="1">
      <alignment horizontal="center" vertical="center"/>
    </xf>
    <xf numFmtId="0" fontId="39" fillId="84" borderId="0" xfId="0" applyFont="1" applyFill="1" applyBorder="1" applyAlignment="1" quotePrefix="1">
      <alignment horizontal="center" vertical="center"/>
    </xf>
    <xf numFmtId="0" fontId="106" fillId="84" borderId="0" xfId="5" applyFont="1" applyFill="1" applyAlignment="1">
      <alignment horizontal="center" vertical="center"/>
    </xf>
    <xf numFmtId="0" fontId="39" fillId="84" borderId="17" xfId="0" applyFont="1" applyFill="1" applyBorder="1" applyAlignment="1">
      <alignment horizontal="center" vertical="center"/>
    </xf>
    <xf numFmtId="0" fontId="164" fillId="84" borderId="140" xfId="5" applyFont="1" applyFill="1" applyBorder="1" applyAlignment="1">
      <alignment horizontal="center" vertical="center" wrapText="1"/>
    </xf>
    <xf numFmtId="0" fontId="16" fillId="0" borderId="0" xfId="5" applyFont="1" applyFill="1" applyBorder="1" applyAlignment="1">
      <alignment vertical="center" wrapText="1"/>
    </xf>
    <xf numFmtId="0" fontId="16" fillId="0" borderId="0" xfId="5" applyFont="1" applyFill="1" applyBorder="1">
      <alignment vertical="center"/>
      <protection locked="0" hidden="0"/>
    </xf>
    <xf numFmtId="0" fontId="39" fillId="81" borderId="17" xfId="0" applyNumberFormat="1" applyFont="1" applyFill="1" applyBorder="1" applyAlignment="1" quotePrefix="1">
      <alignment horizontal="center" vertical="center"/>
    </xf>
    <xf numFmtId="0" fontId="39" fillId="0" borderId="16" xfId="0" applyFont="1" applyFill="1" applyBorder="1" applyAlignment="1">
      <alignment horizontal="left" vertical="center"/>
    </xf>
    <xf numFmtId="0" fontId="39" fillId="0" borderId="0" xfId="0" applyFont="1" applyFill="1" applyBorder="1" applyAlignment="1">
      <alignment horizontal="center" vertical="center"/>
    </xf>
    <xf numFmtId="0" fontId="39" fillId="0" borderId="0" xfId="0" applyFont="1" applyFill="1" applyBorder="1" applyAlignment="1" quotePrefix="1">
      <alignment horizontal="center" vertical="center"/>
    </xf>
    <xf numFmtId="0" fontId="106" fillId="0" borderId="0" xfId="5" applyFont="1" applyAlignment="1">
      <alignment horizontal="center" vertical="center"/>
    </xf>
    <xf numFmtId="0" fontId="39" fillId="0" borderId="17" xfId="0" applyFont="1" applyFill="1" applyBorder="1" applyAlignment="1">
      <alignment horizontal="center" vertical="center"/>
    </xf>
    <xf numFmtId="0" fontId="164" fillId="84" borderId="149" xfId="5" applyFont="1" applyFill="1" applyBorder="1" applyAlignment="1">
      <alignment horizontal="center" vertical="center" wrapText="1"/>
    </xf>
    <xf numFmtId="0" fontId="16" fillId="0" borderId="0" xfId="5" applyFont="1" applyFill="1" applyBorder="1">
      <alignment vertical="center"/>
    </xf>
    <xf numFmtId="0" fontId="39" fillId="40" borderId="16" xfId="0" applyNumberFormat="1" applyFont="1" applyFill="1" applyBorder="1" applyAlignment="1">
      <alignment horizontal="left" vertical="center"/>
    </xf>
    <xf numFmtId="0" fontId="39" fillId="40" borderId="0" xfId="0" applyNumberFormat="1" applyFont="1" applyFill="1" applyBorder="1" applyAlignment="1">
      <alignment horizontal="center" vertical="center"/>
    </xf>
    <xf numFmtId="0" fontId="39" fillId="40" borderId="17" xfId="0" applyNumberFormat="1" applyFont="1" applyFill="1" applyBorder="1" applyAlignment="1">
      <alignment horizontal="center" vertical="center"/>
    </xf>
    <xf numFmtId="0" fontId="82" fillId="0" borderId="160" xfId="5" applyBorder="1" applyAlignment="1">
      <alignment horizontal="center" vertical="center" wrapText="1"/>
    </xf>
    <xf numFmtId="0" fontId="82" fillId="0" borderId="161" xfId="5" applyBorder="1" applyAlignment="1">
      <alignment horizontal="center" vertical="center" wrapText="1"/>
    </xf>
    <xf numFmtId="0" fontId="16" fillId="0" borderId="0" xfId="5" applyFont="1">
      <alignment vertical="center"/>
    </xf>
    <xf numFmtId="0" fontId="39" fillId="44" borderId="16" xfId="0" applyNumberFormat="1" applyFont="1" applyFill="1" applyBorder="1" applyAlignment="1">
      <alignment horizontal="left" vertical="center"/>
    </xf>
    <xf numFmtId="0" fontId="39" fillId="44" borderId="0" xfId="0" applyNumberFormat="1" applyFont="1" applyFill="1" applyBorder="1" applyAlignment="1">
      <alignment horizontal="center" vertical="center"/>
    </xf>
    <xf numFmtId="0" fontId="39" fillId="44" borderId="0" xfId="0" applyNumberFormat="1" applyFont="1" applyFill="1" applyAlignment="1">
      <alignment horizontal="center" vertical="center"/>
    </xf>
    <xf numFmtId="0" fontId="39" fillId="44" borderId="17" xfId="0" applyNumberFormat="1" applyFont="1" applyFill="1" applyBorder="1" applyAlignment="1">
      <alignment horizontal="center" vertical="center"/>
    </xf>
    <xf numFmtId="0" fontId="161" fillId="44" borderId="137" xfId="5" applyNumberFormat="1" applyFont="1" applyFill="1" applyBorder="1" applyAlignment="1">
      <alignment horizontal="center" vertical="center" wrapText="1"/>
    </xf>
    <xf numFmtId="0" fontId="82" fillId="85" borderId="134" xfId="5" applyNumberFormat="1" applyFont="1" applyFill="1" applyBorder="1" applyAlignment="1">
      <alignment horizontal="center" vertical="center" wrapText="1"/>
    </xf>
    <xf numFmtId="0" fontId="82" fillId="85" borderId="134" xfId="5" applyNumberFormat="1" applyFont="1" applyFill="1" applyBorder="1" applyAlignment="1">
      <alignment horizontal="center" vertical="center"/>
    </xf>
    <xf numFmtId="0" fontId="82" fillId="85" borderId="140" xfId="5" applyNumberFormat="1" applyFont="1" applyFill="1" applyBorder="1" applyAlignment="1">
      <alignment horizontal="center" vertical="center"/>
    </xf>
    <xf numFmtId="0" fontId="39" fillId="0" borderId="0" xfId="0" applyNumberFormat="1" applyFont="1" applyFill="1" applyAlignment="1">
      <alignment horizontal="center" vertical="center"/>
    </xf>
    <xf numFmtId="0" fontId="82" fillId="85" borderId="0" xfId="5" applyNumberFormat="1" applyFont="1" applyFill="1" applyBorder="1" applyAlignment="1">
      <alignment horizontal="center" vertical="center"/>
    </xf>
    <xf numFmtId="0" fontId="82" fillId="85" borderId="0" xfId="5" applyNumberFormat="1" applyFont="1" applyFill="1" applyAlignment="1">
      <alignment horizontal="center" vertical="center"/>
    </xf>
    <xf numFmtId="0" fontId="82" fillId="85" borderId="149" xfId="5" applyNumberFormat="1" applyFont="1" applyFill="1" applyBorder="1" applyAlignment="1">
      <alignment horizontal="center" vertical="center"/>
    </xf>
    <xf numFmtId="0" fontId="82" fillId="85" borderId="161" xfId="5" applyNumberFormat="1" applyFont="1" applyFill="1" applyBorder="1" applyAlignment="1">
      <alignment horizontal="center" vertical="center"/>
    </xf>
    <xf numFmtId="0" fontId="82" fillId="85" borderId="162" xfId="5" applyNumberFormat="1" applyFont="1" applyFill="1" applyBorder="1" applyAlignment="1">
      <alignment horizontal="center" vertical="center"/>
    </xf>
    <xf numFmtId="0" fontId="82" fillId="0" borderId="0" xfId="5" applyNumberFormat="1" applyFont="1" applyFill="1" applyBorder="1" applyAlignment="1">
      <alignment vertical="center" wrapText="1"/>
    </xf>
    <xf numFmtId="0" fontId="82" fillId="86" borderId="134" xfId="5" applyNumberFormat="1" applyFont="1" applyFill="1" applyBorder="1" applyAlignment="1">
      <alignment horizontal="center" vertical="center" wrapText="1"/>
    </xf>
    <xf numFmtId="0" fontId="82" fillId="86" borderId="140" xfId="5" applyNumberFormat="1" applyFont="1" applyFill="1" applyBorder="1" applyAlignment="1">
      <alignment horizontal="center" vertical="center" wrapText="1"/>
    </xf>
    <xf numFmtId="0" fontId="39" fillId="85" borderId="16" xfId="0" applyNumberFormat="1" applyFont="1" applyFill="1" applyBorder="1" applyAlignment="1">
      <alignment horizontal="left" vertical="center"/>
    </xf>
    <xf numFmtId="0" fontId="39" fillId="85" borderId="0" xfId="0" applyNumberFormat="1" applyFont="1" applyFill="1" applyBorder="1" applyAlignment="1">
      <alignment horizontal="center" vertical="center"/>
    </xf>
    <xf numFmtId="0" fontId="39" fillId="85" borderId="0" xfId="0" applyNumberFormat="1" applyFont="1" applyFill="1" applyAlignment="1">
      <alignment horizontal="center" vertical="center"/>
    </xf>
    <xf numFmtId="0" fontId="39" fillId="85" borderId="17" xfId="0" applyNumberFormat="1" applyFont="1" applyFill="1" applyBorder="1" applyAlignment="1">
      <alignment horizontal="center" vertical="center"/>
    </xf>
    <xf numFmtId="0" fontId="82" fillId="86" borderId="0" xfId="5" applyNumberFormat="1" applyFont="1" applyFill="1" applyBorder="1" applyAlignment="1">
      <alignment horizontal="center" vertical="center" wrapText="1"/>
    </xf>
    <xf numFmtId="0" fontId="82" fillId="86" borderId="0" xfId="5" applyNumberFormat="1" applyFont="1" applyFill="1" applyAlignment="1">
      <alignment horizontal="center" vertical="center" wrapText="1"/>
    </xf>
    <xf numFmtId="0" fontId="82" fillId="86" borderId="149" xfId="5" applyNumberFormat="1" applyFont="1" applyFill="1" applyBorder="1" applyAlignment="1">
      <alignment horizontal="center" vertical="center" wrapText="1"/>
    </xf>
    <xf numFmtId="0" fontId="82" fillId="86" borderId="161" xfId="5" applyNumberFormat="1" applyFont="1" applyFill="1" applyBorder="1" applyAlignment="1">
      <alignment horizontal="center" vertical="center" wrapText="1"/>
    </xf>
    <xf numFmtId="0" fontId="82" fillId="86" borderId="162" xfId="5" applyNumberFormat="1" applyFont="1" applyFill="1" applyBorder="1" applyAlignment="1">
      <alignment horizontal="center" vertical="center" wrapText="1"/>
    </xf>
    <xf numFmtId="0" fontId="195" fillId="0" borderId="0" xfId="5" applyNumberFormat="1" applyFont="1" applyFill="1" applyAlignment="1">
      <alignment horizontal="left" vertical="center" wrapText="1"/>
    </xf>
    <xf numFmtId="0" fontId="39" fillId="75" borderId="16" xfId="0" applyFont="1" applyFill="1" applyBorder="1" applyAlignment="1">
      <alignment horizontal="left" vertical="center"/>
    </xf>
    <xf numFmtId="0" fontId="39" fillId="75" borderId="0" xfId="0" applyFont="1" applyFill="1" applyBorder="1" applyAlignment="1">
      <alignment horizontal="center" vertical="center"/>
    </xf>
    <xf numFmtId="0" fontId="39" fillId="75" borderId="0" xfId="0" applyFont="1" applyFill="1" applyBorder="1" applyAlignment="1" quotePrefix="1">
      <alignment horizontal="center" vertical="center"/>
    </xf>
    <xf numFmtId="0" fontId="106" fillId="75" borderId="0" xfId="5" applyFont="1" applyFill="1" applyAlignment="1">
      <alignment horizontal="center" vertical="center"/>
    </xf>
    <xf numFmtId="0" fontId="39" fillId="75" borderId="17" xfId="0" applyFont="1" applyFill="1" applyBorder="1" applyAlignment="1">
      <alignment horizontal="center" vertical="center"/>
    </xf>
    <xf numFmtId="0" fontId="164" fillId="75" borderId="149" xfId="5" applyFont="1" applyFill="1" applyBorder="1" applyAlignment="1">
      <alignment horizontal="center" vertical="center" wrapText="1"/>
    </xf>
    <xf numFmtId="0" fontId="106" fillId="0" borderId="0" xfId="5" applyFont="1" applyFill="1" applyAlignment="1">
      <alignment horizontal="center" vertical="center"/>
    </xf>
    <xf numFmtId="0" fontId="106" fillId="44" borderId="0" xfId="5" applyNumberFormat="1" applyFont="1" applyFill="1" applyAlignment="1">
      <alignment horizontal="center" vertical="center"/>
    </xf>
    <xf numFmtId="0" fontId="16" fillId="87" borderId="142" xfId="5" applyFont="1" applyFill="1" applyBorder="1" applyAlignment="1">
      <alignment horizontal="center" vertical="center"/>
    </xf>
    <xf numFmtId="0" fontId="16" fillId="87" borderId="134" xfId="5" applyFont="1" applyFill="1" applyBorder="1" applyAlignment="1">
      <alignment horizontal="center" vertical="center"/>
    </xf>
    <xf numFmtId="0" fontId="16" fillId="87" borderId="140" xfId="5" applyFont="1" applyFill="1" applyBorder="1" applyAlignment="1">
      <alignment horizontal="center" vertical="center"/>
    </xf>
    <xf numFmtId="0" fontId="39" fillId="86" borderId="16" xfId="0" applyNumberFormat="1" applyFont="1" applyFill="1" applyBorder="1" applyAlignment="1">
      <alignment horizontal="left" vertical="center"/>
    </xf>
    <xf numFmtId="0" fontId="39" fillId="86" borderId="0" xfId="0" applyNumberFormat="1" applyFont="1" applyFill="1" applyBorder="1" applyAlignment="1">
      <alignment horizontal="center" vertical="center"/>
    </xf>
    <xf numFmtId="0" fontId="39" fillId="86" borderId="0" xfId="0" applyNumberFormat="1" applyFont="1" applyFill="1" applyAlignment="1">
      <alignment horizontal="center" vertical="center"/>
    </xf>
    <xf numFmtId="0" fontId="106" fillId="86" borderId="0" xfId="5" applyNumberFormat="1" applyFont="1" applyFill="1" applyAlignment="1">
      <alignment horizontal="center" vertical="center"/>
    </xf>
    <xf numFmtId="0" fontId="39" fillId="86" borderId="17" xfId="0" applyNumberFormat="1" applyFont="1" applyFill="1" applyBorder="1" applyAlignment="1">
      <alignment horizontal="center" vertical="center"/>
    </xf>
    <xf numFmtId="0" fontId="16" fillId="87" borderId="148" xfId="5" applyFont="1" applyFill="1" applyBorder="1" applyAlignment="1">
      <alignment horizontal="center" vertical="center"/>
    </xf>
    <xf numFmtId="0" fontId="16" fillId="87" borderId="0" xfId="5" applyFont="1" applyFill="1" applyAlignment="1">
      <alignment horizontal="center" vertical="center"/>
    </xf>
    <xf numFmtId="0" fontId="16" fillId="87" borderId="149" xfId="5" applyFont="1" applyFill="1" applyBorder="1" applyAlignment="1">
      <alignment horizontal="center" vertical="center"/>
    </xf>
    <xf numFmtId="0" fontId="16" fillId="87" borderId="160" xfId="5" applyFont="1" applyFill="1" applyBorder="1" applyAlignment="1">
      <alignment horizontal="center" vertical="center"/>
    </xf>
    <xf numFmtId="0" fontId="16" fillId="87" borderId="161" xfId="5" applyFont="1" applyFill="1" applyBorder="1" applyAlignment="1">
      <alignment horizontal="center" vertical="center"/>
    </xf>
    <xf numFmtId="0" fontId="16" fillId="87" borderId="162" xfId="5" applyFont="1" applyFill="1" applyBorder="1" applyAlignment="1">
      <alignment horizontal="center" vertical="center"/>
    </xf>
    <xf numFmtId="0" fontId="39" fillId="88" borderId="16" xfId="0" applyNumberFormat="1" applyFont="1" applyFill="1" applyBorder="1" applyAlignment="1">
      <alignment horizontal="left" vertical="center"/>
    </xf>
    <xf numFmtId="0" fontId="106" fillId="88" borderId="0" xfId="5" applyNumberFormat="1" applyFont="1" applyFill="1" applyAlignment="1">
      <alignment horizontal="center" vertical="center"/>
    </xf>
    <xf numFmtId="0" fontId="39" fillId="88" borderId="0" xfId="0" applyNumberFormat="1" applyFont="1" applyFill="1" applyBorder="1" applyAlignment="1">
      <alignment horizontal="center" vertical="center"/>
    </xf>
    <xf numFmtId="0" fontId="39" fillId="88" borderId="17" xfId="0" applyNumberFormat="1" applyFont="1" applyFill="1" applyBorder="1" applyAlignment="1">
      <alignment horizontal="center" vertical="center"/>
    </xf>
    <xf numFmtId="0" fontId="161" fillId="88" borderId="140" xfId="5" applyNumberFormat="1" applyFont="1" applyFill="1" applyBorder="1" applyAlignment="1">
      <alignment horizontal="center" vertical="center" wrapText="1"/>
    </xf>
    <xf numFmtId="0" fontId="16" fillId="81" borderId="142" xfId="5" applyFont="1" applyFill="1" applyBorder="1" applyAlignment="1">
      <alignment horizontal="center" vertical="center" wrapText="1"/>
    </xf>
    <xf numFmtId="0" fontId="16" fillId="81" borderId="134" xfId="5" applyFont="1" applyFill="1" applyBorder="1" applyAlignment="1">
      <alignment horizontal="center" vertical="center"/>
    </xf>
    <xf numFmtId="0" fontId="16" fillId="81" borderId="140" xfId="5" applyFont="1" applyFill="1" applyBorder="1" applyAlignment="1">
      <alignment horizontal="center" vertical="center"/>
    </xf>
    <xf numFmtId="0" fontId="16" fillId="81" borderId="148" xfId="5" applyFont="1" applyFill="1" applyBorder="1" applyAlignment="1">
      <alignment horizontal="center" vertical="center"/>
    </xf>
    <xf numFmtId="0" fontId="16" fillId="81" borderId="0" xfId="5" applyFont="1" applyFill="1" applyAlignment="1">
      <alignment horizontal="center" vertical="center"/>
    </xf>
    <xf numFmtId="0" fontId="16" fillId="81" borderId="149" xfId="5" applyFont="1" applyFill="1" applyBorder="1" applyAlignment="1">
      <alignment horizontal="center" vertical="center"/>
    </xf>
    <xf numFmtId="28" fontId="39" fillId="88" borderId="17" xfId="0" applyNumberFormat="1" applyFont="1" applyFill="1" applyBorder="1" applyAlignment="1" quotePrefix="1">
      <alignment horizontal="center" vertical="center"/>
    </xf>
    <xf numFmtId="0" fontId="106" fillId="0" borderId="0" xfId="5" applyFont="1" applyAlignment="1" quotePrefix="1">
      <alignment horizontal="center" vertical="center"/>
    </xf>
    <xf numFmtId="0" fontId="106" fillId="0" borderId="17" xfId="5" applyFont="1" applyBorder="1" applyAlignment="1">
      <alignment horizontal="center" vertical="center"/>
    </xf>
    <xf numFmtId="0" fontId="106" fillId="87" borderId="16" xfId="5" applyFont="1" applyFill="1" applyBorder="1">
      <alignment vertical="center"/>
    </xf>
    <xf numFmtId="0" fontId="196" fillId="87" borderId="0" xfId="5" applyFont="1" applyFill="1" applyAlignment="1">
      <alignment horizontal="center" vertical="center"/>
    </xf>
    <xf numFmtId="0" fontId="106" fillId="87" borderId="0" xfId="5" applyFont="1" applyFill="1" applyAlignment="1">
      <alignment horizontal="center" vertical="center"/>
    </xf>
    <xf numFmtId="0" fontId="39" fillId="87" borderId="0" xfId="0" applyFont="1" applyFill="1" applyBorder="1" applyAlignment="1">
      <alignment horizontal="center" vertical="center"/>
    </xf>
    <xf numFmtId="0" fontId="39" fillId="87" borderId="17" xfId="0" applyFont="1" applyFill="1" applyBorder="1" applyAlignment="1">
      <alignment horizontal="center" vertical="center"/>
    </xf>
    <xf numFmtId="0" fontId="16" fillId="81" borderId="160" xfId="5" applyFont="1" applyFill="1" applyBorder="1" applyAlignment="1">
      <alignment horizontal="center" vertical="center"/>
    </xf>
    <xf numFmtId="0" fontId="16" fillId="81" borderId="161" xfId="5" applyFont="1" applyFill="1" applyBorder="1" applyAlignment="1">
      <alignment horizontal="center" vertical="center"/>
    </xf>
    <xf numFmtId="0" fontId="16" fillId="81" borderId="162" xfId="5" applyFont="1" applyFill="1" applyBorder="1" applyAlignment="1">
      <alignment horizontal="center" vertical="center"/>
    </xf>
    <xf numFmtId="0" fontId="197" fillId="0" borderId="0" xfId="5" applyNumberFormat="1" applyFont="1" applyFill="1" applyAlignment="1">
      <alignment vertical="center" wrapText="1"/>
    </xf>
    <xf numFmtId="0" fontId="39" fillId="81" borderId="16" xfId="0" applyFont="1" applyFill="1" applyBorder="1" applyAlignment="1">
      <alignment horizontal="left" vertical="center"/>
    </xf>
    <xf numFmtId="0" fontId="39" fillId="81" borderId="0" xfId="0" applyFont="1" applyFill="1" applyBorder="1" applyAlignment="1">
      <alignment horizontal="center" vertical="center"/>
    </xf>
    <xf numFmtId="0" fontId="39" fillId="81" borderId="0" xfId="0" applyFont="1" applyFill="1" applyBorder="1" applyAlignment="1" quotePrefix="1">
      <alignment horizontal="center" vertical="center"/>
    </xf>
    <xf numFmtId="0" fontId="106" fillId="81" borderId="0" xfId="5" applyFont="1" applyFill="1" applyAlignment="1">
      <alignment horizontal="center" vertical="center"/>
    </xf>
    <xf numFmtId="0" fontId="39" fillId="81" borderId="17" xfId="0" applyFont="1" applyFill="1" applyBorder="1" applyAlignment="1">
      <alignment horizontal="center" vertical="center"/>
    </xf>
    <xf numFmtId="0" fontId="16" fillId="0" borderId="148" xfId="5" applyFont="1" applyFill="1" applyBorder="1">
      <alignment vertical="center"/>
    </xf>
    <xf numFmtId="0" fontId="39" fillId="89" borderId="16" xfId="0" applyFont="1" applyFill="1" applyBorder="1" applyAlignment="1">
      <alignment horizontal="left" vertical="center"/>
    </xf>
    <xf numFmtId="0" fontId="39" fillId="89" borderId="0" xfId="0" applyFont="1" applyFill="1" applyBorder="1" applyAlignment="1">
      <alignment horizontal="center" vertical="center"/>
    </xf>
    <xf numFmtId="0" fontId="39" fillId="89" borderId="0" xfId="0" applyFont="1" applyFill="1" applyBorder="1" applyAlignment="1" quotePrefix="1">
      <alignment horizontal="center" vertical="center"/>
    </xf>
    <xf numFmtId="0" fontId="106" fillId="89" borderId="0" xfId="5" applyFont="1" applyFill="1" applyAlignment="1" quotePrefix="1">
      <alignment horizontal="center" vertical="center"/>
    </xf>
    <xf numFmtId="0" fontId="39" fillId="89" borderId="17" xfId="0" applyFont="1" applyFill="1" applyBorder="1" applyAlignment="1">
      <alignment horizontal="center" vertical="center"/>
    </xf>
    <xf numFmtId="0" fontId="165" fillId="89" borderId="149" xfId="5" applyFont="1" applyFill="1" applyBorder="1" applyAlignment="1">
      <alignment horizontal="center" vertical="center" wrapText="1"/>
    </xf>
    <xf numFmtId="0" fontId="16" fillId="0" borderId="148" xfId="5" applyFont="1" applyBorder="1">
      <alignment vertical="center"/>
    </xf>
    <xf numFmtId="0" fontId="106" fillId="89" borderId="0" xfId="5" applyFont="1" applyFill="1" applyAlignment="1">
      <alignment horizontal="center" vertical="center"/>
    </xf>
    <xf numFmtId="0" fontId="93" fillId="0" borderId="0" xfId="0" applyFont="1" applyFill="1" applyBorder="1" applyAlignment="1">
      <alignment horizontal="center" vertical="center"/>
    </xf>
    <xf numFmtId="0" fontId="106" fillId="0" borderId="16" xfId="5" applyFont="1" applyBorder="1">
      <alignment vertical="center"/>
      <protection locked="0" hidden="0"/>
    </xf>
    <xf numFmtId="0" fontId="106" fillId="0" borderId="0" xfId="5" applyFont="1" applyAlignment="1">
      <alignment horizontal="center" vertical="center"/>
      <protection locked="0" hidden="0"/>
    </xf>
    <xf numFmtId="0" fontId="82" fillId="0" borderId="17" xfId="5" applyBorder="1" applyAlignment="1">
      <alignment horizontal="center" vertical="center"/>
      <protection locked="0" hidden="0"/>
    </xf>
    <xf numFmtId="0" fontId="165" fillId="89" borderId="162" xfId="5" applyFont="1" applyFill="1" applyBorder="1" applyAlignment="1">
      <alignment horizontal="center" vertical="center" wrapText="1"/>
    </xf>
    <xf numFmtId="0" fontId="39" fillId="90" borderId="16" xfId="0" applyFont="1" applyFill="1" applyBorder="1" applyAlignment="1">
      <alignment horizontal="left" vertical="center"/>
    </xf>
    <xf numFmtId="0" fontId="39" fillId="90" borderId="0" xfId="0" applyFont="1" applyFill="1" applyBorder="1" applyAlignment="1">
      <alignment horizontal="center" vertical="center"/>
    </xf>
    <xf numFmtId="0" fontId="39" fillId="90" borderId="0" xfId="0" applyFont="1" applyFill="1" applyBorder="1" applyAlignment="1" quotePrefix="1">
      <alignment horizontal="center" vertical="center"/>
    </xf>
    <xf numFmtId="0" fontId="106" fillId="90" borderId="0" xfId="5" applyFont="1" applyFill="1" applyAlignment="1">
      <alignment horizontal="center" vertical="center"/>
    </xf>
    <xf numFmtId="0" fontId="39" fillId="90" borderId="17" xfId="0" applyFont="1" applyFill="1" applyBorder="1" applyAlignment="1">
      <alignment horizontal="center" vertical="center"/>
    </xf>
    <xf numFmtId="0" fontId="198" fillId="90" borderId="0" xfId="5" applyFont="1" applyFill="1" applyAlignment="1">
      <alignment horizontal="center" vertical="center" wrapText="1"/>
    </xf>
    <xf numFmtId="0" fontId="106" fillId="4" borderId="16" xfId="0" applyNumberFormat="1" applyFont="1" applyFill="1" applyBorder="1" applyAlignment="1">
      <alignment horizontal="left" vertical="center"/>
    </xf>
    <xf numFmtId="0" fontId="106" fillId="4" borderId="0" xfId="5" applyNumberFormat="1" applyFont="1" applyFill="1" applyAlignment="1">
      <alignment horizontal="center" vertical="center"/>
    </xf>
    <xf numFmtId="0" fontId="106" fillId="4" borderId="0" xfId="0" applyNumberFormat="1" applyFont="1" applyFill="1" applyBorder="1" applyAlignment="1">
      <alignment horizontal="center" vertical="center"/>
    </xf>
    <xf numFmtId="0" fontId="106" fillId="4" borderId="17" xfId="0" applyNumberFormat="1" applyFont="1" applyFill="1" applyBorder="1" applyAlignment="1">
      <alignment horizontal="center" vertical="center"/>
    </xf>
    <xf numFmtId="0" fontId="165" fillId="4" borderId="140" xfId="5" applyNumberFormat="1" applyFont="1" applyFill="1" applyBorder="1" applyAlignment="1">
      <alignment horizontal="center" vertical="center" wrapText="1"/>
    </xf>
    <xf numFmtId="0" fontId="82" fillId="0" borderId="0" xfId="5" applyNumberFormat="1" applyFont="1" applyFill="1" applyBorder="1">
      <alignment vertical="center"/>
    </xf>
    <xf numFmtId="49" fontId="39" fillId="0" borderId="0" xfId="0" applyNumberFormat="1" applyFont="1" applyFill="1" applyBorder="1" applyAlignment="1">
      <alignment horizontal="center" vertical="center"/>
    </xf>
    <xf numFmtId="0" fontId="106" fillId="0" borderId="0" xfId="5" applyNumberFormat="1" applyFont="1" applyFill="1" applyAlignment="1">
      <alignment horizontal="center" vertical="center"/>
    </xf>
    <xf numFmtId="49" fontId="39" fillId="90" borderId="0" xfId="0" applyNumberFormat="1" applyFont="1" applyFill="1" applyBorder="1" applyAlignment="1">
      <alignment horizontal="center" vertical="center"/>
    </xf>
    <xf numFmtId="0" fontId="81" fillId="64" borderId="7" xfId="5" applyFont="1" applyFill="1" applyBorder="1" applyAlignment="1">
      <alignment horizontal="center" vertical="center"/>
    </xf>
    <xf numFmtId="0" fontId="81" fillId="64" borderId="8" xfId="5" applyFont="1" applyFill="1" applyBorder="1" applyAlignment="1">
      <alignment horizontal="center" vertical="center"/>
    </xf>
    <xf numFmtId="0" fontId="81" fillId="64" borderId="9" xfId="5" applyFont="1" applyFill="1" applyBorder="1" applyAlignment="1">
      <alignment horizontal="center" vertical="center"/>
    </xf>
    <xf numFmtId="0" fontId="39" fillId="4" borderId="16" xfId="0" applyNumberFormat="1" applyFont="1" applyFill="1" applyBorder="1" applyAlignment="1">
      <alignment horizontal="left" vertical="center"/>
    </xf>
    <xf numFmtId="0" fontId="39" fillId="4" borderId="0" xfId="0" applyNumberFormat="1" applyFont="1" applyFill="1" applyBorder="1" applyAlignment="1">
      <alignment horizontal="center" vertical="center"/>
    </xf>
    <xf numFmtId="28" fontId="39" fillId="4" borderId="17" xfId="0" applyNumberFormat="1" applyFont="1" applyFill="1" applyBorder="1" applyAlignment="1" quotePrefix="1">
      <alignment horizontal="center" vertical="center"/>
    </xf>
    <xf numFmtId="0" fontId="82" fillId="4" borderId="211" xfId="5" applyFont="1" applyFill="1" applyBorder="1" applyAlignment="1">
      <alignment horizontal="center" vertical="center"/>
    </xf>
    <xf numFmtId="0" fontId="82" fillId="4" borderId="134" xfId="5" applyFont="1" applyFill="1" applyBorder="1" applyAlignment="1">
      <alignment horizontal="center" vertical="center"/>
    </xf>
    <xf numFmtId="0" fontId="82" fillId="4" borderId="212" xfId="5" applyFont="1" applyFill="1" applyBorder="1" applyAlignment="1">
      <alignment horizontal="center" vertical="center"/>
    </xf>
    <xf numFmtId="0" fontId="82" fillId="0" borderId="16" xfId="5" applyFont="1" applyFill="1" applyBorder="1" applyAlignment="1">
      <alignment horizontal="center" vertical="center"/>
    </xf>
    <xf numFmtId="0" fontId="82" fillId="0" borderId="0" xfId="5" applyFont="1" applyFill="1" applyBorder="1" applyAlignment="1">
      <alignment horizontal="center" vertical="center"/>
    </xf>
    <xf numFmtId="0" fontId="82" fillId="0" borderId="0" xfId="5" applyFont="1" applyFill="1" applyAlignment="1">
      <alignment horizontal="center" vertical="center"/>
    </xf>
    <xf numFmtId="0" fontId="82" fillId="0" borderId="17" xfId="5" applyFont="1" applyFill="1" applyBorder="1" applyAlignment="1">
      <alignment horizontal="center" vertical="center"/>
    </xf>
    <xf numFmtId="0" fontId="198" fillId="90" borderId="161" xfId="5" applyFont="1" applyFill="1" applyBorder="1" applyAlignment="1">
      <alignment horizontal="center" vertical="center" wrapText="1"/>
    </xf>
    <xf numFmtId="0" fontId="39" fillId="4" borderId="17" xfId="0" applyNumberFormat="1" applyFont="1" applyFill="1" applyBorder="1" applyAlignment="1">
      <alignment horizontal="center" vertical="center"/>
    </xf>
    <xf numFmtId="0" fontId="34" fillId="0" borderId="211" xfId="0" applyFont="1" applyFill="1" applyBorder="1" applyAlignment="1">
      <alignment horizontal="left" vertical="center"/>
    </xf>
    <xf numFmtId="0" fontId="34" fillId="0" borderId="134" xfId="0" applyFont="1" applyFill="1" applyBorder="1" applyAlignment="1">
      <alignment horizontal="center" vertical="center"/>
    </xf>
    <xf numFmtId="0" fontId="110" fillId="0" borderId="134" xfId="5" applyFont="1" applyBorder="1">
      <alignment vertical="center"/>
    </xf>
    <xf numFmtId="0" fontId="34" fillId="0" borderId="212" xfId="0" applyFont="1" applyFill="1" applyBorder="1" applyAlignment="1">
      <alignment horizontal="center" vertical="center"/>
    </xf>
    <xf numFmtId="0" fontId="34" fillId="0" borderId="16" xfId="0" applyFont="1" applyFill="1" applyBorder="1" applyAlignment="1">
      <alignment horizontal="left" vertical="center"/>
    </xf>
    <xf numFmtId="0" fontId="34" fillId="0" borderId="0" xfId="0" applyFont="1" applyFill="1" applyBorder="1" applyAlignment="1">
      <alignment horizontal="center" vertical="center"/>
    </xf>
    <xf numFmtId="0" fontId="110" fillId="0" borderId="0" xfId="5" applyFont="1">
      <alignment vertical="center"/>
    </xf>
    <xf numFmtId="28" fontId="106" fillId="4" borderId="17" xfId="0" applyNumberFormat="1" applyFont="1" applyFill="1" applyBorder="1" applyAlignment="1" quotePrefix="1">
      <alignment horizontal="center" vertical="center"/>
    </xf>
    <xf numFmtId="0" fontId="16" fillId="0" borderId="212" xfId="5" applyFont="1" applyFill="1" applyBorder="1" applyAlignment="1">
      <alignment vertical="center" wrapText="1"/>
    </xf>
    <xf numFmtId="0" fontId="39" fillId="42" borderId="16" xfId="0" applyNumberFormat="1" applyFont="1" applyFill="1" applyBorder="1" applyAlignment="1">
      <alignment horizontal="left" vertical="center"/>
    </xf>
    <xf numFmtId="0" fontId="106" fillId="42" borderId="0" xfId="5" applyNumberFormat="1" applyFont="1" applyFill="1" applyAlignment="1">
      <alignment horizontal="center" vertical="center"/>
    </xf>
    <xf numFmtId="0" fontId="39" fillId="42" borderId="0" xfId="0" applyNumberFormat="1" applyFont="1" applyFill="1" applyBorder="1" applyAlignment="1">
      <alignment horizontal="center" vertical="center"/>
    </xf>
    <xf numFmtId="0" fontId="39" fillId="42" borderId="17" xfId="0" applyNumberFormat="1" applyFont="1" applyFill="1" applyBorder="1" applyAlignment="1">
      <alignment horizontal="center" vertical="center"/>
    </xf>
    <xf numFmtId="0" fontId="161" fillId="42" borderId="140" xfId="5" applyNumberFormat="1" applyFont="1" applyFill="1" applyBorder="1" applyAlignment="1">
      <alignment horizontal="center" vertical="center" wrapText="1"/>
    </xf>
    <xf numFmtId="0" fontId="82" fillId="0" borderId="137" xfId="5" applyNumberFormat="1" applyFont="1" applyFill="1" applyBorder="1" applyAlignment="1">
      <alignment horizontal="center" vertical="center" wrapText="1"/>
    </xf>
    <xf numFmtId="0" fontId="82" fillId="91" borderId="96" xfId="5" applyNumberFormat="1" applyFont="1" applyFill="1" applyBorder="1" applyAlignment="1">
      <alignment horizontal="left" vertical="center" wrapText="1"/>
    </xf>
    <xf numFmtId="0" fontId="34" fillId="0" borderId="30" xfId="0" applyFont="1" applyFill="1" applyBorder="1" applyAlignment="1">
      <alignment horizontal="left" vertical="center"/>
    </xf>
    <xf numFmtId="0" fontId="34" fillId="0" borderId="29" xfId="0" applyFont="1" applyFill="1" applyBorder="1" applyAlignment="1">
      <alignment horizontal="center" vertical="center"/>
    </xf>
    <xf numFmtId="0" fontId="110" fillId="0" borderId="29" xfId="5" applyFont="1" applyBorder="1">
      <alignment vertical="center"/>
    </xf>
    <xf numFmtId="0" fontId="16" fillId="0" borderId="31" xfId="5" applyFont="1" applyFill="1" applyBorder="1" applyAlignment="1">
      <alignment vertical="center" wrapText="1"/>
    </xf>
    <xf numFmtId="0" fontId="82" fillId="0" borderId="30" xfId="5" applyFont="1" applyFill="1" applyBorder="1" applyAlignment="1">
      <alignment horizontal="center" vertical="center"/>
    </xf>
    <xf numFmtId="0" fontId="82" fillId="0" borderId="29" xfId="5" applyFont="1" applyFill="1" applyBorder="1" applyAlignment="1">
      <alignment horizontal="center" vertical="center"/>
    </xf>
    <xf numFmtId="0" fontId="82" fillId="0" borderId="31" xfId="5" applyFont="1" applyFill="1" applyBorder="1" applyAlignment="1">
      <alignment horizontal="center" vertical="center"/>
    </xf>
    <xf numFmtId="0" fontId="106" fillId="0" borderId="16" xfId="0" applyNumberFormat="1" applyFont="1" applyFill="1" applyBorder="1" applyAlignment="1">
      <alignment horizontal="left" vertical="center"/>
    </xf>
    <xf numFmtId="0" fontId="106" fillId="0" borderId="0" xfId="0" applyNumberFormat="1" applyFont="1" applyFill="1" applyBorder="1" applyAlignment="1">
      <alignment horizontal="center" vertical="center"/>
    </xf>
    <xf numFmtId="0" fontId="106" fillId="0" borderId="17" xfId="0" applyNumberFormat="1" applyFont="1" applyFill="1" applyBorder="1" applyAlignment="1">
      <alignment horizontal="center" vertical="center"/>
    </xf>
    <xf numFmtId="49" fontId="110" fillId="0" borderId="0" xfId="5" applyNumberFormat="1" applyFont="1" applyFill="1">
      <alignment vertical="center"/>
    </xf>
    <xf numFmtId="0" fontId="110" fillId="0" borderId="0" xfId="5" applyFont="1" applyFill="1">
      <alignment vertical="center"/>
    </xf>
    <xf numFmtId="0" fontId="16" fillId="0" borderId="0" xfId="5" applyFont="1" applyFill="1">
      <alignment vertical="center"/>
    </xf>
    <xf numFmtId="0" fontId="16" fillId="0" borderId="0" xfId="5" applyFont="1" applyFill="1" applyAlignment="1">
      <alignment horizontal="center" vertical="center"/>
    </xf>
    <xf numFmtId="0" fontId="199" fillId="0" borderId="0" xfId="5" applyFont="1" applyFill="1" applyBorder="1" applyAlignment="1">
      <alignment vertical="center" wrapText="1"/>
    </xf>
    <xf numFmtId="0" fontId="39" fillId="91" borderId="16" xfId="0" applyNumberFormat="1" applyFont="1" applyFill="1" applyBorder="1" applyAlignment="1">
      <alignment horizontal="left" vertical="center"/>
    </xf>
    <xf numFmtId="0" fontId="106" fillId="91" borderId="0" xfId="5" applyNumberFormat="1" applyFont="1" applyFill="1" applyAlignment="1">
      <alignment horizontal="center" vertical="center"/>
    </xf>
    <xf numFmtId="0" fontId="39" fillId="91" borderId="0" xfId="0" applyNumberFormat="1" applyFont="1" applyFill="1" applyBorder="1" applyAlignment="1">
      <alignment horizontal="center" vertical="center"/>
    </xf>
    <xf numFmtId="0" fontId="39" fillId="91" borderId="17" xfId="0" applyNumberFormat="1" applyFont="1" applyFill="1" applyBorder="1" applyAlignment="1">
      <alignment horizontal="center" vertical="center"/>
    </xf>
    <xf numFmtId="49" fontId="130" fillId="0" borderId="211" xfId="5" applyNumberFormat="1" applyFont="1" applyBorder="1" applyAlignment="1">
      <alignment horizontal="center" vertical="center" wrapText="1"/>
    </xf>
    <xf numFmtId="49" fontId="130" fillId="0" borderId="134" xfId="5" applyNumberFormat="1" applyFont="1" applyBorder="1" applyAlignment="1">
      <alignment horizontal="center" vertical="center" wrapText="1"/>
    </xf>
    <xf numFmtId="49" fontId="130" fillId="0" borderId="212" xfId="5" applyNumberFormat="1" applyFont="1" applyBorder="1" applyAlignment="1">
      <alignment horizontal="center" vertical="center" wrapText="1"/>
    </xf>
    <xf numFmtId="0" fontId="82" fillId="92" borderId="96" xfId="5" applyNumberFormat="1" applyFont="1" applyFill="1" applyBorder="1" applyAlignment="1">
      <alignment horizontal="left" vertical="center" wrapText="1"/>
    </xf>
    <xf numFmtId="49" fontId="130" fillId="0" borderId="16" xfId="5" applyNumberFormat="1" applyFont="1" applyBorder="1" applyAlignment="1">
      <alignment horizontal="center" vertical="center" wrapText="1"/>
    </xf>
    <xf numFmtId="49" fontId="130" fillId="0" borderId="0" xfId="5" applyNumberFormat="1" applyFont="1" applyAlignment="1">
      <alignment horizontal="center" vertical="center" wrapText="1"/>
    </xf>
    <xf numFmtId="49" fontId="130" fillId="0" borderId="17" xfId="5" applyNumberFormat="1" applyFont="1" applyBorder="1" applyAlignment="1">
      <alignment horizontal="center" vertical="center" wrapText="1"/>
    </xf>
    <xf numFmtId="49" fontId="130" fillId="0" borderId="213" xfId="5" applyNumberFormat="1" applyFont="1" applyBorder="1" applyAlignment="1">
      <alignment horizontal="center" vertical="center" wrapText="1"/>
    </xf>
    <xf numFmtId="49" fontId="130" fillId="0" borderId="161" xfId="5" applyNumberFormat="1" applyFont="1" applyBorder="1" applyAlignment="1">
      <alignment horizontal="center" vertical="center" wrapText="1"/>
    </xf>
    <xf numFmtId="49" fontId="130" fillId="0" borderId="193" xfId="5" applyNumberFormat="1" applyFont="1" applyBorder="1" applyAlignment="1">
      <alignment horizontal="center" vertical="center" wrapText="1"/>
    </xf>
    <xf numFmtId="49" fontId="130" fillId="0" borderId="134" xfId="5" applyNumberFormat="1" applyFont="1" applyBorder="1" applyAlignment="1">
      <alignment horizontal="center" vertical="center"/>
    </xf>
    <xf numFmtId="49" fontId="130" fillId="0" borderId="212" xfId="5" applyNumberFormat="1" applyFont="1" applyBorder="1" applyAlignment="1">
      <alignment horizontal="center" vertical="center"/>
    </xf>
    <xf numFmtId="0" fontId="106" fillId="92" borderId="16" xfId="5" applyFont="1" applyFill="1" applyBorder="1">
      <alignment vertical="center"/>
    </xf>
    <xf numFmtId="0" fontId="106" fillId="92" borderId="0" xfId="5" applyFont="1" applyFill="1" applyBorder="1" applyAlignment="1">
      <alignment horizontal="center" vertical="center"/>
    </xf>
    <xf numFmtId="0" fontId="106" fillId="92" borderId="17" xfId="5" applyFont="1" applyFill="1" applyBorder="1" applyAlignment="1">
      <alignment horizontal="center" vertical="center"/>
    </xf>
    <xf numFmtId="49" fontId="130" fillId="0" borderId="16" xfId="5" applyNumberFormat="1" applyFont="1" applyBorder="1" applyAlignment="1">
      <alignment horizontal="center" vertical="center"/>
    </xf>
    <xf numFmtId="49" fontId="130" fillId="0" borderId="0" xfId="5" applyNumberFormat="1" applyFont="1" applyAlignment="1">
      <alignment horizontal="center" vertical="center"/>
    </xf>
    <xf numFmtId="49" fontId="130" fillId="0" borderId="17" xfId="5" applyNumberFormat="1" applyFont="1" applyBorder="1" applyAlignment="1">
      <alignment horizontal="center" vertical="center"/>
    </xf>
    <xf numFmtId="0" fontId="39" fillId="0" borderId="73" xfId="0" applyNumberFormat="1" applyFont="1" applyFill="1" applyBorder="1" applyAlignment="1">
      <alignment horizontal="left" vertical="center"/>
      <protection locked="0" hidden="0"/>
    </xf>
    <xf numFmtId="0" fontId="106" fillId="0" borderId="73" xfId="5" applyNumberFormat="1" applyFont="1" applyFill="1" applyBorder="1" applyAlignment="1">
      <alignment horizontal="center" vertical="center"/>
      <protection locked="0" hidden="0"/>
    </xf>
    <xf numFmtId="0" fontId="39" fillId="0" borderId="73" xfId="0" applyNumberFormat="1" applyFont="1" applyFill="1" applyBorder="1" applyAlignment="1">
      <alignment horizontal="center" vertical="center"/>
      <protection locked="0" hidden="0"/>
    </xf>
    <xf numFmtId="0" fontId="164" fillId="0" borderId="137" xfId="5" applyNumberFormat="1" applyFont="1" applyFill="1" applyBorder="1" applyAlignment="1">
      <alignment horizontal="center" vertical="center" wrapText="1"/>
    </xf>
    <xf numFmtId="0" fontId="82" fillId="0" borderId="0" xfId="5" applyFont="1">
      <alignment vertical="center"/>
    </xf>
    <xf numFmtId="0" fontId="200" fillId="0" borderId="0" xfId="5" applyNumberFormat="1" applyFont="1" applyFill="1" applyBorder="1" applyAlignment="1">
      <alignment vertical="center" wrapText="1"/>
    </xf>
    <xf numFmtId="49" fontId="201" fillId="0" borderId="16" xfId="5" applyNumberFormat="1" applyFont="1" applyBorder="1" applyAlignment="1">
      <alignment horizontal="center" vertical="center"/>
    </xf>
    <xf numFmtId="49" fontId="201" fillId="0" borderId="0" xfId="5" applyNumberFormat="1" applyFont="1" applyBorder="1" applyAlignment="1">
      <alignment horizontal="center" vertical="center"/>
    </xf>
    <xf numFmtId="49" fontId="201" fillId="0" borderId="17" xfId="5" applyNumberFormat="1" applyFont="1" applyBorder="1" applyAlignment="1">
      <alignment horizontal="center" vertical="center"/>
    </xf>
    <xf numFmtId="49" fontId="202" fillId="0" borderId="16" xfId="5" applyNumberFormat="1" applyFont="1" applyBorder="1" applyAlignment="1">
      <alignment horizontal="center" vertical="center" wrapText="1"/>
    </xf>
    <xf numFmtId="49" fontId="202" fillId="0" borderId="0" xfId="5" applyNumberFormat="1" applyFont="1" applyAlignment="1">
      <alignment horizontal="center" vertical="center" wrapText="1"/>
    </xf>
    <xf numFmtId="49" fontId="202" fillId="0" borderId="17" xfId="5" applyNumberFormat="1" applyFont="1" applyBorder="1" applyAlignment="1">
      <alignment horizontal="center" vertical="center" wrapText="1"/>
    </xf>
    <xf numFmtId="49" fontId="202" fillId="0" borderId="211" xfId="5" applyNumberFormat="1" applyFont="1" applyBorder="1" applyAlignment="1">
      <alignment horizontal="center" vertical="center" wrapText="1"/>
    </xf>
    <xf numFmtId="49" fontId="202" fillId="0" borderId="134" xfId="5" applyNumberFormat="1" applyFont="1" applyBorder="1" applyAlignment="1">
      <alignment horizontal="center" vertical="center" wrapText="1"/>
    </xf>
    <xf numFmtId="49" fontId="202" fillId="0" borderId="212" xfId="5" applyNumberFormat="1" applyFont="1" applyBorder="1" applyAlignment="1">
      <alignment horizontal="center" vertical="center" wrapText="1"/>
    </xf>
    <xf numFmtId="49" fontId="202" fillId="0" borderId="213" xfId="5" applyNumberFormat="1" applyFont="1" applyBorder="1" applyAlignment="1">
      <alignment horizontal="center" vertical="center" wrapText="1"/>
    </xf>
    <xf numFmtId="49" fontId="202" fillId="0" borderId="161" xfId="5" applyNumberFormat="1" applyFont="1" applyBorder="1" applyAlignment="1">
      <alignment horizontal="center" vertical="center" wrapText="1"/>
    </xf>
    <xf numFmtId="49" fontId="202" fillId="0" borderId="193" xfId="5" applyNumberFormat="1" applyFont="1" applyBorder="1" applyAlignment="1">
      <alignment horizontal="center" vertical="center" wrapText="1"/>
    </xf>
    <xf numFmtId="0" fontId="3" fillId="74" borderId="7" xfId="5" applyNumberFormat="1" applyFont="1" applyFill="1" applyBorder="1" applyAlignment="1">
      <alignment horizontal="center" vertical="center"/>
    </xf>
    <xf numFmtId="0" fontId="3" fillId="74" borderId="8" xfId="5" applyNumberFormat="1" applyFont="1" applyFill="1" applyBorder="1" applyAlignment="1">
      <alignment horizontal="center" vertical="center"/>
    </xf>
    <xf numFmtId="0" fontId="3" fillId="74" borderId="9" xfId="5" applyNumberFormat="1" applyFont="1" applyFill="1" applyBorder="1" applyAlignment="1">
      <alignment horizontal="center" vertical="center"/>
    </xf>
    <xf numFmtId="49" fontId="202" fillId="0" borderId="0" xfId="5" applyNumberFormat="1" applyFont="1" applyAlignment="1">
      <alignment horizontal="center" vertical="center"/>
    </xf>
    <xf numFmtId="49" fontId="202" fillId="0" borderId="17" xfId="5" applyNumberFormat="1" applyFont="1" applyBorder="1" applyAlignment="1">
      <alignment horizontal="center" vertical="center"/>
    </xf>
    <xf numFmtId="0" fontId="130" fillId="0" borderId="259" xfId="5" applyNumberFormat="1" applyFont="1" applyBorder="1" applyAlignment="1">
      <alignment horizontal="center" vertical="center"/>
    </xf>
    <xf numFmtId="0" fontId="24" fillId="0" borderId="136" xfId="5" applyNumberFormat="1" applyFont="1" applyBorder="1" applyAlignment="1">
      <alignment horizontal="center" vertical="center"/>
    </xf>
    <xf numFmtId="0" fontId="24" fillId="0" borderId="260" xfId="5" applyNumberFormat="1" applyFont="1" applyBorder="1" applyAlignment="1">
      <alignment horizontal="center" vertical="center"/>
    </xf>
    <xf numFmtId="49" fontId="202" fillId="0" borderId="213" xfId="5" applyNumberFormat="1" applyFont="1" applyBorder="1" applyAlignment="1">
      <alignment horizontal="center" vertical="center"/>
    </xf>
    <xf numFmtId="49" fontId="202" fillId="0" borderId="161" xfId="5" applyNumberFormat="1" applyFont="1" applyBorder="1" applyAlignment="1">
      <alignment horizontal="center" vertical="center"/>
    </xf>
    <xf numFmtId="49" fontId="202" fillId="0" borderId="193" xfId="5" applyNumberFormat="1" applyFont="1" applyBorder="1" applyAlignment="1">
      <alignment horizontal="center" vertical="center"/>
    </xf>
    <xf numFmtId="49" fontId="202" fillId="0" borderId="30" xfId="5" applyNumberFormat="1" applyFont="1" applyBorder="1" applyAlignment="1">
      <alignment horizontal="center" vertical="center"/>
    </xf>
    <xf numFmtId="49" fontId="202" fillId="0" borderId="29" xfId="5" applyNumberFormat="1" applyFont="1" applyBorder="1" applyAlignment="1">
      <alignment horizontal="center" vertical="center"/>
    </xf>
    <xf numFmtId="49" fontId="202" fillId="0" borderId="31" xfId="5" applyNumberFormat="1" applyFont="1" applyBorder="1" applyAlignment="1">
      <alignment horizontal="center" vertical="center"/>
    </xf>
    <xf numFmtId="0" fontId="202" fillId="0" borderId="30" xfId="5" applyNumberFormat="1" applyFont="1" applyBorder="1" applyAlignment="1">
      <alignment horizontal="center" vertical="center"/>
    </xf>
    <xf numFmtId="0" fontId="14" fillId="0" borderId="29" xfId="5" applyNumberFormat="1" applyFont="1" applyBorder="1" applyAlignment="1">
      <alignment horizontal="center" vertical="center"/>
    </xf>
    <xf numFmtId="0" fontId="14" fillId="0" borderId="31" xfId="5" applyNumberFormat="1" applyFont="1" applyBorder="1" applyAlignment="1">
      <alignment horizontal="center" vertical="center"/>
    </xf>
    <xf numFmtId="0" fontId="201" fillId="0" borderId="0" xfId="5" applyNumberFormat="1" applyFont="1" applyBorder="1">
      <alignment vertical="center"/>
    </xf>
    <xf numFmtId="0" fontId="144" fillId="4" borderId="7" xfId="0" applyFont="1" applyFill="1" applyBorder="1" applyAlignment="1">
      <alignment horizontal="center" vertical="center"/>
    </xf>
    <xf numFmtId="0" fontId="144" fillId="4" borderId="8" xfId="0" applyFont="1" applyFill="1" applyBorder="1" applyAlignment="1">
      <alignment horizontal="center" vertical="center"/>
    </xf>
    <xf numFmtId="0" fontId="144" fillId="4" borderId="9" xfId="0" applyFont="1" applyFill="1" applyBorder="1" applyAlignment="1">
      <alignment horizontal="center" vertical="center"/>
    </xf>
    <xf numFmtId="0" fontId="144" fillId="4" borderId="16" xfId="0" applyFont="1" applyFill="1" applyBorder="1" applyAlignment="1">
      <alignment horizontal="center" vertical="center"/>
    </xf>
    <xf numFmtId="0" fontId="144" fillId="4" borderId="0" xfId="0" applyFont="1" applyFill="1" applyAlignment="1">
      <alignment horizontal="center" vertical="center"/>
    </xf>
    <xf numFmtId="0" fontId="144" fillId="4" borderId="17" xfId="0" applyFont="1" applyFill="1" applyBorder="1" applyAlignment="1">
      <alignment horizontal="center" vertical="center"/>
    </xf>
    <xf numFmtId="0" fontId="23" fillId="0" borderId="204" xfId="0" applyFont="1" applyFill="1" applyBorder="1" applyAlignment="1">
      <alignment horizontal="center" vertical="center" wrapText="1"/>
    </xf>
    <xf numFmtId="0" fontId="23" fillId="0" borderId="205" xfId="0" applyFont="1" applyFill="1" applyBorder="1" applyAlignment="1">
      <alignment horizontal="center" vertical="center" wrapText="1"/>
    </xf>
    <xf numFmtId="0" fontId="23" fillId="0" borderId="252" xfId="0" applyFont="1" applyFill="1" applyBorder="1" applyAlignment="1">
      <alignment horizontal="center" vertical="center" wrapText="1"/>
    </xf>
    <xf numFmtId="0" fontId="23" fillId="0" borderId="272" xfId="0" applyFont="1" applyFill="1" applyBorder="1" applyAlignment="1">
      <alignment horizontal="center" vertical="center" wrapText="1"/>
    </xf>
    <xf numFmtId="0" fontId="23" fillId="0" borderId="207" xfId="0" applyFont="1" applyFill="1" applyBorder="1" applyAlignment="1">
      <alignment horizontal="center" vertical="center" wrapText="1"/>
    </xf>
    <xf numFmtId="0" fontId="23" fillId="0" borderId="210" xfId="0" applyFont="1" applyFill="1" applyBorder="1" applyAlignment="1">
      <alignment horizontal="center" vertical="center" wrapText="1"/>
    </xf>
    <xf numFmtId="0" fontId="23" fillId="0" borderId="272" xfId="0" applyFont="1" applyFill="1" applyBorder="1" applyAlignment="1">
      <alignment horizontal="center" vertical="center" wrapText="1"/>
    </xf>
    <xf numFmtId="0" fontId="82" fillId="0" borderId="0" xfId="5" applyNumberFormat="1" applyFont="1" applyFill="1" applyBorder="1" applyAlignment="1">
      <alignment horizontal="center" vertical="center" wrapText="1"/>
    </xf>
    <xf numFmtId="0" fontId="23" fillId="0" borderId="208" xfId="0" applyFont="1" applyFill="1" applyBorder="1" applyAlignment="1">
      <alignment horizontal="center" vertical="center" wrapText="1"/>
    </xf>
    <xf numFmtId="0" fontId="23" fillId="0" borderId="273" xfId="0" applyFont="1" applyFill="1" applyBorder="1" applyAlignment="1">
      <alignment horizontal="center" vertical="center" wrapText="1"/>
    </xf>
    <xf numFmtId="0" fontId="23" fillId="0" borderId="273" xfId="0" applyFont="1" applyFill="1" applyBorder="1" applyAlignment="1">
      <alignment horizontal="center" vertical="center" wrapText="1"/>
    </xf>
    <xf numFmtId="0" fontId="23" fillId="0" borderId="274" xfId="0" applyFont="1" applyFill="1" applyBorder="1" applyAlignment="1">
      <alignment horizontal="center" vertical="center" wrapText="1"/>
    </xf>
    <xf numFmtId="0" fontId="23" fillId="0" borderId="275" xfId="0" applyFont="1" applyFill="1" applyBorder="1" applyAlignment="1">
      <alignment horizontal="center" vertical="center" wrapText="1"/>
    </xf>
    <xf numFmtId="0" fontId="23" fillId="0" borderId="275" xfId="0" applyFont="1" applyFill="1" applyBorder="1" applyAlignment="1">
      <alignment horizontal="center" vertical="center" wrapText="1"/>
    </xf>
    <xf numFmtId="0" fontId="23" fillId="0" borderId="203" xfId="0" applyFont="1" applyFill="1" applyBorder="1" applyAlignment="1">
      <alignment horizontal="center" vertical="center" wrapText="1"/>
    </xf>
    <xf numFmtId="0" fontId="23" fillId="0" borderId="201" xfId="0" applyFont="1" applyFill="1" applyBorder="1" applyAlignment="1">
      <alignment horizontal="center" vertical="center" wrapText="1"/>
    </xf>
    <xf numFmtId="0" fontId="23" fillId="0" borderId="202"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0" xfId="0" applyFont="1" applyFill="1" applyAlignment="1">
      <alignment horizontal="center" vertical="center" wrapText="1"/>
    </xf>
    <xf numFmtId="0" fontId="17" fillId="0" borderId="208"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20" fillId="3" borderId="7" xfId="0" applyFont="1" applyFill="1" applyBorder="1" applyAlignment="1">
      <alignment horizontal="center" vertical="center" wrapText="1"/>
    </xf>
    <xf numFmtId="0" fontId="120" fillId="3" borderId="8" xfId="0" applyFont="1" applyFill="1" applyBorder="1" applyAlignment="1">
      <alignment horizontal="center" vertical="center" wrapText="1"/>
    </xf>
    <xf numFmtId="0" fontId="120" fillId="3" borderId="9" xfId="0" applyFont="1" applyFill="1" applyBorder="1" applyAlignment="1">
      <alignment horizontal="center" vertical="center" wrapText="1"/>
    </xf>
    <xf numFmtId="0" fontId="144" fillId="0" borderId="0" xfId="0" applyFont="1" applyFill="1" applyBorder="1" applyAlignment="1">
      <alignment vertical="center" wrapText="1"/>
    </xf>
    <xf numFmtId="0" fontId="17" fillId="0" borderId="30" xfId="0" applyFont="1" applyFill="1" applyBorder="1" applyAlignment="1">
      <alignment horizontal="center" vertical="center" wrapText="1"/>
    </xf>
    <xf numFmtId="0" fontId="17" fillId="0" borderId="29" xfId="0" applyFont="1" applyFill="1" applyBorder="1" applyAlignment="1">
      <alignment horizontal="center" vertical="center" wrapText="1"/>
    </xf>
    <xf numFmtId="0" fontId="17" fillId="0" borderId="276" xfId="0" applyFont="1" applyFill="1" applyBorder="1" applyAlignment="1">
      <alignment horizontal="center" vertical="center" wrapText="1"/>
    </xf>
    <xf numFmtId="0" fontId="17" fillId="0" borderId="31" xfId="0" applyFont="1" applyFill="1" applyBorder="1" applyAlignment="1">
      <alignment horizontal="center" vertical="center" wrapText="1"/>
    </xf>
    <xf numFmtId="0" fontId="120" fillId="3" borderId="201" xfId="0" applyFont="1" applyFill="1" applyBorder="1" applyAlignment="1">
      <alignment horizontal="center" vertical="center" wrapText="1"/>
    </xf>
    <xf numFmtId="0" fontId="120" fillId="3" borderId="202" xfId="0" applyFont="1" applyFill="1" applyBorder="1" applyAlignment="1">
      <alignment horizontal="center" vertical="center" wrapText="1"/>
    </xf>
    <xf numFmtId="0" fontId="120" fillId="3" borderId="203" xfId="0" applyFont="1" applyFill="1" applyBorder="1" applyAlignment="1">
      <alignment horizontal="center" vertical="center" wrapText="1"/>
    </xf>
    <xf numFmtId="0" fontId="30" fillId="0" borderId="201" xfId="0" applyFont="1" applyFill="1" applyBorder="1" applyAlignment="1">
      <alignment horizontal="center" vertical="center"/>
    </xf>
    <xf numFmtId="0" fontId="144" fillId="4" borderId="202" xfId="0" applyFont="1" applyFill="1" applyBorder="1" applyAlignment="1">
      <alignment horizontal="center" vertical="center"/>
    </xf>
    <xf numFmtId="0" fontId="144" fillId="4" borderId="203" xfId="0" applyFont="1" applyFill="1" applyBorder="1" applyAlignment="1">
      <alignment horizontal="center" vertical="center"/>
    </xf>
    <xf numFmtId="0" fontId="82" fillId="0" borderId="0" xfId="5" applyNumberFormat="1" applyFont="1" applyFill="1" applyBorder="1" applyAlignment="1">
      <alignment horizontal="center" vertical="center"/>
    </xf>
    <xf numFmtId="0" fontId="30" fillId="0" borderId="208" xfId="0" applyFont="1" applyFill="1" applyBorder="1" applyAlignment="1">
      <alignment horizontal="left" vertical="center" wrapText="1"/>
    </xf>
    <xf numFmtId="0" fontId="30" fillId="0" borderId="171" xfId="0" applyFont="1" applyFill="1" applyBorder="1" applyAlignment="1">
      <alignment horizontal="left" vertical="center" wrapText="1"/>
    </xf>
    <xf numFmtId="0" fontId="30" fillId="0" borderId="17" xfId="0" applyFont="1" applyFill="1" applyBorder="1" applyAlignment="1">
      <alignment horizontal="left" vertical="center" wrapText="1"/>
    </xf>
    <xf numFmtId="0" fontId="30" fillId="0" borderId="209" xfId="0" applyFont="1" applyFill="1" applyBorder="1" applyAlignment="1">
      <alignment horizontal="left" vertical="center" wrapText="1"/>
    </xf>
    <xf numFmtId="0" fontId="30" fillId="0" borderId="202" xfId="0" applyFont="1" applyFill="1" applyBorder="1" applyAlignment="1">
      <alignment horizontal="left" vertical="center" wrapText="1"/>
    </xf>
    <xf numFmtId="0" fontId="30" fillId="0" borderId="203" xfId="0" applyFont="1" applyFill="1" applyBorder="1" applyAlignment="1">
      <alignment horizontal="left" vertical="center" wrapText="1"/>
    </xf>
    <xf numFmtId="0" fontId="23" fillId="0" borderId="0" xfId="0" applyFont="1" applyFill="1" applyBorder="1" applyAlignment="1">
      <alignment horizontal="center" vertical="center" wrapText="1"/>
    </xf>
    <xf numFmtId="0" fontId="23" fillId="0" borderId="171" xfId="0" applyFont="1" applyFill="1" applyBorder="1" applyAlignment="1">
      <alignment horizontal="center" vertical="center" wrapText="1"/>
    </xf>
    <xf numFmtId="0" fontId="23" fillId="0" borderId="206" xfId="0" applyFont="1" applyFill="1" applyBorder="1" applyAlignment="1">
      <alignment horizontal="center" vertical="center" wrapText="1"/>
    </xf>
    <xf numFmtId="0" fontId="30" fillId="0" borderId="171" xfId="0" applyFont="1" applyFill="1" applyBorder="1" applyAlignment="1">
      <alignment horizontal="center" vertical="center" wrapText="1"/>
    </xf>
    <xf numFmtId="0" fontId="23" fillId="0" borderId="209" xfId="0" applyFont="1" applyFill="1" applyBorder="1" applyAlignment="1">
      <alignment horizontal="center" vertical="center" wrapText="1"/>
    </xf>
    <xf numFmtId="0" fontId="82" fillId="0" borderId="0" xfId="5" applyNumberFormat="1" applyFont="1" applyFill="1" applyBorder="1" applyAlignment="1">
      <alignment horizontal="center" vertical="center"/>
    </xf>
    <xf numFmtId="0" fontId="23" fillId="0" borderId="16" xfId="5" applyFont="1" applyFill="1" applyBorder="1" applyAlignment="1">
      <alignment horizontal="center" vertical="center" wrapText="1"/>
    </xf>
    <xf numFmtId="0" fontId="23" fillId="0" borderId="0" xfId="5" applyFont="1" applyFill="1" applyAlignment="1">
      <alignment horizontal="center" vertical="center" wrapText="1"/>
    </xf>
    <xf numFmtId="0" fontId="23" fillId="0" borderId="208" xfId="5" applyFont="1" applyFill="1" applyBorder="1" applyAlignment="1">
      <alignment horizontal="center" vertical="center" wrapText="1"/>
    </xf>
    <xf numFmtId="0" fontId="23" fillId="0" borderId="205" xfId="5" applyFont="1" applyBorder="1" applyAlignment="1">
      <alignment horizontal="center" vertical="center" wrapText="1"/>
    </xf>
    <xf numFmtId="0" fontId="30" fillId="0" borderId="201" xfId="0" applyFont="1" applyFill="1" applyBorder="1" applyAlignment="1">
      <alignment horizontal="left" vertical="center" wrapText="1"/>
    </xf>
    <xf numFmtId="0" fontId="30" fillId="0" borderId="210" xfId="0" applyFont="1" applyFill="1" applyBorder="1" applyAlignment="1">
      <alignment horizontal="left" vertical="center" wrapText="1"/>
    </xf>
    <xf numFmtId="0" fontId="30" fillId="0" borderId="209" xfId="0" applyFont="1" applyFill="1" applyBorder="1" applyAlignment="1">
      <alignment horizontal="center" vertical="center" wrapText="1"/>
    </xf>
    <xf numFmtId="0" fontId="30" fillId="0" borderId="202" xfId="0" applyFont="1" applyFill="1" applyBorder="1" applyAlignment="1">
      <alignment horizontal="center" vertical="center" wrapText="1"/>
    </xf>
    <xf numFmtId="0" fontId="30" fillId="0" borderId="203" xfId="0" applyFont="1" applyFill="1" applyBorder="1" applyAlignment="1">
      <alignment horizontal="center" vertical="center" wrapText="1"/>
    </xf>
    <xf numFmtId="0" fontId="23" fillId="0" borderId="202" xfId="5" applyFont="1" applyBorder="1" applyAlignment="1">
      <alignment horizontal="center" vertical="center" wrapText="1"/>
    </xf>
    <xf numFmtId="0" fontId="23" fillId="0" borderId="277" xfId="0" applyFont="1" applyFill="1" applyBorder="1" applyAlignment="1">
      <alignment horizontal="center" vertical="center" wrapText="1"/>
    </xf>
    <xf numFmtId="0" fontId="23" fillId="0" borderId="278" xfId="0" applyFont="1" applyFill="1" applyBorder="1" applyAlignment="1">
      <alignment horizontal="center" vertical="center" wrapText="1"/>
    </xf>
    <xf numFmtId="0" fontId="23" fillId="0" borderId="171" xfId="5" applyFont="1" applyBorder="1" applyAlignment="1">
      <alignment horizontal="center" vertical="center" wrapText="1"/>
    </xf>
    <xf numFmtId="0" fontId="23" fillId="0" borderId="17" xfId="5" applyFont="1" applyBorder="1" applyAlignment="1">
      <alignment horizontal="center" vertical="center" wrapText="1"/>
    </xf>
    <xf numFmtId="0" fontId="24" fillId="0" borderId="0" xfId="5" applyNumberFormat="1" applyFont="1" applyFill="1" applyBorder="1" applyAlignment="1">
      <alignment horizontal="center" vertical="center"/>
    </xf>
    <xf numFmtId="0" fontId="24" fillId="0" borderId="0" xfId="5" applyNumberFormat="1" applyFont="1" applyFill="1" applyBorder="1" applyAlignment="1">
      <alignment horizontal="center" vertical="center"/>
    </xf>
    <xf numFmtId="0" fontId="24" fillId="0" borderId="0" xfId="5" applyNumberFormat="1" applyFont="1" applyFill="1" applyBorder="1">
      <alignment vertical="center"/>
    </xf>
    <xf numFmtId="0" fontId="202" fillId="0" borderId="201" xfId="0" applyFont="1" applyFill="1" applyBorder="1" applyAlignment="1">
      <alignment horizontal="center" vertical="center" wrapText="1"/>
    </xf>
    <xf numFmtId="0" fontId="202" fillId="0" borderId="202" xfId="0" applyFont="1" applyFill="1" applyBorder="1" applyAlignment="1">
      <alignment horizontal="center" vertical="center" wrapText="1"/>
    </xf>
    <xf numFmtId="0" fontId="202" fillId="0" borderId="210" xfId="0" applyFont="1" applyFill="1" applyBorder="1" applyAlignment="1">
      <alignment horizontal="center" vertical="center" wrapText="1"/>
    </xf>
    <xf numFmtId="0" fontId="23" fillId="0" borderId="209" xfId="5" applyFont="1" applyBorder="1" applyAlignment="1">
      <alignment horizontal="center" vertical="center" wrapText="1"/>
    </xf>
    <xf numFmtId="0" fontId="23" fillId="0" borderId="203" xfId="5" applyFont="1" applyBorder="1" applyAlignment="1">
      <alignment horizontal="center" vertical="center" wrapText="1"/>
    </xf>
    <xf numFmtId="0" fontId="23" fillId="0" borderId="0" xfId="0" applyFont="1" applyFill="1" applyBorder="1" applyAlignment="1">
      <alignment horizontal="center" vertical="center"/>
    </xf>
    <xf numFmtId="0" fontId="14" fillId="0" borderId="0" xfId="5" applyNumberFormat="1" applyFont="1" applyFill="1" applyBorder="1">
      <alignment vertical="center"/>
    </xf>
    <xf numFmtId="0" fontId="23" fillId="0" borderId="276" xfId="0" applyFont="1" applyFill="1" applyBorder="1" applyAlignment="1">
      <alignment horizontal="center" vertical="center" wrapText="1"/>
    </xf>
    <xf numFmtId="0" fontId="23" fillId="0" borderId="256" xfId="0" applyFont="1" applyFill="1" applyBorder="1" applyAlignment="1">
      <alignment horizontal="center" vertical="center" wrapText="1"/>
    </xf>
    <xf numFmtId="0" fontId="68" fillId="93" borderId="7" xfId="0" applyFont="1" applyFill="1" applyBorder="1" applyAlignment="1">
      <alignment horizontal="center" vertical="center"/>
    </xf>
    <xf numFmtId="0" fontId="68" fillId="93" borderId="8" xfId="0" applyFont="1" applyFill="1" applyBorder="1" applyAlignment="1">
      <alignment horizontal="center" vertical="center"/>
    </xf>
    <xf numFmtId="0" fontId="68" fillId="93" borderId="9" xfId="0" applyFont="1" applyFill="1" applyBorder="1" applyAlignment="1">
      <alignment horizontal="center" vertical="center"/>
    </xf>
    <xf numFmtId="0" fontId="14" fillId="0" borderId="0" xfId="5" applyNumberFormat="1" applyFont="1" applyFill="1" applyBorder="1" applyAlignment="1">
      <alignment vertical="center" wrapText="1"/>
    </xf>
    <xf numFmtId="0" fontId="24" fillId="0" borderId="0" xfId="5" applyNumberFormat="1" applyFont="1" applyFill="1" applyBorder="1" applyAlignment="1">
      <alignment vertical="center" wrapText="1"/>
    </xf>
    <xf numFmtId="0" fontId="68" fillId="93" borderId="16" xfId="0" applyFont="1" applyFill="1" applyBorder="1" applyAlignment="1">
      <alignment horizontal="center" vertical="center"/>
    </xf>
    <xf numFmtId="0" fontId="68" fillId="93" borderId="0" xfId="0" applyFont="1" applyFill="1" applyBorder="1" applyAlignment="1">
      <alignment horizontal="center" vertical="center"/>
    </xf>
    <xf numFmtId="0" fontId="68" fillId="93" borderId="17" xfId="0" applyFont="1" applyFill="1" applyBorder="1" applyAlignment="1">
      <alignment horizontal="center" vertical="center"/>
    </xf>
    <xf numFmtId="0" fontId="23" fillId="94" borderId="16" xfId="5" applyNumberFormat="1" applyFont="1" applyFill="1" applyBorder="1" applyAlignment="1">
      <alignment horizontal="center" vertical="center"/>
    </xf>
    <xf numFmtId="0" fontId="23" fillId="94" borderId="0" xfId="5" applyNumberFormat="1" applyFont="1" applyFill="1" applyAlignment="1">
      <alignment horizontal="center" vertical="center"/>
    </xf>
    <xf numFmtId="0" fontId="23" fillId="94" borderId="0" xfId="5" applyFont="1" applyFill="1" applyAlignment="1">
      <alignment horizontal="center" vertical="center"/>
    </xf>
    <xf numFmtId="0" fontId="23" fillId="94" borderId="17" xfId="5" applyFont="1" applyFill="1" applyBorder="1" applyAlignment="1">
      <alignment horizontal="center" vertical="center"/>
    </xf>
    <xf numFmtId="0" fontId="162" fillId="0" borderId="16" xfId="5" applyNumberFormat="1" applyFont="1" applyFill="1" applyBorder="1" applyAlignment="1">
      <alignment horizontal="left" vertical="center" wrapText="1"/>
    </xf>
    <xf numFmtId="0" fontId="162" fillId="0" borderId="0" xfId="5" applyNumberFormat="1" applyFont="1" applyFill="1" applyAlignment="1">
      <alignment horizontal="left" vertical="center" wrapText="1"/>
    </xf>
    <xf numFmtId="0" fontId="24" fillId="0" borderId="17" xfId="5" applyFont="1" applyBorder="1" applyAlignment="1">
      <alignment horizontal="center" vertical="center"/>
    </xf>
    <xf numFmtId="0" fontId="162" fillId="94" borderId="16" xfId="5" applyNumberFormat="1" applyFont="1" applyFill="1" applyBorder="1" applyAlignment="1">
      <alignment horizontal="left" vertical="center" wrapText="1"/>
    </xf>
    <xf numFmtId="0" fontId="162" fillId="94" borderId="0" xfId="5" applyNumberFormat="1" applyFont="1" applyFill="1" applyAlignment="1">
      <alignment horizontal="left" vertical="center" wrapText="1"/>
    </xf>
    <xf numFmtId="0" fontId="24" fillId="94" borderId="0" xfId="5" applyFont="1" applyFill="1" applyAlignment="1">
      <alignment horizontal="center" vertical="center" wrapText="1"/>
    </xf>
    <xf numFmtId="0" fontId="24" fillId="94" borderId="0" xfId="5" applyFont="1" applyFill="1" applyAlignment="1">
      <alignment horizontal="center" vertical="center"/>
    </xf>
    <xf numFmtId="0" fontId="24" fillId="94" borderId="17" xfId="5" applyFont="1" applyFill="1" applyBorder="1" applyAlignment="1">
      <alignment horizontal="center" vertical="center"/>
    </xf>
    <xf numFmtId="0" fontId="162" fillId="0" borderId="30" xfId="5" applyNumberFormat="1" applyFont="1" applyFill="1" applyBorder="1" applyAlignment="1">
      <alignment horizontal="left" vertical="center" wrapText="1"/>
    </xf>
    <xf numFmtId="0" fontId="162" fillId="0" borderId="29" xfId="5" applyNumberFormat="1" applyFont="1" applyFill="1" applyBorder="1" applyAlignment="1">
      <alignment horizontal="left" vertical="center" wrapText="1"/>
    </xf>
    <xf numFmtId="0" fontId="24" fillId="0" borderId="29" xfId="5" applyFont="1" applyBorder="1" applyAlignment="1">
      <alignment horizontal="center" vertical="center"/>
    </xf>
    <xf numFmtId="0" fontId="24" fillId="0" borderId="31" xfId="5" applyFont="1" applyBorder="1" applyAlignment="1">
      <alignment horizontal="center" vertical="center"/>
    </xf>
    <xf numFmtId="49" fontId="147" fillId="0" borderId="0" xfId="5" applyNumberFormat="1" applyFont="1" applyFill="1" applyBorder="1">
      <alignment vertical="center"/>
      <protection locked="0" hidden="0"/>
    </xf>
    <xf numFmtId="49" fontId="14" fillId="0" borderId="0" xfId="5" applyNumberFormat="1" applyFont="1" applyFill="1" applyBorder="1">
      <alignment vertical="center"/>
      <protection locked="0" hidden="0"/>
    </xf>
    <xf numFmtId="0" fontId="14" fillId="0" borderId="0" xfId="5" applyFont="1" applyFill="1" applyBorder="1">
      <alignment vertical="center"/>
      <protection locked="0" hidden="0"/>
    </xf>
    <xf numFmtId="0" fontId="24" fillId="0" borderId="0" xfId="5" applyFont="1" applyFill="1" applyBorder="1">
      <alignment vertical="center"/>
      <protection locked="0" hidden="0"/>
    </xf>
    <xf numFmtId="49" fontId="173" fillId="0" borderId="0" xfId="5" applyNumberFormat="1" applyFont="1" applyFill="1" applyBorder="1" applyAlignment="1">
      <alignment horizontal="center" vertical="center"/>
      <protection locked="0" hidden="0"/>
    </xf>
    <xf numFmtId="49" fontId="173" fillId="0" borderId="0" xfId="5" applyNumberFormat="1" applyFont="1" applyFill="1" applyBorder="1" applyAlignment="1">
      <alignment horizontal="center" vertical="center"/>
      <protection locked="0" hidden="0"/>
    </xf>
    <xf numFmtId="0" fontId="173" fillId="0" borderId="0" xfId="5" applyFont="1" applyFill="1" applyBorder="1" applyAlignment="1">
      <alignment horizontal="center" vertical="center"/>
      <protection locked="0" hidden="0"/>
    </xf>
    <xf numFmtId="49" fontId="24" fillId="0" borderId="0" xfId="5" applyNumberFormat="1" applyFont="1" applyFill="1" applyBorder="1" applyAlignment="1">
      <alignment horizontal="center" vertical="center" wrapText="1"/>
      <protection locked="0" hidden="0"/>
    </xf>
    <xf numFmtId="49" fontId="24" fillId="0" borderId="0" xfId="5" applyNumberFormat="1" applyFont="1" applyFill="1" applyBorder="1" applyAlignment="1">
      <alignment horizontal="center" vertical="center"/>
      <protection locked="0" hidden="0"/>
    </xf>
    <xf numFmtId="0" fontId="24" fillId="0" borderId="0" xfId="5" applyFont="1" applyFill="1" applyBorder="1" applyAlignment="1">
      <alignment horizontal="center" vertical="center" wrapText="1"/>
      <protection locked="0" hidden="0"/>
    </xf>
    <xf numFmtId="0" fontId="24" fillId="0" borderId="0" xfId="5" applyFont="1" applyFill="1" applyBorder="1" applyAlignment="1">
      <alignment horizontal="center" vertical="center"/>
      <protection locked="0" hidden="0"/>
    </xf>
    <xf numFmtId="49" fontId="14" fillId="0" borderId="0" xfId="5" applyNumberFormat="1" applyFont="1" applyFill="1" applyBorder="1" applyAlignment="1">
      <alignment horizontal="center" vertical="center"/>
      <protection locked="0" hidden="0"/>
    </xf>
    <xf numFmtId="0" fontId="82" fillId="0" borderId="0" xfId="5" applyBorder="1">
      <alignment vertical="center"/>
      <protection locked="0" hidden="0"/>
    </xf>
    <xf numFmtId="49" fontId="14" fillId="0" borderId="0" xfId="5" applyNumberFormat="1" applyFont="1" applyFill="1" applyBorder="1" applyAlignment="1">
      <alignment horizontal="center" vertical="center" wrapText="1"/>
      <protection locked="0" hidden="0"/>
    </xf>
    <xf numFmtId="0" fontId="17" fillId="0" borderId="0" xfId="5" applyFont="1" applyFill="1" applyBorder="1" applyAlignment="1">
      <alignment horizontal="center" vertical="center" wrapText="1"/>
      <protection locked="0" hidden="0"/>
    </xf>
    <xf numFmtId="0" fontId="24" fillId="0" borderId="0" xfId="5" applyFont="1" applyBorder="1" applyAlignment="1">
      <alignment vertical="center" wrapText="1"/>
      <protection locked="0" hidden="0"/>
    </xf>
    <xf numFmtId="49" fontId="24" fillId="0" borderId="0" xfId="5" applyNumberFormat="1" applyFont="1" applyFill="1" applyBorder="1" applyAlignment="1">
      <alignment horizontal="center" vertical="center" wrapText="1"/>
      <protection locked="0" hidden="0"/>
    </xf>
    <xf numFmtId="0" fontId="174" fillId="0" borderId="0" xfId="5" applyFont="1" applyFill="1" applyBorder="1" applyAlignment="1">
      <alignment horizontal="center" vertical="center" wrapText="1"/>
      <protection locked="0" hidden="0"/>
    </xf>
    <xf numFmtId="0" fontId="24" fillId="0" borderId="0" xfId="5" applyFont="1" applyFill="1" applyBorder="1" applyAlignment="1">
      <alignment horizontal="center" vertical="center"/>
      <protection locked="0" hidden="0"/>
    </xf>
    <xf numFmtId="0" fontId="106" fillId="0" borderId="0" xfId="5" applyFont="1" applyFill="1" applyBorder="1">
      <alignment vertical="center"/>
      <protection locked="0" hidden="0"/>
    </xf>
    <xf numFmtId="0" fontId="24" fillId="0" borderId="0" xfId="5" applyFont="1" applyFill="1" applyBorder="1" applyAlignment="1">
      <alignment vertical="center" wrapText="1"/>
      <protection locked="0" hidden="0"/>
    </xf>
    <xf numFmtId="0" fontId="14" fillId="0" borderId="0" xfId="5" applyFont="1" applyFill="1" applyBorder="1" applyAlignment="1">
      <alignment vertical="center" wrapText="1"/>
      <protection locked="0" hidden="0"/>
    </xf>
    <xf numFmtId="0" fontId="202" fillId="0" borderId="0" xfId="5" applyFont="1" applyFill="1" applyBorder="1" applyAlignment="1">
      <alignment horizontal="center" vertical="center"/>
      <protection locked="0" hidden="0"/>
    </xf>
    <xf numFmtId="0" fontId="14" fillId="0" borderId="0" xfId="5" applyFont="1" applyFill="1" applyBorder="1" applyAlignment="1">
      <alignment horizontal="center" vertical="center" wrapText="1"/>
      <protection locked="0" hidden="0"/>
    </xf>
    <xf numFmtId="0" fontId="176" fillId="0" borderId="0" xfId="5" applyFont="1" applyFill="1" applyBorder="1" applyAlignment="1">
      <alignment horizontal="center" vertical="center"/>
      <protection locked="0" hidden="0"/>
    </xf>
    <xf numFmtId="0" fontId="162" fillId="0" borderId="0" xfId="5" applyFont="1" applyFill="1" applyBorder="1" applyAlignment="1">
      <alignment horizontal="center" vertical="center"/>
      <protection locked="0" hidden="0"/>
    </xf>
    <xf numFmtId="0" fontId="23" fillId="0" borderId="0" xfId="5" applyFont="1" applyFill="1" applyBorder="1" applyAlignment="1">
      <alignment horizontal="center" vertical="center" wrapText="1"/>
      <protection locked="0" hidden="0"/>
    </xf>
    <xf numFmtId="0" fontId="23" fillId="0" borderId="0" xfId="5" applyFont="1" applyFill="1" applyBorder="1" applyAlignment="1">
      <alignment horizontal="center" vertical="center"/>
      <protection locked="0" hidden="0"/>
    </xf>
    <xf numFmtId="0" fontId="14" fillId="0" borderId="0" xfId="5" applyFont="1" applyFill="1" applyBorder="1" applyAlignment="1">
      <alignment horizontal="center" vertical="center"/>
      <protection locked="0" hidden="0"/>
    </xf>
    <xf numFmtId="0" fontId="147" fillId="0" borderId="0" xfId="0" applyFont="1" applyFill="1" applyBorder="1" applyAlignment="1">
      <alignment horizontal="center" vertical="center"/>
      <protection locked="0" hidden="0"/>
    </xf>
    <xf numFmtId="0" fontId="68" fillId="0" borderId="0" xfId="0" applyFont="1" applyFill="1" applyBorder="1">
      <alignment vertical="center"/>
      <protection locked="0" hidden="0"/>
    </xf>
    <xf numFmtId="0" fontId="24" fillId="0" borderId="0" xfId="0" applyFont="1" applyFill="1" applyBorder="1" applyAlignment="1">
      <alignment horizontal="center" vertical="center"/>
      <protection locked="0" hidden="0"/>
    </xf>
    <xf numFmtId="0" fontId="144" fillId="0" borderId="0" xfId="0" applyFont="1" applyFill="1" applyBorder="1" applyAlignment="1">
      <alignment horizontal="center" vertical="center"/>
      <protection locked="0" hidden="0"/>
    </xf>
    <xf numFmtId="0" fontId="23" fillId="0" borderId="0" xfId="0" applyFont="1" applyFill="1" applyBorder="1" applyAlignment="1">
      <alignment horizontal="center" vertical="center" wrapText="1"/>
      <protection locked="0" hidden="0"/>
    </xf>
    <xf numFmtId="0" fontId="24" fillId="0" borderId="0" xfId="0" applyFont="1" applyFill="1" applyBorder="1" applyAlignment="1">
      <alignment horizontal="center" vertical="center" wrapText="1"/>
      <protection locked="0" hidden="0"/>
    </xf>
    <xf numFmtId="0" fontId="130" fillId="0" borderId="0" xfId="0" applyFont="1" applyFill="1" applyBorder="1" applyAlignment="1">
      <alignment horizontal="center" vertical="center"/>
      <protection locked="0" hidden="0"/>
    </xf>
    <xf numFmtId="0" fontId="203" fillId="0" borderId="0" xfId="0" applyFont="1" applyFill="1" applyBorder="1" applyAlignment="1">
      <alignment horizontal="center" vertical="center" wrapText="1"/>
      <protection locked="0" hidden="0"/>
    </xf>
    <xf numFmtId="0" fontId="24" fillId="0" borderId="0" xfId="0" applyFont="1" applyFill="1" applyBorder="1">
      <alignment vertical="center"/>
      <protection locked="0" hidden="0"/>
    </xf>
    <xf numFmtId="0" fontId="110" fillId="0" borderId="0" xfId="0" applyFont="1" applyFill="1" applyBorder="1" applyAlignment="1">
      <alignment horizontal="left" vertical="center"/>
      <protection locked="0" hidden="0"/>
    </xf>
    <xf numFmtId="49" fontId="110" fillId="0" borderId="0" xfId="0" applyNumberFormat="1" applyFont="1" applyFill="1" applyBorder="1" applyAlignment="1">
      <alignment horizontal="center" vertical="center"/>
      <protection locked="0" hidden="0"/>
    </xf>
    <xf numFmtId="0" fontId="110" fillId="0" borderId="0" xfId="0" applyFont="1" applyFill="1" applyBorder="1" applyAlignment="1">
      <alignment horizontal="center" vertical="center"/>
      <protection locked="0" hidden="0"/>
    </xf>
    <xf numFmtId="0" fontId="8" fillId="0" borderId="0" xfId="0" applyFont="1" applyAlignment="1">
      <alignment horizontal="center" vertical="center"/>
    </xf>
    <xf numFmtId="0" fontId="7" fillId="95" borderId="7" xfId="0" applyFont="1" applyFill="1" applyBorder="1" applyAlignment="1">
      <alignment horizontal="center" vertical="center"/>
    </xf>
    <xf numFmtId="0" fontId="7" fillId="95" borderId="9" xfId="0" applyFont="1" applyFill="1" applyBorder="1" applyAlignment="1">
      <alignment horizontal="center" vertical="center"/>
    </xf>
    <xf numFmtId="0" fontId="7" fillId="48" borderId="279" xfId="0" applyFont="1" applyFill="1" applyBorder="1" applyAlignment="1">
      <alignment horizontal="center" vertical="center"/>
    </xf>
    <xf numFmtId="0" fontId="7" fillId="48" borderId="280" xfId="0" applyFont="1" applyFill="1" applyBorder="1" applyAlignment="1">
      <alignment horizontal="center" vertical="center"/>
    </xf>
    <xf numFmtId="0" fontId="24" fillId="18" borderId="16" xfId="0" applyFont="1" applyFill="1" applyBorder="1" applyAlignment="1">
      <alignment horizontal="center" vertical="center"/>
    </xf>
    <xf numFmtId="0" fontId="24" fillId="18" borderId="17" xfId="0" applyFont="1" applyFill="1" applyBorder="1" applyAlignment="1">
      <alignment horizontal="center" vertical="center"/>
    </xf>
    <xf numFmtId="0" fontId="48" fillId="0" borderId="16" xfId="0" applyFont="1" applyBorder="1" applyAlignment="1">
      <alignment horizontal="center" vertical="center"/>
    </xf>
    <xf numFmtId="0" fontId="143" fillId="0" borderId="17" xfId="0" applyFont="1" applyBorder="1" applyAlignment="1">
      <alignment horizontal="left" vertical="center" wrapText="1"/>
    </xf>
    <xf numFmtId="0" fontId="48" fillId="3" borderId="16" xfId="0" applyFont="1" applyFill="1" applyBorder="1" applyAlignment="1">
      <alignment horizontal="center" vertical="center"/>
    </xf>
    <xf numFmtId="0" fontId="143" fillId="3" borderId="17" xfId="0" applyFont="1" applyFill="1" applyBorder="1" applyAlignment="1">
      <alignment horizontal="left" vertical="center" wrapText="1"/>
    </xf>
    <xf numFmtId="0" fontId="48" fillId="3" borderId="30" xfId="0" applyFont="1" applyFill="1" applyBorder="1" applyAlignment="1">
      <alignment horizontal="center" vertical="center"/>
    </xf>
    <xf numFmtId="0" fontId="143" fillId="3" borderId="31" xfId="0" applyFont="1" applyFill="1" applyBorder="1" applyAlignment="1">
      <alignment horizontal="left" vertical="center" wrapText="1"/>
    </xf>
    <xf numFmtId="0" fontId="146" fillId="3" borderId="31" xfId="0" applyFont="1" applyFill="1" applyBorder="1" applyAlignment="1">
      <alignment horizontal="left" vertical="center" wrapText="1"/>
    </xf>
    <xf numFmtId="0" fontId="7" fillId="48" borderId="7" xfId="0" applyFont="1" applyFill="1" applyBorder="1" applyAlignment="1">
      <alignment horizontal="center" vertical="center"/>
      <protection locked="1" hidden="1"/>
    </xf>
    <xf numFmtId="0" fontId="7" fillId="48" borderId="9" xfId="0" applyFont="1" applyFill="1" applyBorder="1" applyAlignment="1">
      <alignment horizontal="center" vertical="center"/>
      <protection locked="1" hidden="1"/>
    </xf>
    <xf numFmtId="0" fontId="8" fillId="18" borderId="16" xfId="0" applyFont="1" applyFill="1" applyBorder="1" applyAlignment="1">
      <alignment horizontal="center" vertical="center"/>
      <protection locked="1" hidden="1"/>
    </xf>
    <xf numFmtId="0" fontId="8" fillId="18" borderId="17" xfId="0" applyFont="1" applyFill="1" applyBorder="1" applyAlignment="1">
      <alignment horizontal="center" vertical="center" wrapText="1"/>
      <protection locked="1" hidden="1"/>
    </xf>
    <xf numFmtId="0" fontId="8" fillId="0" borderId="0" xfId="0" applyFont="1" applyAlignment="1">
      <alignment horizontal="left" vertical="center"/>
    </xf>
    <xf numFmtId="0" fontId="8" fillId="0" borderId="16" xfId="0" applyFont="1" applyFill="1" applyBorder="1" applyAlignment="1">
      <alignment horizontal="center" vertical="center"/>
      <protection locked="0" hidden="0"/>
    </xf>
    <xf numFmtId="0" fontId="8" fillId="0" borderId="17" xfId="0" applyFont="1" applyFill="1" applyBorder="1" applyAlignment="1">
      <alignment horizontal="left" vertical="center" wrapText="1"/>
      <protection locked="1" hidden="1"/>
    </xf>
    <xf numFmtId="0" fontId="8" fillId="0" borderId="30" xfId="0" applyFont="1" applyFill="1" applyBorder="1" applyAlignment="1">
      <alignment horizontal="center" vertical="center"/>
      <protection locked="0" hidden="0"/>
    </xf>
    <xf numFmtId="0" fontId="8" fillId="0" borderId="31" xfId="0" applyFont="1" applyFill="1" applyBorder="1" applyAlignment="1">
      <alignment horizontal="left" vertical="center" wrapText="1"/>
      <protection locked="1" hidden="1"/>
    </xf>
    <xf numFmtId="0" fontId="48" fillId="0" borderId="0" xfId="0" applyFont="1" applyAlignment="1">
      <alignment vertical="center" wrapText="1"/>
    </xf>
    <xf numFmtId="0" fontId="68" fillId="4" borderId="7" xfId="0" applyFont="1" applyFill="1" applyBorder="1" applyAlignment="1">
      <alignment horizontal="center" vertical="center" wrapText="1"/>
    </xf>
    <xf numFmtId="0" fontId="68" fillId="4" borderId="8" xfId="0" applyFont="1" applyFill="1" applyBorder="1" applyAlignment="1">
      <alignment horizontal="center" vertical="center" wrapText="1"/>
    </xf>
    <xf numFmtId="0" fontId="68" fillId="4" borderId="9" xfId="0" applyFont="1" applyFill="1" applyBorder="1" applyAlignment="1">
      <alignment horizontal="center" vertical="center" wrapText="1"/>
    </xf>
    <xf numFmtId="0" fontId="68" fillId="4" borderId="16" xfId="0" applyFont="1" applyFill="1" applyBorder="1" applyAlignment="1">
      <alignment horizontal="center" vertical="center" wrapText="1"/>
    </xf>
    <xf numFmtId="0" fontId="68" fillId="4" borderId="0" xfId="0" applyFont="1" applyFill="1" applyAlignment="1">
      <alignment horizontal="center" vertical="center" wrapText="1"/>
    </xf>
    <xf numFmtId="0" fontId="68" fillId="4" borderId="17" xfId="0" applyFont="1" applyFill="1" applyBorder="1" applyAlignment="1">
      <alignment horizontal="center" vertical="center" wrapText="1"/>
    </xf>
    <xf numFmtId="0" fontId="68" fillId="4" borderId="30" xfId="0" applyFont="1" applyFill="1" applyBorder="1" applyAlignment="1">
      <alignment horizontal="center" vertical="center" wrapText="1"/>
    </xf>
    <xf numFmtId="0" fontId="68" fillId="4" borderId="29" xfId="0" applyFont="1" applyFill="1" applyBorder="1" applyAlignment="1">
      <alignment horizontal="center" vertical="center" wrapText="1"/>
    </xf>
    <xf numFmtId="0" fontId="68" fillId="4" borderId="31" xfId="0" applyFont="1" applyFill="1" applyBorder="1" applyAlignment="1">
      <alignment horizontal="center" vertical="center" wrapText="1"/>
    </xf>
    <xf numFmtId="0" fontId="124" fillId="4" borderId="7" xfId="0" applyFont="1" applyFill="1" applyBorder="1" applyAlignment="1">
      <alignment horizontal="center" vertical="center" wrapText="1"/>
    </xf>
    <xf numFmtId="0" fontId="124" fillId="4" borderId="9" xfId="0" applyFont="1" applyFill="1" applyBorder="1" applyAlignment="1">
      <alignment horizontal="center" vertical="center" wrapText="1"/>
    </xf>
    <xf numFmtId="0" fontId="124" fillId="4" borderId="16" xfId="0" applyFont="1" applyFill="1" applyBorder="1" applyAlignment="1">
      <alignment horizontal="center" vertical="center" wrapText="1"/>
    </xf>
    <xf numFmtId="0" fontId="124" fillId="4" borderId="17" xfId="0" applyFont="1" applyFill="1" applyBorder="1" applyAlignment="1">
      <alignment horizontal="center" vertical="center" wrapText="1"/>
    </xf>
    <xf numFmtId="0" fontId="48" fillId="0" borderId="204" xfId="0" applyFont="1" applyBorder="1" applyAlignment="1">
      <alignment horizontal="center" vertical="center" wrapText="1"/>
    </xf>
    <xf numFmtId="0" fontId="48" fillId="0" borderId="207" xfId="0" applyFont="1" applyBorder="1" applyAlignment="1">
      <alignment horizontal="center" vertical="center" wrapText="1"/>
    </xf>
    <xf numFmtId="0" fontId="48" fillId="0" borderId="16" xfId="0" applyFont="1" applyBorder="1" applyAlignment="1">
      <alignment horizontal="center" vertical="center" wrapText="1"/>
    </xf>
    <xf numFmtId="0" fontId="48" fillId="0" borderId="17" xfId="0" applyFont="1" applyBorder="1" applyAlignment="1">
      <alignment horizontal="center" vertical="center" wrapText="1"/>
    </xf>
    <xf numFmtId="0" fontId="48" fillId="0" borderId="30" xfId="0" applyFont="1" applyBorder="1" applyAlignment="1">
      <alignment horizontal="center" vertical="center" wrapText="1"/>
    </xf>
    <xf numFmtId="0" fontId="48" fillId="0" borderId="31" xfId="0" applyFont="1" applyBorder="1" applyAlignment="1">
      <alignment horizontal="center" vertical="center" wrapText="1"/>
    </xf>
    <xf numFmtId="0" fontId="30" fillId="0" borderId="281" xfId="0" applyFont="1" applyBorder="1" applyAlignment="1">
      <alignment horizontal="center" vertical="center" wrapText="1"/>
    </xf>
    <xf numFmtId="0" fontId="30" fillId="0" borderId="172" xfId="0" applyFont="1" applyBorder="1" applyAlignment="1">
      <alignment horizontal="center" vertical="center" wrapText="1"/>
    </xf>
    <xf numFmtId="0" fontId="118" fillId="0" borderId="0" xfId="0" applyFont="1" applyAlignment="1">
      <alignment horizontal="left" vertical="bottom"/>
    </xf>
    <xf numFmtId="0" fontId="124" fillId="4" borderId="30" xfId="0" applyFont="1" applyFill="1" applyBorder="1" applyAlignment="1">
      <alignment horizontal="center" vertical="center" wrapText="1"/>
    </xf>
    <xf numFmtId="0" fontId="30" fillId="0" borderId="282" xfId="0" applyFont="1" applyBorder="1" applyAlignment="1">
      <alignment horizontal="center" vertical="center" wrapText="1"/>
    </xf>
    <xf numFmtId="0" fontId="8" fillId="4" borderId="7" xfId="0" applyFont="1" applyFill="1" applyBorder="1" applyAlignment="1">
      <alignment horizontal="center" vertical="center" wrapText="1"/>
    </xf>
    <xf numFmtId="0" fontId="8" fillId="0" borderId="283" xfId="0" applyFont="1" applyBorder="1" applyAlignment="1">
      <alignment horizontal="left" vertical="center" wrapText="1"/>
    </xf>
    <xf numFmtId="0" fontId="8" fillId="4" borderId="16" xfId="0" applyFont="1" applyFill="1" applyBorder="1" applyAlignment="1">
      <alignment horizontal="center" vertical="center" wrapText="1"/>
    </xf>
    <xf numFmtId="0" fontId="8" fillId="0" borderId="70" xfId="0" applyFont="1" applyBorder="1" applyAlignment="1">
      <alignment horizontal="left" vertical="center" wrapText="1"/>
    </xf>
    <xf numFmtId="0" fontId="8" fillId="4" borderId="30" xfId="0" applyFont="1" applyFill="1" applyBorder="1" applyAlignment="1">
      <alignment horizontal="center" vertical="center" wrapText="1"/>
    </xf>
    <xf numFmtId="0" fontId="8" fillId="0" borderId="79" xfId="0" applyFont="1" applyBorder="1" applyAlignment="1">
      <alignment horizontal="left" vertical="center" wrapText="1"/>
    </xf>
    <xf numFmtId="0" fontId="8" fillId="0" borderId="0" xfId="0" applyFont="1" applyAlignment="1">
      <alignment vertical="center" wrapText="1"/>
    </xf>
    <xf numFmtId="0" fontId="146" fillId="0" borderId="283" xfId="0" applyFont="1" applyBorder="1" applyAlignment="1">
      <alignment horizontal="center" vertical="center" wrapText="1"/>
    </xf>
    <xf numFmtId="0" fontId="146" fillId="0" borderId="15" xfId="0" applyFont="1" applyBorder="1" applyAlignment="1">
      <alignment horizontal="center" vertical="center" wrapText="1"/>
    </xf>
    <xf numFmtId="0" fontId="146" fillId="0" borderId="70" xfId="0" applyFont="1" applyBorder="1" applyAlignment="1">
      <alignment horizontal="center" vertical="center" wrapText="1"/>
    </xf>
    <xf numFmtId="0" fontId="8" fillId="0" borderId="20" xfId="0" applyFont="1" applyBorder="1" applyAlignment="1">
      <alignment horizontal="left" vertical="center" wrapText="1"/>
    </xf>
    <xf numFmtId="0" fontId="8" fillId="0" borderId="12" xfId="0" applyFont="1" applyBorder="1" applyAlignment="1">
      <alignment horizontal="left" vertical="center" wrapText="1"/>
    </xf>
    <xf numFmtId="0" fontId="8" fillId="0" borderId="70" xfId="0" applyFont="1" applyBorder="1" applyAlignment="1">
      <alignment horizontal="center" vertical="center" wrapText="1"/>
    </xf>
    <xf numFmtId="0" fontId="146" fillId="0" borderId="20" xfId="0" applyFont="1" applyBorder="1" applyAlignment="1">
      <alignment horizontal="center" vertical="center" wrapText="1"/>
    </xf>
    <xf numFmtId="0" fontId="8" fillId="0" borderId="79" xfId="0" applyFont="1" applyBorder="1" applyAlignment="1">
      <alignment horizontal="center" vertical="center" wrapText="1"/>
    </xf>
    <xf numFmtId="0" fontId="8" fillId="0" borderId="0" xfId="0" applyFont="1">
      <alignment vertical="center"/>
    </xf>
    <xf numFmtId="0" fontId="120" fillId="0" borderId="0" xfId="0" applyFont="1" applyAlignment="1">
      <alignment horizontal="center" vertical="center"/>
    </xf>
    <xf numFmtId="0" fontId="8" fillId="38" borderId="0" xfId="0" applyFont="1" applyFill="1">
      <alignment vertical="center"/>
    </xf>
    <xf numFmtId="0" fontId="120" fillId="0" borderId="0" xfId="0" applyFont="1" applyBorder="1" applyAlignment="1">
      <alignment horizontal="center" vertical="center"/>
    </xf>
    <xf numFmtId="0" fontId="30" fillId="0" borderId="96" xfId="0" applyFont="1" applyBorder="1" applyAlignment="1">
      <alignment horizontal="center" vertical="center" wrapText="1"/>
    </xf>
    <xf numFmtId="0" fontId="30" fillId="0" borderId="96" xfId="0" applyFont="1" applyBorder="1" applyAlignment="1">
      <alignment horizontal="center" vertical="center"/>
    </xf>
    <xf numFmtId="0" fontId="204" fillId="0" borderId="96" xfId="6" applyFont="1" applyBorder="1" applyAlignment="1">
      <alignment horizontal="center" vertical="center" wrapText="1"/>
    </xf>
    <xf numFmtId="0" fontId="205" fillId="0" borderId="96" xfId="6" applyFont="1" applyBorder="1" applyAlignment="1">
      <alignment horizontal="center" vertical="center" wrapText="1"/>
    </xf>
    <xf numFmtId="0" fontId="8" fillId="38" borderId="0" xfId="0" applyFont="1" applyFill="1" applyBorder="1">
      <alignment vertical="center"/>
    </xf>
    <xf numFmtId="0" fontId="7" fillId="31" borderId="96" xfId="0" applyFont="1" applyFill="1" applyBorder="1" applyAlignment="1">
      <alignment horizontal="center" vertical="center"/>
    </xf>
    <xf numFmtId="0" fontId="7" fillId="31" borderId="127" xfId="0" applyFont="1" applyFill="1" applyBorder="1" applyAlignment="1">
      <alignment horizontal="center" vertical="center"/>
    </xf>
    <xf numFmtId="0" fontId="7" fillId="31" borderId="96" xfId="0" applyFont="1" applyFill="1" applyBorder="1" applyAlignment="1">
      <alignment horizontal="center" vertical="center" wrapText="1"/>
    </xf>
    <xf numFmtId="0" fontId="162" fillId="5" borderId="96" xfId="0" applyFont="1" applyFill="1" applyBorder="1" applyAlignment="1">
      <alignment horizontal="center" vertical="center" wrapText="1" textRotation="255"/>
    </xf>
    <xf numFmtId="0" fontId="206" fillId="0" borderId="96" xfId="0" applyFont="1" applyBorder="1" applyAlignment="1">
      <alignment horizontal="left" vertical="center" wrapText="1"/>
    </xf>
    <xf numFmtId="0" fontId="8" fillId="0" borderId="137" xfId="0" applyFont="1" applyBorder="1" applyAlignment="1">
      <alignment horizontal="left" vertical="center"/>
    </xf>
    <xf numFmtId="0" fontId="8" fillId="0" borderId="96" xfId="0" applyFont="1" applyBorder="1" applyAlignment="1">
      <alignment horizontal="left" vertical="center"/>
    </xf>
    <xf numFmtId="0" fontId="24" fillId="5" borderId="96" xfId="0" applyFont="1" applyFill="1" applyBorder="1" applyAlignment="1">
      <alignment horizontal="center" vertical="center" wrapText="1"/>
    </xf>
    <xf numFmtId="0" fontId="148" fillId="0" borderId="96" xfId="0" applyFont="1" applyBorder="1" applyAlignment="1">
      <alignment horizontal="left" vertical="center" wrapText="1"/>
    </xf>
    <xf numFmtId="0" fontId="8" fillId="0" borderId="137" xfId="0" applyFont="1" applyBorder="1" applyAlignment="1">
      <alignment horizontal="left" vertical="center" wrapText="1"/>
    </xf>
    <xf numFmtId="0" fontId="204" fillId="0" borderId="96" xfId="0" applyFont="1" applyBorder="1" applyAlignment="1">
      <alignment horizontal="center" vertical="center" wrapText="1"/>
    </xf>
    <xf numFmtId="0" fontId="162" fillId="0" borderId="96" xfId="0" applyFont="1" applyBorder="1" applyAlignment="1">
      <alignment horizontal="center" vertical="center" wrapText="1"/>
    </xf>
    <xf numFmtId="0" fontId="8" fillId="0" borderId="96" xfId="0" applyFont="1" applyBorder="1" applyAlignment="1">
      <alignment horizontal="left" vertical="center" wrapText="1"/>
    </xf>
    <xf numFmtId="0" fontId="24" fillId="5" borderId="147" xfId="0" applyFont="1" applyFill="1" applyBorder="1" applyAlignment="1">
      <alignment horizontal="center" vertical="center" wrapText="1"/>
    </xf>
    <xf numFmtId="0" fontId="131" fillId="5" borderId="96" xfId="0" applyFont="1" applyFill="1" applyBorder="1" applyAlignment="1">
      <alignment vertical="center" wrapText="1"/>
    </xf>
    <xf numFmtId="0" fontId="7" fillId="31" borderId="0" xfId="0" applyFont="1" applyFill="1" applyBorder="1" applyAlignment="1">
      <alignment horizontal="left" vertical="center" indent="1"/>
    </xf>
    <xf numFmtId="0" fontId="8" fillId="0" borderId="0" xfId="0" applyFont="1" applyBorder="1" applyAlignment="1">
      <alignment vertical="center" wrapText="1"/>
    </xf>
    <xf numFmtId="0" fontId="8" fillId="0" borderId="0" xfId="0" applyFont="1" applyBorder="1">
      <alignment vertical="center"/>
    </xf>
    <xf numFmtId="0" fontId="131" fillId="5" borderId="96" xfId="0" applyFont="1" applyFill="1" applyBorder="1" applyAlignment="1">
      <alignment horizontal="center" vertical="center" wrapText="1"/>
    </xf>
    <xf numFmtId="0" fontId="24" fillId="5" borderId="96" xfId="0" applyFont="1" applyFill="1" applyBorder="1" applyAlignment="1">
      <alignment horizontal="center" vertical="center" wrapText="1"/>
    </xf>
    <xf numFmtId="0" fontId="117" fillId="0" borderId="96" xfId="0" applyFont="1" applyBorder="1" applyAlignment="1">
      <alignment horizontal="left" vertical="center" wrapText="1"/>
    </xf>
    <xf numFmtId="0" fontId="8" fillId="0" borderId="96" xfId="0" applyFont="1" applyBorder="1" applyAlignment="1">
      <alignment vertical="center" wrapText="1"/>
    </xf>
    <xf numFmtId="0" fontId="7" fillId="31" borderId="139" xfId="0" applyFont="1" applyFill="1" applyBorder="1" applyAlignment="1">
      <alignment horizontal="center" vertical="center"/>
    </xf>
    <xf numFmtId="0" fontId="7" fillId="31" borderId="136" xfId="0" applyFont="1" applyFill="1" applyBorder="1" applyAlignment="1">
      <alignment horizontal="center" vertical="center"/>
    </xf>
    <xf numFmtId="0" fontId="7" fillId="31" borderId="137" xfId="0" applyFont="1" applyFill="1" applyBorder="1" applyAlignment="1">
      <alignment horizontal="center" vertical="center"/>
    </xf>
    <xf numFmtId="0" fontId="162" fillId="5" borderId="127" xfId="0" applyFont="1" applyFill="1" applyBorder="1" applyAlignment="1">
      <alignment horizontal="center" vertical="center" wrapText="1" textRotation="255"/>
    </xf>
    <xf numFmtId="0" fontId="206" fillId="0" borderId="142" xfId="0" applyFont="1" applyBorder="1" applyAlignment="1">
      <alignment horizontal="left" vertical="center" wrapText="1"/>
    </xf>
    <xf numFmtId="0" fontId="206" fillId="0" borderId="134" xfId="0" applyFont="1" applyBorder="1" applyAlignment="1">
      <alignment horizontal="left" vertical="center" wrapText="1"/>
    </xf>
    <xf numFmtId="0" fontId="206" fillId="0" borderId="140" xfId="0" applyFont="1" applyBorder="1" applyAlignment="1">
      <alignment horizontal="left" vertical="center" wrapText="1"/>
    </xf>
    <xf numFmtId="0" fontId="162" fillId="5" borderId="217" xfId="0" applyFont="1" applyFill="1" applyBorder="1" applyAlignment="1">
      <alignment horizontal="center" vertical="center" wrapText="1" textRotation="255"/>
    </xf>
    <xf numFmtId="0" fontId="206" fillId="0" borderId="148" xfId="0" applyFont="1" applyBorder="1" applyAlignment="1">
      <alignment horizontal="left" vertical="center" wrapText="1"/>
    </xf>
    <xf numFmtId="0" fontId="206" fillId="0" borderId="0" xfId="0" applyFont="1" applyBorder="1" applyAlignment="1">
      <alignment horizontal="left" vertical="center" wrapText="1"/>
    </xf>
    <xf numFmtId="0" fontId="206" fillId="0" borderId="149" xfId="0" applyFont="1" applyBorder="1" applyAlignment="1">
      <alignment horizontal="left" vertical="center" wrapText="1"/>
    </xf>
    <xf numFmtId="0" fontId="162" fillId="5" borderId="147" xfId="0" applyFont="1" applyFill="1" applyBorder="1" applyAlignment="1">
      <alignment horizontal="center" vertical="center" wrapText="1" textRotation="255"/>
    </xf>
    <xf numFmtId="0" fontId="206" fillId="0" borderId="160" xfId="0" applyFont="1" applyBorder="1" applyAlignment="1">
      <alignment horizontal="left" vertical="center" wrapText="1"/>
    </xf>
    <xf numFmtId="0" fontId="206" fillId="0" borderId="161" xfId="0" applyFont="1" applyBorder="1" applyAlignment="1">
      <alignment horizontal="left" vertical="center" wrapText="1"/>
    </xf>
    <xf numFmtId="0" fontId="206" fillId="0" borderId="162" xfId="0" applyFont="1" applyBorder="1" applyAlignment="1">
      <alignment horizontal="left" vertical="center" wrapText="1"/>
    </xf>
    <xf numFmtId="0" fontId="7" fillId="31" borderId="96" xfId="0" applyFont="1" applyFill="1" applyBorder="1" applyAlignment="1">
      <alignment horizontal="left" vertical="center" indent="1"/>
    </xf>
    <xf numFmtId="0" fontId="207" fillId="0" borderId="96" xfId="0" applyFont="1" applyBorder="1" applyAlignment="1">
      <alignment horizontal="center" vertical="center"/>
    </xf>
    <xf numFmtId="0" fontId="8" fillId="0" borderId="96" xfId="0" applyFont="1" applyBorder="1" applyAlignment="1">
      <alignment horizontal="center" vertical="center"/>
    </xf>
    <xf numFmtId="0" fontId="8" fillId="0" borderId="96" xfId="0" applyFont="1" applyBorder="1">
      <alignment vertical="center"/>
    </xf>
    <xf numFmtId="0" fontId="8" fillId="0" borderId="96" xfId="0" applyFont="1" applyFill="1" applyBorder="1">
      <alignment vertical="center"/>
    </xf>
    <xf numFmtId="0" fontId="14" fillId="5" borderId="96" xfId="0" applyFont="1" applyFill="1" applyBorder="1" applyAlignment="1">
      <alignment horizontal="center" vertical="center" wrapText="1"/>
    </xf>
    <xf numFmtId="0" fontId="14" fillId="5" borderId="96" xfId="0" applyFont="1" applyFill="1" applyBorder="1" applyAlignment="1">
      <alignment horizontal="center" vertical="top" wrapText="1"/>
    </xf>
    <xf numFmtId="0" fontId="14" fillId="5" borderId="96" xfId="0" applyFont="1" applyFill="1" applyBorder="1" applyAlignment="1">
      <alignment horizontal="center" vertical="top" wrapText="1"/>
    </xf>
    <xf numFmtId="0" fontId="24" fillId="5" borderId="96" xfId="0" applyFont="1" applyFill="1" applyBorder="1" applyAlignment="1">
      <alignment horizontal="center" vertical="top" wrapText="1"/>
    </xf>
    <xf numFmtId="0" fontId="23" fillId="5" borderId="96" xfId="0" applyFont="1" applyFill="1" applyBorder="1" applyAlignment="1">
      <alignment horizontal="center" vertical="center" textRotation="255"/>
    </xf>
    <xf numFmtId="0" fontId="206" fillId="0" borderId="96" xfId="0" applyFont="1" applyBorder="1" applyAlignment="1">
      <alignment vertical="center" wrapText="1"/>
    </xf>
    <xf numFmtId="0" fontId="1" fillId="0" borderId="96" xfId="0" applyFont="1" applyBorder="1" applyAlignment="1">
      <alignment horizontal="left" vertical="center"/>
    </xf>
    <xf numFmtId="0" fontId="207" fillId="0" borderId="96" xfId="0" applyFont="1" applyBorder="1" applyAlignment="1">
      <alignment vertical="center" wrapText="1"/>
    </xf>
    <xf numFmtId="0" fontId="207" fillId="0" borderId="127" xfId="0" applyFont="1" applyBorder="1" applyAlignment="1">
      <alignment vertical="center" wrapText="1"/>
    </xf>
    <xf numFmtId="0" fontId="23" fillId="5" borderId="96" xfId="0" applyFont="1" applyFill="1" applyBorder="1" applyAlignment="1">
      <alignment horizontal="center" vertical="center" wrapText="1"/>
    </xf>
    <xf numFmtId="0" fontId="24" fillId="0" borderId="96" xfId="0" applyFont="1" applyBorder="1" applyAlignment="1">
      <alignment horizontal="left" vertical="center"/>
    </xf>
    <xf numFmtId="0" fontId="117" fillId="0" borderId="96" xfId="0" applyFont="1" applyBorder="1" applyAlignment="1">
      <alignment horizontal="left" vertical="center"/>
    </xf>
    <xf numFmtId="0" fontId="17" fillId="5" borderId="96" xfId="0" applyFont="1" applyFill="1" applyBorder="1" applyAlignment="1">
      <alignment vertical="center" wrapText="1"/>
    </xf>
    <xf numFmtId="0" fontId="1" fillId="5" borderId="96" xfId="0" applyFont="1" applyFill="1" applyBorder="1" applyAlignment="1">
      <alignment horizontal="center" vertical="center" wrapText="1" textRotation="255"/>
    </xf>
    <xf numFmtId="0" fontId="206" fillId="0" borderId="96" xfId="0" applyFont="1" applyBorder="1">
      <alignment vertical="center"/>
    </xf>
    <xf numFmtId="0" fontId="24" fillId="5" borderId="96" xfId="0" applyFont="1" applyFill="1" applyBorder="1" applyAlignment="1">
      <alignment horizontal="center" vertical="center" wrapText="1" textRotation="255"/>
    </xf>
    <xf numFmtId="0" fontId="207" fillId="0" borderId="96" xfId="0" applyFont="1" applyBorder="1">
      <alignment vertical="center"/>
    </xf>
    <xf numFmtId="0" fontId="17" fillId="5" borderId="96" xfId="0" applyFont="1" applyFill="1" applyBorder="1" applyAlignment="1">
      <alignment horizontal="center" vertical="center" wrapText="1"/>
    </xf>
    <xf numFmtId="0" fontId="8" fillId="0" borderId="96" xfId="0" applyFont="1" applyFill="1" applyBorder="1" applyAlignment="1">
      <alignment horizontal="left" vertical="center"/>
    </xf>
    <xf numFmtId="0" fontId="7" fillId="31" borderId="147" xfId="0" applyFont="1" applyFill="1" applyBorder="1" applyAlignment="1">
      <alignment horizontal="center" vertical="center"/>
    </xf>
    <xf numFmtId="0" fontId="14" fillId="5" borderId="96" xfId="0" applyFont="1" applyFill="1" applyBorder="1" applyAlignment="1">
      <alignment vertical="center" wrapText="1"/>
    </xf>
    <xf numFmtId="0" fontId="24" fillId="0" borderId="96" xfId="0" applyFont="1" applyBorder="1" applyAlignment="1">
      <alignment vertical="center" wrapText="1"/>
    </xf>
    <xf numFmtId="0" fontId="162" fillId="5" borderId="96" xfId="0" applyFont="1" applyFill="1" applyBorder="1" applyAlignment="1">
      <alignment horizontal="center" vertical="center" wrapText="1"/>
    </xf>
    <xf numFmtId="0" fontId="208" fillId="0" borderId="96" xfId="0" applyFont="1" applyBorder="1" applyAlignment="1">
      <alignment horizontal="left" vertical="center"/>
    </xf>
    <xf numFmtId="0" fontId="8" fillId="0" borderId="96" xfId="0" applyFont="1" applyFill="1" applyBorder="1" applyAlignment="1">
      <alignment horizontal="left" vertical="center" wrapText="1"/>
    </xf>
    <xf numFmtId="0" fontId="10" fillId="5" borderId="96" xfId="0" applyFont="1" applyFill="1" applyBorder="1" applyAlignment="1">
      <alignment vertical="center" wrapText="1"/>
    </xf>
    <xf numFmtId="0" fontId="207" fillId="0" borderId="96" xfId="0" applyFont="1" applyBorder="1" applyAlignment="1">
      <alignment horizontal="left" vertical="center" wrapText="1"/>
    </xf>
    <xf numFmtId="0" fontId="131" fillId="5" borderId="96" xfId="0" applyFont="1" applyFill="1" applyBorder="1" applyAlignment="1">
      <alignment horizontal="center" vertical="center" wrapText="1"/>
    </xf>
    <xf numFmtId="0" fontId="23" fillId="5" borderId="96" xfId="0" applyFont="1" applyFill="1" applyBorder="1" applyAlignment="1">
      <alignment horizontal="center" vertical="center" wrapText="1" textRotation="255"/>
    </xf>
    <xf numFmtId="0" fontId="162" fillId="5" borderId="96" xfId="0" applyFont="1" applyFill="1" applyBorder="1" applyAlignment="1">
      <alignment vertical="center" wrapText="1"/>
    </xf>
    <xf numFmtId="0" fontId="207" fillId="0" borderId="96" xfId="0" applyFont="1" applyBorder="1" applyAlignment="1">
      <alignment horizontal="left" vertical="center"/>
    </xf>
    <xf numFmtId="0" fontId="8" fillId="0" borderId="140" xfId="0" applyFont="1" applyBorder="1" applyAlignment="1">
      <alignment horizontal="left" vertical="center" wrapText="1"/>
    </xf>
    <xf numFmtId="0" fontId="162" fillId="5" borderId="139" xfId="0" applyFont="1" applyFill="1" applyBorder="1" applyAlignment="1">
      <alignment horizontal="center" vertical="center" wrapText="1" textRotation="255"/>
    </xf>
    <xf numFmtId="0" fontId="162" fillId="5" borderId="147" xfId="0" applyFont="1" applyFill="1" applyBorder="1" applyAlignment="1">
      <alignment horizontal="center" vertical="center" wrapText="1"/>
    </xf>
    <xf numFmtId="0" fontId="8" fillId="0" borderId="147" xfId="0" applyFont="1" applyBorder="1" applyAlignment="1">
      <alignment horizontal="left" vertical="center" wrapText="1"/>
    </xf>
    <xf numFmtId="0" fontId="8" fillId="5" borderId="96" xfId="0" applyFont="1" applyFill="1" applyBorder="1" applyAlignment="1">
      <alignment horizontal="center" vertical="center" wrapText="1" textRotation="255"/>
    </xf>
    <xf numFmtId="0" fontId="209" fillId="5" borderId="96" xfId="0" applyFont="1" applyFill="1" applyBorder="1" applyAlignment="1">
      <alignment vertical="center" wrapText="1"/>
    </xf>
    <xf numFmtId="0" fontId="24" fillId="5" borderId="96" xfId="0" applyFont="1" applyFill="1" applyBorder="1" applyAlignment="1">
      <alignment vertical="center" wrapText="1"/>
    </xf>
    <xf numFmtId="0" fontId="17" fillId="5" borderId="96" xfId="0" applyFont="1" applyFill="1" applyBorder="1" applyAlignment="1">
      <alignment horizontal="left" vertical="center" wrapText="1"/>
    </xf>
    <xf numFmtId="0" fontId="10" fillId="0" borderId="96" xfId="0" applyFont="1" applyBorder="1" applyAlignment="1">
      <alignment horizontal="left" vertical="center"/>
    </xf>
    <xf numFmtId="0" fontId="24" fillId="0" borderId="96" xfId="0" applyFont="1" applyFill="1" applyBorder="1" applyAlignment="1">
      <alignment vertical="center" wrapText="1"/>
    </xf>
    <xf numFmtId="0" fontId="24" fillId="0" borderId="96" xfId="0" applyFont="1" applyFill="1" applyBorder="1">
      <alignment vertical="center"/>
    </xf>
    <xf numFmtId="0" fontId="24" fillId="0" borderId="96" xfId="0" applyFont="1" applyFill="1" applyBorder="1" applyAlignment="1">
      <alignment horizontal="left" vertical="center" wrapText="1"/>
    </xf>
    <xf numFmtId="0" fontId="24" fillId="0" borderId="96" xfId="0" applyFont="1" applyFill="1" applyBorder="1" applyAlignment="1">
      <alignment horizontal="left" vertical="center"/>
    </xf>
    <xf numFmtId="0" fontId="8" fillId="27" borderId="0" xfId="0" applyFont="1" applyFill="1" applyBorder="1">
      <alignment vertical="center"/>
    </xf>
  </cellXfs>
  <cellStyles count="7">
    <cellStyle name="常规" xfId="0" builtinId="0"/>
    <cellStyle name="40% - 着色 1" xfId="1"/>
    <cellStyle name="着色 1" xfId="2"/>
    <cellStyle name="60% - 着色 1" xfId="3"/>
    <cellStyle name="20% - 着色 1" xfId="4"/>
    <cellStyle name="常规 2" xfId="5"/>
    <cellStyle name="超链接" xfId="6"/>
  </cellStyles>
  <dxfs count="1130">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DDEBF7"/>
        </patternFill>
      </fill>
    </dxf>
    <dxf>
      <fill>
        <patternFill patternType="solid">
          <bgColor rgb="FFFFFFFF"/>
        </patternFill>
      </fill>
    </dxf>
    <dxf>
      <font>
        <color rgb="FFFFFFFF"/>
      </font>
      <fill>
        <patternFill patternType="solid">
          <bgColor rgb="FFC00000"/>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BE4D5"/>
        </patternFill>
      </fill>
      <border>
        <left style="dotted">
          <color indexed="64"/>
        </left>
        <right style="dotted">
          <color indexed="64"/>
        </right>
        <top style="dotted">
          <color indexed="64"/>
        </top>
        <bottom style="dotted">
          <color indexed="64"/>
        </bottom>
        <diagonal/>
      </border>
    </dxf>
    <dxf>
      <fill>
        <patternFill patternType="solid">
          <bgColor rgb="FFBED6EE"/>
        </patternFill>
      </fill>
      <border>
        <left style="dashDot">
          <color indexed="64"/>
        </left>
        <right style="dashDot">
          <color indexed="64"/>
        </right>
        <top style="dashDot">
          <color indexed="64"/>
        </top>
        <bottom style="dashDot">
          <color indexed="64"/>
        </bottom>
        <diagonal/>
      </border>
    </dxf>
    <dxf>
      <fill>
        <patternFill patternType="solid">
          <bgColor rgb="FFC5E0B3"/>
        </patternFill>
      </fill>
      <border>
        <left style="dotted">
          <color indexed="64"/>
        </left>
        <right style="dotted">
          <color indexed="64"/>
        </right>
        <top style="dotted">
          <color indexed="64"/>
        </top>
        <bottom style="dotted">
          <color indexed="64"/>
        </bottom>
        <diagonal/>
      </border>
    </dxf>
    <dxf>
      <fill>
        <patternFill patternType="solid">
          <bgColor rgb="FFB4C7E7"/>
        </patternFill>
      </fill>
    </dxf>
    <dxf>
      <fill>
        <patternFill patternType="solid">
          <bgColor rgb="FFFFE598"/>
        </patternFill>
      </fill>
      <border>
        <left style="dotted">
          <color indexed="64"/>
        </left>
        <right style="dotted">
          <color indexed="64"/>
        </right>
        <top style="dotted">
          <color indexed="64"/>
        </top>
        <bottom style="dotted">
          <color indexed="64"/>
        </bottom>
        <diagonal/>
      </border>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ont>
        <color rgb="FFBFBFBF"/>
      </font>
    </dxf>
  </dxfs>
  <tableStyles defaultTableStyle="TableStyleMedium2" defaultPivotStyle="PivotStyleLight16"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www.wps.cn/officeDocument/2020/cellImage" Target="cellimages.xml"/><Relationship Id="rId17" Type="http://schemas.openxmlformats.org/officeDocument/2006/relationships/sharedStrings" Target="sharedStrings.xml"/><Relationship Id="rId18" Type="http://schemas.openxmlformats.org/officeDocument/2006/relationships/styles" Target="styles.xml"/><Relationship Id="rId1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microsoft.com/office/2011/relationships/chartStyle" Target="style1.xml"/><Relationship Id="rId2" Type="http://schemas.microsoft.com/office/2011/relationships/chartColorStyle" Target="colors1.xml"/></Relationships>
</file>

<file path=xl/charts/_rels/chart2.xml.rels><?xml version="1.0" encoding="UTF-8" standalone="yes"?>
<Relationships xmlns="http://schemas.openxmlformats.org/package/2006/relationships"><Relationship Id="rId1" Type="http://schemas.microsoft.com/office/2011/relationships/chartStyle" Target="style2.xml"/><Relationship Id="rId2" Type="http://schemas.microsoft.com/office/2011/relationships/chartColorStyle" Target="colors2.xml"/></Relationships>
</file>

<file path=xl/charts/_rels/chart3.xml.rels><?xml version="1.0" encoding="UTF-8" standalone="yes"?>
<Relationships xmlns="http://schemas.openxmlformats.org/package/2006/relationships"><Relationship Id="rId1" Type="http://schemas.microsoft.com/office/2011/relationships/chartStyle" Target="style3.xml"/><Relationship Id="rId2" Type="http://schemas.microsoft.com/office/2011/relationships/chartColorStyle" Target="colors3.xml"/></Relationships>
</file>

<file path=xl/charts/_rels/chart4.xml.rels><?xml version="1.0" encoding="UTF-8" standalone="yes"?>
<Relationships xmlns="http://schemas.openxmlformats.org/package/2006/relationships"><Relationship Id="rId1" Type="http://schemas.microsoft.com/office/2011/relationships/chartStyle" Target="style4.xml"/><Relationship Id="rId2" Type="http://schemas.microsoft.com/office/2011/relationships/chartColorStyle" Target="colors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232755233650007"/>
          <c:y val="0.110410793395086"/>
          <c:w val="0.788725701943845"/>
          <c:h val="0.796640488656196"/>
        </c:manualLayout>
      </c:layout>
      <c:radarChart>
        <c:radarStyle val="filled"/>
        <c:varyColors val="0"/>
        <c:ser>
          <c:idx val="0"/>
          <c:order val="0"/>
          <c:spPr>
            <a:solidFill>
              <a:schemeClr val="accent1"/>
            </a:solidFill>
            <a:ln>
              <a:noFill/>
            </a:ln>
            <a:effectLst/>
          </c:spPr>
          <c:cat>
            <c:strRef>
              <c:f>附表!$G$7:$L$7</c:f>
              <c:strCache>
                <c:ptCount val="6"/>
                <c:pt idx="0">
                  <c:v>调查</c:v>
                </c:pt>
                <c:pt idx="1">
                  <c:v>交涉</c:v>
                </c:pt>
                <c:pt idx="2">
                  <c:v>战斗</c:v>
                </c:pt>
                <c:pt idx="3">
                  <c:v>特技</c:v>
                </c:pt>
                <c:pt idx="4">
                  <c:v>支援</c:v>
                </c:pt>
                <c:pt idx="5">
                  <c:v>学问</c:v>
                </c:pt>
              </c:strCache>
            </c:strRef>
          </c:cat>
          <c:val>
            <c:numRef>
              <c:f>附表!$G$8:$L$8</c:f>
              <c:numCache>
                <c:formatCode>General</c:formatCode>
                <c:ptCount val="6"/>
                <c:pt idx="0">
                  <c:v>0.0</c:v>
                </c:pt>
                <c:pt idx="1">
                  <c:v>0.0</c:v>
                </c:pt>
                <c:pt idx="2">
                  <c:v>0.0</c:v>
                </c:pt>
                <c:pt idx="3">
                  <c:v>0.0</c:v>
                </c:pt>
                <c:pt idx="4">
                  <c:v>0.0</c:v>
                </c:pt>
                <c:pt idx="5">
                  <c:v>0.0</c:v>
                </c:pt>
              </c:numCache>
            </c:numRef>
          </c:val>
        </c:ser>
        <c:dLbls>
          <c:showLegendKey val="0"/>
          <c:showVal val="0"/>
          <c:showCatName val="0"/>
          <c:showSerName val="0"/>
          <c:showPercent val="0"/>
          <c:showBubbleSize val="0"/>
        </c:dLbls>
        <c:axId val="282020864"/>
        <c:axId val="89725484"/>
      </c:radarChart>
      <c:catAx>
        <c:axId val="282020864"/>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crossAx val="89725484"/>
        <c:crosses val="autoZero"/>
        <c:auto val="1"/>
        <c:lblAlgn val="ctr"/>
        <c:lblOffset val="100"/>
        <c:noMultiLvlLbl val="0"/>
      </c:catAx>
      <c:valAx>
        <c:axId val="897254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zh-CN"/>
          </a:p>
        </c:txPr>
        <c:crossAx val="2820208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CN"/>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9780633936655"/>
          <c:y val="0.1983502458002853"/>
          <c:w val="0.43322367235205944"/>
          <c:h val="0.6590154190516007"/>
        </c:manualLayout>
      </c:layout>
      <c:radarChart>
        <c:radarStyle val="filled"/>
        <c:varyColors val="0"/>
        <c:ser>
          <c:idx val="0"/>
          <c:order val="0"/>
          <c:spPr>
            <a:solidFill>
              <a:schemeClr val="accent1"/>
            </a:solidFill>
            <a:ln>
              <a:noFill/>
            </a:ln>
            <a:effectLst/>
          </c:spPr>
          <c:cat>
            <c:strRef>
              <c:f>附表!$G$13:$O$13</c:f>
              <c:strCache>
                <c:ptCount val="9"/>
                <c:pt idx="0">
                  <c:v>力量
STR</c:v>
                </c:pt>
                <c:pt idx="1">
                  <c:v>体质
CON</c:v>
                </c:pt>
                <c:pt idx="2">
                  <c:v>体型
SIZ</c:v>
                </c:pt>
                <c:pt idx="3">
                  <c:v>敏捷
DEX</c:v>
                </c:pt>
                <c:pt idx="4">
                  <c:v>外貌
APP</c:v>
                </c:pt>
                <c:pt idx="5">
                  <c:v>智力
灵感</c:v>
                </c:pt>
                <c:pt idx="6">
                  <c:v>意志
POW</c:v>
                </c:pt>
                <c:pt idx="7">
                  <c:v>教育
EDU</c:v>
                </c:pt>
                <c:pt idx="8">
                  <c:v>幸运
Luck</c:v>
                </c:pt>
              </c:strCache>
            </c:strRef>
          </c:cat>
          <c:val>
            <c:numRef>
              <c:f>附表!$G$14:$O$14</c:f>
              <c:numCache>
                <c:formatCode>General</c:formatCode>
                <c:ptCount val="9"/>
                <c:pt idx="0">
                  <c:v>0.0</c:v>
                </c:pt>
                <c:pt idx="1">
                  <c:v>0.0</c:v>
                </c:pt>
                <c:pt idx="2">
                  <c:v>0.0</c:v>
                </c:pt>
                <c:pt idx="3">
                  <c:v>0.0</c:v>
                </c:pt>
                <c:pt idx="4">
                  <c:v>0.0</c:v>
                </c:pt>
                <c:pt idx="5">
                  <c:v>0.0</c:v>
                </c:pt>
                <c:pt idx="6">
                  <c:v>0.0</c:v>
                </c:pt>
                <c:pt idx="7">
                  <c:v>0.0</c:v>
                </c:pt>
                <c:pt idx="8">
                  <c:v>0.0</c:v>
                </c:pt>
              </c:numCache>
            </c:numRef>
          </c:val>
        </c:ser>
        <c:dLbls>
          <c:showLegendKey val="0"/>
          <c:showVal val="0"/>
          <c:showCatName val="0"/>
          <c:showSerName val="0"/>
          <c:showPercent val="0"/>
          <c:showBubbleSize val="0"/>
        </c:dLbls>
        <c:axId val="793954566"/>
        <c:axId val="747028619"/>
      </c:radarChart>
      <c:catAx>
        <c:axId val="793954566"/>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crossAx val="747028619"/>
        <c:crosses val="autoZero"/>
        <c:auto val="1"/>
        <c:lblAlgn val="ctr"/>
        <c:lblOffset val="100"/>
        <c:noMultiLvlLbl val="0"/>
      </c:catAx>
      <c:valAx>
        <c:axId val="747028619"/>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crossAx val="79395456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CN"/>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CN-#Han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Pt>
            <c:idx val="5"/>
            <c:bubble3D val="0"/>
            <c:spPr>
              <a:solidFill>
                <a:schemeClr val="accent6"/>
              </a:solidFill>
              <a:ln w="19050">
                <a:solidFill>
                  <a:schemeClr val="lt1"/>
                </a:solidFill>
              </a:ln>
              <a:effectLst/>
            </c:spPr>
          </c:dPt>
          <c:dPt>
            <c:idx val="6"/>
            <c:bubble3D val="0"/>
            <c:spPr>
              <a:solidFill>
                <a:schemeClr val="accent1">
                  <a:lumMod val="60000"/>
                </a:schemeClr>
              </a:solidFill>
              <a:ln w="19050">
                <a:solidFill>
                  <a:schemeClr val="lt1"/>
                </a:solidFill>
              </a:ln>
              <a:effectLst/>
            </c:spPr>
          </c:dPt>
          <c:dPt>
            <c:idx val="7"/>
            <c:bubble3D val="0"/>
            <c:spPr>
              <a:solidFill>
                <a:schemeClr val="accent2">
                  <a:lumMod val="60000"/>
                </a:schemeClr>
              </a:solidFill>
              <a:ln w="19050">
                <a:solidFill>
                  <a:schemeClr val="lt1"/>
                </a:solidFill>
              </a:ln>
              <a:effectLst/>
            </c:spPr>
          </c:dPt>
          <c:dPt>
            <c:idx val="8"/>
            <c:bubble3D val="0"/>
            <c:spPr>
              <a:solidFill>
                <a:schemeClr val="accent3">
                  <a:lumMod val="60000"/>
                </a:schemeClr>
              </a:solidFill>
              <a:ln w="19050">
                <a:solidFill>
                  <a:schemeClr val="lt1"/>
                </a:solidFill>
              </a:ln>
              <a:effectLst/>
            </c:spPr>
          </c:dPt>
          <c:dPt>
            <c:idx val="9"/>
            <c:bubble3D val="0"/>
            <c:spPr>
              <a:solidFill>
                <a:schemeClr val="accent4">
                  <a:lumMod val="60000"/>
                </a:schemeClr>
              </a:solidFill>
              <a:ln w="19050">
                <a:solidFill>
                  <a:schemeClr val="lt1"/>
                </a:solidFill>
              </a:ln>
              <a:effectLst/>
            </c:spPr>
          </c:dPt>
          <c:dPt>
            <c:idx val="10"/>
            <c:bubble3D val="0"/>
            <c:spPr>
              <a:solidFill>
                <a:schemeClr val="accent5">
                  <a:lumMod val="60000"/>
                </a:schemeClr>
              </a:solidFill>
              <a:ln w="19050">
                <a:solidFill>
                  <a:schemeClr val="lt1"/>
                </a:solidFill>
              </a:ln>
              <a:effectLst/>
            </c:spPr>
          </c:dPt>
          <c:dPt>
            <c:idx val="11"/>
            <c:bubble3D val="0"/>
            <c:spPr>
              <a:solidFill>
                <a:schemeClr val="accent6">
                  <a:lumMod val="60000"/>
                </a:schemeClr>
              </a:solidFill>
              <a:ln w="19050">
                <a:solidFill>
                  <a:schemeClr val="lt1"/>
                </a:solidFill>
              </a:ln>
              <a:effectLst/>
            </c:spPr>
          </c:dPt>
          <c:dPt>
            <c:idx val="12"/>
            <c:bubble3D val="0"/>
            <c:spPr>
              <a:solidFill>
                <a:schemeClr val="accent1">
                  <a:lumMod val="80000"/>
                  <a:lumOff val="20000"/>
                </a:schemeClr>
              </a:solidFill>
              <a:ln w="19050">
                <a:solidFill>
                  <a:schemeClr val="lt1"/>
                </a:solidFill>
              </a:ln>
              <a:effectLst/>
            </c:spPr>
          </c:dPt>
          <c:dPt>
            <c:idx val="13"/>
            <c:bubble3D val="0"/>
            <c:spPr>
              <a:solidFill>
                <a:schemeClr val="accent2">
                  <a:lumMod val="80000"/>
                  <a:lumOff val="20000"/>
                </a:schemeClr>
              </a:solidFill>
              <a:ln w="19050">
                <a:solidFill>
                  <a:schemeClr val="lt1"/>
                </a:solidFill>
              </a:ln>
              <a:effectLst/>
            </c:spPr>
          </c:dPt>
          <c:dPt>
            <c:idx val="14"/>
            <c:bubble3D val="0"/>
            <c:spPr>
              <a:solidFill>
                <a:schemeClr val="accent3">
                  <a:lumMod val="80000"/>
                  <a:lumOff val="20000"/>
                </a:schemeClr>
              </a:solidFill>
              <a:ln w="19050">
                <a:solidFill>
                  <a:schemeClr val="lt1"/>
                </a:solidFill>
              </a:ln>
              <a:effectLst/>
            </c:spPr>
          </c:dPt>
          <c:dPt>
            <c:idx val="15"/>
            <c:bubble3D val="0"/>
            <c:spPr>
              <a:solidFill>
                <a:schemeClr val="accent4">
                  <a:lumMod val="80000"/>
                  <a:lumOff val="20000"/>
                </a:schemeClr>
              </a:solidFill>
              <a:ln w="19050">
                <a:solidFill>
                  <a:schemeClr val="lt1"/>
                </a:solidFill>
              </a:ln>
              <a:effectLst/>
            </c:spPr>
          </c:dPt>
          <c:dPt>
            <c:idx val="16"/>
            <c:bubble3D val="0"/>
            <c:spPr>
              <a:solidFill>
                <a:schemeClr val="accent5">
                  <a:lumMod val="80000"/>
                  <a:lumOff val="20000"/>
                </a:schemeClr>
              </a:solidFill>
              <a:ln w="19050">
                <a:solidFill>
                  <a:schemeClr val="lt1"/>
                </a:solidFill>
              </a:ln>
              <a:effectLst/>
            </c:spPr>
          </c:dPt>
          <c:dPt>
            <c:idx val="17"/>
            <c:bubble3D val="0"/>
            <c:spPr>
              <a:solidFill>
                <a:schemeClr val="accent6">
                  <a:lumMod val="80000"/>
                  <a:lumOff val="20000"/>
                </a:schemeClr>
              </a:solidFill>
              <a:ln w="19050">
                <a:solidFill>
                  <a:schemeClr val="lt1"/>
                </a:solidFill>
              </a:ln>
              <a:effectLst/>
            </c:spPr>
          </c:dPt>
          <c:dPt>
            <c:idx val="18"/>
            <c:bubble3D val="0"/>
            <c:spPr>
              <a:solidFill>
                <a:schemeClr val="accent1">
                  <a:lumMod val="80000"/>
                </a:schemeClr>
              </a:solidFill>
              <a:ln w="19050">
                <a:solidFill>
                  <a:schemeClr val="lt1"/>
                </a:solidFill>
              </a:ln>
              <a:effectLst/>
            </c:spPr>
          </c:dPt>
          <c:dPt>
            <c:idx val="19"/>
            <c:bubble3D val="0"/>
            <c:spPr>
              <a:solidFill>
                <a:schemeClr val="accent2">
                  <a:lumMod val="80000"/>
                </a:schemeClr>
              </a:solidFill>
              <a:ln w="19050">
                <a:solidFill>
                  <a:schemeClr val="lt1"/>
                </a:solidFill>
              </a:ln>
              <a:effectLst/>
            </c:spPr>
          </c:dPt>
          <c:dPt>
            <c:idx val="20"/>
            <c:bubble3D val="0"/>
            <c:spPr>
              <a:solidFill>
                <a:schemeClr val="accent3">
                  <a:lumMod val="80000"/>
                </a:schemeClr>
              </a:solidFill>
              <a:ln w="19050">
                <a:solidFill>
                  <a:schemeClr val="lt1"/>
                </a:solidFill>
              </a:ln>
              <a:effectLst/>
            </c:spPr>
          </c:dPt>
          <c:dPt>
            <c:idx val="21"/>
            <c:bubble3D val="0"/>
            <c:spPr>
              <a:solidFill>
                <a:schemeClr val="accent4">
                  <a:lumMod val="80000"/>
                </a:schemeClr>
              </a:solidFill>
              <a:ln w="19050">
                <a:solidFill>
                  <a:schemeClr val="lt1"/>
                </a:solidFill>
              </a:ln>
              <a:effectLst/>
            </c:spPr>
          </c:dPt>
          <c:dPt>
            <c:idx val="22"/>
            <c:bubble3D val="0"/>
            <c:spPr>
              <a:solidFill>
                <a:schemeClr val="accent5">
                  <a:lumMod val="80000"/>
                </a:schemeClr>
              </a:solidFill>
              <a:ln w="19050">
                <a:solidFill>
                  <a:schemeClr val="lt1"/>
                </a:solidFill>
              </a:ln>
              <a:effectLst/>
            </c:spPr>
          </c:dPt>
          <c:dPt>
            <c:idx val="23"/>
            <c:bubble3D val="0"/>
            <c:spPr>
              <a:solidFill>
                <a:schemeClr val="accent6">
                  <a:lumMod val="80000"/>
                </a:schemeClr>
              </a:solidFill>
              <a:ln w="19050">
                <a:solidFill>
                  <a:schemeClr val="lt1"/>
                </a:solidFill>
              </a:ln>
              <a:effectLst/>
            </c:spPr>
          </c:dPt>
          <c:dPt>
            <c:idx val="24"/>
            <c:bubble3D val="0"/>
            <c:spPr>
              <a:solidFill>
                <a:schemeClr val="accent1">
                  <a:lumMod val="60000"/>
                  <a:lumOff val="40000"/>
                </a:schemeClr>
              </a:solidFill>
              <a:ln w="19050">
                <a:solidFill>
                  <a:schemeClr val="lt1"/>
                </a:solidFill>
              </a:ln>
              <a:effectLst/>
            </c:spPr>
          </c:dPt>
          <c:dPt>
            <c:idx val="25"/>
            <c:bubble3D val="0"/>
            <c:spPr>
              <a:solidFill>
                <a:schemeClr val="accent2">
                  <a:lumMod val="60000"/>
                  <a:lumOff val="40000"/>
                </a:schemeClr>
              </a:solidFill>
              <a:ln w="19050">
                <a:solidFill>
                  <a:schemeClr val="lt1"/>
                </a:solidFill>
              </a:ln>
              <a:effectLst/>
            </c:spPr>
          </c:dPt>
          <c:dPt>
            <c:idx val="26"/>
            <c:bubble3D val="0"/>
            <c:spPr>
              <a:solidFill>
                <a:schemeClr val="accent3">
                  <a:lumMod val="60000"/>
                  <a:lumOff val="40000"/>
                </a:schemeClr>
              </a:solidFill>
              <a:ln w="19050">
                <a:solidFill>
                  <a:schemeClr val="lt1"/>
                </a:solidFill>
              </a:ln>
              <a:effectLst/>
            </c:spPr>
          </c:dPt>
          <c:dPt>
            <c:idx val="27"/>
            <c:bubble3D val="0"/>
            <c:spPr>
              <a:solidFill>
                <a:schemeClr val="accent4">
                  <a:lumMod val="60000"/>
                  <a:lumOff val="40000"/>
                </a:schemeClr>
              </a:solidFill>
              <a:ln w="19050">
                <a:solidFill>
                  <a:schemeClr val="lt1"/>
                </a:solidFill>
              </a:ln>
              <a:effectLst/>
            </c:spPr>
          </c:dPt>
          <c:dLbls>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附表!$G$13:$O$13</c:f>
              <c:strCache>
                <c:ptCount val="9"/>
                <c:pt idx="0">
                  <c:v>力量
STR</c:v>
                </c:pt>
                <c:pt idx="1">
                  <c:v>体质
CON</c:v>
                </c:pt>
                <c:pt idx="2">
                  <c:v>体型
SIZ</c:v>
                </c:pt>
                <c:pt idx="3">
                  <c:v>敏捷
DEX</c:v>
                </c:pt>
                <c:pt idx="4">
                  <c:v>外貌
APP</c:v>
                </c:pt>
                <c:pt idx="5">
                  <c:v>智力
灵感</c:v>
                </c:pt>
                <c:pt idx="6">
                  <c:v>意志
POW</c:v>
                </c:pt>
                <c:pt idx="7">
                  <c:v>教育
EDU</c:v>
                </c:pt>
                <c:pt idx="8">
                  <c:v>幸运
Luck</c:v>
                </c:pt>
              </c:strCache>
            </c:strRef>
          </c:cat>
          <c:val>
            <c:numRef>
              <c:f>附表!$G$14:$O$14</c:f>
              <c:numCache>
                <c:formatCode>General</c:formatCode>
                <c:ptCount val="9"/>
                <c:pt idx="0">
                  <c:v>0.0</c:v>
                </c:pt>
                <c:pt idx="1">
                  <c:v>0.0</c:v>
                </c:pt>
                <c:pt idx="2">
                  <c:v>0.0</c:v>
                </c:pt>
                <c:pt idx="3">
                  <c:v>0.0</c:v>
                </c:pt>
                <c:pt idx="4">
                  <c:v>0.0</c:v>
                </c:pt>
                <c:pt idx="5">
                  <c:v>0.0</c:v>
                </c:pt>
                <c:pt idx="6">
                  <c:v>0.0</c:v>
                </c:pt>
                <c:pt idx="7">
                  <c:v>0.0</c:v>
                </c:pt>
                <c:pt idx="8">
                  <c:v>0.0</c:v>
                </c:pt>
              </c:numCache>
            </c:numRef>
          </c:val>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CN-#Han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CN-#Han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Pt>
            <c:idx val="5"/>
            <c:bubble3D val="0"/>
            <c:spPr>
              <a:solidFill>
                <a:schemeClr val="accent6"/>
              </a:solidFill>
              <a:ln w="19050">
                <a:solidFill>
                  <a:schemeClr val="lt1"/>
                </a:solidFill>
              </a:ln>
              <a:effectLst/>
            </c:spPr>
          </c:dPt>
          <c:dLbls>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附表!$G$7:$L$7</c:f>
              <c:strCache>
                <c:ptCount val="6"/>
                <c:pt idx="0">
                  <c:v>调查</c:v>
                </c:pt>
                <c:pt idx="1">
                  <c:v>交涉</c:v>
                </c:pt>
                <c:pt idx="2">
                  <c:v>战斗</c:v>
                </c:pt>
                <c:pt idx="3">
                  <c:v>特技</c:v>
                </c:pt>
                <c:pt idx="4">
                  <c:v>支援</c:v>
                </c:pt>
                <c:pt idx="5">
                  <c:v>学问</c:v>
                </c:pt>
              </c:strCache>
            </c:strRef>
          </c:cat>
          <c:val>
            <c:numRef>
              <c:f>附表!$G$8:$L$8</c:f>
              <c:numCache>
                <c:formatCode>General</c:formatCode>
                <c:ptCount val="6"/>
                <c:pt idx="0">
                  <c:v>0.0</c:v>
                </c:pt>
                <c:pt idx="1">
                  <c:v>0.0</c:v>
                </c:pt>
                <c:pt idx="2">
                  <c:v>0.0</c:v>
                </c:pt>
                <c:pt idx="3">
                  <c:v>0.0</c:v>
                </c:pt>
                <c:pt idx="4">
                  <c:v>0.0</c:v>
                </c:pt>
                <c:pt idx="5">
                  <c:v>0.0</c:v>
                </c:pt>
              </c:numCache>
            </c:numRef>
          </c:val>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CN-#Han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57</xdr:col>
      <xdr:colOff>145681</xdr:colOff>
      <xdr:row>7</xdr:row>
      <xdr:rowOff>114300</xdr:rowOff>
    </xdr:from>
    <xdr:to>
      <xdr:col>69</xdr:col>
      <xdr:colOff>196091</xdr:colOff>
      <xdr:row>15</xdr:row>
      <xdr:rowOff>114300</xdr:rowOff>
    </xdr:to>
    <xdr:graphicFrame macro="">
      <xdr:nvGraphicFramePr>
        <xdr:cNvPr name="图表 1" id="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46</xdr:col>
      <xdr:colOff>0</xdr:colOff>
      <xdr:row>8</xdr:row>
      <xdr:rowOff>0</xdr:rowOff>
    </xdr:from>
    <xdr:to>
      <xdr:col>58</xdr:col>
      <xdr:colOff>59575</xdr:colOff>
      <xdr:row>15</xdr:row>
      <xdr:rowOff>114300</xdr:rowOff>
    </xdr:to>
    <xdr:graphicFrame macro="">
      <xdr:nvGraphicFramePr>
        <xdr:cNvPr name="图表 2" id="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61</xdr:col>
      <xdr:colOff>43247</xdr:colOff>
      <xdr:row>1</xdr:row>
      <xdr:rowOff>114300</xdr:rowOff>
    </xdr:from>
    <xdr:to>
      <xdr:col>74</xdr:col>
      <xdr:colOff>111142</xdr:colOff>
      <xdr:row>15</xdr:row>
      <xdr:rowOff>114300</xdr:rowOff>
    </xdr:to>
    <xdr:graphicFrame macro="">
      <xdr:nvGraphicFramePr>
        <xdr:cNvPr name="图表 1" id="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10463</xdr:colOff>
      <xdr:row>16</xdr:row>
      <xdr:rowOff>0</xdr:rowOff>
    </xdr:from>
    <xdr:to>
      <xdr:col>74</xdr:col>
      <xdr:colOff>117884</xdr:colOff>
      <xdr:row>30</xdr:row>
      <xdr:rowOff>0</xdr:rowOff>
    </xdr:to>
    <xdr:graphicFrame macro="">
      <xdr:nvGraphicFramePr>
        <xdr:cNvPr name="图表 2" id="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31</xdr:col>
      <xdr:colOff>138281</xdr:colOff>
      <xdr:row>39</xdr:row>
      <xdr:rowOff>0</xdr:rowOff>
    </xdr:from>
    <xdr:to>
      <xdr:col>41</xdr:col>
      <xdr:colOff>277001</xdr:colOff>
      <xdr:row>62</xdr:row>
      <xdr:rowOff>0</xdr:rowOff>
    </xdr:to>
    <xdr:sp macro="" textlink="">
      <xdr:nvSpPr>
        <xdr:cNvPr id="2" name=" "/>
        <xdr:cNvSpPr txBox="1"/>
      </xdr:nvSpPr>
      <xdr:spPr>
        <a:xfrm>
          <a:off x="15991840" y="8293100"/>
          <a:ext cx="4038600" cy="4847590"/>
        </a:xfrm>
        <a:prstGeom prst="rect">
          <a:avLst/>
        </a:prstGeom>
        <a:solidFill>
          <a:srgbClr val="ffffff"/>
        </a:solidFill>
        <a:ln w="9525" cap="flat" cmpd="sng">
          <a:solidFill>
            <a:srgbClr val="888888"/>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6.vml"/><Relationship Id="rId2" Type="http://schemas.openxmlformats.org/officeDocument/2006/relationships/comments" Target="../comments6.x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8.vml"/><Relationship Id="rId2" Type="http://schemas.openxmlformats.org/officeDocument/2006/relationships/comments" Target="../comments8.xml"/></Relationships>
</file>

<file path=xl/worksheets/_rels/sheet15.xml.rels><?xml version="1.0" encoding="UTF-8" standalone="yes"?>
<Relationships xmlns="http://schemas.openxmlformats.org/package/2006/relationships"><Relationship Id="rId1" Type="http://schemas.openxmlformats.org/officeDocument/2006/relationships/hyperlink" Target="https://congyu.lanzoum.com/i76887g" TargetMode="External"/><Relationship Id="rId2" Type="http://schemas.openxmlformats.org/officeDocument/2006/relationships/hyperlink" Target="https://congyu.lanzoum.com/i7jb4qh" TargetMode="External"/><Relationship Id="rId3" Type="http://schemas.openxmlformats.org/officeDocument/2006/relationships/hyperlink" Target="https://congyu.lanzoum.com/i7jb9hi" TargetMode="External"/><Relationship Id="rId4" Type="http://schemas.openxmlformats.org/officeDocument/2006/relationships/hyperlink" Target="https://congyu.lanzoum.com/i7jbble" TargetMode="External"/><Relationship Id="rId5" Type="http://schemas.openxmlformats.org/officeDocument/2006/relationships/hyperlink" Target="https://congyu.lanzoum.com/iDZGqw7r50b" TargetMode="External"/><Relationship Id="rId6" Type="http://schemas.openxmlformats.org/officeDocument/2006/relationships/hyperlink" Target="https://congyu.lanzoum.com/b00nb3n2d" TargetMode="External"/></Relationships>
</file>

<file path=xl/worksheets/sheet1.xml><?xml version="1.0" encoding="utf-8"?>
<worksheet xmlns:r="http://schemas.openxmlformats.org/officeDocument/2006/relationships" xmlns="http://schemas.openxmlformats.org/spreadsheetml/2006/main">
  <dimension ref="A1:FI185"/>
  <sheetViews>
    <sheetView tabSelected="1" workbookViewId="0" showGridLines="0" showRowColHeaders="0" zoomScale="56">
      <selection activeCell="E3" sqref="E3:Q3"/>
    </sheetView>
  </sheetViews>
  <sheetFormatPr defaultRowHeight="18.0" customHeight="1" defaultColWidth="3"/>
  <cols>
    <col min="1" max="1" customWidth="1" width="3.109375" style="1"/>
    <col min="2" max="23" customWidth="0" width="3.109375" style="1"/>
    <col min="24" max="24" customWidth="0" width="3.109375" style="1"/>
    <col min="25" max="25" customWidth="0" width="3.109375" style="1"/>
    <col min="26" max="26" customWidth="0" width="3.109375" style="1"/>
    <col min="27" max="27" customWidth="0" width="3.109375" style="1"/>
    <col min="28" max="28" customWidth="0" width="3.109375" style="1"/>
    <col min="29" max="29" customWidth="0" width="3.109375" style="1"/>
    <col min="30" max="30" customWidth="0" width="3.109375" style="1"/>
    <col min="31" max="31" customWidth="0" width="3.109375" style="1"/>
    <col min="32" max="32" customWidth="0" width="3.109375" style="1"/>
    <col min="33" max="33" customWidth="0" width="3.109375" style="1"/>
    <col min="34" max="34" customWidth="0" width="3.109375" style="1"/>
    <col min="35" max="35" customWidth="0" width="3.109375" style="1"/>
    <col min="36" max="36" customWidth="0" width="3.109375" style="1"/>
    <col min="37" max="37" customWidth="0" width="3.109375" style="1"/>
    <col min="38" max="38" customWidth="0" width="3.109375" style="1"/>
    <col min="39" max="39" customWidth="0" width="3.109375" style="1"/>
    <col min="40" max="40" customWidth="0" width="3.109375" style="1"/>
    <col min="41" max="41" customWidth="0" width="3.109375" style="1"/>
    <col min="42" max="42" customWidth="0" width="3.109375" style="1"/>
    <col min="43" max="43" customWidth="0" width="3.109375" style="1"/>
    <col min="44" max="44" customWidth="0" width="3.109375" style="1"/>
    <col min="45" max="45" customWidth="0" width="3.109375" style="1"/>
    <col min="46" max="46" customWidth="0" width="3.109375" style="1"/>
    <col min="47" max="47" customWidth="0" width="3.109375" style="1"/>
    <col min="48" max="48" customWidth="0" width="3.109375" style="1"/>
    <col min="49" max="49" customWidth="0" width="3.109375" style="1"/>
    <col min="50" max="50" customWidth="0" width="3.109375" style="1"/>
    <col min="51" max="51" customWidth="0" width="3.109375" style="1"/>
    <col min="52" max="52" customWidth="0" width="3.109375" style="1"/>
    <col min="53" max="53" customWidth="0" width="3.109375" style="1"/>
    <col min="54" max="54" customWidth="0" width="3.109375" style="1"/>
    <col min="55" max="55" customWidth="0" width="3.109375" style="1"/>
    <col min="56" max="56" customWidth="0" width="3.109375" style="1"/>
    <col min="57" max="57" customWidth="0" width="3.109375" style="1"/>
    <col min="58" max="58" customWidth="0" width="3.109375" style="1"/>
    <col min="59" max="59" customWidth="0" width="3.109375" style="1"/>
    <col min="60" max="60" customWidth="0" width="3.109375" style="1"/>
    <col min="61" max="61" customWidth="0" width="3.109375" style="1"/>
    <col min="62" max="62" customWidth="0" width="3.109375" style="1"/>
    <col min="63" max="63" customWidth="0" width="3.109375" style="1"/>
    <col min="64" max="64" customWidth="0" width="3.109375" style="1"/>
    <col min="65" max="65" customWidth="0" width="3.109375" style="1"/>
    <col min="66" max="66" customWidth="0" width="3.109375" style="1"/>
    <col min="67" max="67" customWidth="0" width="3.109375" style="1"/>
    <col min="68" max="68" customWidth="0" width="3.109375" style="1"/>
    <col min="69" max="69" customWidth="0" width="3.109375" style="1"/>
    <col min="70" max="70" customWidth="0" width="3.109375" style="1"/>
    <col min="71" max="71" customWidth="0" width="3.109375" style="1"/>
    <col min="72" max="72" customWidth="0" width="3.109375" style="1"/>
    <col min="73" max="73" customWidth="0" width="3.109375" style="1"/>
    <col min="74" max="74" customWidth="0" width="3.109375" style="1"/>
    <col min="75" max="75" customWidth="0" width="3.109375" style="1"/>
    <col min="76" max="76" customWidth="0" width="3.109375" style="1"/>
    <col min="77" max="77" customWidth="0" width="3.109375" style="1"/>
    <col min="78" max="78" customWidth="0" width="3.109375" style="1"/>
    <col min="79" max="79" customWidth="0" width="3.109375" style="1"/>
    <col min="80" max="80" customWidth="0" width="3.109375" style="1"/>
    <col min="81" max="81" customWidth="0" width="3.109375" style="1"/>
    <col min="82" max="82" customWidth="0" width="3.109375" style="1"/>
    <col min="83" max="83" customWidth="0" width="3.109375" style="1"/>
    <col min="84" max="84" customWidth="0" width="3.109375" style="1"/>
    <col min="85" max="85" customWidth="0" width="3.109375" style="1"/>
    <col min="86" max="86" customWidth="0" width="3.109375" style="1"/>
    <col min="87" max="87" customWidth="0" width="3.109375" style="1"/>
    <col min="88" max="88" customWidth="0" width="3.109375" style="1"/>
    <col min="89" max="89" customWidth="0" width="3.109375" style="1"/>
    <col min="90" max="90" customWidth="0" width="3.109375" style="1"/>
    <col min="91" max="91" customWidth="0" width="3.109375" style="1"/>
    <col min="92" max="92" customWidth="0" width="3.109375" style="1"/>
    <col min="93" max="93" customWidth="0" width="3.109375" style="1"/>
    <col min="94" max="94" customWidth="0" width="3.109375" style="1"/>
    <col min="95" max="95" customWidth="0" width="3.109375" style="1"/>
    <col min="96" max="96" customWidth="0" width="3.109375" style="1"/>
    <col min="97" max="97" customWidth="0" width="3.109375" style="1"/>
    <col min="98" max="98" customWidth="0" width="3.109375" style="1"/>
    <col min="99" max="99" customWidth="0" width="3.109375" style="1"/>
    <col min="100" max="100" customWidth="0" width="3.109375" style="1"/>
    <col min="101" max="101" customWidth="0" width="3.109375" style="1"/>
    <col min="102" max="102" customWidth="0" width="3.109375" style="1"/>
    <col min="103" max="103" customWidth="0" width="3.109375" style="1"/>
    <col min="104" max="104" customWidth="0" width="3.109375" style="1"/>
    <col min="105" max="105" customWidth="0" width="3.109375" style="1"/>
    <col min="106" max="106" customWidth="0" width="3.109375" style="1"/>
    <col min="107" max="107" customWidth="0" width="3.109375" style="1"/>
    <col min="108" max="108" customWidth="0" width="3.109375" style="1"/>
    <col min="109" max="109" customWidth="0" width="3.109375" style="1"/>
    <col min="110" max="110" customWidth="0" width="3.109375" style="1"/>
    <col min="111" max="111" customWidth="0" width="3.109375" style="1"/>
    <col min="112" max="112" customWidth="0" width="3.109375" style="1"/>
    <col min="113" max="113" customWidth="0" width="3.109375" style="1"/>
    <col min="114" max="114" customWidth="0" width="3.109375" style="1"/>
    <col min="115" max="115" customWidth="0" width="3.109375" style="1"/>
    <col min="116" max="116" customWidth="0" width="3.109375" style="1"/>
    <col min="117" max="117" customWidth="0" width="3.109375" style="1"/>
    <col min="118" max="118" customWidth="0" width="3.109375" style="1"/>
    <col min="119" max="119" customWidth="0" width="3.109375" style="1"/>
    <col min="120" max="120" customWidth="0" width="3.109375" style="1"/>
    <col min="121" max="121" customWidth="0" width="3.109375" style="1"/>
    <col min="122" max="122" customWidth="0" width="3.109375" style="1"/>
    <col min="123" max="123" customWidth="0" width="3.109375" style="1"/>
    <col min="124" max="124" customWidth="0" width="3.109375" style="1"/>
    <col min="125" max="125" customWidth="0" width="3.109375" style="1"/>
    <col min="126" max="126" customWidth="0" width="3.109375" style="1"/>
    <col min="127" max="127" customWidth="0" width="3.109375" style="1"/>
    <col min="128" max="128" customWidth="0" width="3.109375" style="1"/>
    <col min="129" max="129" customWidth="0" width="3.109375" style="1"/>
    <col min="130" max="130" customWidth="0" width="3.109375" style="1"/>
    <col min="131" max="131" customWidth="0" width="3.109375" style="1"/>
    <col min="132" max="132" customWidth="0" width="3.109375" style="1"/>
    <col min="133" max="133" customWidth="0" width="3.109375" style="1"/>
    <col min="134" max="134" customWidth="0" width="3.109375" style="1"/>
    <col min="135" max="135" customWidth="0" width="3.109375" style="1"/>
    <col min="136" max="136" customWidth="0" width="3.109375" style="1"/>
    <col min="137" max="137" customWidth="0" width="3.109375" style="1"/>
    <col min="138" max="138" customWidth="0" width="3.109375" style="1"/>
    <col min="139" max="139" customWidth="0" width="3.109375" style="1"/>
    <col min="140" max="140" customWidth="0" width="3.109375" style="1"/>
    <col min="141" max="141" customWidth="0" width="3.109375" style="1"/>
    <col min="142" max="142" customWidth="0" width="3.109375" style="1"/>
    <col min="143" max="143" customWidth="0" width="3.109375" style="1"/>
    <col min="144" max="144" customWidth="0" width="3.109375" style="1"/>
    <col min="145" max="145" customWidth="0" width="3.109375" style="1"/>
    <col min="146" max="146" customWidth="0" width="3.109375" style="1"/>
    <col min="147" max="147" customWidth="0" width="3.109375" style="1"/>
    <col min="148" max="148" customWidth="0" width="3.109375" style="1"/>
    <col min="149" max="149" customWidth="0" width="3.109375" style="1"/>
    <col min="150" max="150" customWidth="0" width="3.109375" style="1"/>
    <col min="151" max="151" customWidth="0" width="3.109375" style="1"/>
    <col min="152" max="152" customWidth="0" width="3.109375" style="1"/>
    <col min="153" max="153" customWidth="0" width="3.109375" style="1"/>
    <col min="154" max="154" customWidth="0" width="3.109375" style="1"/>
    <col min="155" max="155" customWidth="0" width="3.109375" style="1"/>
    <col min="156" max="156" customWidth="0" width="3.109375" style="1"/>
    <col min="157" max="157" customWidth="0" width="3.109375" style="1"/>
    <col min="158" max="158" customWidth="0" width="3.109375" style="1"/>
    <col min="159" max="159" customWidth="0" width="3.109375" style="1"/>
    <col min="160" max="160" customWidth="0" width="3.109375" style="1"/>
    <col min="161" max="161" customWidth="0" width="3.109375" style="1"/>
    <col min="162" max="162" customWidth="0" width="3.109375" style="1"/>
    <col min="163" max="163" customWidth="0" width="3.109375" style="1"/>
    <col min="164" max="164" customWidth="0" width="3.109375" style="1"/>
    <col min="165" max="165" customWidth="0" width="3.109375" style="1"/>
    <col min="166" max="166" customWidth="0" width="3.109375" style="1"/>
    <col min="167" max="167" customWidth="0" width="3.109375" style="1"/>
    <col min="168" max="168" customWidth="0" width="3.109375" style="1"/>
    <col min="169" max="169" customWidth="0" width="3.109375" style="1"/>
    <col min="170" max="170" customWidth="0" width="3.109375" style="1"/>
    <col min="171" max="171" customWidth="0" width="3.109375" style="1"/>
    <col min="172" max="172" customWidth="0" width="3.109375" style="1"/>
    <col min="173" max="173" customWidth="0" width="3.109375" style="1"/>
    <col min="174" max="174" customWidth="0" width="3.109375" style="1"/>
    <col min="175" max="175" customWidth="0" width="3.109375" style="1"/>
    <col min="176" max="176" customWidth="0" width="3.109375" style="1"/>
    <col min="177" max="177" customWidth="0" width="3.109375" style="1"/>
    <col min="178" max="178" customWidth="0" width="3.109375" style="1"/>
    <col min="179" max="179" customWidth="0" width="3.109375" style="1"/>
    <col min="180" max="180" customWidth="0" width="3.109375" style="1"/>
    <col min="181" max="181" customWidth="0" width="3.109375" style="1"/>
    <col min="182" max="182" customWidth="0" width="3.109375" style="1"/>
    <col min="183" max="183" customWidth="0" width="3.109375" style="1"/>
    <col min="184" max="184" customWidth="0" width="3.109375" style="1"/>
    <col min="185" max="185" customWidth="0" width="3.109375" style="1"/>
    <col min="186" max="186" customWidth="0" width="3.109375" style="1"/>
    <col min="187" max="187" customWidth="0" width="3.109375" style="1"/>
    <col min="188" max="188" customWidth="0" width="3.109375" style="1"/>
    <col min="189" max="189" customWidth="0" width="3.109375" style="1"/>
    <col min="190" max="190" customWidth="0" width="3.109375" style="1"/>
    <col min="191" max="191" customWidth="0" width="3.109375" style="1"/>
    <col min="192" max="192" customWidth="0" width="3.109375" style="1"/>
    <col min="193" max="193" customWidth="0" width="3.109375" style="1"/>
    <col min="194" max="194" customWidth="0" width="3.109375" style="1"/>
    <col min="195" max="195" customWidth="0" width="3.109375" style="1"/>
    <col min="196" max="196" customWidth="0" width="3.109375" style="1"/>
    <col min="197" max="197" customWidth="0" width="3.109375" style="1"/>
    <col min="198" max="198" customWidth="0" width="3.109375" style="1"/>
    <col min="199" max="199" customWidth="0" width="3.109375" style="1"/>
    <col min="200" max="200" customWidth="0" width="3.109375" style="1"/>
    <col min="201" max="201" customWidth="0" width="3.109375" style="1"/>
    <col min="202" max="202" customWidth="0" width="3.109375" style="1"/>
    <col min="203" max="203" customWidth="0" width="3.109375" style="1"/>
    <col min="204" max="204" customWidth="0" width="3.109375" style="1"/>
    <col min="205" max="205" customWidth="0" width="3.109375" style="1"/>
    <col min="206" max="206" customWidth="0" width="3.109375" style="1"/>
    <col min="207" max="207" customWidth="0" width="3.109375" style="1"/>
    <col min="208" max="208" customWidth="0" width="3.109375" style="1"/>
    <col min="209" max="209" customWidth="0" width="3.109375" style="1"/>
    <col min="210" max="210" customWidth="0" width="3.109375" style="1"/>
    <col min="211" max="211" customWidth="0" width="3.109375" style="1"/>
    <col min="212" max="212" customWidth="0" width="3.109375" style="1"/>
    <col min="213" max="213" customWidth="0" width="3.109375" style="1"/>
    <col min="214" max="214" customWidth="0" width="3.109375" style="1"/>
    <col min="215" max="215" customWidth="0" width="3.109375" style="1"/>
    <col min="216" max="216" customWidth="0" width="3.109375" style="1"/>
    <col min="217" max="217" customWidth="0" width="3.109375" style="1"/>
    <col min="218" max="218" customWidth="0" width="3.109375" style="1"/>
    <col min="219" max="219" customWidth="0" width="3.109375" style="1"/>
    <col min="220" max="220" customWidth="0" width="3.109375" style="1"/>
    <col min="221" max="221" customWidth="0" width="3.109375" style="1"/>
    <col min="222" max="222" customWidth="0" width="3.109375" style="1"/>
    <col min="223" max="223" customWidth="0" width="3.109375" style="1"/>
    <col min="224" max="224" customWidth="0" width="3.109375" style="1"/>
    <col min="225" max="225" customWidth="0" width="3.109375" style="1"/>
    <col min="226" max="226" customWidth="0" width="3.109375" style="1"/>
    <col min="227" max="227" customWidth="0" width="3.109375" style="1"/>
    <col min="228" max="228" customWidth="0" width="3.109375" style="1"/>
    <col min="229" max="229" customWidth="0" width="3.109375" style="1"/>
    <col min="230" max="230" customWidth="0" width="3.109375" style="1"/>
    <col min="231" max="231" customWidth="0" width="3.109375" style="1"/>
    <col min="232" max="232" customWidth="0" width="3.109375" style="1"/>
    <col min="233" max="233" customWidth="0" width="3.109375" style="1"/>
    <col min="234" max="234" customWidth="0" width="3.109375" style="1"/>
    <col min="235" max="235" customWidth="0" width="3.109375" style="1"/>
    <col min="236" max="236" customWidth="0" width="3.109375" style="1"/>
    <col min="237" max="237" customWidth="0" width="3.109375" style="1"/>
    <col min="238" max="238" customWidth="0" width="3.109375" style="1"/>
    <col min="239" max="239" customWidth="0" width="3.109375" style="1"/>
    <col min="240" max="240" customWidth="0" width="3.109375" style="1"/>
    <col min="241" max="241" customWidth="0" width="3.109375" style="1"/>
    <col min="242" max="242" customWidth="0" width="3.109375" style="1"/>
    <col min="243" max="243" customWidth="0" width="3.109375" style="1"/>
    <col min="244" max="244" customWidth="0" width="3.109375" style="1"/>
    <col min="245" max="245" customWidth="0" width="3.109375" style="1"/>
    <col min="246" max="246" customWidth="0" width="3.109375" style="1"/>
    <col min="247" max="247" customWidth="0" width="3.109375" style="1"/>
    <col min="248" max="248" customWidth="0" width="3.109375" style="1"/>
    <col min="249" max="249" customWidth="0" width="3.109375" style="1"/>
    <col min="250" max="250" customWidth="0" width="3.109375" style="1"/>
    <col min="251" max="251" customWidth="0" width="3.109375" style="1"/>
    <col min="252" max="252" customWidth="0" width="3.109375" style="1"/>
    <col min="253" max="253" customWidth="0" width="3.109375" style="1"/>
    <col min="254" max="254" customWidth="0" width="3.109375" style="1"/>
    <col min="255" max="255" customWidth="0" width="3.109375" style="1"/>
    <col min="256" max="256" customWidth="0" width="3.109375" style="1"/>
    <col min="257" max="257" customWidth="0" width="3.109375" style="1"/>
    <col min="258" max="258" customWidth="0" width="3.109375" style="1"/>
    <col min="259" max="259" customWidth="0" width="3.109375" style="1"/>
    <col min="260" max="260" customWidth="0" width="3.109375" style="1"/>
    <col min="261" max="261" customWidth="0" width="3.109375" style="1"/>
    <col min="262" max="262" customWidth="0" width="3.109375" style="1"/>
    <col min="263" max="263" customWidth="0" width="3.109375" style="1"/>
    <col min="264" max="264" customWidth="0" width="3.109375" style="1"/>
    <col min="265" max="265" customWidth="0" width="3.109375" style="1"/>
    <col min="266" max="266" customWidth="0" width="3.109375" style="1"/>
    <col min="267" max="267" customWidth="0" width="3.109375" style="1"/>
    <col min="268" max="268" customWidth="0" width="3.109375" style="1"/>
    <col min="269" max="269" customWidth="0" width="3.109375" style="1"/>
    <col min="270" max="270" customWidth="0" width="3.109375" style="1"/>
    <col min="271" max="271" customWidth="0" width="3.109375" style="1"/>
    <col min="272" max="272" customWidth="0" width="3.109375" style="1"/>
    <col min="273" max="273" customWidth="0" width="3.109375" style="1"/>
    <col min="274" max="274" customWidth="0" width="3.109375" style="1"/>
    <col min="275" max="275" customWidth="0" width="3.109375" style="1"/>
    <col min="276" max="276" customWidth="0" width="3.109375" style="1"/>
    <col min="277" max="277" customWidth="0" width="3.109375" style="1"/>
    <col min="278" max="278" customWidth="0" width="3.109375" style="1"/>
    <col min="279" max="279" customWidth="0" width="3.109375" style="1"/>
    <col min="280" max="280" customWidth="0" width="3.109375" style="1"/>
    <col min="281" max="281" customWidth="0" width="3.109375" style="1"/>
    <col min="282" max="282" customWidth="0" width="3.109375" style="1"/>
    <col min="283" max="283" customWidth="0" width="3.109375" style="1"/>
    <col min="284" max="284" customWidth="0" width="3.109375" style="1"/>
    <col min="285" max="285" customWidth="0" width="3.109375" style="1"/>
    <col min="286" max="286" customWidth="0" width="3.109375" style="1"/>
    <col min="287" max="287" customWidth="0" width="3.109375" style="1"/>
    <col min="288" max="288" customWidth="0" width="3.109375" style="1"/>
    <col min="289" max="289" customWidth="0" width="3.109375" style="1"/>
    <col min="290" max="290" customWidth="0" width="3.109375" style="1"/>
    <col min="291" max="291" customWidth="0" width="3.109375" style="1"/>
    <col min="292" max="292" customWidth="0" width="3.109375" style="1"/>
    <col min="293" max="293" customWidth="0" width="3.109375" style="1"/>
    <col min="294" max="294" customWidth="0" width="3.109375" style="1"/>
    <col min="295" max="295" customWidth="0" width="3.109375" style="1"/>
    <col min="296" max="296" customWidth="0" width="3.109375" style="1"/>
    <col min="297" max="297" customWidth="0" width="3.109375" style="1"/>
    <col min="298" max="298" customWidth="0" width="3.109375" style="1"/>
    <col min="299" max="299" customWidth="0" width="3.109375" style="1"/>
    <col min="300" max="300" customWidth="0" width="3.109375" style="1"/>
    <col min="301" max="301" customWidth="0" width="3.109375" style="1"/>
    <col min="302" max="302" customWidth="0" width="3.109375" style="1"/>
    <col min="303" max="303" customWidth="0" width="3.109375" style="1"/>
    <col min="304" max="304" customWidth="0" width="3.109375" style="1"/>
    <col min="305" max="305" customWidth="0" width="3.109375" style="1"/>
    <col min="306" max="306" customWidth="0" width="3.109375" style="1"/>
    <col min="307" max="307" customWidth="0" width="3.109375" style="1"/>
    <col min="308" max="308" customWidth="0" width="3.109375" style="1"/>
    <col min="309" max="309" customWidth="0" width="3.109375" style="1"/>
    <col min="310" max="310" customWidth="0" width="3.109375" style="1"/>
    <col min="311" max="311" customWidth="0" width="3.109375" style="1"/>
    <col min="312" max="312" customWidth="0" width="3.109375" style="1"/>
    <col min="313" max="313" customWidth="0" width="3.109375" style="1"/>
    <col min="314" max="314" customWidth="0" width="3.109375" style="1"/>
    <col min="315" max="315" customWidth="0" width="3.109375" style="1"/>
    <col min="316" max="316" customWidth="0" width="3.109375" style="1"/>
    <col min="317" max="317" customWidth="0" width="3.109375" style="1"/>
    <col min="318" max="318" customWidth="0" width="3.109375" style="1"/>
    <col min="319" max="319" customWidth="0" width="3.109375" style="1"/>
    <col min="320" max="320" customWidth="0" width="3.109375" style="1"/>
    <col min="321" max="321" customWidth="0" width="3.109375" style="1"/>
    <col min="322" max="322" customWidth="0" width="3.109375" style="1"/>
    <col min="323" max="323" customWidth="0" width="3.109375" style="1"/>
    <col min="324" max="324" customWidth="0" width="3.109375" style="1"/>
    <col min="325" max="325" customWidth="0" width="3.109375" style="1"/>
    <col min="326" max="326" customWidth="0" width="3.109375" style="1"/>
    <col min="327" max="327" customWidth="0" width="3.109375" style="1"/>
    <col min="328" max="328" customWidth="0" width="3.109375" style="1"/>
    <col min="329" max="329" customWidth="0" width="3.109375" style="1"/>
    <col min="330" max="330" customWidth="0" width="3.109375" style="1"/>
    <col min="331" max="331" customWidth="0" width="3.109375" style="1"/>
    <col min="332" max="332" customWidth="0" width="3.109375" style="1"/>
    <col min="333" max="333" customWidth="0" width="3.109375" style="1"/>
    <col min="334" max="334" customWidth="0" width="3.109375" style="1"/>
    <col min="335" max="335" customWidth="0" width="3.109375" style="1"/>
    <col min="336" max="336" customWidth="0" width="3.109375" style="1"/>
    <col min="337" max="337" customWidth="0" width="3.109375" style="1"/>
    <col min="338" max="338" customWidth="0" width="3.109375" style="1"/>
    <col min="339" max="339" customWidth="0" width="3.109375" style="1"/>
    <col min="340" max="340" customWidth="0" width="3.109375" style="1"/>
    <col min="341" max="341" customWidth="0" width="3.109375" style="1"/>
    <col min="342" max="342" customWidth="0" width="3.109375" style="1"/>
    <col min="343" max="343" customWidth="0" width="3.109375" style="1"/>
    <col min="344" max="344" customWidth="0" width="3.109375" style="1"/>
    <col min="345" max="345" customWidth="0" width="3.109375" style="1"/>
    <col min="346" max="346" customWidth="0" width="3.109375" style="1"/>
    <col min="347" max="347" customWidth="0" width="3.109375" style="1"/>
    <col min="348" max="348" customWidth="0" width="3.109375" style="1"/>
    <col min="349" max="349" customWidth="0" width="3.109375" style="1"/>
    <col min="350" max="350" customWidth="0" width="3.109375" style="1"/>
    <col min="351" max="351" customWidth="0" width="3.109375" style="1"/>
    <col min="352" max="352" customWidth="0" width="3.109375" style="1"/>
    <col min="353" max="353" customWidth="0" width="3.109375" style="1"/>
    <col min="354" max="354" customWidth="0" width="3.109375" style="1"/>
    <col min="355" max="355" customWidth="0" width="3.109375" style="1"/>
    <col min="356" max="356" customWidth="0" width="3.109375" style="1"/>
    <col min="357" max="357" customWidth="0" width="3.109375" style="1"/>
    <col min="358" max="358" customWidth="0" width="3.109375" style="1"/>
    <col min="359" max="359" customWidth="0" width="3.109375" style="1"/>
    <col min="360" max="360" customWidth="0" width="3.109375" style="1"/>
    <col min="361" max="361" customWidth="0" width="3.109375" style="1"/>
    <col min="362" max="362" customWidth="0" width="3.109375" style="1"/>
    <col min="363" max="363" customWidth="0" width="3.109375" style="1"/>
    <col min="364" max="364" customWidth="0" width="3.109375" style="1"/>
    <col min="365" max="365" customWidth="0" width="3.109375" style="1"/>
    <col min="366" max="366" customWidth="0" width="3.109375" style="1"/>
    <col min="367" max="367" customWidth="0" width="3.109375" style="1"/>
    <col min="368" max="368" customWidth="0" width="3.109375" style="1"/>
    <col min="369" max="369" customWidth="0" width="3.109375" style="1"/>
    <col min="370" max="370" customWidth="0" width="3.109375" style="1"/>
    <col min="371" max="371" customWidth="0" width="3.109375" style="1"/>
    <col min="372" max="372" customWidth="0" width="3.109375" style="1"/>
    <col min="373" max="373" customWidth="0" width="3.109375" style="1"/>
    <col min="374" max="374" customWidth="0" width="3.109375" style="1"/>
    <col min="375" max="375" customWidth="0" width="3.109375" style="1"/>
    <col min="376" max="376" customWidth="0" width="3.109375" style="1"/>
    <col min="377" max="377" customWidth="0" width="3.109375" style="1"/>
    <col min="378" max="378" customWidth="0" width="3.109375" style="1"/>
    <col min="379" max="379" customWidth="0" width="3.109375" style="1"/>
    <col min="380" max="380" customWidth="0" width="3.109375" style="1"/>
    <col min="381" max="381" customWidth="0" width="3.109375" style="1"/>
    <col min="382" max="382" customWidth="0" width="3.109375" style="1"/>
    <col min="383" max="383" customWidth="0" width="3.109375" style="1"/>
    <col min="384" max="384" customWidth="0" width="3.109375" style="1"/>
    <col min="385" max="385" customWidth="0" width="3.109375" style="1"/>
    <col min="386" max="386" customWidth="0" width="3.109375" style="1"/>
    <col min="387" max="387" customWidth="0" width="3.109375" style="1"/>
    <col min="388" max="388" customWidth="0" width="3.109375" style="1"/>
    <col min="389" max="389" customWidth="0" width="3.109375" style="1"/>
    <col min="390" max="390" customWidth="0" width="3.109375" style="1"/>
    <col min="391" max="391" customWidth="0" width="3.109375" style="1"/>
    <col min="392" max="392" customWidth="0" width="3.109375" style="1"/>
    <col min="393" max="393" customWidth="0" width="3.109375" style="1"/>
    <col min="394" max="394" customWidth="0" width="3.109375" style="1"/>
    <col min="395" max="395" customWidth="0" width="3.109375" style="1"/>
    <col min="396" max="396" customWidth="0" width="3.109375" style="1"/>
    <col min="397" max="397" customWidth="0" width="3.109375" style="1"/>
    <col min="398" max="398" customWidth="0" width="3.109375" style="1"/>
    <col min="399" max="399" customWidth="0" width="3.109375" style="1"/>
    <col min="400" max="400" customWidth="0" width="3.109375" style="1"/>
    <col min="401" max="401" customWidth="0" width="3.109375" style="1"/>
    <col min="402" max="402" customWidth="0" width="3.109375" style="1"/>
    <col min="403" max="403" customWidth="0" width="3.109375" style="1"/>
    <col min="404" max="404" customWidth="0" width="3.109375" style="1"/>
    <col min="405" max="405" customWidth="0" width="3.109375" style="1"/>
    <col min="406" max="406" customWidth="0" width="3.109375" style="1"/>
    <col min="407" max="407" customWidth="0" width="3.109375" style="1"/>
    <col min="408" max="408" customWidth="0" width="3.109375" style="1"/>
    <col min="409" max="409" customWidth="0" width="3.109375" style="1"/>
    <col min="410" max="410" customWidth="0" width="3.109375" style="1"/>
    <col min="411" max="411" customWidth="0" width="3.109375" style="1"/>
    <col min="412" max="412" customWidth="0" width="3.109375" style="1"/>
    <col min="413" max="413" customWidth="0" width="3.109375" style="1"/>
    <col min="414" max="414" customWidth="0" width="3.109375" style="1"/>
    <col min="415" max="415" customWidth="0" width="3.109375" style="1"/>
    <col min="416" max="416" customWidth="0" width="3.109375" style="1"/>
    <col min="417" max="417" customWidth="0" width="3.109375" style="1"/>
    <col min="418" max="418" customWidth="0" width="3.109375" style="1"/>
    <col min="419" max="419" customWidth="0" width="3.109375" style="1"/>
    <col min="420" max="420" customWidth="0" width="3.109375" style="1"/>
    <col min="421" max="421" customWidth="0" width="3.109375" style="1"/>
    <col min="422" max="422" customWidth="0" width="3.109375" style="1"/>
    <col min="423" max="423" customWidth="0" width="3.109375" style="1"/>
    <col min="424" max="424" customWidth="0" width="3.109375" style="1"/>
    <col min="425" max="425" customWidth="0" width="3.109375" style="1"/>
    <col min="426" max="426" customWidth="0" width="3.109375" style="1"/>
    <col min="427" max="427" customWidth="0" width="3.109375" style="1"/>
    <col min="428" max="428" customWidth="0" width="3.109375" style="1"/>
    <col min="429" max="429" customWidth="0" width="3.109375" style="1"/>
    <col min="430" max="430" customWidth="0" width="3.109375" style="1"/>
    <col min="431" max="431" customWidth="0" width="3.109375" style="1"/>
    <col min="432" max="432" customWidth="0" width="3.109375" style="1"/>
    <col min="433" max="433" customWidth="0" width="3.109375" style="1"/>
    <col min="434" max="434" customWidth="0" width="3.109375" style="1"/>
    <col min="435" max="435" customWidth="0" width="3.109375" style="1"/>
    <col min="436" max="436" customWidth="0" width="3.109375" style="1"/>
    <col min="437" max="437" customWidth="0" width="3.109375" style="1"/>
    <col min="438" max="438" customWidth="0" width="3.109375" style="1"/>
    <col min="439" max="439" customWidth="0" width="3.109375" style="1"/>
    <col min="440" max="440" customWidth="0" width="3.109375" style="1"/>
    <col min="441" max="441" customWidth="0" width="3.109375" style="1"/>
    <col min="442" max="442" customWidth="0" width="3.109375" style="1"/>
    <col min="443" max="443" customWidth="0" width="3.109375" style="1"/>
    <col min="444" max="444" customWidth="0" width="3.109375" style="1"/>
    <col min="445" max="445" customWidth="0" width="3.109375" style="1"/>
    <col min="446" max="446" customWidth="0" width="3.109375" style="1"/>
    <col min="447" max="447" customWidth="0" width="3.109375" style="1"/>
    <col min="448" max="448" customWidth="0" width="3.109375" style="1"/>
    <col min="449" max="449" customWidth="0" width="3.109375" style="1"/>
    <col min="450" max="450" customWidth="0" width="3.109375" style="1"/>
    <col min="451" max="451" customWidth="0" width="3.109375" style="1"/>
    <col min="452" max="452" customWidth="0" width="3.109375" style="1"/>
    <col min="453" max="453" customWidth="0" width="3.109375" style="1"/>
    <col min="454" max="454" customWidth="0" width="3.109375" style="1"/>
    <col min="455" max="455" customWidth="0" width="3.109375" style="1"/>
    <col min="456" max="456" customWidth="0" width="3.109375" style="1"/>
    <col min="457" max="457" customWidth="0" width="3.109375" style="1"/>
    <col min="458" max="458" customWidth="0" width="3.109375" style="1"/>
    <col min="459" max="459" customWidth="0" width="3.109375" style="1"/>
    <col min="460" max="460" customWidth="0" width="3.109375" style="1"/>
    <col min="461" max="461" customWidth="0" width="3.109375" style="1"/>
    <col min="462" max="462" customWidth="0" width="3.109375" style="1"/>
    <col min="463" max="463" customWidth="0" width="3.109375" style="1"/>
    <col min="464" max="464" customWidth="0" width="3.109375" style="1"/>
    <col min="465" max="465" customWidth="0" width="3.109375" style="1"/>
    <col min="466" max="466" customWidth="0" width="3.109375" style="1"/>
    <col min="467" max="467" customWidth="0" width="3.109375" style="1"/>
    <col min="468" max="468" customWidth="0" width="3.109375" style="1"/>
    <col min="469" max="469" customWidth="0" width="3.109375" style="1"/>
    <col min="470" max="470" customWidth="0" width="3.109375" style="1"/>
    <col min="471" max="471" customWidth="0" width="3.109375" style="1"/>
    <col min="472" max="472" customWidth="0" width="3.109375" style="1"/>
    <col min="473" max="473" customWidth="0" width="3.109375" style="1"/>
    <col min="474" max="474" customWidth="0" width="3.109375" style="1"/>
    <col min="475" max="475" customWidth="0" width="3.109375" style="1"/>
    <col min="476" max="476" customWidth="0" width="3.109375" style="1"/>
    <col min="477" max="477" customWidth="0" width="3.109375" style="1"/>
    <col min="478" max="478" customWidth="0" width="3.109375" style="1"/>
    <col min="479" max="479" customWidth="0" width="3.109375" style="1"/>
    <col min="480" max="480" customWidth="0" width="3.109375" style="1"/>
    <col min="481" max="481" customWidth="0" width="3.109375" style="1"/>
    <col min="482" max="482" customWidth="0" width="3.109375" style="1"/>
    <col min="483" max="483" customWidth="0" width="3.109375" style="1"/>
    <col min="484" max="484" customWidth="0" width="3.109375" style="1"/>
    <col min="485" max="485" customWidth="0" width="3.109375" style="1"/>
    <col min="486" max="486" customWidth="0" width="3.109375" style="1"/>
    <col min="487" max="487" customWidth="0" width="3.109375" style="1"/>
    <col min="488" max="488" customWidth="0" width="3.109375" style="1"/>
    <col min="489" max="489" customWidth="0" width="3.109375" style="1"/>
    <col min="490" max="490" customWidth="0" width="3.109375" style="1"/>
    <col min="491" max="491" customWidth="0" width="3.109375" style="1"/>
    <col min="492" max="492" customWidth="0" width="3.109375" style="1"/>
    <col min="493" max="493" customWidth="0" width="3.109375" style="1"/>
    <col min="494" max="494" customWidth="0" width="3.109375" style="1"/>
    <col min="495" max="495" customWidth="0" width="3.109375" style="1"/>
    <col min="496" max="496" customWidth="0" width="3.109375" style="1"/>
    <col min="497" max="497" customWidth="0" width="3.109375" style="1"/>
    <col min="498" max="498" customWidth="0" width="3.109375" style="1"/>
    <col min="499" max="499" customWidth="0" width="3.109375" style="1"/>
    <col min="500" max="500" customWidth="0" width="3.109375" style="1"/>
    <col min="501" max="501" customWidth="0" width="3.109375" style="1"/>
    <col min="502" max="502" customWidth="0" width="3.109375" style="1"/>
    <col min="503" max="503" customWidth="0" width="3.109375" style="1"/>
    <col min="504" max="504" customWidth="0" width="3.109375" style="1"/>
    <col min="505" max="505" customWidth="0" width="3.109375" style="1"/>
    <col min="506" max="506" customWidth="0" width="3.109375" style="1"/>
    <col min="507" max="507" customWidth="0" width="3.109375" style="1"/>
    <col min="508" max="508" customWidth="0" width="3.109375" style="1"/>
    <col min="509" max="509" customWidth="0" width="3.109375" style="1"/>
    <col min="510" max="510" customWidth="0" width="3.109375" style="1"/>
    <col min="511" max="511" customWidth="0" width="3.109375" style="1"/>
    <col min="512" max="512" customWidth="0" width="3.109375" style="1"/>
    <col min="513" max="513" customWidth="0" width="3.109375" style="1"/>
    <col min="514" max="514" customWidth="0" width="3.109375" style="1"/>
    <col min="515" max="515" customWidth="0" width="3.109375" style="1"/>
    <col min="516" max="516" customWidth="0" width="3.109375" style="1"/>
    <col min="517" max="517" customWidth="0" width="3.109375" style="1"/>
    <col min="518" max="518" customWidth="0" width="3.109375" style="1"/>
    <col min="519" max="519" customWidth="0" width="3.109375" style="1"/>
    <col min="520" max="520" customWidth="0" width="3.109375" style="1"/>
    <col min="521" max="521" customWidth="0" width="3.109375" style="1"/>
    <col min="522" max="522" customWidth="0" width="3.109375" style="1"/>
    <col min="523" max="523" customWidth="0" width="3.109375" style="1"/>
    <col min="524" max="524" customWidth="0" width="3.109375" style="1"/>
    <col min="525" max="525" customWidth="0" width="3.109375" style="1"/>
    <col min="526" max="526" customWidth="0" width="3.109375" style="1"/>
    <col min="527" max="527" customWidth="0" width="3.109375" style="1"/>
    <col min="528" max="528" customWidth="0" width="3.109375" style="1"/>
    <col min="529" max="529" customWidth="0" width="3.109375" style="1"/>
    <col min="530" max="530" customWidth="0" width="3.109375" style="1"/>
    <col min="531" max="531" customWidth="0" width="3.109375" style="1"/>
    <col min="532" max="532" customWidth="0" width="3.109375" style="1"/>
    <col min="533" max="533" customWidth="0" width="3.109375" style="1"/>
    <col min="534" max="534" customWidth="0" width="3.109375" style="1"/>
    <col min="535" max="535" customWidth="0" width="3.109375" style="1"/>
    <col min="536" max="536" customWidth="0" width="3.109375" style="1"/>
    <col min="537" max="537" customWidth="0" width="3.109375" style="1"/>
    <col min="538" max="538" customWidth="0" width="3.109375" style="1"/>
    <col min="539" max="539" customWidth="0" width="3.109375" style="1"/>
    <col min="540" max="540" customWidth="0" width="3.109375" style="1"/>
    <col min="541" max="541" customWidth="0" width="3.109375" style="1"/>
    <col min="542" max="542" customWidth="0" width="3.109375" style="1"/>
    <col min="543" max="543" customWidth="0" width="3.109375" style="1"/>
    <col min="544" max="544" customWidth="0" width="3.109375" style="1"/>
    <col min="545" max="545" customWidth="0" width="3.109375" style="1"/>
    <col min="546" max="546" customWidth="0" width="3.109375" style="1"/>
    <col min="547" max="547" customWidth="0" width="3.109375" style="1"/>
    <col min="548" max="548" customWidth="0" width="3.109375" style="1"/>
    <col min="549" max="549" customWidth="0" width="3.109375" style="1"/>
    <col min="550" max="550" customWidth="0" width="3.109375" style="1"/>
    <col min="551" max="551" customWidth="0" width="3.109375" style="1"/>
    <col min="552" max="552" customWidth="0" width="3.109375" style="1"/>
    <col min="553" max="553" customWidth="0" width="3.109375" style="1"/>
    <col min="554" max="554" customWidth="0" width="3.109375" style="1"/>
    <col min="555" max="555" customWidth="0" width="3.109375" style="1"/>
    <col min="556" max="556" customWidth="0" width="3.109375" style="1"/>
    <col min="557" max="557" customWidth="0" width="3.109375" style="1"/>
    <col min="558" max="558" customWidth="0" width="3.109375" style="1"/>
    <col min="559" max="559" customWidth="0" width="3.109375" style="1"/>
    <col min="560" max="560" customWidth="0" width="3.109375" style="1"/>
    <col min="561" max="561" customWidth="0" width="3.109375" style="1"/>
    <col min="562" max="562" customWidth="0" width="3.109375" style="1"/>
    <col min="563" max="563" customWidth="0" width="3.109375" style="1"/>
    <col min="564" max="564" customWidth="0" width="3.109375" style="1"/>
    <col min="565" max="565" customWidth="0" width="3.109375" style="1"/>
    <col min="566" max="566" customWidth="0" width="3.109375" style="1"/>
    <col min="567" max="567" customWidth="0" width="3.109375" style="1"/>
    <col min="568" max="568" customWidth="0" width="3.109375" style="1"/>
    <col min="569" max="569" customWidth="0" width="3.109375" style="1"/>
    <col min="570" max="570" customWidth="0" width="3.109375" style="1"/>
    <col min="571" max="571" customWidth="0" width="3.109375" style="1"/>
    <col min="572" max="572" customWidth="0" width="3.109375" style="1"/>
    <col min="573" max="573" customWidth="0" width="3.109375" style="1"/>
    <col min="574" max="574" customWidth="0" width="3.109375" style="1"/>
    <col min="575" max="575" customWidth="0" width="3.109375" style="1"/>
    <col min="576" max="576" customWidth="0" width="3.109375" style="1"/>
    <col min="577" max="577" customWidth="0" width="3.109375" style="1"/>
    <col min="578" max="578" customWidth="0" width="3.109375" style="1"/>
    <col min="579" max="579" customWidth="0" width="3.109375" style="1"/>
    <col min="580" max="580" customWidth="0" width="3.109375" style="1"/>
    <col min="581" max="581" customWidth="0" width="3.109375" style="1"/>
    <col min="582" max="582" customWidth="0" width="3.109375" style="1"/>
    <col min="583" max="583" customWidth="0" width="3.109375" style="1"/>
    <col min="584" max="584" customWidth="0" width="3.109375" style="1"/>
    <col min="585" max="585" customWidth="0" width="3.109375" style="1"/>
    <col min="586" max="586" customWidth="0" width="3.109375" style="1"/>
    <col min="587" max="587" customWidth="0" width="3.109375" style="1"/>
    <col min="588" max="588" customWidth="0" width="3.109375" style="1"/>
    <col min="589" max="589" customWidth="0" width="3.109375" style="1"/>
    <col min="590" max="590" customWidth="0" width="3.109375" style="1"/>
    <col min="591" max="591" customWidth="0" width="3.109375" style="1"/>
    <col min="592" max="592" customWidth="0" width="3.109375" style="1"/>
    <col min="593" max="593" customWidth="0" width="3.109375" style="1"/>
    <col min="594" max="594" customWidth="0" width="3.109375" style="1"/>
    <col min="595" max="595" customWidth="0" width="3.109375" style="1"/>
    <col min="596" max="596" customWidth="0" width="3.109375" style="1"/>
    <col min="597" max="597" customWidth="0" width="3.109375" style="1"/>
    <col min="598" max="598" customWidth="0" width="3.109375" style="1"/>
    <col min="599" max="599" customWidth="0" width="3.109375" style="1"/>
    <col min="600" max="600" customWidth="0" width="3.109375" style="1"/>
    <col min="601" max="601" customWidth="0" width="3.109375" style="1"/>
    <col min="602" max="602" customWidth="0" width="3.109375" style="1"/>
    <col min="603" max="603" customWidth="0" width="3.109375" style="1"/>
    <col min="604" max="604" customWidth="0" width="3.109375" style="1"/>
    <col min="605" max="605" customWidth="0" width="3.109375" style="1"/>
    <col min="606" max="606" customWidth="0" width="3.109375" style="1"/>
    <col min="607" max="607" customWidth="0" width="3.109375" style="1"/>
    <col min="608" max="608" customWidth="0" width="3.109375" style="1"/>
    <col min="609" max="609" customWidth="0" width="3.109375" style="1"/>
    <col min="610" max="610" customWidth="0" width="3.109375" style="1"/>
    <col min="611" max="611" customWidth="0" width="3.109375" style="1"/>
    <col min="612" max="612" customWidth="0" width="3.109375" style="1"/>
    <col min="613" max="613" customWidth="0" width="3.109375" style="1"/>
    <col min="614" max="614" customWidth="0" width="3.109375" style="1"/>
    <col min="615" max="615" customWidth="0" width="3.109375" style="1"/>
    <col min="616" max="616" customWidth="0" width="3.109375" style="1"/>
    <col min="617" max="617" customWidth="0" width="3.109375" style="1"/>
    <col min="618" max="618" customWidth="0" width="3.109375" style="1"/>
    <col min="619" max="619" customWidth="0" width="3.109375" style="1"/>
    <col min="620" max="620" customWidth="0" width="3.109375" style="1"/>
    <col min="621" max="621" customWidth="0" width="3.109375" style="1"/>
    <col min="622" max="622" customWidth="0" width="3.109375" style="1"/>
    <col min="623" max="623" customWidth="0" width="3.109375" style="1"/>
    <col min="624" max="624" customWidth="0" width="3.109375" style="1"/>
    <col min="625" max="625" customWidth="0" width="3.109375" style="1"/>
    <col min="626" max="626" customWidth="0" width="3.109375" style="1"/>
    <col min="627" max="627" customWidth="0" width="3.109375" style="1"/>
    <col min="628" max="628" customWidth="0" width="3.109375" style="1"/>
    <col min="629" max="629" customWidth="0" width="3.109375" style="1"/>
    <col min="630" max="630" customWidth="0" width="3.109375" style="1"/>
    <col min="631" max="631" customWidth="0" width="3.109375" style="1"/>
    <col min="632" max="632" customWidth="0" width="3.109375" style="1"/>
    <col min="633" max="633" customWidth="0" width="3.109375" style="1"/>
    <col min="634" max="634" customWidth="0" width="3.109375" style="1"/>
    <col min="635" max="635" customWidth="0" width="3.109375" style="1"/>
    <col min="636" max="636" customWidth="0" width="3.109375" style="1"/>
    <col min="637" max="637" customWidth="0" width="3.109375" style="1"/>
    <col min="638" max="638" customWidth="0" width="3.109375" style="1"/>
    <col min="639" max="639" customWidth="0" width="3.109375" style="1"/>
    <col min="640" max="640" customWidth="0" width="3.109375" style="1"/>
    <col min="641" max="641" customWidth="0" width="3.109375" style="1"/>
    <col min="642" max="642" customWidth="0" width="3.109375" style="1"/>
    <col min="643" max="643" customWidth="0" width="3.109375" style="1"/>
    <col min="644" max="644" customWidth="0" width="3.109375" style="1"/>
    <col min="645" max="645" customWidth="0" width="3.109375" style="1"/>
    <col min="646" max="646" customWidth="0" width="3.109375" style="1"/>
    <col min="647" max="647" customWidth="0" width="3.109375" style="1"/>
    <col min="648" max="648" customWidth="0" width="3.109375" style="1"/>
    <col min="649" max="649" customWidth="0" width="3.109375" style="1"/>
    <col min="650" max="650" customWidth="0" width="3.109375" style="1"/>
    <col min="651" max="651" customWidth="0" width="3.109375" style="1"/>
    <col min="652" max="652" customWidth="0" width="3.109375" style="1"/>
    <col min="653" max="653" customWidth="0" width="3.109375" style="1"/>
    <col min="654" max="654" customWidth="0" width="3.109375" style="1"/>
    <col min="655" max="655" customWidth="0" width="3.109375" style="1"/>
    <col min="656" max="656" customWidth="0" width="3.109375" style="1"/>
    <col min="657" max="657" customWidth="0" width="3.109375" style="1"/>
    <col min="658" max="658" customWidth="0" width="3.109375" style="1"/>
    <col min="659" max="659" customWidth="0" width="3.109375" style="1"/>
    <col min="660" max="660" customWidth="0" width="3.109375" style="1"/>
    <col min="661" max="661" customWidth="0" width="3.109375" style="1"/>
    <col min="662" max="662" customWidth="0" width="3.109375" style="1"/>
    <col min="663" max="663" customWidth="0" width="3.109375" style="1"/>
    <col min="664" max="664" customWidth="0" width="3.109375" style="1"/>
    <col min="665" max="665" customWidth="0" width="3.109375" style="1"/>
    <col min="666" max="666" customWidth="0" width="3.109375" style="1"/>
    <col min="667" max="667" customWidth="0" width="3.109375" style="1"/>
    <col min="668" max="668" customWidth="0" width="3.109375" style="1"/>
    <col min="669" max="669" customWidth="0" width="3.109375" style="1"/>
    <col min="670" max="670" customWidth="0" width="3.109375" style="1"/>
    <col min="671" max="671" customWidth="0" width="3.109375" style="1"/>
    <col min="672" max="672" customWidth="0" width="3.109375" style="1"/>
    <col min="673" max="673" customWidth="0" width="3.109375" style="1"/>
    <col min="674" max="674" customWidth="0" width="3.109375" style="1"/>
    <col min="675" max="675" customWidth="0" width="3.109375" style="1"/>
    <col min="676" max="676" customWidth="0" width="3.109375" style="1"/>
    <col min="677" max="677" customWidth="0" width="3.109375" style="1"/>
    <col min="678" max="678" customWidth="0" width="3.109375" style="1"/>
    <col min="679" max="679" customWidth="0" width="3.109375" style="1"/>
    <col min="680" max="680" customWidth="0" width="3.109375" style="1"/>
    <col min="681" max="681" customWidth="0" width="3.109375" style="1"/>
    <col min="682" max="682" customWidth="0" width="3.109375" style="1"/>
    <col min="683" max="683" customWidth="0" width="3.109375" style="1"/>
    <col min="684" max="684" customWidth="0" width="3.109375" style="1"/>
    <col min="685" max="685" customWidth="0" width="3.109375" style="1"/>
    <col min="686" max="686" customWidth="0" width="3.109375" style="1"/>
    <col min="687" max="687" customWidth="0" width="3.109375" style="1"/>
    <col min="688" max="688" customWidth="0" width="3.109375" style="1"/>
    <col min="689" max="689" customWidth="0" width="3.109375" style="1"/>
    <col min="690" max="690" customWidth="0" width="3.109375" style="1"/>
    <col min="691" max="691" customWidth="0" width="3.109375" style="1"/>
    <col min="692" max="692" customWidth="0" width="3.109375" style="1"/>
    <col min="693" max="693" customWidth="0" width="3.109375" style="1"/>
    <col min="694" max="694" customWidth="0" width="3.109375" style="1"/>
    <col min="695" max="695" customWidth="0" width="3.109375" style="1"/>
    <col min="696" max="696" customWidth="0" width="3.109375" style="1"/>
    <col min="697" max="697" customWidth="0" width="3.109375" style="1"/>
    <col min="698" max="698" customWidth="0" width="3.109375" style="1"/>
    <col min="699" max="699" customWidth="0" width="3.109375" style="1"/>
    <col min="700" max="700" customWidth="0" width="3.109375" style="1"/>
    <col min="701" max="701" customWidth="0" width="3.109375" style="1"/>
    <col min="702" max="702" customWidth="0" width="3.109375" style="1"/>
    <col min="703" max="703" customWidth="0" width="3.109375" style="1"/>
    <col min="704" max="704" customWidth="0" width="3.109375" style="1"/>
    <col min="705" max="705" customWidth="0" width="3.109375" style="1"/>
    <col min="706" max="706" customWidth="0" width="3.109375" style="1"/>
    <col min="707" max="707" customWidth="0" width="3.109375" style="1"/>
    <col min="708" max="708" customWidth="0" width="3.109375" style="1"/>
    <col min="709" max="709" customWidth="0" width="3.109375" style="1"/>
    <col min="710" max="710" customWidth="0" width="3.109375" style="1"/>
    <col min="711" max="711" customWidth="0" width="3.109375" style="1"/>
    <col min="712" max="712" customWidth="0" width="3.109375" style="1"/>
    <col min="713" max="713" customWidth="0" width="3.109375" style="1"/>
    <col min="714" max="714" customWidth="0" width="3.109375" style="1"/>
    <col min="715" max="715" customWidth="0" width="3.109375" style="1"/>
    <col min="716" max="716" customWidth="0" width="3.109375" style="1"/>
    <col min="717" max="717" customWidth="0" width="3.109375" style="1"/>
    <col min="718" max="718" customWidth="0" width="3.109375" style="1"/>
    <col min="719" max="719" customWidth="0" width="3.109375" style="1"/>
    <col min="720" max="720" customWidth="0" width="3.109375" style="1"/>
    <col min="721" max="721" customWidth="0" width="3.109375" style="1"/>
    <col min="722" max="722" customWidth="0" width="3.109375" style="1"/>
    <col min="723" max="723" customWidth="0" width="3.109375" style="1"/>
    <col min="724" max="724" customWidth="0" width="3.109375" style="1"/>
    <col min="725" max="725" customWidth="0" width="3.109375" style="1"/>
    <col min="726" max="726" customWidth="0" width="3.109375" style="1"/>
    <col min="727" max="727" customWidth="0" width="3.109375" style="1"/>
    <col min="728" max="728" customWidth="0" width="3.109375" style="1"/>
    <col min="729" max="729" customWidth="0" width="3.109375" style="1"/>
    <col min="730" max="730" customWidth="0" width="3.109375" style="1"/>
    <col min="731" max="731" customWidth="0" width="3.109375" style="1"/>
    <col min="732" max="732" customWidth="0" width="3.109375" style="1"/>
    <col min="733" max="733" customWidth="0" width="3.109375" style="1"/>
    <col min="734" max="734" customWidth="0" width="3.109375" style="1"/>
    <col min="735" max="735" customWidth="0" width="3.109375" style="1"/>
    <col min="736" max="736" customWidth="0" width="3.109375" style="1"/>
    <col min="737" max="737" customWidth="0" width="3.109375" style="1"/>
    <col min="738" max="738" customWidth="0" width="3.109375" style="1"/>
    <col min="739" max="739" customWidth="0" width="3.109375" style="1"/>
    <col min="740" max="740" customWidth="0" width="3.109375" style="1"/>
    <col min="741" max="741" customWidth="0" width="3.109375" style="1"/>
    <col min="742" max="742" customWidth="0" width="3.109375" style="1"/>
    <col min="743" max="743" customWidth="0" width="3.109375" style="1"/>
    <col min="744" max="744" customWidth="0" width="3.109375" style="1"/>
    <col min="745" max="745" customWidth="0" width="3.109375" style="1"/>
    <col min="746" max="746" customWidth="0" width="3.109375" style="1"/>
    <col min="747" max="747" customWidth="0" width="3.109375" style="1"/>
    <col min="748" max="748" customWidth="0" width="3.109375" style="1"/>
    <col min="749" max="749" customWidth="0" width="3.109375" style="1"/>
    <col min="750" max="750" customWidth="0" width="3.109375" style="1"/>
    <col min="751" max="751" customWidth="0" width="3.109375" style="1"/>
    <col min="752" max="752" customWidth="0" width="3.109375" style="1"/>
    <col min="753" max="753" customWidth="0" width="3.109375" style="1"/>
    <col min="754" max="754" customWidth="0" width="3.109375" style="1"/>
    <col min="755" max="755" customWidth="0" width="3.109375" style="1"/>
    <col min="756" max="756" customWidth="0" width="3.109375" style="1"/>
    <col min="757" max="757" customWidth="0" width="3.109375" style="1"/>
    <col min="758" max="758" customWidth="0" width="3.109375" style="1"/>
    <col min="759" max="759" customWidth="0" width="3.109375" style="1"/>
    <col min="760" max="760" customWidth="0" width="3.109375" style="1"/>
    <col min="761" max="761" customWidth="0" width="3.109375" style="1"/>
    <col min="762" max="762" customWidth="0" width="3.109375" style="1"/>
    <col min="763" max="763" customWidth="0" width="3.109375" style="1"/>
    <col min="764" max="764" customWidth="0" width="3.109375" style="1"/>
    <col min="765" max="765" customWidth="0" width="3.109375" style="1"/>
    <col min="766" max="766" customWidth="0" width="3.109375" style="1"/>
    <col min="767" max="767" customWidth="0" width="3.109375" style="1"/>
    <col min="768" max="768" customWidth="0" width="3.109375" style="1"/>
    <col min="769" max="769" customWidth="0" width="3.109375" style="1"/>
    <col min="770" max="770" customWidth="0" width="3.109375" style="1"/>
    <col min="771" max="771" customWidth="0" width="3.109375" style="1"/>
    <col min="772" max="772" customWidth="0" width="3.109375" style="1"/>
    <col min="773" max="773" customWidth="0" width="3.109375" style="1"/>
    <col min="774" max="774" customWidth="0" width="3.109375" style="1"/>
    <col min="775" max="775" customWidth="0" width="3.109375" style="1"/>
    <col min="776" max="776" customWidth="0" width="3.109375" style="1"/>
    <col min="777" max="777" customWidth="0" width="3.109375" style="1"/>
    <col min="778" max="778" customWidth="0" width="3.109375" style="1"/>
    <col min="779" max="779" customWidth="0" width="3.109375" style="1"/>
    <col min="780" max="780" customWidth="0" width="3.109375" style="1"/>
    <col min="781" max="781" customWidth="0" width="3.109375" style="1"/>
    <col min="782" max="782" customWidth="0" width="3.109375" style="1"/>
    <col min="783" max="783" customWidth="0" width="3.109375" style="1"/>
    <col min="784" max="784" customWidth="0" width="3.109375" style="1"/>
    <col min="785" max="785" customWidth="0" width="3.109375" style="1"/>
    <col min="786" max="786" customWidth="0" width="3.109375" style="1"/>
    <col min="787" max="787" customWidth="0" width="3.109375" style="1"/>
    <col min="788" max="788" customWidth="0" width="3.109375" style="1"/>
    <col min="789" max="789" customWidth="0" width="3.109375" style="1"/>
    <col min="790" max="790" customWidth="0" width="3.109375" style="1"/>
    <col min="791" max="791" customWidth="0" width="3.109375" style="1"/>
    <col min="792" max="792" customWidth="0" width="3.109375" style="1"/>
    <col min="793" max="793" customWidth="0" width="3.109375" style="1"/>
    <col min="794" max="794" customWidth="0" width="3.109375" style="1"/>
    <col min="795" max="795" customWidth="0" width="3.109375" style="1"/>
    <col min="796" max="796" customWidth="0" width="3.109375" style="1"/>
    <col min="797" max="797" customWidth="0" width="3.109375" style="1"/>
    <col min="798" max="798" customWidth="0" width="3.109375" style="1"/>
    <col min="799" max="799" customWidth="0" width="3.109375" style="1"/>
    <col min="800" max="800" customWidth="0" width="3.109375" style="1"/>
    <col min="801" max="801" customWidth="0" width="3.109375" style="1"/>
    <col min="802" max="802" customWidth="0" width="3.109375" style="1"/>
    <col min="803" max="803" customWidth="0" width="3.109375" style="1"/>
    <col min="804" max="804" customWidth="0" width="3.109375" style="1"/>
    <col min="805" max="805" customWidth="0" width="3.109375" style="1"/>
    <col min="806" max="806" customWidth="0" width="3.109375" style="1"/>
    <col min="807" max="807" customWidth="0" width="3.109375" style="1"/>
    <col min="808" max="808" customWidth="0" width="3.109375" style="1"/>
    <col min="809" max="809" customWidth="0" width="3.109375" style="1"/>
    <col min="810" max="810" customWidth="0" width="3.109375" style="1"/>
    <col min="811" max="811" customWidth="0" width="3.109375" style="1"/>
    <col min="812" max="812" customWidth="0" width="3.109375" style="1"/>
    <col min="813" max="813" customWidth="0" width="3.109375" style="1"/>
    <col min="814" max="814" customWidth="0" width="3.109375" style="1"/>
    <col min="815" max="815" customWidth="0" width="3.109375" style="1"/>
    <col min="816" max="816" customWidth="0" width="3.109375" style="1"/>
    <col min="817" max="817" customWidth="0" width="3.109375" style="1"/>
    <col min="818" max="818" customWidth="0" width="3.109375" style="1"/>
    <col min="819" max="819" customWidth="0" width="3.109375" style="1"/>
    <col min="820" max="820" customWidth="0" width="3.109375" style="1"/>
    <col min="821" max="821" customWidth="0" width="3.109375" style="1"/>
    <col min="822" max="822" customWidth="0" width="3.109375" style="1"/>
    <col min="823" max="823" customWidth="0" width="3.109375" style="1"/>
    <col min="824" max="824" customWidth="0" width="3.109375" style="1"/>
    <col min="825" max="825" customWidth="0" width="3.109375" style="1"/>
    <col min="826" max="826" customWidth="0" width="3.109375" style="1"/>
    <col min="827" max="827" customWidth="0" width="3.109375" style="1"/>
    <col min="828" max="828" customWidth="0" width="3.109375" style="1"/>
    <col min="829" max="829" customWidth="0" width="3.109375" style="1"/>
    <col min="830" max="830" customWidth="0" width="3.109375" style="1"/>
    <col min="831" max="831" customWidth="0" width="3.109375" style="1"/>
    <col min="832" max="832" customWidth="0" width="3.109375" style="1"/>
    <col min="833" max="833" customWidth="0" width="3.109375" style="1"/>
    <col min="834" max="834" customWidth="0" width="3.109375" style="1"/>
    <col min="835" max="835" customWidth="0" width="3.109375" style="1"/>
    <col min="836" max="836" customWidth="0" width="3.109375" style="1"/>
    <col min="837" max="837" customWidth="0" width="3.109375" style="1"/>
    <col min="838" max="838" customWidth="0" width="3.109375" style="1"/>
    <col min="839" max="839" customWidth="0" width="3.109375" style="1"/>
    <col min="840" max="840" customWidth="0" width="3.109375" style="1"/>
    <col min="841" max="841" customWidth="0" width="3.109375" style="1"/>
    <col min="842" max="842" customWidth="0" width="3.109375" style="1"/>
    <col min="843" max="843" customWidth="0" width="3.109375" style="1"/>
    <col min="844" max="844" customWidth="0" width="3.109375" style="1"/>
    <col min="845" max="845" customWidth="0" width="3.109375" style="1"/>
    <col min="846" max="846" customWidth="0" width="3.109375" style="1"/>
    <col min="847" max="847" customWidth="0" width="3.109375" style="1"/>
    <col min="848" max="848" customWidth="0" width="3.109375" style="1"/>
    <col min="849" max="849" customWidth="0" width="3.109375" style="1"/>
    <col min="850" max="850" customWidth="0" width="3.109375" style="1"/>
    <col min="851" max="851" customWidth="0" width="3.109375" style="1"/>
    <col min="852" max="852" customWidth="0" width="3.109375" style="1"/>
    <col min="853" max="853" customWidth="0" width="3.109375" style="1"/>
    <col min="854" max="854" customWidth="0" width="3.109375" style="1"/>
    <col min="855" max="855" customWidth="0" width="3.109375" style="1"/>
    <col min="856" max="856" customWidth="0" width="3.109375" style="1"/>
    <col min="857" max="857" customWidth="0" width="3.109375" style="1"/>
    <col min="858" max="858" customWidth="0" width="3.109375" style="1"/>
    <col min="859" max="859" customWidth="0" width="3.109375" style="1"/>
    <col min="860" max="860" customWidth="0" width="3.109375" style="1"/>
    <col min="861" max="861" customWidth="0" width="3.109375" style="1"/>
    <col min="862" max="862" customWidth="0" width="3.109375" style="1"/>
    <col min="863" max="863" customWidth="0" width="3.109375" style="1"/>
    <col min="864" max="864" customWidth="0" width="3.109375" style="1"/>
    <col min="865" max="865" customWidth="0" width="3.109375" style="1"/>
    <col min="866" max="866" customWidth="0" width="3.109375" style="1"/>
    <col min="867" max="867" customWidth="0" width="3.109375" style="1"/>
    <col min="868" max="868" customWidth="0" width="3.109375" style="1"/>
    <col min="869" max="869" customWidth="0" width="3.109375" style="1"/>
    <col min="870" max="870" customWidth="0" width="3.109375" style="1"/>
    <col min="871" max="871" customWidth="0" width="3.109375" style="1"/>
    <col min="872" max="872" customWidth="0" width="3.109375" style="1"/>
    <col min="873" max="873" customWidth="0" width="3.109375" style="1"/>
    <col min="874" max="874" customWidth="0" width="3.109375" style="1"/>
    <col min="875" max="875" customWidth="0" width="3.109375" style="1"/>
    <col min="876" max="876" customWidth="0" width="3.109375" style="1"/>
    <col min="877" max="877" customWidth="0" width="3.109375" style="1"/>
    <col min="878" max="878" customWidth="0" width="3.109375" style="1"/>
    <col min="879" max="879" customWidth="0" width="3.109375" style="1"/>
    <col min="880" max="880" customWidth="0" width="3.109375" style="1"/>
    <col min="881" max="881" customWidth="0" width="3.109375" style="1"/>
    <col min="882" max="882" customWidth="0" width="3.109375" style="1"/>
    <col min="883" max="883" customWidth="0" width="3.109375" style="1"/>
    <col min="884" max="884" customWidth="0" width="3.109375" style="1"/>
    <col min="885" max="885" customWidth="0" width="3.109375" style="1"/>
    <col min="886" max="886" customWidth="0" width="3.109375" style="1"/>
    <col min="887" max="887" customWidth="0" width="3.109375" style="1"/>
    <col min="888" max="888" customWidth="0" width="3.109375" style="1"/>
    <col min="889" max="889" customWidth="0" width="3.109375" style="1"/>
    <col min="890" max="890" customWidth="0" width="3.109375" style="1"/>
    <col min="891" max="891" customWidth="0" width="3.109375" style="1"/>
    <col min="892" max="892" customWidth="0" width="3.109375" style="1"/>
    <col min="893" max="893" customWidth="0" width="3.109375" style="1"/>
    <col min="894" max="894" customWidth="0" width="3.109375" style="1"/>
    <col min="895" max="895" customWidth="0" width="3.109375" style="1"/>
    <col min="896" max="896" customWidth="0" width="3.109375" style="1"/>
    <col min="897" max="897" customWidth="0" width="3.109375" style="1"/>
    <col min="898" max="898" customWidth="0" width="3.109375" style="1"/>
    <col min="899" max="899" customWidth="0" width="3.109375" style="1"/>
    <col min="900" max="900" customWidth="0" width="3.109375" style="1"/>
    <col min="901" max="901" customWidth="0" width="3.109375" style="1"/>
    <col min="902" max="902" customWidth="0" width="3.109375" style="1"/>
    <col min="903" max="903" customWidth="0" width="3.109375" style="1"/>
    <col min="904" max="904" customWidth="0" width="3.109375" style="1"/>
    <col min="905" max="905" customWidth="0" width="3.109375" style="1"/>
    <col min="906" max="906" customWidth="0" width="3.109375" style="1"/>
    <col min="907" max="907" customWidth="0" width="3.109375" style="1"/>
    <col min="908" max="908" customWidth="0" width="3.109375" style="1"/>
    <col min="909" max="909" customWidth="0" width="3.109375" style="1"/>
    <col min="910" max="910" customWidth="0" width="3.109375" style="1"/>
    <col min="911" max="911" customWidth="0" width="3.109375" style="1"/>
    <col min="912" max="912" customWidth="0" width="3.109375" style="1"/>
    <col min="913" max="913" customWidth="0" width="3.109375" style="1"/>
    <col min="914" max="914" customWidth="0" width="3.109375" style="1"/>
    <col min="915" max="915" customWidth="0" width="3.109375" style="1"/>
    <col min="916" max="916" customWidth="0" width="3.109375" style="1"/>
    <col min="917" max="917" customWidth="0" width="3.109375" style="1"/>
    <col min="918" max="918" customWidth="0" width="3.109375" style="1"/>
    <col min="919" max="919" customWidth="0" width="3.109375" style="1"/>
    <col min="920" max="920" customWidth="0" width="3.109375" style="1"/>
    <col min="921" max="921" customWidth="0" width="3.109375" style="1"/>
    <col min="922" max="922" customWidth="0" width="3.109375" style="1"/>
    <col min="923" max="923" customWidth="0" width="3.109375" style="1"/>
    <col min="924" max="924" customWidth="0" width="3.109375" style="1"/>
    <col min="925" max="925" customWidth="0" width="3.109375" style="1"/>
    <col min="926" max="926" customWidth="0" width="3.109375" style="1"/>
    <col min="927" max="927" customWidth="0" width="3.109375" style="1"/>
    <col min="928" max="928" customWidth="0" width="3.109375" style="1"/>
    <col min="929" max="929" customWidth="0" width="3.109375" style="1"/>
    <col min="930" max="930" customWidth="0" width="3.109375" style="1"/>
    <col min="931" max="931" customWidth="0" width="3.109375" style="1"/>
    <col min="932" max="932" customWidth="0" width="3.109375" style="1"/>
    <col min="933" max="933" customWidth="0" width="3.109375" style="1"/>
    <col min="934" max="934" customWidth="0" width="3.109375" style="1"/>
    <col min="935" max="935" customWidth="0" width="3.109375" style="1"/>
    <col min="936" max="936" customWidth="0" width="3.109375" style="1"/>
    <col min="937" max="937" customWidth="0" width="3.109375" style="1"/>
    <col min="938" max="938" customWidth="0" width="3.109375" style="1"/>
    <col min="939" max="939" customWidth="0" width="3.109375" style="1"/>
    <col min="940" max="940" customWidth="0" width="3.109375" style="1"/>
    <col min="941" max="941" customWidth="0" width="3.109375" style="1"/>
    <col min="942" max="942" customWidth="0" width="3.109375" style="1"/>
    <col min="943" max="943" customWidth="0" width="3.109375" style="1"/>
    <col min="944" max="944" customWidth="0" width="3.109375" style="1"/>
    <col min="945" max="945" customWidth="0" width="3.109375" style="1"/>
    <col min="946" max="946" customWidth="0" width="3.109375" style="1"/>
    <col min="947" max="947" customWidth="0" width="3.109375" style="1"/>
    <col min="948" max="948" customWidth="0" width="3.109375" style="1"/>
    <col min="949" max="949" customWidth="0" width="3.109375" style="1"/>
    <col min="950" max="950" customWidth="0" width="3.109375" style="1"/>
    <col min="951" max="951" customWidth="0" width="3.109375" style="1"/>
    <col min="952" max="952" customWidth="0" width="3.109375" style="1"/>
    <col min="953" max="953" customWidth="0" width="3.109375" style="1"/>
    <col min="954" max="954" customWidth="0" width="3.109375" style="1"/>
    <col min="955" max="955" customWidth="0" width="3.109375" style="1"/>
    <col min="956" max="956" customWidth="0" width="3.109375" style="1"/>
    <col min="957" max="957" customWidth="0" width="3.109375" style="1"/>
    <col min="958" max="958" customWidth="0" width="3.109375" style="1"/>
    <col min="959" max="959" customWidth="0" width="3.109375" style="1"/>
    <col min="960" max="960" customWidth="0" width="3.109375" style="1"/>
    <col min="961" max="961" customWidth="0" width="3.109375" style="1"/>
    <col min="962" max="962" customWidth="0" width="3.109375" style="1"/>
    <col min="963" max="963" customWidth="0" width="3.109375" style="1"/>
    <col min="964" max="964" customWidth="0" width="3.109375" style="1"/>
    <col min="965" max="965" customWidth="0" width="3.109375" style="1"/>
    <col min="966" max="966" customWidth="0" width="3.109375" style="1"/>
    <col min="967" max="967" customWidth="0" width="3.109375" style="1"/>
    <col min="968" max="968" customWidth="0" width="3.109375" style="1"/>
    <col min="969" max="969" customWidth="0" width="3.109375" style="1"/>
    <col min="970" max="970" customWidth="0" width="3.109375" style="1"/>
    <col min="971" max="971" customWidth="0" width="3.109375" style="1"/>
    <col min="972" max="972" customWidth="0" width="3.109375" style="1"/>
    <col min="973" max="973" customWidth="0" width="3.109375" style="1"/>
    <col min="974" max="974" customWidth="0" width="3.109375" style="1"/>
    <col min="975" max="975" customWidth="0" width="3.109375" style="1"/>
    <col min="976" max="976" customWidth="0" width="3.109375" style="1"/>
    <col min="977" max="977" customWidth="0" width="3.109375" style="1"/>
    <col min="978" max="978" customWidth="0" width="3.109375" style="1"/>
    <col min="979" max="979" customWidth="0" width="3.109375" style="1"/>
    <col min="980" max="980" customWidth="0" width="3.109375" style="1"/>
    <col min="981" max="981" customWidth="0" width="3.109375" style="1"/>
    <col min="982" max="982" customWidth="0" width="3.109375" style="1"/>
    <col min="983" max="983" customWidth="0" width="3.109375" style="1"/>
    <col min="984" max="984" customWidth="0" width="3.109375" style="1"/>
    <col min="985" max="985" customWidth="0" width="3.109375" style="1"/>
    <col min="986" max="986" customWidth="0" width="3.109375" style="1"/>
    <col min="987" max="987" customWidth="0" width="3.109375" style="1"/>
    <col min="988" max="988" customWidth="0" width="3.109375" style="1"/>
    <col min="989" max="989" customWidth="0" width="3.109375" style="1"/>
    <col min="990" max="990" customWidth="0" width="3.109375" style="1"/>
    <col min="991" max="991" customWidth="0" width="3.109375" style="1"/>
    <col min="992" max="992" customWidth="0" width="3.109375" style="1"/>
    <col min="993" max="993" customWidth="0" width="3.109375" style="1"/>
    <col min="994" max="994" customWidth="0" width="3.109375" style="1"/>
    <col min="995" max="995" customWidth="0" width="3.109375" style="1"/>
    <col min="996" max="996" customWidth="0" width="3.109375" style="1"/>
    <col min="997" max="997" customWidth="0" width="3.109375" style="1"/>
    <col min="998" max="998" customWidth="0" width="3.109375" style="1"/>
    <col min="999" max="999" customWidth="0" width="3.109375" style="1"/>
    <col min="1000" max="1000" customWidth="0" width="3.109375" style="1"/>
    <col min="1001" max="1001" customWidth="0" width="3.109375" style="1"/>
    <col min="1002" max="1002" customWidth="0" width="3.109375" style="1"/>
    <col min="1003" max="1003" customWidth="0" width="3.109375" style="1"/>
    <col min="1004" max="1004" customWidth="0" width="3.109375" style="1"/>
    <col min="1005" max="1005" customWidth="0" width="3.109375" style="1"/>
    <col min="1006" max="1006" customWidth="0" width="3.109375" style="1"/>
    <col min="1007" max="1007" customWidth="0" width="3.109375" style="1"/>
    <col min="1008" max="1008" customWidth="0" width="3.109375" style="1"/>
    <col min="1009" max="1009" customWidth="0" width="3.109375" style="1"/>
    <col min="1010" max="1010" customWidth="0" width="3.109375" style="1"/>
    <col min="1011" max="1011" customWidth="0" width="3.109375" style="1"/>
    <col min="1012" max="1012" customWidth="0" width="3.109375" style="1"/>
    <col min="1013" max="1013" customWidth="0" width="3.109375" style="1"/>
    <col min="1014" max="1014" customWidth="0" width="3.109375" style="1"/>
    <col min="1015" max="1015" customWidth="0" width="3.109375" style="1"/>
    <col min="1016" max="1016" customWidth="0" width="3.109375" style="1"/>
    <col min="1017" max="1017" customWidth="0" width="3.109375" style="1"/>
    <col min="1018" max="1018" customWidth="0" width="3.109375" style="1"/>
    <col min="1019" max="1019" customWidth="0" width="3.109375" style="1"/>
    <col min="1020" max="1020" customWidth="0" width="3.109375" style="1"/>
    <col min="1021" max="1021" customWidth="0" width="3.109375" style="1"/>
    <col min="1022" max="1022" customWidth="0" width="3.109375" style="1"/>
    <col min="1023" max="1023" customWidth="0" width="3.109375" style="1"/>
    <col min="1024" max="1024" customWidth="0" width="3.109375" style="1"/>
    <col min="1025" max="1025" customWidth="0" width="3.109375" style="1"/>
    <col min="1026" max="1026" customWidth="0" width="3.109375" style="1"/>
    <col min="1027" max="1027" customWidth="0" width="3.109375" style="1"/>
    <col min="1028" max="1028" customWidth="0" width="3.109375" style="1"/>
    <col min="1029" max="1029" customWidth="0" width="3.109375" style="1"/>
    <col min="1030" max="1030" customWidth="0" width="3.109375" style="1"/>
    <col min="1031" max="1031" customWidth="0" width="3.109375" style="1"/>
    <col min="1032" max="1032" customWidth="0" width="3.109375" style="1"/>
    <col min="1033" max="1033" customWidth="0" width="3.109375" style="1"/>
    <col min="1034" max="1034" customWidth="0" width="3.109375" style="1"/>
    <col min="1035" max="1035" customWidth="0" width="3.109375" style="1"/>
    <col min="1036" max="1036" customWidth="0" width="3.109375" style="1"/>
    <col min="1037" max="1037" customWidth="0" width="3.109375" style="1"/>
    <col min="1038" max="1038" customWidth="0" width="3.109375" style="1"/>
    <col min="1039" max="1039" customWidth="0" width="3.109375" style="1"/>
    <col min="1040" max="1040" customWidth="0" width="3.109375" style="1"/>
    <col min="1041" max="1041" customWidth="0" width="3.109375" style="1"/>
    <col min="1042" max="1042" customWidth="0" width="3.109375" style="1"/>
    <col min="1043" max="1043" customWidth="0" width="3.109375" style="1"/>
    <col min="1044" max="1044" customWidth="0" width="3.109375" style="1"/>
    <col min="1045" max="1045" customWidth="0" width="3.109375" style="1"/>
    <col min="1046" max="1046" customWidth="0" width="3.109375" style="1"/>
    <col min="1047" max="1047" customWidth="0" width="3.109375" style="1"/>
    <col min="1048" max="1048" customWidth="0" width="3.109375" style="1"/>
    <col min="1049" max="1049" customWidth="0" width="3.109375" style="1"/>
    <col min="1050" max="1050" customWidth="0" width="3.109375" style="1"/>
    <col min="1051" max="1051" customWidth="0" width="3.109375" style="1"/>
    <col min="1052" max="1052" customWidth="0" width="3.109375" style="1"/>
    <col min="1053" max="1053" customWidth="0" width="3.109375" style="1"/>
    <col min="1054" max="1054" customWidth="0" width="3.109375" style="1"/>
    <col min="1055" max="1055" customWidth="0" width="3.109375" style="1"/>
    <col min="1056" max="1056" customWidth="0" width="3.109375" style="1"/>
    <col min="1057" max="1057" customWidth="0" width="3.109375" style="1"/>
    <col min="1058" max="1058" customWidth="0" width="3.109375" style="1"/>
    <col min="1059" max="1059" customWidth="0" width="3.109375" style="1"/>
    <col min="1060" max="1060" customWidth="0" width="3.109375" style="1"/>
    <col min="1061" max="1061" customWidth="0" width="3.109375" style="1"/>
    <col min="1062" max="1062" customWidth="0" width="3.109375" style="1"/>
    <col min="1063" max="1063" customWidth="0" width="3.109375" style="1"/>
    <col min="1064" max="1064" customWidth="0" width="3.109375" style="1"/>
    <col min="1065" max="1065" customWidth="0" width="3.109375" style="1"/>
    <col min="1066" max="1066" customWidth="0" width="3.109375" style="1"/>
    <col min="1067" max="1067" customWidth="0" width="3.109375" style="1"/>
    <col min="1068" max="1068" customWidth="0" width="3.109375" style="1"/>
    <col min="1069" max="1069" customWidth="0" width="3.109375" style="1"/>
    <col min="1070" max="1070" customWidth="0" width="3.109375" style="1"/>
    <col min="1071" max="1071" customWidth="0" width="3.109375" style="1"/>
    <col min="1072" max="1072" customWidth="0" width="3.109375" style="1"/>
    <col min="1073" max="1073" customWidth="0" width="3.109375" style="1"/>
    <col min="1074" max="1074" customWidth="0" width="3.109375" style="1"/>
    <col min="1075" max="1075" customWidth="0" width="3.109375" style="1"/>
    <col min="1076" max="1076" customWidth="0" width="3.109375" style="1"/>
    <col min="1077" max="1077" customWidth="0" width="3.109375" style="1"/>
    <col min="1078" max="1078" customWidth="0" width="3.109375" style="1"/>
    <col min="1079" max="1079" customWidth="0" width="3.109375" style="1"/>
    <col min="1080" max="1080" customWidth="0" width="3.109375" style="1"/>
    <col min="1081" max="1081" customWidth="0" width="3.109375" style="1"/>
    <col min="1082" max="1082" customWidth="0" width="3.109375" style="1"/>
    <col min="1083" max="1083" customWidth="0" width="3.109375" style="1"/>
    <col min="1084" max="1084" customWidth="0" width="3.109375" style="1"/>
    <col min="1085" max="1085" customWidth="0" width="3.109375" style="1"/>
    <col min="1086" max="1086" customWidth="0" width="3.109375" style="1"/>
    <col min="1087" max="1087" customWidth="0" width="3.109375" style="1"/>
    <col min="1088" max="1088" customWidth="0" width="3.109375" style="1"/>
    <col min="1089" max="1089" customWidth="0" width="3.109375" style="1"/>
    <col min="1090" max="1090" customWidth="0" width="3.109375" style="1"/>
    <col min="1091" max="1091" customWidth="0" width="3.109375" style="1"/>
    <col min="1092" max="1092" customWidth="0" width="3.109375" style="1"/>
    <col min="1093" max="1093" customWidth="0" width="3.109375" style="1"/>
    <col min="1094" max="1094" customWidth="0" width="3.109375" style="1"/>
    <col min="1095" max="1095" customWidth="0" width="3.109375" style="1"/>
    <col min="1096" max="1096" customWidth="0" width="3.109375" style="1"/>
    <col min="1097" max="1097" customWidth="0" width="3.109375" style="1"/>
    <col min="1098" max="1098" customWidth="0" width="3.109375" style="1"/>
    <col min="1099" max="1099" customWidth="0" width="3.109375" style="1"/>
    <col min="1100" max="1100" customWidth="0" width="3.109375" style="1"/>
    <col min="1101" max="1101" customWidth="0" width="3.109375" style="1"/>
    <col min="1102" max="1102" customWidth="0" width="3.109375" style="1"/>
    <col min="1103" max="1103" customWidth="0" width="3.109375" style="1"/>
    <col min="1104" max="1104" customWidth="0" width="3.109375" style="1"/>
    <col min="1105" max="1105" customWidth="0" width="3.109375" style="1"/>
    <col min="1106" max="1106" customWidth="0" width="3.109375" style="1"/>
    <col min="1107" max="1107" customWidth="0" width="3.109375" style="1"/>
    <col min="1108" max="1108" customWidth="0" width="3.109375" style="1"/>
    <col min="1109" max="1109" customWidth="0" width="3.109375" style="1"/>
    <col min="1110" max="1110" customWidth="0" width="3.109375" style="1"/>
    <col min="1111" max="1111" customWidth="0" width="3.109375" style="1"/>
    <col min="1112" max="1112" customWidth="0" width="3.109375" style="1"/>
    <col min="1113" max="1113" customWidth="0" width="3.109375" style="1"/>
    <col min="1114" max="1114" customWidth="0" width="3.109375" style="1"/>
    <col min="1115" max="1115" customWidth="0" width="3.109375" style="1"/>
    <col min="1116" max="1116" customWidth="0" width="3.109375" style="1"/>
    <col min="1117" max="1117" customWidth="0" width="3.109375" style="1"/>
    <col min="1118" max="1118" customWidth="0" width="3.109375" style="1"/>
    <col min="1119" max="1119" customWidth="0" width="3.109375" style="1"/>
    <col min="1120" max="1120" customWidth="0" width="3.109375" style="1"/>
    <col min="1121" max="1121" customWidth="0" width="3.109375" style="1"/>
    <col min="1122" max="1122" customWidth="0" width="3.109375" style="1"/>
    <col min="1123" max="1123" customWidth="0" width="3.109375" style="1"/>
    <col min="1124" max="1124" customWidth="0" width="3.109375" style="1"/>
    <col min="1125" max="1125" customWidth="0" width="3.109375" style="1"/>
    <col min="1126" max="1126" customWidth="0" width="3.109375" style="1"/>
    <col min="1127" max="1127" customWidth="0" width="3.109375" style="1"/>
    <col min="1128" max="1128" customWidth="0" width="3.109375" style="1"/>
    <col min="1129" max="1129" customWidth="0" width="3.109375" style="1"/>
    <col min="1130" max="1130" customWidth="0" width="3.109375" style="1"/>
    <col min="1131" max="1131" customWidth="0" width="3.109375" style="1"/>
    <col min="1132" max="1132" customWidth="0" width="3.109375" style="1"/>
    <col min="1133" max="1133" customWidth="0" width="3.109375" style="1"/>
    <col min="1134" max="1134" customWidth="0" width="3.109375" style="1"/>
    <col min="1135" max="1135" customWidth="0" width="3.109375" style="1"/>
    <col min="1136" max="1136" customWidth="0" width="3.109375" style="1"/>
    <col min="1137" max="1137" customWidth="0" width="3.109375" style="1"/>
    <col min="1138" max="1138" customWidth="0" width="3.109375" style="1"/>
    <col min="1139" max="1139" customWidth="0" width="3.109375" style="1"/>
    <col min="1140" max="1140" customWidth="0" width="3.109375" style="1"/>
    <col min="1141" max="1141" customWidth="0" width="3.109375" style="1"/>
    <col min="1142" max="1142" customWidth="0" width="3.109375" style="1"/>
    <col min="1143" max="1143" customWidth="0" width="3.109375" style="1"/>
    <col min="1144" max="1144" customWidth="0" width="3.109375" style="1"/>
    <col min="1145" max="1145" customWidth="0" width="3.109375" style="1"/>
    <col min="1146" max="1146" customWidth="0" width="3.109375" style="1"/>
    <col min="1147" max="1147" customWidth="0" width="3.109375" style="1"/>
    <col min="1148" max="1148" customWidth="0" width="3.109375" style="1"/>
    <col min="1149" max="1149" customWidth="0" width="3.109375" style="1"/>
    <col min="1150" max="1150" customWidth="0" width="3.109375" style="1"/>
    <col min="1151" max="1151" customWidth="0" width="3.109375" style="1"/>
    <col min="1152" max="1152" customWidth="0" width="3.109375" style="1"/>
    <col min="1153" max="1153" customWidth="0" width="3.109375" style="1"/>
    <col min="1154" max="1154" customWidth="0" width="3.109375" style="1"/>
    <col min="1155" max="1155" customWidth="0" width="3.109375" style="1"/>
    <col min="1156" max="1156" customWidth="0" width="3.109375" style="1"/>
    <col min="1157" max="1157" customWidth="0" width="3.109375" style="1"/>
    <col min="1158" max="1158" customWidth="0" width="3.109375" style="1"/>
    <col min="1159" max="1159" customWidth="0" width="3.109375" style="1"/>
    <col min="1160" max="1160" customWidth="0" width="3.109375" style="1"/>
    <col min="1161" max="1161" customWidth="0" width="3.109375" style="1"/>
    <col min="1162" max="1162" customWidth="0" width="3.109375" style="1"/>
    <col min="1163" max="1163" customWidth="0" width="3.109375" style="1"/>
    <col min="1164" max="1164" customWidth="0" width="3.109375" style="1"/>
    <col min="1165" max="1165" customWidth="0" width="3.109375" style="1"/>
    <col min="1166" max="1166" customWidth="0" width="3.109375" style="1"/>
    <col min="1167" max="1167" customWidth="0" width="3.109375" style="1"/>
    <col min="1168" max="1168" customWidth="0" width="3.109375" style="1"/>
    <col min="1169" max="1169" customWidth="0" width="3.109375" style="1"/>
    <col min="1170" max="1170" customWidth="0" width="3.109375" style="1"/>
    <col min="1171" max="1171" customWidth="0" width="3.109375" style="1"/>
    <col min="1172" max="1172" customWidth="0" width="3.109375" style="1"/>
    <col min="1173" max="1173" customWidth="0" width="3.109375" style="1"/>
    <col min="1174" max="1174" customWidth="0" width="3.109375" style="1"/>
    <col min="1175" max="1175" customWidth="0" width="3.109375" style="1"/>
    <col min="1176" max="1176" customWidth="0" width="3.109375" style="1"/>
    <col min="1177" max="1177" customWidth="0" width="3.109375" style="1"/>
    <col min="1178" max="1178" customWidth="0" width="3.109375" style="1"/>
    <col min="1179" max="1179" customWidth="0" width="3.109375" style="1"/>
    <col min="1180" max="1180" customWidth="0" width="3.109375" style="1"/>
    <col min="1181" max="1181" customWidth="0" width="3.109375" style="1"/>
    <col min="1182" max="1182" customWidth="0" width="3.109375" style="1"/>
    <col min="1183" max="1183" customWidth="0" width="3.109375" style="1"/>
    <col min="1184" max="1184" customWidth="0" width="3.109375" style="1"/>
    <col min="1185" max="1185" customWidth="0" width="3.109375" style="1"/>
    <col min="1186" max="1186" customWidth="0" width="3.109375" style="1"/>
    <col min="1187" max="1187" customWidth="0" width="3.109375" style="1"/>
    <col min="1188" max="1188" customWidth="0" width="3.109375" style="1"/>
    <col min="1189" max="1189" customWidth="0" width="3.109375" style="1"/>
    <col min="1190" max="1190" customWidth="0" width="3.109375" style="1"/>
    <col min="1191" max="1191" customWidth="0" width="3.109375" style="1"/>
    <col min="1192" max="1192" customWidth="0" width="3.109375" style="1"/>
    <col min="1193" max="1193" customWidth="0" width="3.109375" style="1"/>
    <col min="1194" max="1194" customWidth="0" width="3.109375" style="1"/>
    <col min="1195" max="1195" customWidth="0" width="3.109375" style="1"/>
    <col min="1196" max="1196" customWidth="0" width="3.109375" style="1"/>
    <col min="1197" max="1197" customWidth="0" width="3.109375" style="1"/>
    <col min="1198" max="1198" customWidth="0" width="3.109375" style="1"/>
    <col min="1199" max="1199" customWidth="0" width="3.109375" style="1"/>
    <col min="1200" max="1200" customWidth="0" width="3.109375" style="1"/>
    <col min="1201" max="1201" customWidth="0" width="3.109375" style="1"/>
    <col min="1202" max="1202" customWidth="0" width="3.109375" style="1"/>
    <col min="1203" max="1203" customWidth="0" width="3.109375" style="1"/>
    <col min="1204" max="1204" customWidth="0" width="3.109375" style="1"/>
    <col min="1205" max="1205" customWidth="0" width="3.109375" style="1"/>
    <col min="1206" max="1206" customWidth="0" width="3.109375" style="1"/>
    <col min="1207" max="1207" customWidth="0" width="3.109375" style="1"/>
    <col min="1208" max="1208" customWidth="0" width="3.109375" style="1"/>
    <col min="1209" max="1209" customWidth="0" width="3.109375" style="1"/>
    <col min="1210" max="1210" customWidth="0" width="3.109375" style="1"/>
    <col min="1211" max="1211" customWidth="0" width="3.109375" style="1"/>
    <col min="1212" max="1212" customWidth="0" width="3.109375" style="1"/>
    <col min="1213" max="1213" customWidth="0" width="3.109375" style="1"/>
    <col min="1214" max="1214" customWidth="0" width="3.109375" style="1"/>
    <col min="1215" max="1215" customWidth="0" width="3.109375" style="1"/>
    <col min="1216" max="1216" customWidth="0" width="3.109375" style="1"/>
    <col min="1217" max="1217" customWidth="0" width="3.109375" style="1"/>
    <col min="1218" max="1218" customWidth="0" width="3.109375" style="1"/>
    <col min="1219" max="1219" customWidth="0" width="3.109375" style="1"/>
    <col min="1220" max="1220" customWidth="0" width="3.109375" style="1"/>
    <col min="1221" max="1221" customWidth="0" width="3.109375" style="1"/>
    <col min="1222" max="1222" customWidth="0" width="3.109375" style="1"/>
    <col min="1223" max="1223" customWidth="0" width="3.109375" style="1"/>
    <col min="1224" max="1224" customWidth="0" width="3.109375" style="1"/>
    <col min="1225" max="1225" customWidth="0" width="3.109375" style="1"/>
    <col min="1226" max="1226" customWidth="0" width="3.109375" style="1"/>
    <col min="1227" max="1227" customWidth="0" width="3.109375" style="1"/>
    <col min="1228" max="1228" customWidth="0" width="3.109375" style="1"/>
    <col min="1229" max="1229" customWidth="0" width="3.109375" style="1"/>
    <col min="1230" max="1230" customWidth="0" width="3.109375" style="1"/>
    <col min="1231" max="1231" customWidth="0" width="3.109375" style="1"/>
    <col min="1232" max="1232" customWidth="0" width="3.109375" style="1"/>
    <col min="1233" max="1233" customWidth="0" width="3.109375" style="1"/>
    <col min="1234" max="1234" customWidth="0" width="3.109375" style="1"/>
    <col min="1235" max="1235" customWidth="0" width="3.109375" style="1"/>
    <col min="1236" max="1236" customWidth="0" width="3.109375" style="1"/>
    <col min="1237" max="1237" customWidth="0" width="3.109375" style="1"/>
    <col min="1238" max="1238" customWidth="0" width="3.109375" style="1"/>
    <col min="1239" max="1239" customWidth="0" width="3.109375" style="1"/>
    <col min="1240" max="1240" customWidth="0" width="3.109375" style="1"/>
    <col min="1241" max="1241" customWidth="0" width="3.109375" style="1"/>
    <col min="1242" max="1242" customWidth="0" width="3.109375" style="1"/>
    <col min="1243" max="1243" customWidth="0" width="3.109375" style="1"/>
    <col min="1244" max="1244" customWidth="0" width="3.109375" style="1"/>
    <col min="1245" max="1245" customWidth="0" width="3.109375" style="1"/>
    <col min="1246" max="1246" customWidth="0" width="3.109375" style="1"/>
    <col min="1247" max="1247" customWidth="0" width="3.109375" style="1"/>
    <col min="1248" max="1248" customWidth="0" width="3.109375" style="1"/>
    <col min="1249" max="1249" customWidth="0" width="3.109375" style="1"/>
    <col min="1250" max="1250" customWidth="0" width="3.109375" style="1"/>
    <col min="1251" max="1251" customWidth="0" width="3.109375" style="1"/>
    <col min="1252" max="1252" customWidth="0" width="3.109375" style="1"/>
    <col min="1253" max="1253" customWidth="0" width="3.109375" style="1"/>
    <col min="1254" max="1254" customWidth="0" width="3.109375" style="1"/>
    <col min="1255" max="1255" customWidth="0" width="3.109375" style="1"/>
    <col min="1256" max="1256" customWidth="0" width="3.109375" style="1"/>
    <col min="1257" max="1257" customWidth="0" width="3.109375" style="1"/>
    <col min="1258" max="1258" customWidth="0" width="3.109375" style="1"/>
    <col min="1259" max="1259" customWidth="0" width="3.109375" style="1"/>
    <col min="1260" max="1260" customWidth="0" width="3.109375" style="1"/>
    <col min="1261" max="1261" customWidth="0" width="3.109375" style="1"/>
    <col min="1262" max="1262" customWidth="0" width="3.109375" style="1"/>
    <col min="1263" max="1263" customWidth="0" width="3.109375" style="1"/>
    <col min="1264" max="1264" customWidth="0" width="3.109375" style="1"/>
    <col min="1265" max="1265" customWidth="0" width="3.109375" style="1"/>
    <col min="1266" max="1266" customWidth="0" width="3.109375" style="1"/>
    <col min="1267" max="1267" customWidth="0" width="3.109375" style="1"/>
    <col min="1268" max="1268" customWidth="0" width="3.109375" style="1"/>
    <col min="1269" max="1269" customWidth="0" width="3.109375" style="1"/>
    <col min="1270" max="1270" customWidth="0" width="3.109375" style="1"/>
    <col min="1271" max="1271" customWidth="0" width="3.109375" style="1"/>
    <col min="1272" max="1272" customWidth="0" width="3.109375" style="1"/>
    <col min="1273" max="1273" customWidth="0" width="3.109375" style="1"/>
    <col min="1274" max="1274" customWidth="0" width="3.109375" style="1"/>
    <col min="1275" max="1275" customWidth="0" width="3.109375" style="1"/>
    <col min="1276" max="1276" customWidth="0" width="3.109375" style="1"/>
    <col min="1277" max="1277" customWidth="0" width="3.109375" style="1"/>
    <col min="1278" max="1278" customWidth="0" width="3.109375" style="1"/>
    <col min="1279" max="1279" customWidth="0" width="3.109375" style="1"/>
    <col min="1280" max="1280" customWidth="0" width="3.109375" style="1"/>
    <col min="1281" max="1281" customWidth="0" width="3.109375" style="1"/>
    <col min="1282" max="1282" customWidth="0" width="3.109375" style="1"/>
    <col min="1283" max="1283" customWidth="0" width="3.109375" style="1"/>
    <col min="1284" max="1284" customWidth="0" width="3.109375" style="1"/>
    <col min="1285" max="1285" customWidth="0" width="3.109375" style="1"/>
    <col min="1286" max="1286" customWidth="0" width="3.109375" style="1"/>
    <col min="1287" max="1287" customWidth="0" width="3.109375" style="1"/>
    <col min="1288" max="1288" customWidth="0" width="3.109375" style="1"/>
    <col min="1289" max="1289" customWidth="0" width="3.109375" style="1"/>
    <col min="1290" max="1290" customWidth="0" width="3.109375" style="1"/>
    <col min="1291" max="1291" customWidth="0" width="3.109375" style="1"/>
    <col min="1292" max="1292" customWidth="0" width="3.109375" style="1"/>
    <col min="1293" max="1293" customWidth="0" width="3.109375" style="1"/>
    <col min="1294" max="1294" customWidth="0" width="3.109375" style="1"/>
    <col min="1295" max="1295" customWidth="0" width="3.109375" style="1"/>
    <col min="1296" max="1296" customWidth="0" width="3.109375" style="1"/>
    <col min="1297" max="1297" customWidth="0" width="3.109375" style="1"/>
    <col min="1298" max="1298" customWidth="0" width="3.109375" style="1"/>
    <col min="1299" max="1299" customWidth="0" width="3.109375" style="1"/>
    <col min="1300" max="1300" customWidth="0" width="3.109375" style="1"/>
    <col min="1301" max="1301" customWidth="0" width="3.109375" style="1"/>
    <col min="1302" max="1302" customWidth="0" width="3.109375" style="1"/>
    <col min="1303" max="1303" customWidth="0" width="3.109375" style="1"/>
    <col min="1304" max="1304" customWidth="0" width="3.109375" style="1"/>
    <col min="1305" max="1305" customWidth="0" width="3.109375" style="1"/>
    <col min="1306" max="1306" customWidth="0" width="3.109375" style="1"/>
    <col min="1307" max="1307" customWidth="0" width="3.109375" style="1"/>
    <col min="1308" max="1308" customWidth="0" width="3.109375" style="1"/>
    <col min="1309" max="1309" customWidth="0" width="3.109375" style="1"/>
    <col min="1310" max="1310" customWidth="0" width="3.109375" style="1"/>
    <col min="1311" max="1311" customWidth="0" width="3.109375" style="1"/>
    <col min="1312" max="1312" customWidth="0" width="3.109375" style="1"/>
    <col min="1313" max="1313" customWidth="0" width="3.109375" style="1"/>
    <col min="1314" max="1314" customWidth="0" width="3.109375" style="1"/>
    <col min="1315" max="1315" customWidth="0" width="3.109375" style="1"/>
    <col min="1316" max="1316" customWidth="0" width="3.109375" style="1"/>
    <col min="1317" max="1317" customWidth="0" width="3.109375" style="1"/>
    <col min="1318" max="1318" customWidth="0" width="3.109375" style="1"/>
    <col min="1319" max="1319" customWidth="0" width="3.109375" style="1"/>
    <col min="1320" max="1320" customWidth="0" width="3.109375" style="1"/>
    <col min="1321" max="1321" customWidth="0" width="3.109375" style="1"/>
    <col min="1322" max="1322" customWidth="0" width="3.109375" style="1"/>
    <col min="1323" max="1323" customWidth="0" width="3.109375" style="1"/>
    <col min="1324" max="1324" customWidth="0" width="3.109375" style="1"/>
    <col min="1325" max="1325" customWidth="0" width="3.109375" style="1"/>
    <col min="1326" max="1326" customWidth="0" width="3.109375" style="1"/>
    <col min="1327" max="1327" customWidth="0" width="3.109375" style="1"/>
    <col min="1328" max="1328" customWidth="0" width="3.109375" style="1"/>
    <col min="1329" max="1329" customWidth="0" width="3.109375" style="1"/>
    <col min="1330" max="1330" customWidth="0" width="3.109375" style="1"/>
    <col min="1331" max="1331" customWidth="0" width="3.109375" style="1"/>
    <col min="1332" max="1332" customWidth="0" width="3.109375" style="1"/>
    <col min="1333" max="1333" customWidth="0" width="3.109375" style="1"/>
    <col min="1334" max="1334" customWidth="0" width="3.109375" style="1"/>
    <col min="1335" max="1335" customWidth="0" width="3.109375" style="1"/>
    <col min="1336" max="1336" customWidth="0" width="3.109375" style="1"/>
    <col min="1337" max="1337" customWidth="0" width="3.109375" style="1"/>
    <col min="1338" max="1338" customWidth="0" width="3.109375" style="1"/>
    <col min="1339" max="1339" customWidth="0" width="3.109375" style="1"/>
    <col min="1340" max="1340" customWidth="0" width="3.109375" style="1"/>
    <col min="1341" max="1341" customWidth="0" width="3.109375" style="1"/>
    <col min="1342" max="1342" customWidth="0" width="3.109375" style="1"/>
    <col min="1343" max="1343" customWidth="0" width="3.109375" style="1"/>
    <col min="1344" max="1344" customWidth="0" width="3.109375" style="1"/>
    <col min="1345" max="1345" customWidth="0" width="3.109375" style="1"/>
    <col min="1346" max="1346" customWidth="0" width="3.109375" style="1"/>
    <col min="1347" max="1347" customWidth="0" width="3.109375" style="1"/>
    <col min="1348" max="1348" customWidth="0" width="3.109375" style="1"/>
    <col min="1349" max="1349" customWidth="0" width="3.109375" style="1"/>
    <col min="1350" max="1350" customWidth="0" width="3.109375" style="1"/>
    <col min="1351" max="1351" customWidth="0" width="3.109375" style="1"/>
    <col min="1352" max="1352" customWidth="0" width="3.109375" style="1"/>
    <col min="1353" max="1353" customWidth="0" width="3.109375" style="1"/>
    <col min="1354" max="1354" customWidth="0" width="3.109375" style="1"/>
    <col min="1355" max="1355" customWidth="0" width="3.109375" style="1"/>
    <col min="1356" max="1356" customWidth="0" width="3.109375" style="1"/>
    <col min="1357" max="1357" customWidth="0" width="3.109375" style="1"/>
    <col min="1358" max="1358" customWidth="0" width="3.109375" style="1"/>
    <col min="1359" max="1359" customWidth="0" width="3.109375" style="1"/>
    <col min="1360" max="1360" customWidth="0" width="3.109375" style="1"/>
    <col min="1361" max="1361" customWidth="0" width="3.109375" style="1"/>
    <col min="1362" max="1362" customWidth="0" width="3.109375" style="1"/>
    <col min="1363" max="1363" customWidth="0" width="3.109375" style="1"/>
    <col min="1364" max="1364" customWidth="0" width="3.109375" style="1"/>
    <col min="1365" max="1365" customWidth="0" width="3.109375" style="1"/>
    <col min="1366" max="1366" customWidth="0" width="3.109375" style="1"/>
    <col min="1367" max="1367" customWidth="0" width="3.109375" style="1"/>
    <col min="1368" max="1368" customWidth="0" width="3.109375" style="1"/>
    <col min="1369" max="1369" customWidth="0" width="3.109375" style="1"/>
    <col min="1370" max="1370" customWidth="0" width="3.109375" style="1"/>
    <col min="1371" max="1371" customWidth="0" width="3.109375" style="1"/>
    <col min="1372" max="1372" customWidth="0" width="3.109375" style="1"/>
    <col min="1373" max="1373" customWidth="0" width="3.109375" style="1"/>
    <col min="1374" max="1374" customWidth="0" width="3.109375" style="1"/>
    <col min="1375" max="1375" customWidth="0" width="3.109375" style="1"/>
    <col min="1376" max="1376" customWidth="0" width="3.109375" style="1"/>
    <col min="1377" max="1377" customWidth="0" width="3.109375" style="1"/>
    <col min="1378" max="1378" customWidth="0" width="3.109375" style="1"/>
    <col min="1379" max="1379" customWidth="0" width="3.109375" style="1"/>
    <col min="1380" max="1380" customWidth="0" width="3.109375" style="1"/>
    <col min="1381" max="1381" customWidth="0" width="3.109375" style="1"/>
    <col min="1382" max="1382" customWidth="0" width="3.109375" style="1"/>
    <col min="1383" max="1383" customWidth="0" width="3.109375" style="1"/>
    <col min="1384" max="1384" customWidth="0" width="3.109375" style="1"/>
    <col min="1385" max="1385" customWidth="0" width="3.109375" style="1"/>
    <col min="1386" max="1386" customWidth="0" width="3.109375" style="1"/>
    <col min="1387" max="1387" customWidth="0" width="3.109375" style="1"/>
    <col min="1388" max="1388" customWidth="0" width="3.109375" style="1"/>
    <col min="1389" max="1389" customWidth="0" width="3.109375" style="1"/>
    <col min="1390" max="1390" customWidth="0" width="3.109375" style="1"/>
    <col min="1391" max="1391" customWidth="0" width="3.109375" style="1"/>
    <col min="1392" max="1392" customWidth="0" width="3.109375" style="1"/>
    <col min="1393" max="1393" customWidth="0" width="3.109375" style="1"/>
    <col min="1394" max="1394" customWidth="0" width="3.109375" style="1"/>
    <col min="1395" max="1395" customWidth="0" width="3.109375" style="1"/>
    <col min="1396" max="1396" customWidth="0" width="3.109375" style="1"/>
    <col min="1397" max="1397" customWidth="0" width="3.109375" style="1"/>
    <col min="1398" max="1398" customWidth="0" width="3.109375" style="1"/>
    <col min="1399" max="1399" customWidth="0" width="3.109375" style="1"/>
    <col min="1400" max="1400" customWidth="0" width="3.109375" style="1"/>
    <col min="1401" max="1401" customWidth="0" width="3.109375" style="1"/>
    <col min="1402" max="1402" customWidth="0" width="3.109375" style="1"/>
    <col min="1403" max="1403" customWidth="0" width="3.109375" style="1"/>
    <col min="1404" max="1404" customWidth="0" width="3.109375" style="1"/>
    <col min="1405" max="1405" customWidth="0" width="3.109375" style="1"/>
    <col min="1406" max="1406" customWidth="0" width="3.109375" style="1"/>
    <col min="1407" max="1407" customWidth="0" width="3.109375" style="1"/>
    <col min="1408" max="1408" customWidth="0" width="3.109375" style="1"/>
    <col min="1409" max="1409" customWidth="0" width="3.109375" style="1"/>
    <col min="1410" max="1410" customWidth="0" width="3.109375" style="1"/>
    <col min="1411" max="1411" customWidth="0" width="3.109375" style="1"/>
    <col min="1412" max="1412" customWidth="0" width="3.109375" style="1"/>
    <col min="1413" max="1413" customWidth="0" width="3.109375" style="1"/>
    <col min="1414" max="1414" customWidth="0" width="3.109375" style="1"/>
    <col min="1415" max="1415" customWidth="0" width="3.109375" style="1"/>
    <col min="1416" max="1416" customWidth="0" width="3.109375" style="1"/>
    <col min="1417" max="1417" customWidth="0" width="3.109375" style="1"/>
    <col min="1418" max="1418" customWidth="0" width="3.109375" style="1"/>
    <col min="1419" max="1419" customWidth="0" width="3.109375" style="1"/>
    <col min="1420" max="1420" customWidth="0" width="3.109375" style="1"/>
    <col min="1421" max="1421" customWidth="0" width="3.109375" style="1"/>
    <col min="1422" max="1422" customWidth="0" width="3.109375" style="1"/>
    <col min="1423" max="1423" customWidth="0" width="3.109375" style="1"/>
    <col min="1424" max="1424" customWidth="0" width="3.109375" style="1"/>
    <col min="1425" max="1425" customWidth="0" width="3.109375" style="1"/>
    <col min="1426" max="1426" customWidth="0" width="3.109375" style="1"/>
    <col min="1427" max="1427" customWidth="0" width="3.109375" style="1"/>
    <col min="1428" max="1428" customWidth="0" width="3.109375" style="1"/>
    <col min="1429" max="1429" customWidth="0" width="3.109375" style="1"/>
    <col min="1430" max="1430" customWidth="0" width="3.109375" style="1"/>
    <col min="1431" max="1431" customWidth="0" width="3.109375" style="1"/>
    <col min="1432" max="1432" customWidth="0" width="3.109375" style="1"/>
    <col min="1433" max="1433" customWidth="0" width="3.109375" style="1"/>
    <col min="1434" max="1434" customWidth="0" width="3.109375" style="1"/>
    <col min="1435" max="1435" customWidth="0" width="3.109375" style="1"/>
    <col min="1436" max="1436" customWidth="0" width="3.109375" style="1"/>
    <col min="1437" max="1437" customWidth="0" width="3.109375" style="1"/>
    <col min="1438" max="1438" customWidth="0" width="3.109375" style="1"/>
    <col min="1439" max="1439" customWidth="0" width="3.109375" style="1"/>
    <col min="1440" max="1440" customWidth="0" width="3.109375" style="1"/>
    <col min="1441" max="1441" customWidth="0" width="3.109375" style="1"/>
    <col min="1442" max="1442" customWidth="0" width="3.109375" style="1"/>
    <col min="1443" max="1443" customWidth="0" width="3.109375" style="1"/>
    <col min="1444" max="1444" customWidth="0" width="3.109375" style="1"/>
    <col min="1445" max="1445" customWidth="0" width="3.109375" style="1"/>
    <col min="1446" max="1446" customWidth="0" width="3.109375" style="1"/>
    <col min="1447" max="1447" customWidth="0" width="3.109375" style="1"/>
    <col min="1448" max="1448" customWidth="0" width="3.109375" style="1"/>
    <col min="1449" max="1449" customWidth="0" width="3.109375" style="1"/>
    <col min="1450" max="1450" customWidth="0" width="3.109375" style="1"/>
    <col min="1451" max="1451" customWidth="0" width="3.109375" style="1"/>
    <col min="1452" max="1452" customWidth="0" width="3.109375" style="1"/>
    <col min="1453" max="1453" customWidth="0" width="3.109375" style="1"/>
    <col min="1454" max="1454" customWidth="0" width="3.109375" style="1"/>
    <col min="1455" max="1455" customWidth="0" width="3.109375" style="1"/>
    <col min="1456" max="1456" customWidth="0" width="3.109375" style="1"/>
    <col min="1457" max="1457" customWidth="0" width="3.109375" style="1"/>
    <col min="1458" max="1458" customWidth="0" width="3.109375" style="1"/>
    <col min="1459" max="1459" customWidth="0" width="3.109375" style="1"/>
    <col min="1460" max="1460" customWidth="0" width="3.109375" style="1"/>
    <col min="1461" max="1461" customWidth="0" width="3.109375" style="1"/>
    <col min="1462" max="1462" customWidth="0" width="3.109375" style="1"/>
    <col min="1463" max="1463" customWidth="0" width="3.109375" style="1"/>
    <col min="1464" max="1464" customWidth="0" width="3.109375" style="1"/>
    <col min="1465" max="1465" customWidth="0" width="3.109375" style="1"/>
    <col min="1466" max="1466" customWidth="0" width="3.109375" style="1"/>
    <col min="1467" max="1467" customWidth="0" width="3.109375" style="1"/>
    <col min="1468" max="1468" customWidth="0" width="3.109375" style="1"/>
    <col min="1469" max="1469" customWidth="0" width="3.109375" style="1"/>
    <col min="1470" max="1470" customWidth="0" width="3.109375" style="1"/>
    <col min="1471" max="1471" customWidth="0" width="3.109375" style="1"/>
    <col min="1472" max="1472" customWidth="0" width="3.109375" style="1"/>
    <col min="1473" max="1473" customWidth="0" width="3.109375" style="1"/>
    <col min="1474" max="1474" customWidth="0" width="3.109375" style="1"/>
    <col min="1475" max="1475" customWidth="0" width="3.109375" style="1"/>
    <col min="1476" max="1476" customWidth="0" width="3.109375" style="1"/>
    <col min="1477" max="1477" customWidth="0" width="3.109375" style="1"/>
    <col min="1478" max="1478" customWidth="0" width="3.109375" style="1"/>
    <col min="1479" max="1479" customWidth="0" width="3.109375" style="1"/>
    <col min="1480" max="1480" customWidth="0" width="3.109375" style="1"/>
    <col min="1481" max="1481" customWidth="0" width="3.109375" style="1"/>
    <col min="1482" max="1482" customWidth="0" width="3.109375" style="1"/>
    <col min="1483" max="1483" customWidth="0" width="3.109375" style="1"/>
    <col min="1484" max="1484" customWidth="0" width="3.109375" style="1"/>
    <col min="1485" max="1485" customWidth="0" width="3.109375" style="1"/>
    <col min="1486" max="1486" customWidth="0" width="3.109375" style="1"/>
    <col min="1487" max="1487" customWidth="0" width="3.109375" style="1"/>
    <col min="1488" max="1488" customWidth="0" width="3.109375" style="1"/>
    <col min="1489" max="1489" customWidth="0" width="3.109375" style="1"/>
    <col min="1490" max="1490" customWidth="0" width="3.109375" style="1"/>
    <col min="1491" max="1491" customWidth="0" width="3.109375" style="1"/>
    <col min="1492" max="1492" customWidth="0" width="3.109375" style="1"/>
    <col min="1493" max="1493" customWidth="0" width="3.109375" style="1"/>
    <col min="1494" max="1494" customWidth="0" width="3.109375" style="1"/>
    <col min="1495" max="1495" customWidth="0" width="3.109375" style="1"/>
    <col min="1496" max="1496" customWidth="0" width="3.109375" style="1"/>
    <col min="1497" max="1497" customWidth="0" width="3.109375" style="1"/>
    <col min="1498" max="1498" customWidth="0" width="3.109375" style="1"/>
    <col min="1499" max="1499" customWidth="0" width="3.109375" style="1"/>
    <col min="1500" max="1500" customWidth="0" width="3.109375" style="1"/>
    <col min="1501" max="1501" customWidth="0" width="3.109375" style="1"/>
    <col min="1502" max="1502" customWidth="0" width="3.109375" style="1"/>
    <col min="1503" max="1503" customWidth="0" width="3.109375" style="1"/>
    <col min="1504" max="1504" customWidth="0" width="3.109375" style="1"/>
    <col min="1505" max="1505" customWidth="0" width="3.109375" style="1"/>
    <col min="1506" max="1506" customWidth="0" width="3.109375" style="1"/>
    <col min="1507" max="1507" customWidth="0" width="3.109375" style="1"/>
    <col min="1508" max="1508" customWidth="0" width="3.109375" style="1"/>
    <col min="1509" max="1509" customWidth="0" width="3.109375" style="1"/>
    <col min="1510" max="1510" customWidth="0" width="3.109375" style="1"/>
    <col min="1511" max="1511" customWidth="0" width="3.109375" style="1"/>
    <col min="1512" max="1512" customWidth="0" width="3.109375" style="1"/>
    <col min="1513" max="1513" customWidth="0" width="3.109375" style="1"/>
    <col min="1514" max="1514" customWidth="0" width="3.109375" style="1"/>
    <col min="1515" max="1515" customWidth="0" width="3.109375" style="1"/>
    <col min="1516" max="1516" customWidth="0" width="3.109375" style="1"/>
    <col min="1517" max="1517" customWidth="0" width="3.109375" style="1"/>
    <col min="1518" max="1518" customWidth="0" width="3.109375" style="1"/>
    <col min="1519" max="1519" customWidth="0" width="3.109375" style="1"/>
    <col min="1520" max="1520" customWidth="0" width="3.109375" style="1"/>
    <col min="1521" max="1521" customWidth="0" width="3.109375" style="1"/>
    <col min="1522" max="1522" customWidth="0" width="3.109375" style="1"/>
    <col min="1523" max="1523" customWidth="0" width="3.109375" style="1"/>
    <col min="1524" max="1524" customWidth="0" width="3.109375" style="1"/>
    <col min="1525" max="1525" customWidth="0" width="3.109375" style="1"/>
    <col min="1526" max="1526" customWidth="0" width="3.109375" style="1"/>
    <col min="1527" max="1527" customWidth="0" width="3.109375" style="1"/>
    <col min="1528" max="1528" customWidth="0" width="3.109375" style="1"/>
    <col min="1529" max="1529" customWidth="0" width="3.109375" style="1"/>
    <col min="1530" max="1530" customWidth="0" width="3.109375" style="1"/>
    <col min="1531" max="1531" customWidth="0" width="3.109375" style="1"/>
    <col min="1532" max="1532" customWidth="0" width="3.109375" style="1"/>
    <col min="1533" max="1533" customWidth="0" width="3.109375" style="1"/>
    <col min="1534" max="1534" customWidth="0" width="3.109375" style="1"/>
    <col min="1535" max="1535" customWidth="0" width="3.109375" style="1"/>
    <col min="1536" max="1536" customWidth="0" width="3.109375" style="1"/>
    <col min="1537" max="1537" customWidth="0" width="3.109375" style="1"/>
    <col min="1538" max="1538" customWidth="0" width="3.109375" style="1"/>
    <col min="1539" max="1539" customWidth="0" width="3.109375" style="1"/>
    <col min="1540" max="1540" customWidth="0" width="3.109375" style="1"/>
    <col min="1541" max="1541" customWidth="0" width="3.109375" style="1"/>
    <col min="1542" max="1542" customWidth="0" width="3.109375" style="1"/>
    <col min="1543" max="1543" customWidth="0" width="3.109375" style="1"/>
    <col min="1544" max="1544" customWidth="0" width="3.109375" style="1"/>
    <col min="1545" max="1545" customWidth="0" width="3.109375" style="1"/>
    <col min="1546" max="1546" customWidth="0" width="3.109375" style="1"/>
    <col min="1547" max="1547" customWidth="0" width="3.109375" style="1"/>
    <col min="1548" max="1548" customWidth="0" width="3.109375" style="1"/>
    <col min="1549" max="1549" customWidth="0" width="3.109375" style="1"/>
    <col min="1550" max="1550" customWidth="0" width="3.109375" style="1"/>
    <col min="1551" max="1551" customWidth="0" width="3.109375" style="1"/>
    <col min="1552" max="1552" customWidth="0" width="3.109375" style="1"/>
    <col min="1553" max="1553" customWidth="0" width="3.109375" style="1"/>
    <col min="1554" max="1554" customWidth="0" width="3.109375" style="1"/>
    <col min="1555" max="1555" customWidth="0" width="3.109375" style="1"/>
    <col min="1556" max="1556" customWidth="0" width="3.109375" style="1"/>
    <col min="1557" max="1557" customWidth="0" width="3.109375" style="1"/>
    <col min="1558" max="1558" customWidth="0" width="3.109375" style="1"/>
    <col min="1559" max="1559" customWidth="0" width="3.109375" style="1"/>
    <col min="1560" max="1560" customWidth="0" width="3.109375" style="1"/>
    <col min="1561" max="1561" customWidth="0" width="3.109375" style="1"/>
    <col min="1562" max="1562" customWidth="0" width="3.109375" style="1"/>
    <col min="1563" max="1563" customWidth="0" width="3.109375" style="1"/>
    <col min="1564" max="1564" customWidth="0" width="3.109375" style="1"/>
    <col min="1565" max="1565" customWidth="0" width="3.109375" style="1"/>
    <col min="1566" max="1566" customWidth="0" width="3.109375" style="1"/>
    <col min="1567" max="1567" customWidth="0" width="3.109375" style="1"/>
    <col min="1568" max="1568" customWidth="0" width="3.109375" style="1"/>
    <col min="1569" max="1569" customWidth="0" width="3.109375" style="1"/>
    <col min="1570" max="1570" customWidth="0" width="3.109375" style="1"/>
    <col min="1571" max="1571" customWidth="0" width="3.109375" style="1"/>
    <col min="1572" max="1572" customWidth="0" width="3.109375" style="1"/>
    <col min="1573" max="1573" customWidth="0" width="3.109375" style="1"/>
    <col min="1574" max="1574" customWidth="0" width="3.109375" style="1"/>
    <col min="1575" max="1575" customWidth="0" width="3.109375" style="1"/>
    <col min="1576" max="1576" customWidth="0" width="3.109375" style="1"/>
    <col min="1577" max="1577" customWidth="0" width="3.109375" style="1"/>
    <col min="1578" max="1578" customWidth="0" width="3.109375" style="1"/>
    <col min="1579" max="1579" customWidth="0" width="3.109375" style="1"/>
    <col min="1580" max="1580" customWidth="0" width="3.109375" style="1"/>
    <col min="1581" max="1581" customWidth="0" width="3.109375" style="1"/>
    <col min="1582" max="1582" customWidth="0" width="3.109375" style="1"/>
    <col min="1583" max="1583" customWidth="0" width="3.109375" style="1"/>
    <col min="1584" max="1584" customWidth="0" width="3.109375" style="1"/>
    <col min="1585" max="1585" customWidth="0" width="3.109375" style="1"/>
    <col min="1586" max="1586" customWidth="0" width="3.109375" style="1"/>
    <col min="1587" max="1587" customWidth="0" width="3.109375" style="1"/>
    <col min="1588" max="1588" customWidth="0" width="3.109375" style="1"/>
    <col min="1589" max="1589" customWidth="0" width="3.109375" style="1"/>
    <col min="1590" max="1590" customWidth="0" width="3.109375" style="1"/>
    <col min="1591" max="1591" customWidth="0" width="3.109375" style="1"/>
    <col min="1592" max="1592" customWidth="0" width="3.109375" style="1"/>
    <col min="1593" max="1593" customWidth="0" width="3.109375" style="1"/>
    <col min="1594" max="1594" customWidth="0" width="3.109375" style="1"/>
    <col min="1595" max="1595" customWidth="0" width="3.109375" style="1"/>
    <col min="1596" max="1596" customWidth="0" width="3.109375" style="1"/>
    <col min="1597" max="1597" customWidth="0" width="3.109375" style="1"/>
    <col min="1598" max="1598" customWidth="0" width="3.109375" style="1"/>
    <col min="1599" max="1599" customWidth="0" width="3.109375" style="1"/>
    <col min="1600" max="1600" customWidth="0" width="3.109375" style="1"/>
    <col min="1601" max="1601" customWidth="0" width="3.109375" style="1"/>
    <col min="1602" max="1602" customWidth="0" width="3.109375" style="1"/>
    <col min="1603" max="1603" customWidth="0" width="3.109375" style="1"/>
    <col min="1604" max="1604" customWidth="0" width="3.109375" style="1"/>
    <col min="1605" max="1605" customWidth="0" width="3.109375" style="1"/>
    <col min="1606" max="1606" customWidth="0" width="3.109375" style="1"/>
    <col min="1607" max="1607" customWidth="0" width="3.109375" style="1"/>
    <col min="1608" max="1608" customWidth="0" width="3.109375" style="1"/>
    <col min="1609" max="1609" customWidth="0" width="3.109375" style="1"/>
    <col min="1610" max="1610" customWidth="0" width="3.109375" style="1"/>
    <col min="1611" max="1611" customWidth="0" width="3.109375" style="1"/>
    <col min="1612" max="1612" customWidth="0" width="3.109375" style="1"/>
    <col min="1613" max="1613" customWidth="0" width="3.109375" style="1"/>
    <col min="1614" max="1614" customWidth="0" width="3.109375" style="1"/>
    <col min="1615" max="1615" customWidth="0" width="3.109375" style="1"/>
    <col min="1616" max="1616" customWidth="0" width="3.109375" style="1"/>
    <col min="1617" max="1617" customWidth="0" width="3.109375" style="1"/>
    <col min="1618" max="1618" customWidth="0" width="3.109375" style="1"/>
    <col min="1619" max="1619" customWidth="0" width="3.109375" style="1"/>
    <col min="1620" max="1620" customWidth="0" width="3.109375" style="1"/>
    <col min="1621" max="1621" customWidth="0" width="3.109375" style="1"/>
    <col min="1622" max="1622" customWidth="0" width="3.109375" style="1"/>
    <col min="1623" max="1623" customWidth="0" width="3.109375" style="1"/>
    <col min="1624" max="1624" customWidth="0" width="3.109375" style="1"/>
    <col min="1625" max="1625" customWidth="0" width="3.109375" style="1"/>
    <col min="1626" max="1626" customWidth="0" width="3.109375" style="1"/>
    <col min="1627" max="1627" customWidth="0" width="3.109375" style="1"/>
    <col min="1628" max="1628" customWidth="0" width="3.109375" style="1"/>
    <col min="1629" max="1629" customWidth="0" width="3.109375" style="1"/>
    <col min="1630" max="1630" customWidth="0" width="3.109375" style="1"/>
    <col min="1631" max="1631" customWidth="0" width="3.109375" style="1"/>
    <col min="1632" max="1632" customWidth="0" width="3.109375" style="1"/>
    <col min="1633" max="1633" customWidth="0" width="3.109375" style="1"/>
    <col min="1634" max="1634" customWidth="0" width="3.109375" style="1"/>
    <col min="1635" max="1635" customWidth="0" width="3.109375" style="1"/>
    <col min="1636" max="1636" customWidth="0" width="3.109375" style="1"/>
    <col min="1637" max="1637" customWidth="0" width="3.109375" style="1"/>
    <col min="1638" max="1638" customWidth="0" width="3.109375" style="1"/>
    <col min="1639" max="1639" customWidth="0" width="3.109375" style="1"/>
    <col min="1640" max="1640" customWidth="0" width="3.109375" style="1"/>
    <col min="1641" max="1641" customWidth="0" width="3.109375" style="1"/>
    <col min="1642" max="1642" customWidth="0" width="3.109375" style="1"/>
    <col min="1643" max="1643" customWidth="0" width="3.109375" style="1"/>
    <col min="1644" max="1644" customWidth="0" width="3.109375" style="1"/>
    <col min="1645" max="1645" customWidth="0" width="3.109375" style="1"/>
    <col min="1646" max="1646" customWidth="0" width="3.109375" style="1"/>
    <col min="1647" max="1647" customWidth="0" width="3.109375" style="1"/>
    <col min="1648" max="1648" customWidth="0" width="3.109375" style="1"/>
    <col min="1649" max="1649" customWidth="0" width="3.109375" style="1"/>
    <col min="1650" max="1650" customWidth="0" width="3.109375" style="1"/>
    <col min="1651" max="1651" customWidth="0" width="3.109375" style="1"/>
    <col min="1652" max="1652" customWidth="0" width="3.109375" style="1"/>
    <col min="1653" max="1653" customWidth="0" width="3.109375" style="1"/>
    <col min="1654" max="1654" customWidth="0" width="3.109375" style="1"/>
    <col min="1655" max="1655" customWidth="0" width="3.109375" style="1"/>
    <col min="1656" max="1656" customWidth="0" width="3.109375" style="1"/>
    <col min="1657" max="1657" customWidth="0" width="3.109375" style="1"/>
    <col min="1658" max="1658" customWidth="0" width="3.109375" style="1"/>
    <col min="1659" max="1659" customWidth="0" width="3.109375" style="1"/>
    <col min="1660" max="1660" customWidth="0" width="3.109375" style="1"/>
    <col min="1661" max="1661" customWidth="0" width="3.109375" style="1"/>
    <col min="1662" max="1662" customWidth="0" width="3.109375" style="1"/>
    <col min="1663" max="1663" customWidth="0" width="3.109375" style="1"/>
    <col min="1664" max="1664" customWidth="0" width="3.109375" style="1"/>
    <col min="1665" max="1665" customWidth="0" width="3.109375" style="1"/>
    <col min="1666" max="1666" customWidth="0" width="3.109375" style="1"/>
    <col min="1667" max="1667" customWidth="0" width="3.109375" style="1"/>
    <col min="1668" max="1668" customWidth="0" width="3.109375" style="1"/>
    <col min="1669" max="1669" customWidth="0" width="3.109375" style="1"/>
    <col min="1670" max="1670" customWidth="0" width="3.109375" style="1"/>
    <col min="1671" max="1671" customWidth="0" width="3.109375" style="1"/>
    <col min="1672" max="1672" customWidth="0" width="3.109375" style="1"/>
    <col min="1673" max="1673" customWidth="0" width="3.109375" style="1"/>
    <col min="1674" max="1674" customWidth="0" width="3.109375" style="1"/>
    <col min="1675" max="1675" customWidth="0" width="3.109375" style="1"/>
    <col min="1676" max="1676" customWidth="0" width="3.109375" style="1"/>
    <col min="1677" max="1677" customWidth="0" width="3.109375" style="1"/>
    <col min="1678" max="1678" customWidth="0" width="3.109375" style="1"/>
    <col min="1679" max="1679" customWidth="0" width="3.109375" style="1"/>
    <col min="1680" max="1680" customWidth="0" width="3.109375" style="1"/>
    <col min="1681" max="1681" customWidth="0" width="3.109375" style="1"/>
    <col min="1682" max="1682" customWidth="0" width="3.109375" style="1"/>
    <col min="1683" max="1683" customWidth="0" width="3.109375" style="1"/>
    <col min="1684" max="1684" customWidth="0" width="3.109375" style="1"/>
    <col min="1685" max="1685" customWidth="0" width="3.109375" style="1"/>
    <col min="1686" max="1686" customWidth="0" width="3.109375" style="1"/>
    <col min="1687" max="1687" customWidth="0" width="3.109375" style="1"/>
    <col min="1688" max="1688" customWidth="0" width="3.109375" style="1"/>
    <col min="1689" max="1689" customWidth="0" width="3.109375" style="1"/>
    <col min="1690" max="1690" customWidth="0" width="3.109375" style="1"/>
    <col min="1691" max="1691" customWidth="0" width="3.109375" style="1"/>
    <col min="1692" max="1692" customWidth="0" width="3.109375" style="1"/>
    <col min="1693" max="1693" customWidth="0" width="3.109375" style="1"/>
    <col min="1694" max="1694" customWidth="0" width="3.109375" style="1"/>
    <col min="1695" max="1695" customWidth="0" width="3.109375" style="1"/>
    <col min="1696" max="1696" customWidth="0" width="3.109375" style="1"/>
    <col min="1697" max="1697" customWidth="0" width="3.109375" style="1"/>
    <col min="1698" max="1698" customWidth="0" width="3.109375" style="1"/>
    <col min="1699" max="1699" customWidth="0" width="3.109375" style="1"/>
    <col min="1700" max="1700" customWidth="0" width="3.109375" style="1"/>
    <col min="1701" max="1701" customWidth="0" width="3.109375" style="1"/>
    <col min="1702" max="1702" customWidth="0" width="3.109375" style="1"/>
    <col min="1703" max="1703" customWidth="0" width="3.109375" style="1"/>
    <col min="1704" max="1704" customWidth="0" width="3.109375" style="1"/>
    <col min="1705" max="1705" customWidth="0" width="3.109375" style="1"/>
    <col min="1706" max="1706" customWidth="0" width="3.109375" style="1"/>
    <col min="1707" max="1707" customWidth="0" width="3.109375" style="1"/>
    <col min="1708" max="1708" customWidth="0" width="3.109375" style="1"/>
    <col min="1709" max="1709" customWidth="0" width="3.109375" style="1"/>
    <col min="1710" max="1710" customWidth="0" width="3.109375" style="1"/>
    <col min="1711" max="1711" customWidth="0" width="3.109375" style="1"/>
    <col min="1712" max="1712" customWidth="0" width="3.109375" style="1"/>
    <col min="1713" max="1713" customWidth="0" width="3.109375" style="1"/>
    <col min="1714" max="1714" customWidth="0" width="3.109375" style="1"/>
    <col min="1715" max="1715" customWidth="0" width="3.109375" style="1"/>
    <col min="1716" max="1716" customWidth="0" width="3.109375" style="1"/>
    <col min="1717" max="1717" customWidth="0" width="3.109375" style="1"/>
    <col min="1718" max="1718" customWidth="0" width="3.109375" style="1"/>
    <col min="1719" max="1719" customWidth="0" width="3.109375" style="1"/>
    <col min="1720" max="1720" customWidth="0" width="3.109375" style="1"/>
    <col min="1721" max="1721" customWidth="0" width="3.109375" style="1"/>
    <col min="1722" max="1722" customWidth="0" width="3.109375" style="1"/>
    <col min="1723" max="1723" customWidth="0" width="3.109375" style="1"/>
    <col min="1724" max="1724" customWidth="0" width="3.109375" style="1"/>
    <col min="1725" max="1725" customWidth="0" width="3.109375" style="1"/>
    <col min="1726" max="1726" customWidth="0" width="3.109375" style="1"/>
    <col min="1727" max="1727" customWidth="0" width="3.109375" style="1"/>
    <col min="1728" max="1728" customWidth="0" width="3.109375" style="1"/>
    <col min="1729" max="1729" customWidth="0" width="3.109375" style="1"/>
    <col min="1730" max="1730" customWidth="0" width="3.109375" style="1"/>
    <col min="1731" max="1731" customWidth="0" width="3.109375" style="1"/>
    <col min="1732" max="1732" customWidth="0" width="3.109375" style="1"/>
    <col min="1733" max="1733" customWidth="0" width="3.109375" style="1"/>
    <col min="1734" max="1734" customWidth="0" width="3.109375" style="1"/>
    <col min="1735" max="1735" customWidth="0" width="3.109375" style="1"/>
    <col min="1736" max="1736" customWidth="0" width="3.109375" style="1"/>
    <col min="1737" max="1737" customWidth="0" width="3.109375" style="1"/>
    <col min="1738" max="1738" customWidth="0" width="3.109375" style="1"/>
    <col min="1739" max="1739" customWidth="0" width="3.109375" style="1"/>
    <col min="1740" max="1740" customWidth="0" width="3.109375" style="1"/>
    <col min="1741" max="1741" customWidth="0" width="3.109375" style="1"/>
    <col min="1742" max="1742" customWidth="0" width="3.109375" style="1"/>
    <col min="1743" max="1743" customWidth="0" width="3.109375" style="1"/>
    <col min="1744" max="1744" customWidth="0" width="3.109375" style="1"/>
    <col min="1745" max="1745" customWidth="0" width="3.109375" style="1"/>
    <col min="1746" max="1746" customWidth="0" width="3.109375" style="1"/>
    <col min="1747" max="1747" customWidth="0" width="3.109375" style="1"/>
    <col min="1748" max="1748" customWidth="0" width="3.109375" style="1"/>
    <col min="1749" max="1749" customWidth="0" width="3.109375" style="1"/>
    <col min="1750" max="1750" customWidth="0" width="3.109375" style="1"/>
    <col min="1751" max="1751" customWidth="0" width="3.109375" style="1"/>
    <col min="1752" max="1752" customWidth="0" width="3.109375" style="1"/>
    <col min="1753" max="1753" customWidth="0" width="3.109375" style="1"/>
    <col min="1754" max="1754" customWidth="0" width="3.109375" style="1"/>
    <col min="1755" max="1755" customWidth="0" width="3.109375" style="1"/>
    <col min="1756" max="1756" customWidth="0" width="3.109375" style="1"/>
    <col min="1757" max="1757" customWidth="0" width="3.109375" style="1"/>
    <col min="1758" max="1758" customWidth="0" width="3.109375" style="1"/>
    <col min="1759" max="1759" customWidth="0" width="3.109375" style="1"/>
    <col min="1760" max="1760" customWidth="0" width="3.109375" style="1"/>
    <col min="1761" max="1761" customWidth="0" width="3.109375" style="1"/>
    <col min="1762" max="1762" customWidth="0" width="3.109375" style="1"/>
    <col min="1763" max="1763" customWidth="0" width="3.109375" style="1"/>
    <col min="1764" max="1764" customWidth="0" width="3.109375" style="1"/>
    <col min="1765" max="1765" customWidth="0" width="3.109375" style="1"/>
    <col min="1766" max="1766" customWidth="0" width="3.109375" style="1"/>
    <col min="1767" max="1767" customWidth="0" width="3.109375" style="1"/>
    <col min="1768" max="1768" customWidth="0" width="3.109375" style="1"/>
    <col min="1769" max="1769" customWidth="0" width="3.109375" style="1"/>
    <col min="1770" max="1770" customWidth="0" width="3.109375" style="1"/>
    <col min="1771" max="1771" customWidth="0" width="3.109375" style="1"/>
    <col min="1772" max="1772" customWidth="0" width="3.109375" style="1"/>
    <col min="1773" max="1773" customWidth="0" width="3.109375" style="1"/>
    <col min="1774" max="1774" customWidth="0" width="3.109375" style="1"/>
    <col min="1775" max="1775" customWidth="0" width="3.109375" style="1"/>
    <col min="1776" max="1776" customWidth="0" width="3.109375" style="1"/>
    <col min="1777" max="1777" customWidth="0" width="3.109375" style="1"/>
    <col min="1778" max="1778" customWidth="0" width="3.109375" style="1"/>
    <col min="1779" max="1779" customWidth="0" width="3.109375" style="1"/>
    <col min="1780" max="1780" customWidth="0" width="3.109375" style="1"/>
    <col min="1781" max="1781" customWidth="0" width="3.109375" style="1"/>
    <col min="1782" max="1782" customWidth="0" width="3.109375" style="1"/>
    <col min="1783" max="1783" customWidth="0" width="3.109375" style="1"/>
    <col min="1784" max="1784" customWidth="0" width="3.109375" style="1"/>
    <col min="1785" max="1785" customWidth="0" width="3.109375" style="1"/>
    <col min="1786" max="1786" customWidth="0" width="3.109375" style="1"/>
    <col min="1787" max="1787" customWidth="0" width="3.109375" style="1"/>
    <col min="1788" max="1788" customWidth="0" width="3.109375" style="1"/>
    <col min="1789" max="1789" customWidth="0" width="3.109375" style="1"/>
    <col min="1790" max="1790" customWidth="0" width="3.109375" style="1"/>
    <col min="1791" max="1791" customWidth="0" width="3.109375" style="1"/>
    <col min="1792" max="1792" customWidth="0" width="3.109375" style="1"/>
    <col min="1793" max="1793" customWidth="0" width="3.109375" style="1"/>
    <col min="1794" max="1794" customWidth="0" width="3.109375" style="1"/>
    <col min="1795" max="1795" customWidth="0" width="3.109375" style="1"/>
    <col min="1796" max="1796" customWidth="0" width="3.109375" style="1"/>
    <col min="1797" max="1797" customWidth="0" width="3.109375" style="1"/>
    <col min="1798" max="1798" customWidth="0" width="3.109375" style="1"/>
    <col min="1799" max="1799" customWidth="0" width="3.109375" style="1"/>
    <col min="1800" max="1800" customWidth="0" width="3.109375" style="1"/>
    <col min="1801" max="1801" customWidth="0" width="3.109375" style="1"/>
    <col min="1802" max="1802" customWidth="0" width="3.109375" style="1"/>
    <col min="1803" max="1803" customWidth="0" width="3.109375" style="1"/>
    <col min="1804" max="1804" customWidth="0" width="3.109375" style="1"/>
    <col min="1805" max="1805" customWidth="0" width="3.109375" style="1"/>
    <col min="1806" max="1806" customWidth="0" width="3.109375" style="1"/>
    <col min="1807" max="1807" customWidth="0" width="3.109375" style="1"/>
    <col min="1808" max="1808" customWidth="0" width="3.109375" style="1"/>
    <col min="1809" max="1809" customWidth="0" width="3.109375" style="1"/>
    <col min="1810" max="1810" customWidth="0" width="3.109375" style="1"/>
    <col min="1811" max="1811" customWidth="0" width="3.109375" style="1"/>
    <col min="1812" max="1812" customWidth="0" width="3.109375" style="1"/>
    <col min="1813" max="1813" customWidth="0" width="3.109375" style="1"/>
    <col min="1814" max="1814" customWidth="0" width="3.109375" style="1"/>
    <col min="1815" max="1815" customWidth="0" width="3.109375" style="1"/>
    <col min="1816" max="1816" customWidth="0" width="3.109375" style="1"/>
    <col min="1817" max="1817" customWidth="0" width="3.109375" style="1"/>
    <col min="1818" max="1818" customWidth="0" width="3.109375" style="1"/>
    <col min="1819" max="1819" customWidth="0" width="3.109375" style="1"/>
    <col min="1820" max="1820" customWidth="0" width="3.109375" style="1"/>
    <col min="1821" max="1821" customWidth="0" width="3.109375" style="1"/>
    <col min="1822" max="1822" customWidth="0" width="3.109375" style="1"/>
    <col min="1823" max="1823" customWidth="0" width="3.109375" style="1"/>
    <col min="1824" max="1824" customWidth="0" width="3.109375" style="1"/>
    <col min="1825" max="1825" customWidth="0" width="3.109375" style="1"/>
    <col min="1826" max="1826" customWidth="0" width="3.109375" style="1"/>
    <col min="1827" max="1827" customWidth="0" width="3.109375" style="1"/>
    <col min="1828" max="1828" customWidth="0" width="3.109375" style="1"/>
    <col min="1829" max="1829" customWidth="0" width="3.109375" style="1"/>
    <col min="1830" max="1830" customWidth="0" width="3.109375" style="1"/>
    <col min="1831" max="1831" customWidth="0" width="3.109375" style="1"/>
    <col min="1832" max="1832" customWidth="0" width="3.109375" style="1"/>
    <col min="1833" max="1833" customWidth="0" width="3.109375" style="1"/>
    <col min="1834" max="1834" customWidth="0" width="3.109375" style="1"/>
    <col min="1835" max="1835" customWidth="0" width="3.109375" style="1"/>
    <col min="1836" max="1836" customWidth="0" width="3.109375" style="1"/>
    <col min="1837" max="1837" customWidth="0" width="3.109375" style="1"/>
    <col min="1838" max="1838" customWidth="0" width="3.109375" style="1"/>
    <col min="1839" max="1839" customWidth="0" width="3.109375" style="1"/>
    <col min="1840" max="1840" customWidth="0" width="3.109375" style="1"/>
    <col min="1841" max="1841" customWidth="0" width="3.109375" style="1"/>
    <col min="1842" max="1842" customWidth="0" width="3.109375" style="1"/>
    <col min="1843" max="1843" customWidth="0" width="3.109375" style="1"/>
    <col min="1844" max="1844" customWidth="0" width="3.109375" style="1"/>
    <col min="1845" max="1845" customWidth="0" width="3.109375" style="1"/>
    <col min="1846" max="1846" customWidth="0" width="3.109375" style="1"/>
    <col min="1847" max="1847" customWidth="0" width="3.109375" style="1"/>
    <col min="1848" max="1848" customWidth="0" width="3.109375" style="1"/>
    <col min="1849" max="1849" customWidth="0" width="3.109375" style="1"/>
    <col min="1850" max="1850" customWidth="0" width="3.109375" style="1"/>
    <col min="1851" max="1851" customWidth="0" width="3.109375" style="1"/>
    <col min="1852" max="1852" customWidth="0" width="3.109375" style="1"/>
    <col min="1853" max="1853" customWidth="0" width="3.109375" style="1"/>
    <col min="1854" max="1854" customWidth="0" width="3.109375" style="1"/>
    <col min="1855" max="1855" customWidth="0" width="3.109375" style="1"/>
    <col min="1856" max="1856" customWidth="0" width="3.109375" style="1"/>
    <col min="1857" max="1857" customWidth="0" width="3.109375" style="1"/>
    <col min="1858" max="1858" customWidth="0" width="3.109375" style="1"/>
    <col min="1859" max="1859" customWidth="0" width="3.109375" style="1"/>
    <col min="1860" max="1860" customWidth="0" width="3.109375" style="1"/>
    <col min="1861" max="1861" customWidth="0" width="3.109375" style="1"/>
    <col min="1862" max="1862" customWidth="0" width="3.109375" style="1"/>
    <col min="1863" max="1863" customWidth="0" width="3.109375" style="1"/>
    <col min="1864" max="1864" customWidth="0" width="3.109375" style="1"/>
    <col min="1865" max="1865" customWidth="0" width="3.109375" style="1"/>
    <col min="1866" max="1866" customWidth="0" width="3.109375" style="1"/>
    <col min="1867" max="1867" customWidth="0" width="3.109375" style="1"/>
    <col min="1868" max="1868" customWidth="0" width="3.109375" style="1"/>
    <col min="1869" max="1869" customWidth="0" width="3.109375" style="1"/>
    <col min="1870" max="1870" customWidth="0" width="3.109375" style="1"/>
    <col min="1871" max="1871" customWidth="0" width="3.109375" style="1"/>
    <col min="1872" max="1872" customWidth="0" width="3.109375" style="1"/>
    <col min="1873" max="1873" customWidth="0" width="3.109375" style="1"/>
    <col min="1874" max="1874" customWidth="0" width="3.109375" style="1"/>
    <col min="1875" max="1875" customWidth="0" width="3.109375" style="1"/>
    <col min="1876" max="1876" customWidth="0" width="3.109375" style="1"/>
    <col min="1877" max="1877" customWidth="0" width="3.109375" style="1"/>
    <col min="1878" max="1878" customWidth="0" width="3.109375" style="1"/>
    <col min="1879" max="1879" customWidth="0" width="3.109375" style="1"/>
    <col min="1880" max="1880" customWidth="0" width="3.109375" style="1"/>
    <col min="1881" max="1881" customWidth="0" width="3.109375" style="1"/>
    <col min="1882" max="1882" customWidth="0" width="3.109375" style="1"/>
    <col min="1883" max="1883" customWidth="0" width="3.109375" style="1"/>
    <col min="1884" max="1884" customWidth="0" width="3.109375" style="1"/>
    <col min="1885" max="1885" customWidth="0" width="3.109375" style="1"/>
    <col min="1886" max="1886" customWidth="0" width="3.109375" style="1"/>
    <col min="1887" max="1887" customWidth="0" width="3.109375" style="1"/>
    <col min="1888" max="1888" customWidth="0" width="3.109375" style="1"/>
    <col min="1889" max="1889" customWidth="0" width="3.109375" style="1"/>
    <col min="1890" max="1890" customWidth="0" width="3.109375" style="1"/>
    <col min="1891" max="1891" customWidth="0" width="3.109375" style="1"/>
    <col min="1892" max="1892" customWidth="0" width="3.109375" style="1"/>
    <col min="1893" max="1893" customWidth="0" width="3.109375" style="1"/>
    <col min="1894" max="1894" customWidth="0" width="3.109375" style="1"/>
    <col min="1895" max="1895" customWidth="0" width="3.109375" style="1"/>
    <col min="1896" max="1896" customWidth="0" width="3.109375" style="1"/>
    <col min="1897" max="1897" customWidth="0" width="3.109375" style="1"/>
    <col min="1898" max="1898" customWidth="0" width="3.109375" style="1"/>
    <col min="1899" max="1899" customWidth="0" width="3.109375" style="1"/>
    <col min="1900" max="1900" customWidth="0" width="3.109375" style="1"/>
    <col min="1901" max="1901" customWidth="0" width="3.109375" style="1"/>
    <col min="1902" max="1902" customWidth="0" width="3.109375" style="1"/>
    <col min="1903" max="1903" customWidth="0" width="3.109375" style="1"/>
    <col min="1904" max="1904" customWidth="0" width="3.109375" style="1"/>
    <col min="1905" max="1905" customWidth="0" width="3.109375" style="1"/>
    <col min="1906" max="1906" customWidth="0" width="3.109375" style="1"/>
    <col min="1907" max="1907" customWidth="0" width="3.109375" style="1"/>
    <col min="1908" max="1908" customWidth="0" width="3.109375" style="1"/>
    <col min="1909" max="1909" customWidth="0" width="3.109375" style="1"/>
    <col min="1910" max="1910" customWidth="0" width="3.109375" style="1"/>
    <col min="1911" max="1911" customWidth="0" width="3.109375" style="1"/>
    <col min="1912" max="1912" customWidth="0" width="3.109375" style="1"/>
    <col min="1913" max="1913" customWidth="0" width="3.109375" style="1"/>
    <col min="1914" max="1914" customWidth="0" width="3.109375" style="1"/>
    <col min="1915" max="1915" customWidth="0" width="3.109375" style="1"/>
    <col min="1916" max="1916" customWidth="0" width="3.109375" style="1"/>
    <col min="1917" max="1917" customWidth="0" width="3.109375" style="1"/>
    <col min="1918" max="1918" customWidth="0" width="3.109375" style="1"/>
    <col min="1919" max="1919" customWidth="0" width="3.109375" style="1"/>
    <col min="1920" max="1920" customWidth="0" width="3.109375" style="1"/>
    <col min="1921" max="1921" customWidth="0" width="3.109375" style="1"/>
    <col min="1922" max="1922" customWidth="0" width="3.109375" style="1"/>
    <col min="1923" max="1923" customWidth="0" width="3.109375" style="1"/>
    <col min="1924" max="1924" customWidth="0" width="3.109375" style="1"/>
    <col min="1925" max="1925" customWidth="0" width="3.109375" style="1"/>
    <col min="1926" max="1926" customWidth="0" width="3.109375" style="1"/>
    <col min="1927" max="1927" customWidth="0" width="3.109375" style="1"/>
    <col min="1928" max="1928" customWidth="0" width="3.109375" style="1"/>
    <col min="1929" max="1929" customWidth="0" width="3.109375" style="1"/>
    <col min="1930" max="1930" customWidth="0" width="3.109375" style="1"/>
    <col min="1931" max="1931" customWidth="0" width="3.109375" style="1"/>
    <col min="1932" max="1932" customWidth="0" width="3.109375" style="1"/>
    <col min="1933" max="1933" customWidth="0" width="3.109375" style="1"/>
    <col min="1934" max="1934" customWidth="0" width="3.109375" style="1"/>
    <col min="1935" max="1935" customWidth="0" width="3.109375" style="1"/>
    <col min="1936" max="1936" customWidth="0" width="3.109375" style="1"/>
    <col min="1937" max="1937" customWidth="0" width="3.109375" style="1"/>
    <col min="1938" max="1938" customWidth="0" width="3.109375" style="1"/>
    <col min="1939" max="1939" customWidth="0" width="3.109375" style="1"/>
    <col min="1940" max="1940" customWidth="0" width="3.109375" style="1"/>
    <col min="1941" max="1941" customWidth="0" width="3.109375" style="1"/>
    <col min="1942" max="1942" customWidth="0" width="3.109375" style="1"/>
    <col min="1943" max="1943" customWidth="0" width="3.109375" style="1"/>
    <col min="1944" max="1944" customWidth="0" width="3.109375" style="1"/>
    <col min="1945" max="1945" customWidth="0" width="3.109375" style="1"/>
    <col min="1946" max="1946" customWidth="0" width="3.109375" style="1"/>
    <col min="1947" max="1947" customWidth="0" width="3.109375" style="1"/>
    <col min="1948" max="1948" customWidth="0" width="3.109375" style="1"/>
    <col min="1949" max="1949" customWidth="0" width="3.109375" style="1"/>
    <col min="1950" max="1950" customWidth="0" width="3.109375" style="1"/>
    <col min="1951" max="1951" customWidth="0" width="3.109375" style="1"/>
    <col min="1952" max="1952" customWidth="0" width="3.109375" style="1"/>
    <col min="1953" max="1953" customWidth="0" width="3.109375" style="1"/>
    <col min="1954" max="1954" customWidth="0" width="3.109375" style="1"/>
    <col min="1955" max="1955" customWidth="0" width="3.109375" style="1"/>
    <col min="1956" max="1956" customWidth="0" width="3.109375" style="1"/>
    <col min="1957" max="1957" customWidth="0" width="3.109375" style="1"/>
    <col min="1958" max="1958" customWidth="0" width="3.109375" style="1"/>
    <col min="1959" max="1959" customWidth="0" width="3.109375" style="1"/>
    <col min="1960" max="1960" customWidth="0" width="3.109375" style="1"/>
    <col min="1961" max="1961" customWidth="0" width="3.109375" style="1"/>
    <col min="1962" max="1962" customWidth="0" width="3.109375" style="1"/>
    <col min="1963" max="1963" customWidth="0" width="3.109375" style="1"/>
    <col min="1964" max="1964" customWidth="0" width="3.109375" style="1"/>
    <col min="1965" max="1965" customWidth="0" width="3.109375" style="1"/>
    <col min="1966" max="1966" customWidth="0" width="3.109375" style="1"/>
    <col min="1967" max="1967" customWidth="0" width="3.109375" style="1"/>
    <col min="1968" max="1968" customWidth="0" width="3.109375" style="1"/>
    <col min="1969" max="1969" customWidth="0" width="3.109375" style="1"/>
    <col min="1970" max="1970" customWidth="0" width="3.109375" style="1"/>
    <col min="1971" max="1971" customWidth="0" width="3.109375" style="1"/>
    <col min="1972" max="1972" customWidth="0" width="3.109375" style="1"/>
    <col min="1973" max="1973" customWidth="0" width="3.109375" style="1"/>
    <col min="1974" max="1974" customWidth="0" width="3.109375" style="1"/>
    <col min="1975" max="1975" customWidth="0" width="3.109375" style="1"/>
    <col min="1976" max="1976" customWidth="0" width="3.109375" style="1"/>
    <col min="1977" max="1977" customWidth="0" width="3.109375" style="1"/>
    <col min="1978" max="1978" customWidth="0" width="3.109375" style="1"/>
    <col min="1979" max="1979" customWidth="0" width="3.109375" style="1"/>
    <col min="1980" max="1980" customWidth="0" width="3.109375" style="1"/>
    <col min="1981" max="1981" customWidth="0" width="3.109375" style="1"/>
    <col min="1982" max="1982" customWidth="0" width="3.109375" style="1"/>
    <col min="1983" max="1983" customWidth="0" width="3.109375" style="1"/>
    <col min="1984" max="1984" customWidth="0" width="3.109375" style="1"/>
    <col min="1985" max="1985" customWidth="0" width="3.109375" style="1"/>
    <col min="1986" max="1986" customWidth="0" width="3.109375" style="1"/>
    <col min="1987" max="1987" customWidth="0" width="3.109375" style="1"/>
    <col min="1988" max="1988" customWidth="0" width="3.109375" style="1"/>
    <col min="1989" max="1989" customWidth="0" width="3.109375" style="1"/>
    <col min="1990" max="1990" customWidth="0" width="3.109375" style="1"/>
    <col min="1991" max="1991" customWidth="0" width="3.109375" style="1"/>
    <col min="1992" max="1992" customWidth="0" width="3.109375" style="1"/>
    <col min="1993" max="1993" customWidth="0" width="3.109375" style="1"/>
    <col min="1994" max="1994" customWidth="0" width="3.109375" style="1"/>
    <col min="1995" max="1995" customWidth="0" width="3.109375" style="1"/>
    <col min="1996" max="1996" customWidth="0" width="3.109375" style="1"/>
    <col min="1997" max="1997" customWidth="0" width="3.109375" style="1"/>
    <col min="1998" max="1998" customWidth="0" width="3.109375" style="1"/>
    <col min="1999" max="1999" customWidth="0" width="3.109375" style="1"/>
    <col min="2000" max="2000" customWidth="0" width="3.109375" style="1"/>
    <col min="2001" max="2001" customWidth="0" width="3.109375" style="1"/>
    <col min="2002" max="2002" customWidth="0" width="3.109375" style="1"/>
    <col min="2003" max="2003" customWidth="0" width="3.109375" style="1"/>
    <col min="2004" max="2004" customWidth="0" width="3.109375" style="1"/>
    <col min="2005" max="2005" customWidth="0" width="3.109375" style="1"/>
    <col min="2006" max="2006" customWidth="0" width="3.109375" style="1"/>
    <col min="2007" max="2007" customWidth="0" width="3.109375" style="1"/>
    <col min="2008" max="2008" customWidth="0" width="3.109375" style="1"/>
    <col min="2009" max="2009" customWidth="0" width="3.109375" style="1"/>
    <col min="2010" max="2010" customWidth="0" width="3.109375" style="1"/>
    <col min="2011" max="2011" customWidth="0" width="3.109375" style="1"/>
    <col min="2012" max="2012" customWidth="0" width="3.109375" style="1"/>
    <col min="2013" max="2013" customWidth="0" width="3.109375" style="1"/>
    <col min="2014" max="2014" customWidth="0" width="3.109375" style="1"/>
    <col min="2015" max="2015" customWidth="0" width="3.109375" style="1"/>
    <col min="2016" max="2016" customWidth="0" width="3.109375" style="1"/>
    <col min="2017" max="2017" customWidth="0" width="3.109375" style="1"/>
    <col min="2018" max="2018" customWidth="0" width="3.109375" style="1"/>
    <col min="2019" max="2019" customWidth="0" width="3.109375" style="1"/>
    <col min="2020" max="2020" customWidth="0" width="3.109375" style="1"/>
    <col min="2021" max="2021" customWidth="0" width="3.109375" style="1"/>
    <col min="2022" max="2022" customWidth="0" width="3.109375" style="1"/>
    <col min="2023" max="2023" customWidth="0" width="3.109375" style="1"/>
    <col min="2024" max="2024" customWidth="0" width="3.109375" style="1"/>
    <col min="2025" max="2025" customWidth="0" width="3.109375" style="1"/>
    <col min="2026" max="2026" customWidth="0" width="3.109375" style="1"/>
    <col min="2027" max="2027" customWidth="0" width="3.109375" style="1"/>
    <col min="2028" max="2028" customWidth="0" width="3.109375" style="1"/>
    <col min="2029" max="2029" customWidth="0" width="3.109375" style="1"/>
    <col min="2030" max="2030" customWidth="0" width="3.109375" style="1"/>
    <col min="2031" max="2031" customWidth="0" width="3.109375" style="1"/>
    <col min="2032" max="2032" customWidth="0" width="3.109375" style="1"/>
    <col min="2033" max="2033" customWidth="0" width="3.109375" style="1"/>
    <col min="2034" max="2034" customWidth="0" width="3.109375" style="1"/>
    <col min="2035" max="2035" customWidth="0" width="3.109375" style="1"/>
    <col min="2036" max="2036" customWidth="0" width="3.109375" style="1"/>
    <col min="2037" max="2037" customWidth="0" width="3.109375" style="1"/>
    <col min="2038" max="2038" customWidth="0" width="3.109375" style="1"/>
    <col min="2039" max="2039" customWidth="0" width="3.109375" style="1"/>
    <col min="2040" max="2040" customWidth="0" width="3.109375" style="1"/>
    <col min="2041" max="2041" customWidth="0" width="3.109375" style="1"/>
    <col min="2042" max="2042" customWidth="0" width="3.109375" style="1"/>
    <col min="2043" max="2043" customWidth="0" width="3.109375" style="1"/>
    <col min="2044" max="2044" customWidth="0" width="3.109375" style="1"/>
    <col min="2045" max="2045" customWidth="0" width="3.109375" style="1"/>
    <col min="2046" max="2046" customWidth="0" width="3.109375" style="1"/>
    <col min="2047" max="2047" customWidth="0" width="3.109375" style="1"/>
    <col min="2048" max="2048" customWidth="0" width="3.109375" style="1"/>
    <col min="2049" max="2049" customWidth="0" width="3.109375" style="1"/>
    <col min="2050" max="2050" customWidth="0" width="3.109375" style="1"/>
    <col min="2051" max="2051" customWidth="0" width="3.109375" style="1"/>
    <col min="2052" max="2052" customWidth="0" width="3.109375" style="1"/>
    <col min="2053" max="2053" customWidth="0" width="3.109375" style="1"/>
    <col min="2054" max="2054" customWidth="0" width="3.109375" style="1"/>
    <col min="2055" max="2055" customWidth="0" width="3.109375" style="1"/>
    <col min="2056" max="2056" customWidth="0" width="3.109375" style="1"/>
    <col min="2057" max="2057" customWidth="0" width="3.109375" style="1"/>
    <col min="2058" max="2058" customWidth="0" width="3.109375" style="1"/>
    <col min="2059" max="2059" customWidth="0" width="3.109375" style="1"/>
    <col min="2060" max="2060" customWidth="0" width="3.109375" style="1"/>
    <col min="2061" max="2061" customWidth="0" width="3.109375" style="1"/>
    <col min="2062" max="2062" customWidth="0" width="3.109375" style="1"/>
    <col min="2063" max="2063" customWidth="0" width="3.109375" style="1"/>
    <col min="2064" max="2064" customWidth="0" width="3.109375" style="1"/>
    <col min="2065" max="2065" customWidth="0" width="3.109375" style="1"/>
    <col min="2066" max="2066" customWidth="0" width="3.109375" style="1"/>
    <col min="2067" max="2067" customWidth="0" width="3.109375" style="1"/>
    <col min="2068" max="2068" customWidth="0" width="3.109375" style="1"/>
    <col min="2069" max="2069" customWidth="0" width="3.109375" style="1"/>
    <col min="2070" max="2070" customWidth="0" width="3.109375" style="1"/>
    <col min="2071" max="2071" customWidth="0" width="3.109375" style="1"/>
    <col min="2072" max="2072" customWidth="0" width="3.109375" style="1"/>
    <col min="2073" max="2073" customWidth="0" width="3.109375" style="1"/>
    <col min="2074" max="2074" customWidth="0" width="3.109375" style="1"/>
    <col min="2075" max="2075" customWidth="0" width="3.109375" style="1"/>
    <col min="2076" max="2076" customWidth="0" width="3.109375" style="1"/>
    <col min="2077" max="2077" customWidth="0" width="3.109375" style="1"/>
    <col min="2078" max="2078" customWidth="0" width="3.109375" style="1"/>
    <col min="2079" max="2079" customWidth="0" width="3.109375" style="1"/>
    <col min="2080" max="2080" customWidth="0" width="3.109375" style="1"/>
    <col min="2081" max="2081" customWidth="0" width="3.109375" style="1"/>
    <col min="2082" max="2082" customWidth="0" width="3.109375" style="1"/>
    <col min="2083" max="2083" customWidth="0" width="3.109375" style="1"/>
    <col min="2084" max="2084" customWidth="0" width="3.109375" style="1"/>
    <col min="2085" max="2085" customWidth="0" width="3.109375" style="1"/>
    <col min="2086" max="2086" customWidth="0" width="3.109375" style="1"/>
    <col min="2087" max="2087" customWidth="0" width="3.109375" style="1"/>
    <col min="2088" max="2088" customWidth="0" width="3.109375" style="1"/>
    <col min="2089" max="2089" customWidth="0" width="3.109375" style="1"/>
    <col min="2090" max="2090" customWidth="0" width="3.109375" style="1"/>
    <col min="2091" max="2091" customWidth="0" width="3.109375" style="1"/>
    <col min="2092" max="2092" customWidth="0" width="3.109375" style="1"/>
    <col min="2093" max="2093" customWidth="0" width="3.109375" style="1"/>
    <col min="2094" max="2094" customWidth="0" width="3.109375" style="1"/>
    <col min="2095" max="2095" customWidth="0" width="3.109375" style="1"/>
    <col min="2096" max="2096" customWidth="0" width="3.109375" style="1"/>
    <col min="2097" max="2097" customWidth="0" width="3.109375" style="1"/>
    <col min="2098" max="2098" customWidth="0" width="3.109375" style="1"/>
    <col min="2099" max="2099" customWidth="0" width="3.109375" style="1"/>
    <col min="2100" max="2100" customWidth="0" width="3.109375" style="1"/>
    <col min="2101" max="2101" customWidth="0" width="3.109375" style="1"/>
    <col min="2102" max="2102" customWidth="0" width="3.109375" style="1"/>
    <col min="2103" max="2103" customWidth="0" width="3.109375" style="1"/>
    <col min="2104" max="2104" customWidth="0" width="3.109375" style="1"/>
    <col min="2105" max="2105" customWidth="0" width="3.109375" style="1"/>
    <col min="2106" max="2106" customWidth="0" width="3.109375" style="1"/>
    <col min="2107" max="2107" customWidth="0" width="3.109375" style="1"/>
    <col min="2108" max="2108" customWidth="0" width="3.109375" style="1"/>
    <col min="2109" max="2109" customWidth="0" width="3.109375" style="1"/>
    <col min="2110" max="2110" customWidth="0" width="3.109375" style="1"/>
    <col min="2111" max="2111" customWidth="0" width="3.109375" style="1"/>
    <col min="2112" max="2112" customWidth="0" width="3.109375" style="1"/>
    <col min="2113" max="2113" customWidth="0" width="3.109375" style="1"/>
    <col min="2114" max="2114" customWidth="0" width="3.109375" style="1"/>
    <col min="2115" max="2115" customWidth="0" width="3.109375" style="1"/>
    <col min="2116" max="2116" customWidth="0" width="3.109375" style="1"/>
    <col min="2117" max="2117" customWidth="0" width="3.109375" style="1"/>
    <col min="2118" max="2118" customWidth="0" width="3.109375" style="1"/>
    <col min="2119" max="2119" customWidth="0" width="3.109375" style="1"/>
    <col min="2120" max="2120" customWidth="0" width="3.109375" style="1"/>
    <col min="2121" max="2121" customWidth="0" width="3.109375" style="1"/>
    <col min="2122" max="2122" customWidth="0" width="3.109375" style="1"/>
    <col min="2123" max="2123" customWidth="0" width="3.109375" style="1"/>
    <col min="2124" max="2124" customWidth="0" width="3.109375" style="1"/>
    <col min="2125" max="2125" customWidth="0" width="3.109375" style="1"/>
    <col min="2126" max="2126" customWidth="0" width="3.109375" style="1"/>
    <col min="2127" max="2127" customWidth="0" width="3.109375" style="1"/>
    <col min="2128" max="2128" customWidth="0" width="3.109375" style="1"/>
    <col min="2129" max="2129" customWidth="0" width="3.109375" style="1"/>
    <col min="2130" max="2130" customWidth="0" width="3.109375" style="1"/>
    <col min="2131" max="2131" customWidth="0" width="3.109375" style="1"/>
    <col min="2132" max="2132" customWidth="0" width="3.109375" style="1"/>
    <col min="2133" max="2133" customWidth="0" width="3.109375" style="1"/>
    <col min="2134" max="2134" customWidth="0" width="3.109375" style="1"/>
    <col min="2135" max="2135" customWidth="0" width="3.109375" style="1"/>
    <col min="2136" max="2136" customWidth="0" width="3.109375" style="1"/>
    <col min="2137" max="2137" customWidth="0" width="3.109375" style="1"/>
    <col min="2138" max="2138" customWidth="0" width="3.109375" style="1"/>
    <col min="2139" max="2139" customWidth="0" width="3.109375" style="1"/>
    <col min="2140" max="2140" customWidth="0" width="3.109375" style="1"/>
    <col min="2141" max="2141" customWidth="0" width="3.109375" style="1"/>
    <col min="2142" max="2142" customWidth="0" width="3.109375" style="1"/>
    <col min="2143" max="2143" customWidth="0" width="3.109375" style="1"/>
    <col min="2144" max="2144" customWidth="0" width="3.109375" style="1"/>
    <col min="2145" max="2145" customWidth="0" width="3.109375" style="1"/>
    <col min="2146" max="2146" customWidth="0" width="3.109375" style="1"/>
    <col min="2147" max="2147" customWidth="0" width="3.109375" style="1"/>
    <col min="2148" max="2148" customWidth="0" width="3.109375" style="1"/>
    <col min="2149" max="2149" customWidth="0" width="3.109375" style="1"/>
    <col min="2150" max="2150" customWidth="0" width="3.109375" style="1"/>
    <col min="2151" max="2151" customWidth="0" width="3.109375" style="1"/>
    <col min="2152" max="2152" customWidth="0" width="3.109375" style="1"/>
    <col min="2153" max="2153" customWidth="0" width="3.109375" style="1"/>
    <col min="2154" max="2154" customWidth="0" width="3.109375" style="1"/>
    <col min="2155" max="2155" customWidth="0" width="3.109375" style="1"/>
    <col min="2156" max="2156" customWidth="0" width="3.109375" style="1"/>
    <col min="2157" max="2157" customWidth="0" width="3.109375" style="1"/>
    <col min="2158" max="2158" customWidth="0" width="3.109375" style="1"/>
    <col min="2159" max="2159" customWidth="0" width="3.109375" style="1"/>
    <col min="2160" max="2160" customWidth="0" width="3.109375" style="1"/>
    <col min="2161" max="2161" customWidth="0" width="3.109375" style="1"/>
    <col min="2162" max="2162" customWidth="0" width="3.109375" style="1"/>
    <col min="2163" max="2163" customWidth="0" width="3.109375" style="1"/>
    <col min="2164" max="2164" customWidth="0" width="3.109375" style="1"/>
    <col min="2165" max="2165" customWidth="0" width="3.109375" style="1"/>
    <col min="2166" max="2166" customWidth="0" width="3.109375" style="1"/>
    <col min="2167" max="2167" customWidth="0" width="3.109375" style="1"/>
    <col min="2168" max="2168" customWidth="0" width="3.109375" style="1"/>
    <col min="2169" max="2169" customWidth="0" width="3.109375" style="1"/>
    <col min="2170" max="2170" customWidth="0" width="3.109375" style="1"/>
    <col min="2171" max="2171" customWidth="0" width="3.109375" style="1"/>
    <col min="2172" max="2172" customWidth="0" width="3.109375" style="1"/>
    <col min="2173" max="2173" customWidth="0" width="3.109375" style="1"/>
    <col min="2174" max="2174" customWidth="0" width="3.109375" style="1"/>
    <col min="2175" max="2175" customWidth="0" width="3.109375" style="1"/>
    <col min="2176" max="2176" customWidth="0" width="3.109375" style="1"/>
    <col min="2177" max="2177" customWidth="0" width="3.109375" style="1"/>
    <col min="2178" max="2178" customWidth="0" width="3.109375" style="1"/>
    <col min="2179" max="2179" customWidth="0" width="3.109375" style="1"/>
    <col min="2180" max="2180" customWidth="0" width="3.109375" style="1"/>
    <col min="2181" max="2181" customWidth="0" width="3.109375" style="1"/>
    <col min="2182" max="2182" customWidth="0" width="3.109375" style="1"/>
    <col min="2183" max="2183" customWidth="0" width="3.109375" style="1"/>
    <col min="2184" max="2184" customWidth="0" width="3.109375" style="1"/>
    <col min="2185" max="2185" customWidth="0" width="3.109375" style="1"/>
    <col min="2186" max="2186" customWidth="0" width="3.109375" style="1"/>
    <col min="2187" max="2187" customWidth="0" width="3.109375" style="1"/>
    <col min="2188" max="2188" customWidth="0" width="3.109375" style="1"/>
    <col min="2189" max="2189" customWidth="0" width="3.109375" style="1"/>
    <col min="2190" max="2190" customWidth="0" width="3.109375" style="1"/>
    <col min="2191" max="2191" customWidth="0" width="3.109375" style="1"/>
    <col min="2192" max="2192" customWidth="0" width="3.109375" style="1"/>
    <col min="2193" max="2193" customWidth="0" width="3.109375" style="1"/>
    <col min="2194" max="2194" customWidth="0" width="3.109375" style="1"/>
    <col min="2195" max="2195" customWidth="0" width="3.109375" style="1"/>
    <col min="2196" max="2196" customWidth="0" width="3.109375" style="1"/>
    <col min="2197" max="2197" customWidth="0" width="3.109375" style="1"/>
    <col min="2198" max="2198" customWidth="0" width="3.109375" style="1"/>
    <col min="2199" max="2199" customWidth="0" width="3.109375" style="1"/>
    <col min="2200" max="2200" customWidth="0" width="3.109375" style="1"/>
    <col min="2201" max="2201" customWidth="0" width="3.109375" style="1"/>
    <col min="2202" max="2202" customWidth="0" width="3.109375" style="1"/>
    <col min="2203" max="2203" customWidth="0" width="3.109375" style="1"/>
    <col min="2204" max="2204" customWidth="0" width="3.109375" style="1"/>
    <col min="2205" max="2205" customWidth="0" width="3.109375" style="1"/>
    <col min="2206" max="2206" customWidth="0" width="3.109375" style="1"/>
    <col min="2207" max="2207" customWidth="0" width="3.109375" style="1"/>
    <col min="2208" max="2208" customWidth="0" width="3.109375" style="1"/>
    <col min="2209" max="2209" customWidth="0" width="3.109375" style="1"/>
    <col min="2210" max="2210" customWidth="0" width="3.109375" style="1"/>
    <col min="2211" max="2211" customWidth="0" width="3.109375" style="1"/>
    <col min="2212" max="2212" customWidth="0" width="3.109375" style="1"/>
    <col min="2213" max="2213" customWidth="0" width="3.109375" style="1"/>
    <col min="2214" max="2214" customWidth="0" width="3.109375" style="1"/>
    <col min="2215" max="2215" customWidth="0" width="3.109375" style="1"/>
    <col min="2216" max="2216" customWidth="0" width="3.109375" style="1"/>
    <col min="2217" max="2217" customWidth="0" width="3.109375" style="1"/>
    <col min="2218" max="2218" customWidth="0" width="3.109375" style="1"/>
    <col min="2219" max="2219" customWidth="0" width="3.109375" style="1"/>
    <col min="2220" max="2220" customWidth="0" width="3.109375" style="1"/>
    <col min="2221" max="2221" customWidth="0" width="3.109375" style="1"/>
    <col min="2222" max="2222" customWidth="0" width="3.109375" style="1"/>
    <col min="2223" max="2223" customWidth="0" width="3.109375" style="1"/>
    <col min="2224" max="2224" customWidth="0" width="3.109375" style="1"/>
    <col min="2225" max="2225" customWidth="0" width="3.109375" style="1"/>
    <col min="2226" max="2226" customWidth="0" width="3.109375" style="1"/>
    <col min="2227" max="2227" customWidth="0" width="3.109375" style="1"/>
    <col min="2228" max="2228" customWidth="0" width="3.109375" style="1"/>
    <col min="2229" max="2229" customWidth="0" width="3.109375" style="1"/>
    <col min="2230" max="2230" customWidth="0" width="3.109375" style="1"/>
    <col min="2231" max="2231" customWidth="0" width="3.109375" style="1"/>
    <col min="2232" max="2232" customWidth="0" width="3.109375" style="1"/>
    <col min="2233" max="2233" customWidth="0" width="3.109375" style="1"/>
    <col min="2234" max="2234" customWidth="0" width="3.109375" style="1"/>
    <col min="2235" max="2235" customWidth="0" width="3.109375" style="1"/>
    <col min="2236" max="2236" customWidth="0" width="3.109375" style="1"/>
    <col min="2237" max="2237" customWidth="0" width="3.109375" style="1"/>
    <col min="2238" max="2238" customWidth="0" width="3.109375" style="1"/>
    <col min="2239" max="2239" customWidth="0" width="3.109375" style="1"/>
    <col min="2240" max="2240" customWidth="0" width="3.109375" style="1"/>
    <col min="2241" max="2241" customWidth="0" width="3.109375" style="1"/>
    <col min="2242" max="2242" customWidth="0" width="3.109375" style="1"/>
    <col min="2243" max="2243" customWidth="0" width="3.109375" style="1"/>
    <col min="2244" max="2244" customWidth="0" width="3.109375" style="1"/>
    <col min="2245" max="2245" customWidth="0" width="3.109375" style="1"/>
    <col min="2246" max="2246" customWidth="0" width="3.109375" style="1"/>
    <col min="2247" max="2247" customWidth="0" width="3.109375" style="1"/>
    <col min="2248" max="2248" customWidth="0" width="3.109375" style="1"/>
    <col min="2249" max="2249" customWidth="0" width="3.109375" style="1"/>
    <col min="2250" max="2250" customWidth="0" width="3.109375" style="1"/>
    <col min="2251" max="2251" customWidth="0" width="3.109375" style="1"/>
    <col min="2252" max="2252" customWidth="0" width="3.109375" style="1"/>
    <col min="2253" max="2253" customWidth="0" width="3.109375" style="1"/>
    <col min="2254" max="2254" customWidth="0" width="3.109375" style="1"/>
    <col min="2255" max="2255" customWidth="0" width="3.109375" style="1"/>
    <col min="2256" max="2256" customWidth="0" width="3.109375" style="1"/>
    <col min="2257" max="2257" customWidth="0" width="3.109375" style="1"/>
    <col min="2258" max="2258" customWidth="0" width="3.109375" style="1"/>
    <col min="2259" max="2259" customWidth="0" width="3.109375" style="1"/>
    <col min="2260" max="2260" customWidth="0" width="3.109375" style="1"/>
    <col min="2261" max="2261" customWidth="0" width="3.109375" style="1"/>
    <col min="2262" max="2262" customWidth="0" width="3.109375" style="1"/>
    <col min="2263" max="2263" customWidth="0" width="3.109375" style="1"/>
    <col min="2264" max="2264" customWidth="0" width="3.109375" style="1"/>
    <col min="2265" max="2265" customWidth="0" width="3.109375" style="1"/>
    <col min="2266" max="2266" customWidth="0" width="3.109375" style="1"/>
    <col min="2267" max="2267" customWidth="0" width="3.109375" style="1"/>
    <col min="2268" max="2268" customWidth="0" width="3.109375" style="1"/>
    <col min="2269" max="2269" customWidth="0" width="3.109375" style="1"/>
    <col min="2270" max="2270" customWidth="0" width="3.109375" style="1"/>
    <col min="2271" max="2271" customWidth="0" width="3.109375" style="1"/>
    <col min="2272" max="2272" customWidth="0" width="3.109375" style="1"/>
    <col min="2273" max="2273" customWidth="0" width="3.109375" style="1"/>
    <col min="2274" max="2274" customWidth="0" width="3.109375" style="1"/>
    <col min="2275" max="2275" customWidth="0" width="3.109375" style="1"/>
    <col min="2276" max="2276" customWidth="0" width="3.109375" style="1"/>
    <col min="2277" max="2277" customWidth="0" width="3.109375" style="1"/>
    <col min="2278" max="2278" customWidth="0" width="3.109375" style="1"/>
    <col min="2279" max="2279" customWidth="0" width="3.109375" style="1"/>
    <col min="2280" max="2280" customWidth="0" width="3.109375" style="1"/>
    <col min="2281" max="2281" customWidth="0" width="3.109375" style="1"/>
    <col min="2282" max="2282" customWidth="0" width="3.109375" style="1"/>
    <col min="2283" max="2283" customWidth="0" width="3.109375" style="1"/>
    <col min="2284" max="2284" customWidth="0" width="3.109375" style="1"/>
    <col min="2285" max="2285" customWidth="0" width="3.109375" style="1"/>
    <col min="2286" max="2286" customWidth="0" width="3.109375" style="1"/>
    <col min="2287" max="2287" customWidth="0" width="3.109375" style="1"/>
    <col min="2288" max="2288" customWidth="0" width="3.109375" style="1"/>
    <col min="2289" max="2289" customWidth="0" width="3.109375" style="1"/>
    <col min="2290" max="2290" customWidth="0" width="3.109375" style="1"/>
    <col min="2291" max="2291" customWidth="0" width="3.109375" style="1"/>
    <col min="2292" max="2292" customWidth="0" width="3.109375" style="1"/>
    <col min="2293" max="2293" customWidth="0" width="3.109375" style="1"/>
    <col min="2294" max="2294" customWidth="0" width="3.109375" style="1"/>
    <col min="2295" max="2295" customWidth="0" width="3.109375" style="1"/>
    <col min="2296" max="2296" customWidth="0" width="3.109375" style="1"/>
    <col min="2297" max="2297" customWidth="0" width="3.109375" style="1"/>
    <col min="2298" max="2298" customWidth="0" width="3.109375" style="1"/>
    <col min="2299" max="2299" customWidth="0" width="3.109375" style="1"/>
    <col min="2300" max="2300" customWidth="0" width="3.109375" style="1"/>
    <col min="2301" max="2301" customWidth="0" width="3.109375" style="1"/>
    <col min="2302" max="2302" customWidth="0" width="3.109375" style="1"/>
    <col min="2303" max="2303" customWidth="0" width="3.109375" style="1"/>
    <col min="2304" max="2304" customWidth="0" width="3.109375" style="1"/>
    <col min="2305" max="2305" customWidth="0" width="3.109375" style="1"/>
    <col min="2306" max="2306" customWidth="0" width="3.109375" style="1"/>
    <col min="2307" max="2307" customWidth="0" width="3.109375" style="1"/>
    <col min="2308" max="2308" customWidth="0" width="3.109375" style="1"/>
    <col min="2309" max="2309" customWidth="0" width="3.109375" style="1"/>
    <col min="2310" max="2310" customWidth="0" width="3.109375" style="1"/>
    <col min="2311" max="2311" customWidth="0" width="3.109375" style="1"/>
    <col min="2312" max="2312" customWidth="0" width="3.109375" style="1"/>
    <col min="2313" max="2313" customWidth="0" width="3.109375" style="1"/>
    <col min="2314" max="2314" customWidth="0" width="3.109375" style="1"/>
    <col min="2315" max="2315" customWidth="0" width="3.109375" style="1"/>
    <col min="2316" max="2316" customWidth="0" width="3.109375" style="1"/>
    <col min="2317" max="2317" customWidth="0" width="3.109375" style="1"/>
    <col min="2318" max="2318" customWidth="0" width="3.109375" style="1"/>
    <col min="2319" max="2319" customWidth="0" width="3.109375" style="1"/>
    <col min="2320" max="2320" customWidth="0" width="3.109375" style="1"/>
    <col min="2321" max="2321" customWidth="0" width="3.109375" style="1"/>
    <col min="2322" max="2322" customWidth="0" width="3.109375" style="1"/>
    <col min="2323" max="2323" customWidth="0" width="3.109375" style="1"/>
    <col min="2324" max="2324" customWidth="0" width="3.109375" style="1"/>
    <col min="2325" max="2325" customWidth="0" width="3.109375" style="1"/>
    <col min="2326" max="2326" customWidth="0" width="3.109375" style="1"/>
    <col min="2327" max="2327" customWidth="0" width="3.109375" style="1"/>
    <col min="2328" max="2328" customWidth="0" width="3.109375" style="1"/>
    <col min="2329" max="2329" customWidth="0" width="3.109375" style="1"/>
    <col min="2330" max="2330" customWidth="0" width="3.109375" style="1"/>
    <col min="2331" max="2331" customWidth="0" width="3.109375" style="1"/>
    <col min="2332" max="2332" customWidth="0" width="3.109375" style="1"/>
    <col min="2333" max="2333" customWidth="0" width="3.109375" style="1"/>
    <col min="2334" max="2334" customWidth="0" width="3.109375" style="1"/>
    <col min="2335" max="2335" customWidth="0" width="3.109375" style="1"/>
    <col min="2336" max="2336" customWidth="0" width="3.109375" style="1"/>
    <col min="2337" max="2337" customWidth="0" width="3.109375" style="1"/>
    <col min="2338" max="2338" customWidth="0" width="3.109375" style="1"/>
    <col min="2339" max="2339" customWidth="0" width="3.109375" style="1"/>
    <col min="2340" max="2340" customWidth="0" width="3.109375" style="1"/>
    <col min="2341" max="2341" customWidth="0" width="3.109375" style="1"/>
    <col min="2342" max="2342" customWidth="0" width="3.109375" style="1"/>
    <col min="2343" max="2343" customWidth="0" width="3.109375" style="1"/>
    <col min="2344" max="2344" customWidth="0" width="3.109375" style="1"/>
    <col min="2345" max="2345" customWidth="0" width="3.109375" style="1"/>
    <col min="2346" max="2346" customWidth="0" width="3.109375" style="1"/>
    <col min="2347" max="2347" customWidth="0" width="3.109375" style="1"/>
    <col min="2348" max="2348" customWidth="0" width="3.109375" style="1"/>
    <col min="2349" max="2349" customWidth="0" width="3.109375" style="1"/>
    <col min="2350" max="2350" customWidth="0" width="3.109375" style="1"/>
    <col min="2351" max="2351" customWidth="0" width="3.109375" style="1"/>
    <col min="2352" max="2352" customWidth="0" width="3.109375" style="1"/>
    <col min="2353" max="2353" customWidth="0" width="3.109375" style="1"/>
    <col min="2354" max="2354" customWidth="0" width="3.109375" style="1"/>
    <col min="2355" max="2355" customWidth="0" width="3.109375" style="1"/>
    <col min="2356" max="2356" customWidth="0" width="3.109375" style="1"/>
    <col min="2357" max="2357" customWidth="0" width="3.109375" style="1"/>
    <col min="2358" max="2358" customWidth="0" width="3.109375" style="1"/>
    <col min="2359" max="2359" customWidth="0" width="3.109375" style="1"/>
    <col min="2360" max="2360" customWidth="0" width="3.109375" style="1"/>
    <col min="2361" max="2361" customWidth="0" width="3.109375" style="1"/>
    <col min="2362" max="2362" customWidth="0" width="3.109375" style="1"/>
    <col min="2363" max="2363" customWidth="0" width="3.109375" style="1"/>
    <col min="2364" max="2364" customWidth="0" width="3.109375" style="1"/>
    <col min="2365" max="2365" customWidth="0" width="3.109375" style="1"/>
    <col min="2366" max="2366" customWidth="0" width="3.109375" style="1"/>
    <col min="2367" max="2367" customWidth="0" width="3.109375" style="1"/>
    <col min="2368" max="2368" customWidth="0" width="3.109375" style="1"/>
    <col min="2369" max="2369" customWidth="0" width="3.109375" style="1"/>
    <col min="2370" max="2370" customWidth="0" width="3.109375" style="1"/>
    <col min="2371" max="2371" customWidth="0" width="3.109375" style="1"/>
    <col min="2372" max="2372" customWidth="0" width="3.109375" style="1"/>
    <col min="2373" max="2373" customWidth="0" width="3.109375" style="1"/>
    <col min="2374" max="2374" customWidth="0" width="3.109375" style="1"/>
    <col min="2375" max="2375" customWidth="0" width="3.109375" style="1"/>
    <col min="2376" max="2376" customWidth="0" width="3.109375" style="1"/>
    <col min="2377" max="2377" customWidth="0" width="3.109375" style="1"/>
    <col min="2378" max="2378" customWidth="0" width="3.109375" style="1"/>
    <col min="2379" max="2379" customWidth="0" width="3.109375" style="1"/>
    <col min="2380" max="2380" customWidth="0" width="3.109375" style="1"/>
    <col min="2381" max="2381" customWidth="0" width="3.109375" style="1"/>
    <col min="2382" max="2382" customWidth="0" width="3.109375" style="1"/>
    <col min="2383" max="2383" customWidth="0" width="3.109375" style="1"/>
    <col min="2384" max="2384" customWidth="0" width="3.109375" style="1"/>
    <col min="2385" max="2385" customWidth="0" width="3.109375" style="1"/>
    <col min="2386" max="2386" customWidth="0" width="3.109375" style="1"/>
    <col min="2387" max="2387" customWidth="0" width="3.109375" style="1"/>
    <col min="2388" max="2388" customWidth="0" width="3.109375" style="1"/>
    <col min="2389" max="2389" customWidth="0" width="3.109375" style="1"/>
    <col min="2390" max="2390" customWidth="0" width="3.109375" style="1"/>
    <col min="2391" max="2391" customWidth="0" width="3.109375" style="1"/>
    <col min="2392" max="2392" customWidth="0" width="3.109375" style="1"/>
    <col min="2393" max="2393" customWidth="0" width="3.109375" style="1"/>
    <col min="2394" max="2394" customWidth="0" width="3.109375" style="1"/>
    <col min="2395" max="2395" customWidth="0" width="3.109375" style="1"/>
    <col min="2396" max="2396" customWidth="0" width="3.109375" style="1"/>
    <col min="2397" max="2397" customWidth="0" width="3.109375" style="1"/>
    <col min="2398" max="2398" customWidth="0" width="3.109375" style="1"/>
    <col min="2399" max="2399" customWidth="0" width="3.109375" style="1"/>
    <col min="2400" max="2400" customWidth="0" width="3.109375" style="1"/>
    <col min="2401" max="2401" customWidth="0" width="3.109375" style="1"/>
    <col min="2402" max="2402" customWidth="0" width="3.109375" style="1"/>
    <col min="2403" max="2403" customWidth="0" width="3.109375" style="1"/>
    <col min="2404" max="2404" customWidth="0" width="3.109375" style="1"/>
    <col min="2405" max="2405" customWidth="0" width="3.109375" style="1"/>
    <col min="2406" max="2406" customWidth="0" width="3.109375" style="1"/>
    <col min="2407" max="2407" customWidth="0" width="3.109375" style="1"/>
    <col min="2408" max="2408" customWidth="0" width="3.109375" style="1"/>
    <col min="2409" max="2409" customWidth="0" width="3.109375" style="1"/>
    <col min="2410" max="2410" customWidth="0" width="3.109375" style="1"/>
    <col min="2411" max="2411" customWidth="0" width="3.109375" style="1"/>
    <col min="2412" max="2412" customWidth="0" width="3.109375" style="1"/>
    <col min="2413" max="2413" customWidth="0" width="3.109375" style="1"/>
    <col min="2414" max="2414" customWidth="0" width="3.109375" style="1"/>
    <col min="2415" max="2415" customWidth="0" width="3.109375" style="1"/>
    <col min="2416" max="2416" customWidth="0" width="3.109375" style="1"/>
    <col min="2417" max="2417" customWidth="0" width="3.109375" style="1"/>
    <col min="2418" max="2418" customWidth="0" width="3.109375" style="1"/>
    <col min="2419" max="2419" customWidth="0" width="3.109375" style="1"/>
    <col min="2420" max="2420" customWidth="0" width="3.109375" style="1"/>
    <col min="2421" max="2421" customWidth="0" width="3.109375" style="1"/>
    <col min="2422" max="2422" customWidth="0" width="3.109375" style="1"/>
    <col min="2423" max="2423" customWidth="0" width="3.109375" style="1"/>
    <col min="2424" max="2424" customWidth="0" width="3.109375" style="1"/>
    <col min="2425" max="2425" customWidth="0" width="3.109375" style="1"/>
    <col min="2426" max="2426" customWidth="0" width="3.109375" style="1"/>
    <col min="2427" max="2427" customWidth="0" width="3.109375" style="1"/>
    <col min="2428" max="2428" customWidth="0" width="3.109375" style="1"/>
    <col min="2429" max="2429" customWidth="0" width="3.109375" style="1"/>
    <col min="2430" max="2430" customWidth="0" width="3.109375" style="1"/>
    <col min="2431" max="2431" customWidth="0" width="3.109375" style="1"/>
    <col min="2432" max="2432" customWidth="0" width="3.109375" style="1"/>
    <col min="2433" max="2433" customWidth="0" width="3.109375" style="1"/>
    <col min="2434" max="2434" customWidth="0" width="3.109375" style="1"/>
    <col min="2435" max="2435" customWidth="0" width="3.109375" style="1"/>
    <col min="2436" max="2436" customWidth="0" width="3.109375" style="1"/>
    <col min="2437" max="2437" customWidth="0" width="3.109375" style="1"/>
    <col min="2438" max="2438" customWidth="0" width="3.109375" style="1"/>
    <col min="2439" max="2439" customWidth="0" width="3.109375" style="1"/>
    <col min="2440" max="2440" customWidth="0" width="3.109375" style="1"/>
    <col min="2441" max="2441" customWidth="0" width="3.109375" style="1"/>
    <col min="2442" max="2442" customWidth="0" width="3.109375" style="1"/>
    <col min="2443" max="2443" customWidth="0" width="3.109375" style="1"/>
    <col min="2444" max="2444" customWidth="0" width="3.109375" style="1"/>
    <col min="2445" max="2445" customWidth="0" width="3.109375" style="1"/>
    <col min="2446" max="2446" customWidth="0" width="3.109375" style="1"/>
    <col min="2447" max="2447" customWidth="0" width="3.109375" style="1"/>
    <col min="2448" max="2448" customWidth="0" width="3.109375" style="1"/>
    <col min="2449" max="2449" customWidth="0" width="3.109375" style="1"/>
    <col min="2450" max="2450" customWidth="0" width="3.109375" style="1"/>
    <col min="2451" max="2451" customWidth="0" width="3.109375" style="1"/>
    <col min="2452" max="2452" customWidth="0" width="3.109375" style="1"/>
    <col min="2453" max="2453" customWidth="0" width="3.109375" style="1"/>
    <col min="2454" max="2454" customWidth="0" width="3.109375" style="1"/>
    <col min="2455" max="2455" customWidth="0" width="3.109375" style="1"/>
    <col min="2456" max="2456" customWidth="0" width="3.109375" style="1"/>
    <col min="2457" max="2457" customWidth="0" width="3.109375" style="1"/>
    <col min="2458" max="2458" customWidth="0" width="3.109375" style="1"/>
    <col min="2459" max="2459" customWidth="0" width="3.109375" style="1"/>
    <col min="2460" max="2460" customWidth="0" width="3.109375" style="1"/>
    <col min="2461" max="2461" customWidth="0" width="3.109375" style="1"/>
    <col min="2462" max="2462" customWidth="0" width="3.109375" style="1"/>
    <col min="2463" max="2463" customWidth="0" width="3.109375" style="1"/>
    <col min="2464" max="2464" customWidth="0" width="3.109375" style="1"/>
    <col min="2465" max="2465" customWidth="0" width="3.109375" style="1"/>
    <col min="2466" max="2466" customWidth="0" width="3.109375" style="1"/>
    <col min="2467" max="2467" customWidth="0" width="3.109375" style="1"/>
    <col min="2468" max="2468" customWidth="0" width="3.109375" style="1"/>
    <col min="2469" max="2469" customWidth="0" width="3.109375" style="1"/>
    <col min="2470" max="2470" customWidth="0" width="3.109375" style="1"/>
    <col min="2471" max="2471" customWidth="0" width="3.109375" style="1"/>
    <col min="2472" max="2472" customWidth="0" width="3.109375" style="1"/>
    <col min="2473" max="2473" customWidth="0" width="3.109375" style="1"/>
    <col min="2474" max="2474" customWidth="0" width="3.109375" style="1"/>
    <col min="2475" max="2475" customWidth="0" width="3.109375" style="1"/>
    <col min="2476" max="2476" customWidth="0" width="3.109375" style="1"/>
    <col min="2477" max="2477" customWidth="0" width="3.109375" style="1"/>
    <col min="2478" max="2478" customWidth="0" width="3.109375" style="1"/>
    <col min="2479" max="2479" customWidth="0" width="3.109375" style="1"/>
    <col min="2480" max="2480" customWidth="0" width="3.109375" style="1"/>
    <col min="2481" max="2481" customWidth="0" width="3.109375" style="1"/>
    <col min="2482" max="2482" customWidth="0" width="3.109375" style="1"/>
    <col min="2483" max="2483" customWidth="0" width="3.109375" style="1"/>
    <col min="2484" max="2484" customWidth="0" width="3.109375" style="1"/>
    <col min="2485" max="2485" customWidth="0" width="3.109375" style="1"/>
    <col min="2486" max="2486" customWidth="0" width="3.109375" style="1"/>
    <col min="2487" max="2487" customWidth="0" width="3.109375" style="1"/>
    <col min="2488" max="2488" customWidth="0" width="3.109375" style="1"/>
    <col min="2489" max="2489" customWidth="0" width="3.109375" style="1"/>
    <col min="2490" max="2490" customWidth="0" width="3.109375" style="1"/>
    <col min="2491" max="2491" customWidth="0" width="3.109375" style="1"/>
    <col min="2492" max="2492" customWidth="0" width="3.109375" style="1"/>
    <col min="2493" max="2493" customWidth="0" width="3.109375" style="1"/>
    <col min="2494" max="2494" customWidth="0" width="3.109375" style="1"/>
    <col min="2495" max="2495" customWidth="0" width="3.109375" style="1"/>
    <col min="2496" max="2496" customWidth="0" width="3.109375" style="1"/>
    <col min="2497" max="2497" customWidth="0" width="3.109375" style="1"/>
    <col min="2498" max="2498" customWidth="0" width="3.109375" style="1"/>
    <col min="2499" max="2499" customWidth="0" width="3.109375" style="1"/>
    <col min="2500" max="2500" customWidth="0" width="3.109375" style="1"/>
    <col min="2501" max="2501" customWidth="0" width="3.109375" style="1"/>
    <col min="2502" max="2502" customWidth="0" width="3.109375" style="1"/>
    <col min="2503" max="2503" customWidth="0" width="3.109375" style="1"/>
    <col min="2504" max="2504" customWidth="0" width="3.109375" style="1"/>
    <col min="2505" max="2505" customWidth="0" width="3.109375" style="1"/>
    <col min="2506" max="2506" customWidth="0" width="3.109375" style="1"/>
    <col min="2507" max="2507" customWidth="0" width="3.109375" style="1"/>
    <col min="2508" max="2508" customWidth="0" width="3.109375" style="1"/>
    <col min="2509" max="2509" customWidth="0" width="3.109375" style="1"/>
    <col min="2510" max="2510" customWidth="0" width="3.109375" style="1"/>
    <col min="2511" max="2511" customWidth="0" width="3.109375" style="1"/>
    <col min="2512" max="2512" customWidth="0" width="3.109375" style="1"/>
    <col min="2513" max="2513" customWidth="0" width="3.109375" style="1"/>
    <col min="2514" max="2514" customWidth="0" width="3.109375" style="1"/>
    <col min="2515" max="2515" customWidth="0" width="3.109375" style="1"/>
    <col min="2516" max="2516" customWidth="0" width="3.109375" style="1"/>
    <col min="2517" max="2517" customWidth="0" width="3.109375" style="1"/>
    <col min="2518" max="2518" customWidth="0" width="3.109375" style="1"/>
    <col min="2519" max="2519" customWidth="0" width="3.109375" style="1"/>
    <col min="2520" max="2520" customWidth="0" width="3.109375" style="1"/>
    <col min="2521" max="2521" customWidth="0" width="3.109375" style="1"/>
    <col min="2522" max="2522" customWidth="0" width="3.109375" style="1"/>
    <col min="2523" max="2523" customWidth="0" width="3.109375" style="1"/>
    <col min="2524" max="2524" customWidth="0" width="3.109375" style="1"/>
    <col min="2525" max="2525" customWidth="0" width="3.109375" style="1"/>
    <col min="2526" max="2526" customWidth="0" width="3.109375" style="1"/>
    <col min="2527" max="2527" customWidth="0" width="3.109375" style="1"/>
    <col min="2528" max="2528" customWidth="0" width="3.109375" style="1"/>
    <col min="2529" max="2529" customWidth="0" width="3.109375" style="1"/>
    <col min="2530" max="2530" customWidth="0" width="3.109375" style="1"/>
    <col min="2531" max="2531" customWidth="0" width="3.109375" style="1"/>
    <col min="2532" max="2532" customWidth="0" width="3.109375" style="1"/>
    <col min="2533" max="2533" customWidth="0" width="3.109375" style="1"/>
    <col min="2534" max="2534" customWidth="0" width="3.109375" style="1"/>
    <col min="2535" max="2535" customWidth="0" width="3.109375" style="1"/>
    <col min="2536" max="2536" customWidth="0" width="3.109375" style="1"/>
    <col min="2537" max="2537" customWidth="0" width="3.109375" style="1"/>
    <col min="2538" max="2538" customWidth="0" width="3.109375" style="1"/>
    <col min="2539" max="2539" customWidth="0" width="3.109375" style="1"/>
    <col min="2540" max="2540" customWidth="0" width="3.109375" style="1"/>
    <col min="2541" max="2541" customWidth="0" width="3.109375" style="1"/>
    <col min="2542" max="2542" customWidth="0" width="3.109375" style="1"/>
    <col min="2543" max="2543" customWidth="0" width="3.109375" style="1"/>
    <col min="2544" max="2544" customWidth="0" width="3.109375" style="1"/>
    <col min="2545" max="2545" customWidth="0" width="3.109375" style="1"/>
    <col min="2546" max="2546" customWidth="0" width="3.109375" style="1"/>
    <col min="2547" max="2547" customWidth="0" width="3.109375" style="1"/>
    <col min="2548" max="2548" customWidth="0" width="3.109375" style="1"/>
    <col min="2549" max="2549" customWidth="0" width="3.109375" style="1"/>
    <col min="2550" max="2550" customWidth="0" width="3.109375" style="1"/>
    <col min="2551" max="2551" customWidth="0" width="3.109375" style="1"/>
    <col min="2552" max="2552" customWidth="0" width="3.109375" style="1"/>
    <col min="2553" max="2553" customWidth="0" width="3.109375" style="1"/>
    <col min="2554" max="2554" customWidth="0" width="3.109375" style="1"/>
    <col min="2555" max="2555" customWidth="0" width="3.109375" style="1"/>
    <col min="2556" max="2556" customWidth="0" width="3.109375" style="1"/>
    <col min="2557" max="2557" customWidth="0" width="3.109375" style="1"/>
    <col min="2558" max="2558" customWidth="0" width="3.109375" style="1"/>
    <col min="2559" max="2559" customWidth="0" width="3.109375" style="1"/>
    <col min="2560" max="2560" customWidth="0" width="3.109375" style="1"/>
    <col min="2561" max="2561" customWidth="0" width="3.109375" style="1"/>
    <col min="2562" max="2562" customWidth="0" width="3.109375" style="1"/>
    <col min="2563" max="2563" customWidth="0" width="3.109375" style="1"/>
    <col min="2564" max="2564" customWidth="0" width="3.109375" style="1"/>
    <col min="2565" max="2565" customWidth="0" width="3.109375" style="1"/>
    <col min="2566" max="2566" customWidth="0" width="3.109375" style="1"/>
    <col min="2567" max="2567" customWidth="0" width="3.109375" style="1"/>
    <col min="2568" max="2568" customWidth="0" width="3.109375" style="1"/>
    <col min="2569" max="2569" customWidth="0" width="3.109375" style="1"/>
    <col min="2570" max="2570" customWidth="0" width="3.109375" style="1"/>
    <col min="2571" max="2571" customWidth="0" width="3.109375" style="1"/>
    <col min="2572" max="2572" customWidth="0" width="3.109375" style="1"/>
    <col min="2573" max="2573" customWidth="0" width="3.109375" style="1"/>
    <col min="2574" max="2574" customWidth="0" width="3.109375" style="1"/>
    <col min="2575" max="2575" customWidth="0" width="3.109375" style="1"/>
    <col min="2576" max="2576" customWidth="0" width="3.109375" style="1"/>
    <col min="2577" max="2577" customWidth="0" width="3.109375" style="1"/>
    <col min="2578" max="2578" customWidth="0" width="3.109375" style="1"/>
    <col min="2579" max="2579" customWidth="0" width="3.109375" style="1"/>
    <col min="2580" max="2580" customWidth="0" width="3.109375" style="1"/>
    <col min="2581" max="2581" customWidth="0" width="3.109375" style="1"/>
    <col min="2582" max="2582" customWidth="0" width="3.109375" style="1"/>
    <col min="2583" max="2583" customWidth="0" width="3.109375" style="1"/>
    <col min="2584" max="2584" customWidth="0" width="3.109375" style="1"/>
    <col min="2585" max="2585" customWidth="0" width="3.109375" style="1"/>
    <col min="2586" max="2586" customWidth="0" width="3.109375" style="1"/>
    <col min="2587" max="2587" customWidth="0" width="3.109375" style="1"/>
    <col min="2588" max="2588" customWidth="0" width="3.109375" style="1"/>
    <col min="2589" max="2589" customWidth="0" width="3.109375" style="1"/>
    <col min="2590" max="2590" customWidth="0" width="3.109375" style="1"/>
    <col min="2591" max="2591" customWidth="0" width="3.109375" style="1"/>
    <col min="2592" max="2592" customWidth="0" width="3.109375" style="1"/>
    <col min="2593" max="2593" customWidth="0" width="3.109375" style="1"/>
    <col min="2594" max="2594" customWidth="0" width="3.109375" style="1"/>
    <col min="2595" max="2595" customWidth="0" width="3.109375" style="1"/>
    <col min="2596" max="2596" customWidth="0" width="3.109375" style="1"/>
    <col min="2597" max="2597" customWidth="0" width="3.109375" style="1"/>
    <col min="2598" max="2598" customWidth="0" width="3.109375" style="1"/>
    <col min="2599" max="2599" customWidth="0" width="3.109375" style="1"/>
    <col min="2600" max="2600" customWidth="0" width="3.109375" style="1"/>
    <col min="2601" max="2601" customWidth="0" width="3.109375" style="1"/>
    <col min="2602" max="2602" customWidth="0" width="3.109375" style="1"/>
    <col min="2603" max="2603" customWidth="0" width="3.109375" style="1"/>
    <col min="2604" max="2604" customWidth="0" width="3.109375" style="1"/>
    <col min="2605" max="2605" customWidth="0" width="3.109375" style="1"/>
    <col min="2606" max="2606" customWidth="0" width="3.109375" style="1"/>
    <col min="2607" max="2607" customWidth="0" width="3.109375" style="1"/>
    <col min="2608" max="2608" customWidth="0" width="3.109375" style="1"/>
    <col min="2609" max="2609" customWidth="0" width="3.109375" style="1"/>
    <col min="2610" max="2610" customWidth="0" width="3.109375" style="1"/>
    <col min="2611" max="2611" customWidth="0" width="3.109375" style="1"/>
    <col min="2612" max="2612" customWidth="0" width="3.109375" style="1"/>
    <col min="2613" max="2613" customWidth="0" width="3.109375" style="1"/>
    <col min="2614" max="2614" customWidth="0" width="3.109375" style="1"/>
    <col min="2615" max="2615" customWidth="0" width="3.109375" style="1"/>
    <col min="2616" max="2616" customWidth="0" width="3.109375" style="1"/>
    <col min="2617" max="2617" customWidth="0" width="3.109375" style="1"/>
    <col min="2618" max="2618" customWidth="0" width="3.109375" style="1"/>
    <col min="2619" max="2619" customWidth="0" width="3.109375" style="1"/>
    <col min="2620" max="2620" customWidth="0" width="3.109375" style="1"/>
    <col min="2621" max="2621" customWidth="0" width="3.109375" style="1"/>
    <col min="2622" max="2622" customWidth="0" width="3.109375" style="1"/>
    <col min="2623" max="2623" customWidth="0" width="3.109375" style="1"/>
    <col min="2624" max="2624" customWidth="0" width="3.109375" style="1"/>
    <col min="2625" max="2625" customWidth="0" width="3.109375" style="1"/>
    <col min="2626" max="2626" customWidth="0" width="3.109375" style="1"/>
    <col min="2627" max="2627" customWidth="0" width="3.109375" style="1"/>
    <col min="2628" max="2628" customWidth="0" width="3.109375" style="1"/>
    <col min="2629" max="2629" customWidth="0" width="3.109375" style="1"/>
    <col min="2630" max="2630" customWidth="0" width="3.109375" style="1"/>
    <col min="2631" max="2631" customWidth="0" width="3.109375" style="1"/>
    <col min="2632" max="2632" customWidth="0" width="3.109375" style="1"/>
    <col min="2633" max="2633" customWidth="0" width="3.109375" style="1"/>
    <col min="2634" max="2634" customWidth="0" width="3.109375" style="1"/>
    <col min="2635" max="2635" customWidth="0" width="3.109375" style="1"/>
    <col min="2636" max="2636" customWidth="0" width="3.109375" style="1"/>
    <col min="2637" max="2637" customWidth="0" width="3.109375" style="1"/>
    <col min="2638" max="2638" customWidth="0" width="3.109375" style="1"/>
    <col min="2639" max="2639" customWidth="0" width="3.109375" style="1"/>
    <col min="2640" max="2640" customWidth="0" width="3.109375" style="1"/>
    <col min="2641" max="2641" customWidth="0" width="3.109375" style="1"/>
    <col min="2642" max="2642" customWidth="0" width="3.109375" style="1"/>
    <col min="2643" max="2643" customWidth="0" width="3.109375" style="1"/>
    <col min="2644" max="2644" customWidth="0" width="3.109375" style="1"/>
    <col min="2645" max="2645" customWidth="0" width="3.109375" style="1"/>
    <col min="2646" max="2646" customWidth="0" width="3.109375" style="1"/>
    <col min="2647" max="2647" customWidth="0" width="3.109375" style="1"/>
    <col min="2648" max="2648" customWidth="0" width="3.109375" style="1"/>
    <col min="2649" max="2649" customWidth="0" width="3.109375" style="1"/>
    <col min="2650" max="2650" customWidth="0" width="3.109375" style="1"/>
    <col min="2651" max="2651" customWidth="0" width="3.109375" style="1"/>
    <col min="2652" max="2652" customWidth="0" width="3.109375" style="1"/>
    <col min="2653" max="2653" customWidth="0" width="3.109375" style="1"/>
    <col min="2654" max="2654" customWidth="0" width="3.109375" style="1"/>
    <col min="2655" max="2655" customWidth="0" width="3.109375" style="1"/>
    <col min="2656" max="2656" customWidth="0" width="3.109375" style="1"/>
    <col min="2657" max="2657" customWidth="0" width="3.109375" style="1"/>
    <col min="2658" max="2658" customWidth="0" width="3.109375" style="1"/>
    <col min="2659" max="2659" customWidth="0" width="3.109375" style="1"/>
    <col min="2660" max="2660" customWidth="0" width="3.109375" style="1"/>
    <col min="2661" max="2661" customWidth="0" width="3.109375" style="1"/>
    <col min="2662" max="2662" customWidth="0" width="3.109375" style="1"/>
    <col min="2663" max="2663" customWidth="0" width="3.109375" style="1"/>
    <col min="2664" max="2664" customWidth="0" width="3.109375" style="1"/>
    <col min="2665" max="2665" customWidth="0" width="3.109375" style="1"/>
    <col min="2666" max="2666" customWidth="0" width="3.109375" style="1"/>
    <col min="2667" max="2667" customWidth="0" width="3.109375" style="1"/>
    <col min="2668" max="2668" customWidth="0" width="3.109375" style="1"/>
    <col min="2669" max="2669" customWidth="0" width="3.109375" style="1"/>
    <col min="2670" max="2670" customWidth="0" width="3.109375" style="1"/>
    <col min="2671" max="2671" customWidth="0" width="3.109375" style="1"/>
    <col min="2672" max="2672" customWidth="0" width="3.109375" style="1"/>
    <col min="2673" max="2673" customWidth="0" width="3.109375" style="1"/>
    <col min="2674" max="2674" customWidth="0" width="3.109375" style="1"/>
    <col min="2675" max="2675" customWidth="0" width="3.109375" style="1"/>
    <col min="2676" max="2676" customWidth="0" width="3.109375" style="1"/>
    <col min="2677" max="2677" customWidth="0" width="3.109375" style="1"/>
    <col min="2678" max="2678" customWidth="0" width="3.109375" style="1"/>
    <col min="2679" max="2679" customWidth="0" width="3.109375" style="1"/>
    <col min="2680" max="2680" customWidth="0" width="3.109375" style="1"/>
    <col min="2681" max="2681" customWidth="0" width="3.109375" style="1"/>
    <col min="2682" max="2682" customWidth="0" width="3.109375" style="1"/>
    <col min="2683" max="2683" customWidth="0" width="3.109375" style="1"/>
    <col min="2684" max="2684" customWidth="0" width="3.109375" style="1"/>
    <col min="2685" max="2685" customWidth="0" width="3.109375" style="1"/>
    <col min="2686" max="2686" customWidth="0" width="3.109375" style="1"/>
    <col min="2687" max="2687" customWidth="0" width="3.109375" style="1"/>
    <col min="2688" max="2688" customWidth="0" width="3.109375" style="1"/>
    <col min="2689" max="2689" customWidth="0" width="3.109375" style="1"/>
    <col min="2690" max="2690" customWidth="0" width="3.109375" style="1"/>
    <col min="2691" max="2691" customWidth="0" width="3.109375" style="1"/>
    <col min="2692" max="2692" customWidth="0" width="3.109375" style="1"/>
    <col min="2693" max="2693" customWidth="0" width="3.109375" style="1"/>
    <col min="2694" max="2694" customWidth="0" width="3.109375" style="1"/>
    <col min="2695" max="2695" customWidth="0" width="3.109375" style="1"/>
    <col min="2696" max="2696" customWidth="0" width="3.109375" style="1"/>
    <col min="2697" max="2697" customWidth="0" width="3.109375" style="1"/>
    <col min="2698" max="2698" customWidth="0" width="3.109375" style="1"/>
    <col min="2699" max="2699" customWidth="0" width="3.109375" style="1"/>
    <col min="2700" max="2700" customWidth="0" width="3.109375" style="1"/>
    <col min="2701" max="2701" customWidth="0" width="3.109375" style="1"/>
    <col min="2702" max="2702" customWidth="0" width="3.109375" style="1"/>
    <col min="2703" max="2703" customWidth="0" width="3.109375" style="1"/>
    <col min="2704" max="2704" customWidth="0" width="3.109375" style="1"/>
    <col min="2705" max="2705" customWidth="0" width="3.109375" style="1"/>
    <col min="2706" max="2706" customWidth="0" width="3.109375" style="1"/>
    <col min="2707" max="2707" customWidth="0" width="3.109375" style="1"/>
    <col min="2708" max="2708" customWidth="0" width="3.109375" style="1"/>
    <col min="2709" max="2709" customWidth="0" width="3.109375" style="1"/>
    <col min="2710" max="2710" customWidth="0" width="3.109375" style="1"/>
    <col min="2711" max="2711" customWidth="0" width="3.109375" style="1"/>
    <col min="2712" max="2712" customWidth="0" width="3.109375" style="1"/>
    <col min="2713" max="2713" customWidth="0" width="3.109375" style="1"/>
    <col min="2714" max="2714" customWidth="0" width="3.109375" style="1"/>
    <col min="2715" max="2715" customWidth="0" width="3.109375" style="1"/>
    <col min="2716" max="2716" customWidth="0" width="3.109375" style="1"/>
    <col min="2717" max="2717" customWidth="0" width="3.109375" style="1"/>
    <col min="2718" max="2718" customWidth="0" width="3.109375" style="1"/>
    <col min="2719" max="2719" customWidth="0" width="3.109375" style="1"/>
    <col min="2720" max="2720" customWidth="0" width="3.109375" style="1"/>
    <col min="2721" max="2721" customWidth="0" width="3.109375" style="1"/>
    <col min="2722" max="2722" customWidth="0" width="3.109375" style="1"/>
    <col min="2723" max="2723" customWidth="0" width="3.109375" style="1"/>
    <col min="2724" max="2724" customWidth="0" width="3.109375" style="1"/>
    <col min="2725" max="2725" customWidth="0" width="3.109375" style="1"/>
    <col min="2726" max="2726" customWidth="0" width="3.109375" style="1"/>
    <col min="2727" max="2727" customWidth="0" width="3.109375" style="1"/>
    <col min="2728" max="2728" customWidth="0" width="3.109375" style="1"/>
    <col min="2729" max="2729" customWidth="0" width="3.109375" style="1"/>
    <col min="2730" max="2730" customWidth="0" width="3.109375" style="1"/>
    <col min="2731" max="2731" customWidth="0" width="3.109375" style="1"/>
    <col min="2732" max="2732" customWidth="0" width="3.109375" style="1"/>
    <col min="2733" max="2733" customWidth="0" width="3.109375" style="1"/>
    <col min="2734" max="2734" customWidth="0" width="3.109375" style="1"/>
    <col min="2735" max="2735" customWidth="0" width="3.109375" style="1"/>
    <col min="2736" max="2736" customWidth="0" width="3.109375" style="1"/>
    <col min="2737" max="2737" customWidth="0" width="3.109375" style="1"/>
    <col min="2738" max="2738" customWidth="0" width="3.109375" style="1"/>
    <col min="2739" max="2739" customWidth="0" width="3.109375" style="1"/>
    <col min="2740" max="2740" customWidth="0" width="3.109375" style="1"/>
    <col min="2741" max="2741" customWidth="0" width="3.109375" style="1"/>
    <col min="2742" max="2742" customWidth="0" width="3.109375" style="1"/>
    <col min="2743" max="2743" customWidth="0" width="3.109375" style="1"/>
    <col min="2744" max="2744" customWidth="0" width="3.109375" style="1"/>
    <col min="2745" max="2745" customWidth="0" width="3.109375" style="1"/>
    <col min="2746" max="2746" customWidth="0" width="3.109375" style="1"/>
    <col min="2747" max="2747" customWidth="0" width="3.109375" style="1"/>
    <col min="2748" max="2748" customWidth="0" width="3.109375" style="1"/>
    <col min="2749" max="2749" customWidth="0" width="3.109375" style="1"/>
    <col min="2750" max="2750" customWidth="0" width="3.109375" style="1"/>
    <col min="2751" max="2751" customWidth="0" width="3.109375" style="1"/>
    <col min="2752" max="2752" customWidth="0" width="3.109375" style="1"/>
    <col min="2753" max="2753" customWidth="0" width="3.109375" style="1"/>
    <col min="2754" max="2754" customWidth="0" width="3.109375" style="1"/>
    <col min="2755" max="2755" customWidth="0" width="3.109375" style="1"/>
    <col min="2756" max="2756" customWidth="0" width="3.109375" style="1"/>
    <col min="2757" max="2757" customWidth="0" width="3.109375" style="1"/>
    <col min="2758" max="2758" customWidth="0" width="3.109375" style="1"/>
    <col min="2759" max="2759" customWidth="0" width="3.109375" style="1"/>
    <col min="2760" max="2760" customWidth="0" width="3.109375" style="1"/>
    <col min="2761" max="2761" customWidth="0" width="3.109375" style="1"/>
    <col min="2762" max="2762" customWidth="0" width="3.109375" style="1"/>
    <col min="2763" max="2763" customWidth="0" width="3.109375" style="1"/>
    <col min="2764" max="2764" customWidth="0" width="3.109375" style="1"/>
    <col min="2765" max="2765" customWidth="0" width="3.109375" style="1"/>
    <col min="2766" max="2766" customWidth="0" width="3.109375" style="1"/>
    <col min="2767" max="2767" customWidth="0" width="3.109375" style="1"/>
    <col min="2768" max="2768" customWidth="0" width="3.109375" style="1"/>
    <col min="2769" max="2769" customWidth="0" width="3.109375" style="1"/>
    <col min="2770" max="2770" customWidth="0" width="3.109375" style="1"/>
    <col min="2771" max="2771" customWidth="0" width="3.109375" style="1"/>
    <col min="2772" max="2772" customWidth="0" width="3.109375" style="1"/>
    <col min="2773" max="2773" customWidth="0" width="3.109375" style="1"/>
    <col min="2774" max="2774" customWidth="0" width="3.109375" style="1"/>
    <col min="2775" max="2775" customWidth="0" width="3.109375" style="1"/>
    <col min="2776" max="2776" customWidth="0" width="3.109375" style="1"/>
    <col min="2777" max="2777" customWidth="0" width="3.109375" style="1"/>
    <col min="2778" max="2778" customWidth="0" width="3.109375" style="1"/>
    <col min="2779" max="2779" customWidth="0" width="3.109375" style="1"/>
    <col min="2780" max="2780" customWidth="0" width="3.109375" style="1"/>
    <col min="2781" max="2781" customWidth="0" width="3.109375" style="1"/>
    <col min="2782" max="2782" customWidth="0" width="3.109375" style="1"/>
    <col min="2783" max="2783" customWidth="0" width="3.109375" style="1"/>
    <col min="2784" max="2784" customWidth="0" width="3.109375" style="1"/>
    <col min="2785" max="2785" customWidth="0" width="3.109375" style="1"/>
    <col min="2786" max="2786" customWidth="0" width="3.109375" style="1"/>
    <col min="2787" max="2787" customWidth="0" width="3.109375" style="1"/>
    <col min="2788" max="2788" customWidth="0" width="3.109375" style="1"/>
    <col min="2789" max="2789" customWidth="0" width="3.109375" style="1"/>
    <col min="2790" max="2790" customWidth="0" width="3.109375" style="1"/>
    <col min="2791" max="2791" customWidth="0" width="3.109375" style="1"/>
    <col min="2792" max="2792" customWidth="0" width="3.109375" style="1"/>
    <col min="2793" max="2793" customWidth="0" width="3.109375" style="1"/>
    <col min="2794" max="2794" customWidth="0" width="3.109375" style="1"/>
    <col min="2795" max="2795" customWidth="0" width="3.109375" style="1"/>
    <col min="2796" max="2796" customWidth="0" width="3.109375" style="1"/>
    <col min="2797" max="2797" customWidth="0" width="3.109375" style="1"/>
    <col min="2798" max="2798" customWidth="0" width="3.109375" style="1"/>
    <col min="2799" max="2799" customWidth="0" width="3.109375" style="1"/>
    <col min="2800" max="2800" customWidth="0" width="3.109375" style="1"/>
    <col min="2801" max="2801" customWidth="0" width="3.109375" style="1"/>
    <col min="2802" max="2802" customWidth="0" width="3.109375" style="1"/>
    <col min="2803" max="2803" customWidth="0" width="3.109375" style="1"/>
    <col min="2804" max="2804" customWidth="0" width="3.109375" style="1"/>
    <col min="2805" max="2805" customWidth="0" width="3.109375" style="1"/>
    <col min="2806" max="2806" customWidth="0" width="3.109375" style="1"/>
    <col min="2807" max="2807" customWidth="0" width="3.109375" style="1"/>
    <col min="2808" max="2808" customWidth="0" width="3.109375" style="1"/>
    <col min="2809" max="2809" customWidth="0" width="3.109375" style="1"/>
    <col min="2810" max="2810" customWidth="0" width="3.109375" style="1"/>
    <col min="2811" max="2811" customWidth="0" width="3.109375" style="1"/>
    <col min="2812" max="2812" customWidth="0" width="3.109375" style="1"/>
    <col min="2813" max="2813" customWidth="0" width="3.109375" style="1"/>
    <col min="2814" max="2814" customWidth="0" width="3.109375" style="1"/>
    <col min="2815" max="2815" customWidth="0" width="3.109375" style="1"/>
    <col min="2816" max="2816" customWidth="0" width="3.109375" style="1"/>
    <col min="2817" max="2817" customWidth="0" width="3.109375" style="1"/>
    <col min="2818" max="2818" customWidth="0" width="3.109375" style="1"/>
    <col min="2819" max="2819" customWidth="0" width="3.109375" style="1"/>
    <col min="2820" max="2820" customWidth="0" width="3.109375" style="1"/>
    <col min="2821" max="2821" customWidth="0" width="3.109375" style="1"/>
    <col min="2822" max="2822" customWidth="0" width="3.109375" style="1"/>
    <col min="2823" max="2823" customWidth="0" width="3.109375" style="1"/>
    <col min="2824" max="2824" customWidth="0" width="3.109375" style="1"/>
    <col min="2825" max="2825" customWidth="0" width="3.109375" style="1"/>
    <col min="2826" max="2826" customWidth="0" width="3.109375" style="1"/>
    <col min="2827" max="2827" customWidth="0" width="3.109375" style="1"/>
    <col min="2828" max="2828" customWidth="0" width="3.109375" style="1"/>
    <col min="2829" max="2829" customWidth="0" width="3.109375" style="1"/>
    <col min="2830" max="2830" customWidth="0" width="3.109375" style="1"/>
    <col min="2831" max="2831" customWidth="0" width="3.109375" style="1"/>
    <col min="2832" max="2832" customWidth="0" width="3.109375" style="1"/>
    <col min="2833" max="2833" customWidth="0" width="3.109375" style="1"/>
    <col min="2834" max="2834" customWidth="0" width="3.109375" style="1"/>
    <col min="2835" max="2835" customWidth="0" width="3.109375" style="1"/>
    <col min="2836" max="2836" customWidth="0" width="3.109375" style="1"/>
    <col min="2837" max="2837" customWidth="0" width="3.109375" style="1"/>
    <col min="2838" max="2838" customWidth="0" width="3.109375" style="1"/>
    <col min="2839" max="2839" customWidth="0" width="3.109375" style="1"/>
    <col min="2840" max="2840" customWidth="0" width="3.109375" style="1"/>
    <col min="2841" max="2841" customWidth="0" width="3.109375" style="1"/>
    <col min="2842" max="2842" customWidth="0" width="3.109375" style="1"/>
    <col min="2843" max="2843" customWidth="0" width="3.109375" style="1"/>
    <col min="2844" max="2844" customWidth="0" width="3.109375" style="1"/>
    <col min="2845" max="2845" customWidth="0" width="3.109375" style="1"/>
    <col min="2846" max="2846" customWidth="0" width="3.109375" style="1"/>
    <col min="2847" max="2847" customWidth="0" width="3.109375" style="1"/>
    <col min="2848" max="2848" customWidth="0" width="3.109375" style="1"/>
    <col min="2849" max="2849" customWidth="0" width="3.109375" style="1"/>
    <col min="2850" max="2850" customWidth="0" width="3.109375" style="1"/>
    <col min="2851" max="2851" customWidth="0" width="3.109375" style="1"/>
    <col min="2852" max="2852" customWidth="0" width="3.109375" style="1"/>
    <col min="2853" max="2853" customWidth="0" width="3.109375" style="1"/>
    <col min="2854" max="2854" customWidth="0" width="3.109375" style="1"/>
    <col min="2855" max="2855" customWidth="0" width="3.109375" style="1"/>
    <col min="2856" max="2856" customWidth="0" width="3.109375" style="1"/>
    <col min="2857" max="2857" customWidth="0" width="3.109375" style="1"/>
    <col min="2858" max="2858" customWidth="0" width="3.109375" style="1"/>
    <col min="2859" max="2859" customWidth="0" width="3.109375" style="1"/>
    <col min="2860" max="2860" customWidth="0" width="3.109375" style="1"/>
    <col min="2861" max="2861" customWidth="0" width="3.109375" style="1"/>
    <col min="2862" max="2862" customWidth="0" width="3.109375" style="1"/>
    <col min="2863" max="2863" customWidth="0" width="3.109375" style="1"/>
    <col min="2864" max="2864" customWidth="0" width="3.109375" style="1"/>
    <col min="2865" max="2865" customWidth="0" width="3.109375" style="1"/>
    <col min="2866" max="2866" customWidth="0" width="3.109375" style="1"/>
    <col min="2867" max="2867" customWidth="0" width="3.109375" style="1"/>
    <col min="2868" max="2868" customWidth="0" width="3.109375" style="1"/>
    <col min="2869" max="2869" customWidth="0" width="3.109375" style="1"/>
    <col min="2870" max="2870" customWidth="0" width="3.109375" style="1"/>
    <col min="2871" max="2871" customWidth="0" width="3.109375" style="1"/>
    <col min="2872" max="2872" customWidth="0" width="3.109375" style="1"/>
    <col min="2873" max="2873" customWidth="0" width="3.109375" style="1"/>
    <col min="2874" max="2874" customWidth="0" width="3.109375" style="1"/>
    <col min="2875" max="2875" customWidth="0" width="3.109375" style="1"/>
    <col min="2876" max="2876" customWidth="0" width="3.109375" style="1"/>
    <col min="2877" max="2877" customWidth="0" width="3.109375" style="1"/>
    <col min="2878" max="2878" customWidth="0" width="3.109375" style="1"/>
    <col min="2879" max="2879" customWidth="0" width="3.109375" style="1"/>
    <col min="2880" max="2880" customWidth="0" width="3.109375" style="1"/>
    <col min="2881" max="2881" customWidth="0" width="3.109375" style="1"/>
    <col min="2882" max="2882" customWidth="0" width="3.109375" style="1"/>
    <col min="2883" max="2883" customWidth="0" width="3.109375" style="1"/>
    <col min="2884" max="2884" customWidth="0" width="3.109375" style="1"/>
    <col min="2885" max="2885" customWidth="0" width="3.109375" style="1"/>
    <col min="2886" max="2886" customWidth="0" width="3.109375" style="1"/>
    <col min="2887" max="2887" customWidth="0" width="3.109375" style="1"/>
    <col min="2888" max="2888" customWidth="0" width="3.109375" style="1"/>
    <col min="2889" max="2889" customWidth="0" width="3.109375" style="1"/>
    <col min="2890" max="2890" customWidth="0" width="3.109375" style="1"/>
    <col min="2891" max="2891" customWidth="0" width="3.109375" style="1"/>
    <col min="2892" max="2892" customWidth="0" width="3.109375" style="1"/>
    <col min="2893" max="2893" customWidth="0" width="3.109375" style="1"/>
    <col min="2894" max="2894" customWidth="0" width="3.109375" style="1"/>
    <col min="2895" max="2895" customWidth="0" width="3.109375" style="1"/>
    <col min="2896" max="2896" customWidth="0" width="3.109375" style="1"/>
    <col min="2897" max="2897" customWidth="0" width="3.109375" style="1"/>
    <col min="2898" max="2898" customWidth="0" width="3.109375" style="1"/>
    <col min="2899" max="2899" customWidth="0" width="3.109375" style="1"/>
    <col min="2900" max="2900" customWidth="0" width="3.109375" style="1"/>
    <col min="2901" max="2901" customWidth="0" width="3.109375" style="1"/>
    <col min="2902" max="2902" customWidth="0" width="3.109375" style="1"/>
    <col min="2903" max="2903" customWidth="0" width="3.109375" style="1"/>
    <col min="2904" max="2904" customWidth="0" width="3.109375" style="1"/>
    <col min="2905" max="2905" customWidth="0" width="3.109375" style="1"/>
    <col min="2906" max="2906" customWidth="0" width="3.109375" style="1"/>
    <col min="2907" max="2907" customWidth="0" width="3.109375" style="1"/>
    <col min="2908" max="2908" customWidth="0" width="3.109375" style="1"/>
    <col min="2909" max="2909" customWidth="0" width="3.109375" style="1"/>
    <col min="2910" max="2910" customWidth="0" width="3.109375" style="1"/>
    <col min="2911" max="2911" customWidth="0" width="3.109375" style="1"/>
    <col min="2912" max="2912" customWidth="0" width="3.109375" style="1"/>
    <col min="2913" max="2913" customWidth="0" width="3.109375" style="1"/>
    <col min="2914" max="2914" customWidth="0" width="3.109375" style="1"/>
    <col min="2915" max="2915" customWidth="0" width="3.109375" style="1"/>
    <col min="2916" max="2916" customWidth="0" width="3.109375" style="1"/>
    <col min="2917" max="2917" customWidth="0" width="3.109375" style="1"/>
    <col min="2918" max="2918" customWidth="0" width="3.109375" style="1"/>
    <col min="2919" max="2919" customWidth="0" width="3.109375" style="1"/>
    <col min="2920" max="2920" customWidth="0" width="3.109375" style="1"/>
    <col min="2921" max="2921" customWidth="0" width="3.109375" style="1"/>
    <col min="2922" max="2922" customWidth="0" width="3.109375" style="1"/>
    <col min="2923" max="2923" customWidth="0" width="3.109375" style="1"/>
    <col min="2924" max="2924" customWidth="0" width="3.109375" style="1"/>
    <col min="2925" max="2925" customWidth="0" width="3.109375" style="1"/>
    <col min="2926" max="2926" customWidth="0" width="3.109375" style="1"/>
    <col min="2927" max="2927" customWidth="0" width="3.109375" style="1"/>
    <col min="2928" max="2928" customWidth="0" width="3.109375" style="1"/>
    <col min="2929" max="2929" customWidth="0" width="3.109375" style="1"/>
    <col min="2930" max="2930" customWidth="0" width="3.109375" style="1"/>
    <col min="2931" max="2931" customWidth="0" width="3.109375" style="1"/>
    <col min="2932" max="2932" customWidth="0" width="3.109375" style="1"/>
    <col min="2933" max="2933" customWidth="0" width="3.109375" style="1"/>
    <col min="2934" max="2934" customWidth="0" width="3.109375" style="1"/>
    <col min="2935" max="2935" customWidth="0" width="3.109375" style="1"/>
    <col min="2936" max="2936" customWidth="0" width="3.109375" style="1"/>
    <col min="2937" max="2937" customWidth="0" width="3.109375" style="1"/>
    <col min="2938" max="2938" customWidth="0" width="3.109375" style="1"/>
    <col min="2939" max="2939" customWidth="0" width="3.109375" style="1"/>
    <col min="2940" max="2940" customWidth="0" width="3.109375" style="1"/>
    <col min="2941" max="2941" customWidth="0" width="3.109375" style="1"/>
    <col min="2942" max="2942" customWidth="0" width="3.109375" style="1"/>
    <col min="2943" max="2943" customWidth="0" width="3.109375" style="1"/>
    <col min="2944" max="2944" customWidth="0" width="3.109375" style="1"/>
    <col min="2945" max="2945" customWidth="0" width="3.109375" style="1"/>
    <col min="2946" max="2946" customWidth="0" width="3.109375" style="1"/>
    <col min="2947" max="2947" customWidth="0" width="3.109375" style="1"/>
    <col min="2948" max="2948" customWidth="0" width="3.109375" style="1"/>
    <col min="2949" max="2949" customWidth="0" width="3.109375" style="1"/>
    <col min="2950" max="2950" customWidth="0" width="3.109375" style="1"/>
    <col min="2951" max="2951" customWidth="0" width="3.109375" style="1"/>
    <col min="2952" max="2952" customWidth="0" width="3.109375" style="1"/>
    <col min="2953" max="2953" customWidth="0" width="3.109375" style="1"/>
    <col min="2954" max="2954" customWidth="0" width="3.109375" style="1"/>
    <col min="2955" max="2955" customWidth="0" width="3.109375" style="1"/>
    <col min="2956" max="2956" customWidth="0" width="3.109375" style="1"/>
    <col min="2957" max="2957" customWidth="0" width="3.109375" style="1"/>
    <col min="2958" max="2958" customWidth="0" width="3.109375" style="1"/>
    <col min="2959" max="2959" customWidth="0" width="3.109375" style="1"/>
    <col min="2960" max="2960" customWidth="0" width="3.109375" style="1"/>
    <col min="2961" max="2961" customWidth="0" width="3.109375" style="1"/>
    <col min="2962" max="2962" customWidth="0" width="3.109375" style="1"/>
    <col min="2963" max="2963" customWidth="0" width="3.109375" style="1"/>
    <col min="2964" max="2964" customWidth="0" width="3.109375" style="1"/>
    <col min="2965" max="2965" customWidth="0" width="3.109375" style="1"/>
    <col min="2966" max="2966" customWidth="0" width="3.109375" style="1"/>
    <col min="2967" max="2967" customWidth="0" width="3.109375" style="1"/>
    <col min="2968" max="2968" customWidth="0" width="3.109375" style="1"/>
    <col min="2969" max="2969" customWidth="0" width="3.109375" style="1"/>
    <col min="2970" max="2970" customWidth="0" width="3.109375" style="1"/>
    <col min="2971" max="2971" customWidth="0" width="3.109375" style="1"/>
    <col min="2972" max="2972" customWidth="0" width="3.109375" style="1"/>
    <col min="2973" max="2973" customWidth="0" width="3.109375" style="1"/>
    <col min="2974" max="2974" customWidth="0" width="3.109375" style="1"/>
    <col min="2975" max="2975" customWidth="0" width="3.109375" style="1"/>
    <col min="2976" max="2976" customWidth="0" width="3.109375" style="1"/>
    <col min="2977" max="2977" customWidth="0" width="3.109375" style="1"/>
    <col min="2978" max="2978" customWidth="0" width="3.109375" style="1"/>
    <col min="2979" max="2979" customWidth="0" width="3.109375" style="1"/>
    <col min="2980" max="2980" customWidth="0" width="3.109375" style="1"/>
    <col min="2981" max="2981" customWidth="0" width="3.109375" style="1"/>
    <col min="2982" max="2982" customWidth="0" width="3.109375" style="1"/>
    <col min="2983" max="2983" customWidth="0" width="3.109375" style="1"/>
    <col min="2984" max="2984" customWidth="0" width="3.109375" style="1"/>
    <col min="2985" max="2985" customWidth="0" width="3.109375" style="1"/>
    <col min="2986" max="2986" customWidth="0" width="3.109375" style="1"/>
    <col min="2987" max="2987" customWidth="0" width="3.109375" style="1"/>
    <col min="2988" max="2988" customWidth="0" width="3.109375" style="1"/>
    <col min="2989" max="2989" customWidth="0" width="3.109375" style="1"/>
    <col min="2990" max="2990" customWidth="0" width="3.109375" style="1"/>
    <col min="2991" max="2991" customWidth="0" width="3.109375" style="1"/>
    <col min="2992" max="2992" customWidth="0" width="3.109375" style="1"/>
    <col min="2993" max="2993" customWidth="0" width="3.109375" style="1"/>
    <col min="2994" max="2994" customWidth="0" width="3.109375" style="1"/>
    <col min="2995" max="2995" customWidth="0" width="3.109375" style="1"/>
    <col min="2996" max="2996" customWidth="0" width="3.109375" style="1"/>
    <col min="2997" max="2997" customWidth="0" width="3.109375" style="1"/>
    <col min="2998" max="2998" customWidth="0" width="3.109375" style="1"/>
    <col min="2999" max="2999" customWidth="0" width="3.109375" style="1"/>
    <col min="3000" max="3000" customWidth="0" width="3.109375" style="1"/>
    <col min="3001" max="3001" customWidth="0" width="3.109375" style="1"/>
    <col min="3002" max="3002" customWidth="0" width="3.109375" style="1"/>
    <col min="3003" max="3003" customWidth="0" width="3.109375" style="1"/>
    <col min="3004" max="3004" customWidth="0" width="3.109375" style="1"/>
    <col min="3005" max="3005" customWidth="0" width="3.109375" style="1"/>
    <col min="3006" max="3006" customWidth="0" width="3.109375" style="1"/>
    <col min="3007" max="3007" customWidth="0" width="3.109375" style="1"/>
    <col min="3008" max="3008" customWidth="0" width="3.109375" style="1"/>
    <col min="3009" max="3009" customWidth="0" width="3.109375" style="1"/>
    <col min="3010" max="3010" customWidth="0" width="3.109375" style="1"/>
    <col min="3011" max="3011" customWidth="0" width="3.109375" style="1"/>
    <col min="3012" max="3012" customWidth="0" width="3.109375" style="1"/>
    <col min="3013" max="3013" customWidth="0" width="3.109375" style="1"/>
    <col min="3014" max="3014" customWidth="0" width="3.109375" style="1"/>
    <col min="3015" max="3015" customWidth="0" width="3.109375" style="1"/>
    <col min="3016" max="3016" customWidth="0" width="3.109375" style="1"/>
    <col min="3017" max="3017" customWidth="0" width="3.109375" style="1"/>
    <col min="3018" max="3018" customWidth="0" width="3.109375" style="1"/>
    <col min="3019" max="3019" customWidth="0" width="3.109375" style="1"/>
    <col min="3020" max="3020" customWidth="0" width="3.109375" style="1"/>
    <col min="3021" max="3021" customWidth="0" width="3.109375" style="1"/>
    <col min="3022" max="3022" customWidth="0" width="3.109375" style="1"/>
    <col min="3023" max="3023" customWidth="0" width="3.109375" style="1"/>
    <col min="3024" max="3024" customWidth="0" width="3.109375" style="1"/>
    <col min="3025" max="3025" customWidth="0" width="3.109375" style="1"/>
    <col min="3026" max="3026" customWidth="0" width="3.109375" style="1"/>
    <col min="3027" max="3027" customWidth="0" width="3.109375" style="1"/>
    <col min="3028" max="3028" customWidth="0" width="3.109375" style="1"/>
    <col min="3029" max="3029" customWidth="0" width="3.109375" style="1"/>
    <col min="3030" max="3030" customWidth="0" width="3.109375" style="1"/>
    <col min="3031" max="3031" customWidth="0" width="3.109375" style="1"/>
    <col min="3032" max="3032" customWidth="0" width="3.109375" style="1"/>
    <col min="3033" max="3033" customWidth="0" width="3.109375" style="1"/>
    <col min="3034" max="3034" customWidth="0" width="3.109375" style="1"/>
    <col min="3035" max="3035" customWidth="0" width="3.109375" style="1"/>
    <col min="3036" max="3036" customWidth="0" width="3.109375" style="1"/>
    <col min="3037" max="3037" customWidth="0" width="3.109375" style="1"/>
    <col min="3038" max="3038" customWidth="0" width="3.109375" style="1"/>
    <col min="3039" max="3039" customWidth="0" width="3.109375" style="1"/>
    <col min="3040" max="3040" customWidth="0" width="3.109375" style="1"/>
    <col min="3041" max="3041" customWidth="0" width="3.109375" style="1"/>
    <col min="3042" max="3042" customWidth="0" width="3.109375" style="1"/>
    <col min="3043" max="3043" customWidth="0" width="3.109375" style="1"/>
    <col min="3044" max="3044" customWidth="0" width="3.109375" style="1"/>
    <col min="3045" max="3045" customWidth="0" width="3.109375" style="1"/>
    <col min="3046" max="3046" customWidth="0" width="3.109375" style="1"/>
    <col min="3047" max="3047" customWidth="0" width="3.109375" style="1"/>
    <col min="3048" max="3048" customWidth="0" width="3.109375" style="1"/>
    <col min="3049" max="3049" customWidth="0" width="3.109375" style="1"/>
    <col min="3050" max="3050" customWidth="0" width="3.109375" style="1"/>
    <col min="3051" max="3051" customWidth="0" width="3.109375" style="1"/>
    <col min="3052" max="3052" customWidth="0" width="3.109375" style="1"/>
    <col min="3053" max="3053" customWidth="0" width="3.109375" style="1"/>
    <col min="3054" max="3054" customWidth="0" width="3.109375" style="1"/>
    <col min="3055" max="3055" customWidth="0" width="3.109375" style="1"/>
    <col min="3056" max="3056" customWidth="0" width="3.109375" style="1"/>
    <col min="3057" max="3057" customWidth="0" width="3.109375" style="1"/>
    <col min="3058" max="3058" customWidth="0" width="3.109375" style="1"/>
    <col min="3059" max="3059" customWidth="0" width="3.109375" style="1"/>
    <col min="3060" max="3060" customWidth="0" width="3.109375" style="1"/>
    <col min="3061" max="3061" customWidth="0" width="3.109375" style="1"/>
    <col min="3062" max="3062" customWidth="0" width="3.109375" style="1"/>
    <col min="3063" max="3063" customWidth="0" width="3.109375" style="1"/>
    <col min="3064" max="3064" customWidth="0" width="3.109375" style="1"/>
    <col min="3065" max="3065" customWidth="0" width="3.109375" style="1"/>
    <col min="3066" max="3066" customWidth="0" width="3.109375" style="1"/>
    <col min="3067" max="3067" customWidth="0" width="3.109375" style="1"/>
    <col min="3068" max="3068" customWidth="0" width="3.109375" style="1"/>
    <col min="3069" max="3069" customWidth="0" width="3.109375" style="1"/>
    <col min="3070" max="3070" customWidth="0" width="3.109375" style="1"/>
    <col min="3071" max="3071" customWidth="0" width="3.109375" style="1"/>
    <col min="3072" max="3072" customWidth="0" width="3.109375" style="1"/>
    <col min="3073" max="3073" customWidth="0" width="3.109375" style="1"/>
    <col min="3074" max="3074" customWidth="0" width="3.109375" style="1"/>
    <col min="3075" max="3075" customWidth="0" width="3.109375" style="1"/>
    <col min="3076" max="3076" customWidth="0" width="3.109375" style="1"/>
    <col min="3077" max="3077" customWidth="0" width="3.109375" style="1"/>
    <col min="3078" max="3078" customWidth="0" width="3.109375" style="1"/>
    <col min="3079" max="3079" customWidth="0" width="3.109375" style="1"/>
    <col min="3080" max="3080" customWidth="0" width="3.109375" style="1"/>
    <col min="3081" max="3081" customWidth="0" width="3.109375" style="1"/>
    <col min="3082" max="3082" customWidth="0" width="3.109375" style="1"/>
    <col min="3083" max="3083" customWidth="0" width="3.109375" style="1"/>
    <col min="3084" max="3084" customWidth="0" width="3.109375" style="1"/>
    <col min="3085" max="3085" customWidth="0" width="3.109375" style="1"/>
    <col min="3086" max="3086" customWidth="0" width="3.109375" style="1"/>
    <col min="3087" max="3087" customWidth="0" width="3.109375" style="1"/>
    <col min="3088" max="3088" customWidth="0" width="3.109375" style="1"/>
    <col min="3089" max="3089" customWidth="0" width="3.109375" style="1"/>
    <col min="3090" max="3090" customWidth="0" width="3.109375" style="1"/>
    <col min="3091" max="3091" customWidth="0" width="3.109375" style="1"/>
    <col min="3092" max="3092" customWidth="0" width="3.109375" style="1"/>
    <col min="3093" max="3093" customWidth="0" width="3.109375" style="1"/>
    <col min="3094" max="3094" customWidth="0" width="3.109375" style="1"/>
    <col min="3095" max="3095" customWidth="0" width="3.109375" style="1"/>
    <col min="3096" max="3096" customWidth="0" width="3.109375" style="1"/>
    <col min="3097" max="3097" customWidth="0" width="3.109375" style="1"/>
    <col min="3098" max="3098" customWidth="0" width="3.109375" style="1"/>
    <col min="3099" max="3099" customWidth="0" width="3.109375" style="1"/>
    <col min="3100" max="3100" customWidth="0" width="3.109375" style="1"/>
    <col min="3101" max="3101" customWidth="0" width="3.109375" style="1"/>
    <col min="3102" max="3102" customWidth="0" width="3.109375" style="1"/>
    <col min="3103" max="3103" customWidth="0" width="3.109375" style="1"/>
    <col min="3104" max="3104" customWidth="0" width="3.109375" style="1"/>
    <col min="3105" max="3105" customWidth="0" width="3.109375" style="1"/>
    <col min="3106" max="3106" customWidth="0" width="3.109375" style="1"/>
    <col min="3107" max="3107" customWidth="0" width="3.109375" style="1"/>
    <col min="3108" max="3108" customWidth="0" width="3.109375" style="1"/>
    <col min="3109" max="3109" customWidth="0" width="3.109375" style="1"/>
    <col min="3110" max="3110" customWidth="0" width="3.109375" style="1"/>
    <col min="3111" max="3111" customWidth="0" width="3.109375" style="1"/>
    <col min="3112" max="3112" customWidth="0" width="3.109375" style="1"/>
    <col min="3113" max="3113" customWidth="0" width="3.109375" style="1"/>
    <col min="3114" max="3114" customWidth="0" width="3.109375" style="1"/>
    <col min="3115" max="3115" customWidth="0" width="3.109375" style="1"/>
    <col min="3116" max="3116" customWidth="0" width="3.109375" style="1"/>
    <col min="3117" max="3117" customWidth="0" width="3.109375" style="1"/>
    <col min="3118" max="3118" customWidth="0" width="3.109375" style="1"/>
    <col min="3119" max="3119" customWidth="0" width="3.109375" style="1"/>
    <col min="3120" max="3120" customWidth="0" width="3.109375" style="1"/>
    <col min="3121" max="3121" customWidth="0" width="3.109375" style="1"/>
    <col min="3122" max="3122" customWidth="0" width="3.109375" style="1"/>
    <col min="3123" max="3123" customWidth="0" width="3.109375" style="1"/>
    <col min="3124" max="3124" customWidth="0" width="3.109375" style="1"/>
    <col min="3125" max="3125" customWidth="0" width="3.109375" style="1"/>
    <col min="3126" max="3126" customWidth="0" width="3.109375" style="1"/>
    <col min="3127" max="3127" customWidth="0" width="3.109375" style="1"/>
    <col min="3128" max="3128" customWidth="0" width="3.109375" style="1"/>
    <col min="3129" max="3129" customWidth="0" width="3.109375" style="1"/>
    <col min="3130" max="3130" customWidth="0" width="3.109375" style="1"/>
    <col min="3131" max="3131" customWidth="0" width="3.109375" style="1"/>
    <col min="3132" max="3132" customWidth="0" width="3.109375" style="1"/>
    <col min="3133" max="3133" customWidth="0" width="3.109375" style="1"/>
    <col min="3134" max="3134" customWidth="0" width="3.109375" style="1"/>
    <col min="3135" max="3135" customWidth="0" width="3.109375" style="1"/>
    <col min="3136" max="3136" customWidth="0" width="3.109375" style="1"/>
    <col min="3137" max="3137" customWidth="0" width="3.109375" style="1"/>
    <col min="3138" max="3138" customWidth="0" width="3.109375" style="1"/>
    <col min="3139" max="3139" customWidth="0" width="3.109375" style="1"/>
    <col min="3140" max="3140" customWidth="0" width="3.109375" style="1"/>
    <col min="3141" max="3141" customWidth="0" width="3.109375" style="1"/>
    <col min="3142" max="3142" customWidth="0" width="3.109375" style="1"/>
    <col min="3143" max="3143" customWidth="0" width="3.109375" style="1"/>
    <col min="3144" max="3144" customWidth="0" width="3.109375" style="1"/>
    <col min="3145" max="3145" customWidth="0" width="3.109375" style="1"/>
    <col min="3146" max="3146" customWidth="0" width="3.109375" style="1"/>
    <col min="3147" max="3147" customWidth="0" width="3.109375" style="1"/>
    <col min="3148" max="3148" customWidth="0" width="3.109375" style="1"/>
    <col min="3149" max="3149" customWidth="0" width="3.109375" style="1"/>
    <col min="3150" max="3150" customWidth="0" width="3.109375" style="1"/>
    <col min="3151" max="3151" customWidth="0" width="3.109375" style="1"/>
    <col min="3152" max="3152" customWidth="0" width="3.109375" style="1"/>
    <col min="3153" max="3153" customWidth="0" width="3.109375" style="1"/>
    <col min="3154" max="3154" customWidth="0" width="3.109375" style="1"/>
    <col min="3155" max="3155" customWidth="0" width="3.109375" style="1"/>
    <col min="3156" max="3156" customWidth="0" width="3.109375" style="1"/>
    <col min="3157" max="3157" customWidth="0" width="3.109375" style="1"/>
    <col min="3158" max="3158" customWidth="0" width="3.109375" style="1"/>
    <col min="3159" max="3159" customWidth="0" width="3.109375" style="1"/>
    <col min="3160" max="3160" customWidth="0" width="3.109375" style="1"/>
    <col min="3161" max="3161" customWidth="0" width="3.109375" style="1"/>
    <col min="3162" max="3162" customWidth="0" width="3.109375" style="1"/>
    <col min="3163" max="3163" customWidth="0" width="3.109375" style="1"/>
    <col min="3164" max="3164" customWidth="0" width="3.109375" style="1"/>
    <col min="3165" max="3165" customWidth="0" width="3.109375" style="1"/>
    <col min="3166" max="3166" customWidth="0" width="3.109375" style="1"/>
    <col min="3167" max="3167" customWidth="0" width="3.109375" style="1"/>
    <col min="3168" max="3168" customWidth="0" width="3.109375" style="1"/>
    <col min="3169" max="3169" customWidth="0" width="3.109375" style="1"/>
    <col min="3170" max="3170" customWidth="0" width="3.109375" style="1"/>
    <col min="3171" max="3171" customWidth="0" width="3.109375" style="1"/>
    <col min="3172" max="3172" customWidth="0" width="3.109375" style="1"/>
    <col min="3173" max="3173" customWidth="0" width="3.109375" style="1"/>
    <col min="3174" max="3174" customWidth="0" width="3.109375" style="1"/>
    <col min="3175" max="3175" customWidth="0" width="3.109375" style="1"/>
    <col min="3176" max="3176" customWidth="0" width="3.109375" style="1"/>
    <col min="3177" max="3177" customWidth="0" width="3.109375" style="1"/>
    <col min="3178" max="3178" customWidth="0" width="3.109375" style="1"/>
    <col min="3179" max="3179" customWidth="0" width="3.109375" style="1"/>
    <col min="3180" max="3180" customWidth="0" width="3.109375" style="1"/>
    <col min="3181" max="3181" customWidth="0" width="3.109375" style="1"/>
    <col min="3182" max="3182" customWidth="0" width="3.109375" style="1"/>
    <col min="3183" max="3183" customWidth="0" width="3.109375" style="1"/>
    <col min="3184" max="3184" customWidth="0" width="3.109375" style="1"/>
    <col min="3185" max="3185" customWidth="0" width="3.109375" style="1"/>
    <col min="3186" max="3186" customWidth="0" width="3.109375" style="1"/>
    <col min="3187" max="3187" customWidth="0" width="3.109375" style="1"/>
    <col min="3188" max="3188" customWidth="0" width="3.109375" style="1"/>
    <col min="3189" max="3189" customWidth="0" width="3.109375" style="1"/>
    <col min="3190" max="3190" customWidth="0" width="3.109375" style="1"/>
    <col min="3191" max="3191" customWidth="0" width="3.109375" style="1"/>
    <col min="3192" max="3192" customWidth="0" width="3.109375" style="1"/>
    <col min="3193" max="3193" customWidth="0" width="3.109375" style="1"/>
    <col min="3194" max="3194" customWidth="0" width="3.109375" style="1"/>
    <col min="3195" max="3195" customWidth="0" width="3.109375" style="1"/>
    <col min="3196" max="3196" customWidth="0" width="3.109375" style="1"/>
    <col min="3197" max="3197" customWidth="0" width="3.109375" style="1"/>
    <col min="3198" max="3198" customWidth="0" width="3.109375" style="1"/>
    <col min="3199" max="3199" customWidth="0" width="3.109375" style="1"/>
    <col min="3200" max="3200" customWidth="0" width="3.109375" style="1"/>
    <col min="3201" max="3201" customWidth="0" width="3.109375" style="1"/>
    <col min="3202" max="3202" customWidth="0" width="3.109375" style="1"/>
    <col min="3203" max="3203" customWidth="0" width="3.109375" style="1"/>
    <col min="3204" max="3204" customWidth="0" width="3.109375" style="1"/>
    <col min="3205" max="3205" customWidth="0" width="3.109375" style="1"/>
    <col min="3206" max="3206" customWidth="0" width="3.109375" style="1"/>
    <col min="3207" max="3207" customWidth="0" width="3.109375" style="1"/>
    <col min="3208" max="3208" customWidth="0" width="3.109375" style="1"/>
    <col min="3209" max="3209" customWidth="0" width="3.109375" style="1"/>
    <col min="3210" max="3210" customWidth="0" width="3.109375" style="1"/>
    <col min="3211" max="3211" customWidth="0" width="3.109375" style="1"/>
    <col min="3212" max="3212" customWidth="0" width="3.109375" style="1"/>
    <col min="3213" max="3213" customWidth="0" width="3.109375" style="1"/>
    <col min="3214" max="3214" customWidth="0" width="3.109375" style="1"/>
    <col min="3215" max="3215" customWidth="0" width="3.109375" style="1"/>
    <col min="3216" max="3216" customWidth="0" width="3.109375" style="1"/>
    <col min="3217" max="3217" customWidth="0" width="3.109375" style="1"/>
    <col min="3218" max="3218" customWidth="0" width="3.109375" style="1"/>
    <col min="3219" max="3219" customWidth="0" width="3.109375" style="1"/>
    <col min="3220" max="3220" customWidth="0" width="3.109375" style="1"/>
    <col min="3221" max="3221" customWidth="0" width="3.109375" style="1"/>
    <col min="3222" max="3222" customWidth="0" width="3.109375" style="1"/>
    <col min="3223" max="3223" customWidth="0" width="3.109375" style="1"/>
    <col min="3224" max="3224" customWidth="0" width="3.109375" style="1"/>
    <col min="3225" max="3225" customWidth="0" width="3.109375" style="1"/>
    <col min="3226" max="3226" customWidth="0" width="3.109375" style="1"/>
    <col min="3227" max="3227" customWidth="0" width="3.109375" style="1"/>
    <col min="3228" max="3228" customWidth="0" width="3.109375" style="1"/>
    <col min="3229" max="3229" customWidth="0" width="3.109375" style="1"/>
    <col min="3230" max="3230" customWidth="0" width="3.109375" style="1"/>
    <col min="3231" max="3231" customWidth="0" width="3.109375" style="1"/>
    <col min="3232" max="3232" customWidth="0" width="3.109375" style="1"/>
    <col min="3233" max="3233" customWidth="0" width="3.109375" style="1"/>
    <col min="3234" max="3234" customWidth="0" width="3.109375" style="1"/>
    <col min="3235" max="3235" customWidth="0" width="3.109375" style="1"/>
    <col min="3236" max="3236" customWidth="0" width="3.109375" style="1"/>
    <col min="3237" max="3237" customWidth="0" width="3.109375" style="1"/>
    <col min="3238" max="3238" customWidth="0" width="3.109375" style="1"/>
    <col min="3239" max="3239" customWidth="0" width="3.109375" style="1"/>
    <col min="3240" max="3240" customWidth="0" width="3.109375" style="1"/>
    <col min="3241" max="3241" customWidth="0" width="3.109375" style="1"/>
    <col min="3242" max="3242" customWidth="0" width="3.109375" style="1"/>
    <col min="3243" max="3243" customWidth="0" width="3.109375" style="1"/>
    <col min="3244" max="3244" customWidth="0" width="3.109375" style="1"/>
    <col min="3245" max="3245" customWidth="0" width="3.109375" style="1"/>
    <col min="3246" max="3246" customWidth="0" width="3.109375" style="1"/>
    <col min="3247" max="3247" customWidth="0" width="3.109375" style="1"/>
    <col min="3248" max="3248" customWidth="0" width="3.109375" style="1"/>
    <col min="3249" max="3249" customWidth="0" width="3.109375" style="1"/>
    <col min="3250" max="3250" customWidth="0" width="3.109375" style="1"/>
    <col min="3251" max="3251" customWidth="0" width="3.109375" style="1"/>
    <col min="3252" max="3252" customWidth="0" width="3.109375" style="1"/>
    <col min="3253" max="3253" customWidth="0" width="3.109375" style="1"/>
    <col min="3254" max="3254" customWidth="0" width="3.109375" style="1"/>
    <col min="3255" max="3255" customWidth="0" width="3.109375" style="1"/>
    <col min="3256" max="3256" customWidth="0" width="3.109375" style="1"/>
    <col min="3257" max="3257" customWidth="0" width="3.109375" style="1"/>
    <col min="3258" max="3258" customWidth="0" width="3.109375" style="1"/>
    <col min="3259" max="3259" customWidth="0" width="3.109375" style="1"/>
    <col min="3260" max="3260" customWidth="0" width="3.109375" style="1"/>
    <col min="3261" max="3261" customWidth="0" width="3.109375" style="1"/>
    <col min="3262" max="3262" customWidth="0" width="3.109375" style="1"/>
    <col min="3263" max="3263" customWidth="0" width="3.109375" style="1"/>
    <col min="3264" max="3264" customWidth="0" width="3.109375" style="1"/>
    <col min="3265" max="3265" customWidth="0" width="3.109375" style="1"/>
    <col min="3266" max="3266" customWidth="0" width="3.109375" style="1"/>
    <col min="3267" max="3267" customWidth="0" width="3.109375" style="1"/>
    <col min="3268" max="3268" customWidth="0" width="3.109375" style="1"/>
    <col min="3269" max="3269" customWidth="0" width="3.109375" style="1"/>
    <col min="3270" max="3270" customWidth="0" width="3.109375" style="1"/>
    <col min="3271" max="3271" customWidth="0" width="3.109375" style="1"/>
    <col min="3272" max="3272" customWidth="0" width="3.109375" style="1"/>
    <col min="3273" max="3273" customWidth="0" width="3.109375" style="1"/>
    <col min="3274" max="3274" customWidth="0" width="3.109375" style="1"/>
    <col min="3275" max="3275" customWidth="0" width="3.109375" style="1"/>
    <col min="3276" max="3276" customWidth="0" width="3.109375" style="1"/>
    <col min="3277" max="3277" customWidth="0" width="3.109375" style="1"/>
    <col min="3278" max="3278" customWidth="0" width="3.109375" style="1"/>
    <col min="3279" max="3279" customWidth="0" width="3.109375" style="1"/>
    <col min="3280" max="3280" customWidth="0" width="3.109375" style="1"/>
    <col min="3281" max="3281" customWidth="0" width="3.109375" style="1"/>
    <col min="3282" max="3282" customWidth="0" width="3.109375" style="1"/>
    <col min="3283" max="3283" customWidth="0" width="3.109375" style="1"/>
    <col min="3284" max="3284" customWidth="0" width="3.109375" style="1"/>
    <col min="3285" max="3285" customWidth="0" width="3.109375" style="1"/>
    <col min="3286" max="3286" customWidth="0" width="3.109375" style="1"/>
    <col min="3287" max="3287" customWidth="0" width="3.109375" style="1"/>
    <col min="3288" max="3288" customWidth="0" width="3.109375" style="1"/>
    <col min="3289" max="3289" customWidth="0" width="3.109375" style="1"/>
    <col min="3290" max="3290" customWidth="0" width="3.109375" style="1"/>
    <col min="3291" max="3291" customWidth="0" width="3.109375" style="1"/>
    <col min="3292" max="3292" customWidth="0" width="3.109375" style="1"/>
    <col min="3293" max="3293" customWidth="0" width="3.109375" style="1"/>
    <col min="3294" max="3294" customWidth="0" width="3.109375" style="1"/>
    <col min="3295" max="3295" customWidth="0" width="3.109375" style="1"/>
    <col min="3296" max="3296" customWidth="0" width="3.109375" style="1"/>
    <col min="3297" max="3297" customWidth="0" width="3.109375" style="1"/>
    <col min="3298" max="3298" customWidth="0" width="3.109375" style="1"/>
    <col min="3299" max="3299" customWidth="0" width="3.109375" style="1"/>
    <col min="3300" max="3300" customWidth="0" width="3.109375" style="1"/>
    <col min="3301" max="3301" customWidth="0" width="3.109375" style="1"/>
    <col min="3302" max="3302" customWidth="0" width="3.109375" style="1"/>
    <col min="3303" max="3303" customWidth="0" width="3.109375" style="1"/>
    <col min="3304" max="3304" customWidth="0" width="3.109375" style="1"/>
    <col min="3305" max="3305" customWidth="0" width="3.109375" style="1"/>
    <col min="3306" max="3306" customWidth="0" width="3.109375" style="1"/>
    <col min="3307" max="3307" customWidth="0" width="3.109375" style="1"/>
    <col min="3308" max="3308" customWidth="0" width="3.109375" style="1"/>
    <col min="3309" max="3309" customWidth="0" width="3.109375" style="1"/>
    <col min="3310" max="3310" customWidth="0" width="3.109375" style="1"/>
    <col min="3311" max="3311" customWidth="0" width="3.109375" style="1"/>
    <col min="3312" max="3312" customWidth="0" width="3.109375" style="1"/>
    <col min="3313" max="3313" customWidth="0" width="3.109375" style="1"/>
    <col min="3314" max="3314" customWidth="0" width="3.109375" style="1"/>
    <col min="3315" max="3315" customWidth="0" width="3.109375" style="1"/>
    <col min="3316" max="3316" customWidth="0" width="3.109375" style="1"/>
    <col min="3317" max="3317" customWidth="0" width="3.109375" style="1"/>
    <col min="3318" max="3318" customWidth="0" width="3.109375" style="1"/>
    <col min="3319" max="3319" customWidth="0" width="3.109375" style="1"/>
    <col min="3320" max="3320" customWidth="0" width="3.109375" style="1"/>
    <col min="3321" max="3321" customWidth="0" width="3.109375" style="1"/>
    <col min="3322" max="3322" customWidth="0" width="3.109375" style="1"/>
    <col min="3323" max="3323" customWidth="0" width="3.109375" style="1"/>
    <col min="3324" max="3324" customWidth="0" width="3.109375" style="1"/>
    <col min="3325" max="3325" customWidth="0" width="3.109375" style="1"/>
    <col min="3326" max="3326" customWidth="0" width="3.109375" style="1"/>
    <col min="3327" max="3327" customWidth="0" width="3.109375" style="1"/>
    <col min="3328" max="3328" customWidth="0" width="3.109375" style="1"/>
    <col min="3329" max="3329" customWidth="0" width="3.109375" style="1"/>
    <col min="3330" max="3330" customWidth="0" width="3.109375" style="1"/>
    <col min="3331" max="3331" customWidth="0" width="3.109375" style="1"/>
    <col min="3332" max="3332" customWidth="0" width="3.109375" style="1"/>
    <col min="3333" max="3333" customWidth="0" width="3.109375" style="1"/>
    <col min="3334" max="3334" customWidth="0" width="3.109375" style="1"/>
    <col min="3335" max="3335" customWidth="0" width="3.109375" style="1"/>
    <col min="3336" max="3336" customWidth="0" width="3.109375" style="1"/>
    <col min="3337" max="3337" customWidth="0" width="3.109375" style="1"/>
    <col min="3338" max="3338" customWidth="0" width="3.109375" style="1"/>
    <col min="3339" max="3339" customWidth="0" width="3.109375" style="1"/>
    <col min="3340" max="3340" customWidth="0" width="3.109375" style="1"/>
    <col min="3341" max="3341" customWidth="0" width="3.109375" style="1"/>
    <col min="3342" max="3342" customWidth="0" width="3.109375" style="1"/>
    <col min="3343" max="3343" customWidth="0" width="3.109375" style="1"/>
    <col min="3344" max="3344" customWidth="0" width="3.109375" style="1"/>
    <col min="3345" max="3345" customWidth="0" width="3.109375" style="1"/>
    <col min="3346" max="3346" customWidth="0" width="3.109375" style="1"/>
    <col min="3347" max="3347" customWidth="0" width="3.109375" style="1"/>
    <col min="3348" max="3348" customWidth="0" width="3.109375" style="1"/>
    <col min="3349" max="3349" customWidth="0" width="3.109375" style="1"/>
    <col min="3350" max="3350" customWidth="0" width="3.109375" style="1"/>
    <col min="3351" max="3351" customWidth="0" width="3.109375" style="1"/>
    <col min="3352" max="3352" customWidth="0" width="3.109375" style="1"/>
    <col min="3353" max="3353" customWidth="0" width="3.109375" style="1"/>
    <col min="3354" max="3354" customWidth="0" width="3.109375" style="1"/>
    <col min="3355" max="3355" customWidth="0" width="3.109375" style="1"/>
    <col min="3356" max="3356" customWidth="0" width="3.109375" style="1"/>
    <col min="3357" max="3357" customWidth="0" width="3.109375" style="1"/>
    <col min="3358" max="3358" customWidth="0" width="3.109375" style="1"/>
    <col min="3359" max="3359" customWidth="0" width="3.109375" style="1"/>
    <col min="3360" max="3360" customWidth="0" width="3.109375" style="1"/>
    <col min="3361" max="3361" customWidth="0" width="3.109375" style="1"/>
    <col min="3362" max="3362" customWidth="0" width="3.109375" style="1"/>
    <col min="3363" max="3363" customWidth="0" width="3.109375" style="1"/>
    <col min="3364" max="3364" customWidth="0" width="3.109375" style="1"/>
    <col min="3365" max="3365" customWidth="0" width="3.109375" style="1"/>
    <col min="3366" max="3366" customWidth="0" width="3.109375" style="1"/>
    <col min="3367" max="3367" customWidth="0" width="3.109375" style="1"/>
    <col min="3368" max="3368" customWidth="0" width="3.109375" style="1"/>
    <col min="3369" max="3369" customWidth="0" width="3.109375" style="1"/>
    <col min="3370" max="3370" customWidth="0" width="3.109375" style="1"/>
    <col min="3371" max="3371" customWidth="0" width="3.109375" style="1"/>
    <col min="3372" max="3372" customWidth="0" width="3.109375" style="1"/>
    <col min="3373" max="3373" customWidth="0" width="3.109375" style="1"/>
    <col min="3374" max="3374" customWidth="0" width="3.109375" style="1"/>
    <col min="3375" max="3375" customWidth="0" width="3.109375" style="1"/>
    <col min="3376" max="3376" customWidth="0" width="3.109375" style="1"/>
    <col min="3377" max="3377" customWidth="0" width="3.109375" style="1"/>
    <col min="3378" max="3378" customWidth="0" width="3.109375" style="1"/>
    <col min="3379" max="3379" customWidth="0" width="3.109375" style="1"/>
    <col min="3380" max="3380" customWidth="0" width="3.109375" style="1"/>
    <col min="3381" max="3381" customWidth="0" width="3.109375" style="1"/>
    <col min="3382" max="3382" customWidth="0" width="3.109375" style="1"/>
    <col min="3383" max="3383" customWidth="0" width="3.109375" style="1"/>
    <col min="3384" max="3384" customWidth="0" width="3.109375" style="1"/>
    <col min="3385" max="3385" customWidth="0" width="3.109375" style="1"/>
    <col min="3386" max="3386" customWidth="0" width="3.109375" style="1"/>
    <col min="3387" max="3387" customWidth="0" width="3.109375" style="1"/>
    <col min="3388" max="3388" customWidth="0" width="3.109375" style="1"/>
    <col min="3389" max="3389" customWidth="0" width="3.109375" style="1"/>
    <col min="3390" max="3390" customWidth="0" width="3.109375" style="1"/>
    <col min="3391" max="3391" customWidth="0" width="3.109375" style="1"/>
    <col min="3392" max="3392" customWidth="0" width="3.109375" style="1"/>
    <col min="3393" max="3393" customWidth="0" width="3.109375" style="1"/>
    <col min="3394" max="3394" customWidth="0" width="3.109375" style="1"/>
    <col min="3395" max="3395" customWidth="0" width="3.109375" style="1"/>
    <col min="3396" max="3396" customWidth="0" width="3.109375" style="1"/>
    <col min="3397" max="3397" customWidth="0" width="3.109375" style="1"/>
    <col min="3398" max="3398" customWidth="0" width="3.109375" style="1"/>
    <col min="3399" max="3399" customWidth="0" width="3.109375" style="1"/>
    <col min="3400" max="3400" customWidth="0" width="3.109375" style="1"/>
    <col min="3401" max="3401" customWidth="0" width="3.109375" style="1"/>
    <col min="3402" max="3402" customWidth="0" width="3.109375" style="1"/>
    <col min="3403" max="3403" customWidth="0" width="3.109375" style="1"/>
    <col min="3404" max="3404" customWidth="0" width="3.109375" style="1"/>
    <col min="3405" max="3405" customWidth="0" width="3.109375" style="1"/>
    <col min="3406" max="3406" customWidth="0" width="3.109375" style="1"/>
    <col min="3407" max="3407" customWidth="0" width="3.109375" style="1"/>
    <col min="3408" max="3408" customWidth="0" width="3.109375" style="1"/>
    <col min="3409" max="3409" customWidth="0" width="3.109375" style="1"/>
    <col min="3410" max="3410" customWidth="0" width="3.109375" style="1"/>
    <col min="3411" max="3411" customWidth="0" width="3.109375" style="1"/>
    <col min="3412" max="3412" customWidth="0" width="3.109375" style="1"/>
    <col min="3413" max="3413" customWidth="0" width="3.109375" style="1"/>
    <col min="3414" max="3414" customWidth="0" width="3.109375" style="1"/>
    <col min="3415" max="3415" customWidth="0" width="3.109375" style="1"/>
    <col min="3416" max="3416" customWidth="0" width="3.109375" style="1"/>
    <col min="3417" max="3417" customWidth="0" width="3.109375" style="1"/>
    <col min="3418" max="3418" customWidth="0" width="3.109375" style="1"/>
    <col min="3419" max="3419" customWidth="0" width="3.109375" style="1"/>
    <col min="3420" max="3420" customWidth="0" width="3.109375" style="1"/>
    <col min="3421" max="3421" customWidth="0" width="3.109375" style="1"/>
    <col min="3422" max="3422" customWidth="0" width="3.109375" style="1"/>
    <col min="3423" max="3423" customWidth="0" width="3.109375" style="1"/>
    <col min="3424" max="3424" customWidth="0" width="3.109375" style="1"/>
    <col min="3425" max="3425" customWidth="0" width="3.109375" style="1"/>
    <col min="3426" max="3426" customWidth="0" width="3.109375" style="1"/>
    <col min="3427" max="3427" customWidth="0" width="3.109375" style="1"/>
    <col min="3428" max="3428" customWidth="0" width="3.109375" style="1"/>
    <col min="3429" max="3429" customWidth="0" width="3.109375" style="1"/>
    <col min="3430" max="3430" customWidth="0" width="3.109375" style="1"/>
    <col min="3431" max="3431" customWidth="0" width="3.109375" style="1"/>
    <col min="3432" max="3432" customWidth="0" width="3.109375" style="1"/>
    <col min="3433" max="3433" customWidth="0" width="3.109375" style="1"/>
    <col min="3434" max="3434" customWidth="0" width="3.109375" style="1"/>
    <col min="3435" max="3435" customWidth="0" width="3.109375" style="1"/>
    <col min="3436" max="3436" customWidth="0" width="3.109375" style="1"/>
    <col min="3437" max="3437" customWidth="0" width="3.109375" style="1"/>
    <col min="3438" max="3438" customWidth="0" width="3.109375" style="1"/>
    <col min="3439" max="3439" customWidth="0" width="3.109375" style="1"/>
    <col min="3440" max="3440" customWidth="0" width="3.109375" style="1"/>
    <col min="3441" max="3441" customWidth="0" width="3.109375" style="1"/>
    <col min="3442" max="3442" customWidth="0" width="3.109375" style="1"/>
    <col min="3443" max="3443" customWidth="0" width="3.109375" style="1"/>
    <col min="3444" max="3444" customWidth="0" width="3.109375" style="1"/>
    <col min="3445" max="3445" customWidth="0" width="3.109375" style="1"/>
    <col min="3446" max="3446" customWidth="0" width="3.109375" style="1"/>
    <col min="3447" max="3447" customWidth="0" width="3.109375" style="1"/>
    <col min="3448" max="3448" customWidth="0" width="3.109375" style="1"/>
    <col min="3449" max="3449" customWidth="0" width="3.109375" style="1"/>
    <col min="3450" max="3450" customWidth="0" width="3.109375" style="1"/>
    <col min="3451" max="3451" customWidth="0" width="3.109375" style="1"/>
    <col min="3452" max="3452" customWidth="0" width="3.109375" style="1"/>
    <col min="3453" max="3453" customWidth="0" width="3.109375" style="1"/>
    <col min="3454" max="3454" customWidth="0" width="3.109375" style="1"/>
    <col min="3455" max="3455" customWidth="0" width="3.109375" style="1"/>
    <col min="3456" max="3456" customWidth="0" width="3.109375" style="1"/>
    <col min="3457" max="3457" customWidth="0" width="3.109375" style="1"/>
    <col min="3458" max="3458" customWidth="0" width="3.109375" style="1"/>
    <col min="3459" max="3459" customWidth="0" width="3.109375" style="1"/>
    <col min="3460" max="3460" customWidth="0" width="3.109375" style="1"/>
    <col min="3461" max="3461" customWidth="0" width="3.109375" style="1"/>
    <col min="3462" max="3462" customWidth="0" width="3.109375" style="1"/>
    <col min="3463" max="3463" customWidth="0" width="3.109375" style="1"/>
    <col min="3464" max="3464" customWidth="0" width="3.109375" style="1"/>
    <col min="3465" max="3465" customWidth="0" width="3.109375" style="1"/>
    <col min="3466" max="3466" customWidth="0" width="3.109375" style="1"/>
    <col min="3467" max="3467" customWidth="0" width="3.109375" style="1"/>
    <col min="3468" max="3468" customWidth="0" width="3.109375" style="1"/>
    <col min="3469" max="3469" customWidth="0" width="3.109375" style="1"/>
    <col min="3470" max="3470" customWidth="0" width="3.109375" style="1"/>
    <col min="3471" max="3471" customWidth="0" width="3.109375" style="1"/>
    <col min="3472" max="3472" customWidth="0" width="3.109375" style="1"/>
    <col min="3473" max="3473" customWidth="0" width="3.109375" style="1"/>
    <col min="3474" max="3474" customWidth="0" width="3.109375" style="1"/>
    <col min="3475" max="3475" customWidth="0" width="3.109375" style="1"/>
    <col min="3476" max="3476" customWidth="0" width="3.109375" style="1"/>
    <col min="3477" max="3477" customWidth="0" width="3.109375" style="1"/>
    <col min="3478" max="3478" customWidth="0" width="3.109375" style="1"/>
    <col min="3479" max="3479" customWidth="0" width="3.109375" style="1"/>
    <col min="3480" max="3480" customWidth="0" width="3.109375" style="1"/>
    <col min="3481" max="3481" customWidth="0" width="3.109375" style="1"/>
    <col min="3482" max="3482" customWidth="0" width="3.109375" style="1"/>
    <col min="3483" max="3483" customWidth="0" width="3.109375" style="1"/>
    <col min="3484" max="3484" customWidth="0" width="3.109375" style="1"/>
    <col min="3485" max="3485" customWidth="0" width="3.109375" style="1"/>
    <col min="3486" max="3486" customWidth="0" width="3.109375" style="1"/>
    <col min="3487" max="3487" customWidth="0" width="3.109375" style="1"/>
    <col min="3488" max="3488" customWidth="0" width="3.109375" style="1"/>
    <col min="3489" max="3489" customWidth="0" width="3.109375" style="1"/>
    <col min="3490" max="3490" customWidth="0" width="3.109375" style="1"/>
    <col min="3491" max="3491" customWidth="0" width="3.109375" style="1"/>
    <col min="3492" max="3492" customWidth="0" width="3.109375" style="1"/>
    <col min="3493" max="3493" customWidth="0" width="3.109375" style="1"/>
    <col min="3494" max="3494" customWidth="0" width="3.109375" style="1"/>
    <col min="3495" max="3495" customWidth="0" width="3.109375" style="1"/>
    <col min="3496" max="3496" customWidth="0" width="3.109375" style="1"/>
    <col min="3497" max="3497" customWidth="0" width="3.109375" style="1"/>
    <col min="3498" max="3498" customWidth="0" width="3.109375" style="1"/>
    <col min="3499" max="3499" customWidth="0" width="3.109375" style="1"/>
    <col min="3500" max="3500" customWidth="0" width="3.109375" style="1"/>
    <col min="3501" max="3501" customWidth="0" width="3.109375" style="1"/>
    <col min="3502" max="3502" customWidth="0" width="3.109375" style="1"/>
    <col min="3503" max="3503" customWidth="0" width="3.109375" style="1"/>
    <col min="3504" max="3504" customWidth="0" width="3.109375" style="1"/>
    <col min="3505" max="3505" customWidth="0" width="3.109375" style="1"/>
    <col min="3506" max="3506" customWidth="0" width="3.109375" style="1"/>
    <col min="3507" max="3507" customWidth="0" width="3.109375" style="1"/>
    <col min="3508" max="3508" customWidth="0" width="3.109375" style="1"/>
    <col min="3509" max="3509" customWidth="0" width="3.109375" style="1"/>
    <col min="3510" max="3510" customWidth="0" width="3.109375" style="1"/>
    <col min="3511" max="3511" customWidth="0" width="3.109375" style="1"/>
    <col min="3512" max="3512" customWidth="0" width="3.109375" style="1"/>
    <col min="3513" max="3513" customWidth="0" width="3.109375" style="1"/>
    <col min="3514" max="3514" customWidth="0" width="3.109375" style="1"/>
    <col min="3515" max="3515" customWidth="0" width="3.109375" style="1"/>
    <col min="3516" max="3516" customWidth="0" width="3.109375" style="1"/>
    <col min="3517" max="3517" customWidth="0" width="3.109375" style="1"/>
    <col min="3518" max="3518" customWidth="0" width="3.109375" style="1"/>
    <col min="3519" max="3519" customWidth="0" width="3.109375" style="1"/>
    <col min="3520" max="3520" customWidth="0" width="3.109375" style="1"/>
    <col min="3521" max="3521" customWidth="0" width="3.109375" style="1"/>
    <col min="3522" max="3522" customWidth="0" width="3.109375" style="1"/>
    <col min="3523" max="3523" customWidth="0" width="3.109375" style="1"/>
    <col min="3524" max="3524" customWidth="0" width="3.109375" style="1"/>
    <col min="3525" max="3525" customWidth="0" width="3.109375" style="1"/>
    <col min="3526" max="3526" customWidth="0" width="3.109375" style="1"/>
    <col min="3527" max="3527" customWidth="0" width="3.109375" style="1"/>
    <col min="3528" max="3528" customWidth="0" width="3.109375" style="1"/>
    <col min="3529" max="3529" customWidth="0" width="3.109375" style="1"/>
    <col min="3530" max="3530" customWidth="0" width="3.109375" style="1"/>
    <col min="3531" max="3531" customWidth="0" width="3.109375" style="1"/>
    <col min="3532" max="3532" customWidth="0" width="3.109375" style="1"/>
    <col min="3533" max="3533" customWidth="0" width="3.109375" style="1"/>
    <col min="3534" max="3534" customWidth="0" width="3.109375" style="1"/>
    <col min="3535" max="3535" customWidth="0" width="3.109375" style="1"/>
    <col min="3536" max="3536" customWidth="0" width="3.109375" style="1"/>
    <col min="3537" max="3537" customWidth="0" width="3.109375" style="1"/>
    <col min="3538" max="3538" customWidth="0" width="3.109375" style="1"/>
    <col min="3539" max="3539" customWidth="0" width="3.109375" style="1"/>
    <col min="3540" max="3540" customWidth="0" width="3.109375" style="1"/>
    <col min="3541" max="3541" customWidth="0" width="3.109375" style="1"/>
    <col min="3542" max="3542" customWidth="0" width="3.109375" style="1"/>
    <col min="3543" max="3543" customWidth="0" width="3.109375" style="1"/>
    <col min="3544" max="3544" customWidth="0" width="3.109375" style="1"/>
    <col min="3545" max="3545" customWidth="0" width="3.109375" style="1"/>
    <col min="3546" max="3546" customWidth="0" width="3.109375" style="1"/>
    <col min="3547" max="3547" customWidth="0" width="3.109375" style="1"/>
    <col min="3548" max="3548" customWidth="0" width="3.109375" style="1"/>
    <col min="3549" max="3549" customWidth="0" width="3.109375" style="1"/>
    <col min="3550" max="3550" customWidth="0" width="3.109375" style="1"/>
    <col min="3551" max="3551" customWidth="0" width="3.109375" style="1"/>
    <col min="3552" max="3552" customWidth="0" width="3.109375" style="1"/>
    <col min="3553" max="3553" customWidth="0" width="3.109375" style="1"/>
    <col min="3554" max="3554" customWidth="0" width="3.109375" style="1"/>
    <col min="3555" max="3555" customWidth="0" width="3.109375" style="1"/>
    <col min="3556" max="3556" customWidth="0" width="3.109375" style="1"/>
    <col min="3557" max="3557" customWidth="0" width="3.109375" style="1"/>
    <col min="3558" max="3558" customWidth="0" width="3.109375" style="1"/>
    <col min="3559" max="3559" customWidth="0" width="3.109375" style="1"/>
    <col min="3560" max="3560" customWidth="0" width="3.109375" style="1"/>
    <col min="3561" max="3561" customWidth="0" width="3.109375" style="1"/>
    <col min="3562" max="3562" customWidth="0" width="3.109375" style="1"/>
    <col min="3563" max="3563" customWidth="0" width="3.109375" style="1"/>
    <col min="3564" max="3564" customWidth="0" width="3.109375" style="1"/>
    <col min="3565" max="3565" customWidth="0" width="3.109375" style="1"/>
    <col min="3566" max="3566" customWidth="0" width="3.109375" style="1"/>
    <col min="3567" max="3567" customWidth="0" width="3.109375" style="1"/>
    <col min="3568" max="3568" customWidth="0" width="3.109375" style="1"/>
    <col min="3569" max="3569" customWidth="0" width="3.109375" style="1"/>
    <col min="3570" max="3570" customWidth="0" width="3.109375" style="1"/>
    <col min="3571" max="3571" customWidth="0" width="3.109375" style="1"/>
    <col min="3572" max="3572" customWidth="0" width="3.109375" style="1"/>
    <col min="3573" max="3573" customWidth="0" width="3.109375" style="1"/>
    <col min="3574" max="3574" customWidth="0" width="3.109375" style="1"/>
    <col min="3575" max="3575" customWidth="0" width="3.109375" style="1"/>
    <col min="3576" max="3576" customWidth="0" width="3.109375" style="1"/>
    <col min="3577" max="3577" customWidth="0" width="3.109375" style="1"/>
    <col min="3578" max="3578" customWidth="0" width="3.109375" style="1"/>
    <col min="3579" max="3579" customWidth="0" width="3.109375" style="1"/>
    <col min="3580" max="3580" customWidth="0" width="3.109375" style="1"/>
    <col min="3581" max="3581" customWidth="0" width="3.109375" style="1"/>
    <col min="3582" max="3582" customWidth="0" width="3.109375" style="1"/>
    <col min="3583" max="3583" customWidth="0" width="3.109375" style="1"/>
    <col min="3584" max="3584" customWidth="0" width="3.109375" style="1"/>
    <col min="3585" max="3585" customWidth="0" width="3.109375" style="1"/>
    <col min="3586" max="3586" customWidth="0" width="3.109375" style="1"/>
    <col min="3587" max="3587" customWidth="0" width="3.109375" style="1"/>
    <col min="3588" max="3588" customWidth="0" width="3.109375" style="1"/>
    <col min="3589" max="3589" customWidth="0" width="3.109375" style="1"/>
    <col min="3590" max="3590" customWidth="0" width="3.109375" style="1"/>
    <col min="3591" max="3591" customWidth="0" width="3.109375" style="1"/>
    <col min="3592" max="3592" customWidth="0" width="3.109375" style="1"/>
    <col min="3593" max="3593" customWidth="0" width="3.109375" style="1"/>
    <col min="3594" max="3594" customWidth="0" width="3.109375" style="1"/>
    <col min="3595" max="3595" customWidth="0" width="3.109375" style="1"/>
    <col min="3596" max="3596" customWidth="0" width="3.109375" style="1"/>
    <col min="3597" max="3597" customWidth="0" width="3.109375" style="1"/>
    <col min="3598" max="3598" customWidth="0" width="3.109375" style="1"/>
    <col min="3599" max="3599" customWidth="0" width="3.109375" style="1"/>
    <col min="3600" max="3600" customWidth="0" width="3.109375" style="1"/>
    <col min="3601" max="3601" customWidth="0" width="3.109375" style="1"/>
    <col min="3602" max="3602" customWidth="0" width="3.109375" style="1"/>
    <col min="3603" max="3603" customWidth="0" width="3.109375" style="1"/>
    <col min="3604" max="3604" customWidth="0" width="3.109375" style="1"/>
    <col min="3605" max="3605" customWidth="0" width="3.109375" style="1"/>
    <col min="3606" max="3606" customWidth="0" width="3.109375" style="1"/>
    <col min="3607" max="3607" customWidth="0" width="3.109375" style="1"/>
    <col min="3608" max="3608" customWidth="0" width="3.109375" style="1"/>
    <col min="3609" max="3609" customWidth="0" width="3.109375" style="1"/>
    <col min="3610" max="3610" customWidth="0" width="3.109375" style="1"/>
    <col min="3611" max="3611" customWidth="0" width="3.109375" style="1"/>
    <col min="3612" max="3612" customWidth="0" width="3.109375" style="1"/>
    <col min="3613" max="3613" customWidth="0" width="3.109375" style="1"/>
    <col min="3614" max="3614" customWidth="0" width="3.109375" style="1"/>
    <col min="3615" max="3615" customWidth="0" width="3.109375" style="1"/>
    <col min="3616" max="3616" customWidth="0" width="3.109375" style="1"/>
    <col min="3617" max="3617" customWidth="0" width="3.109375" style="1"/>
    <col min="3618" max="3618" customWidth="0" width="3.109375" style="1"/>
    <col min="3619" max="3619" customWidth="0" width="3.109375" style="1"/>
    <col min="3620" max="3620" customWidth="0" width="3.109375" style="1"/>
    <col min="3621" max="3621" customWidth="0" width="3.109375" style="1"/>
    <col min="3622" max="3622" customWidth="0" width="3.109375" style="1"/>
    <col min="3623" max="3623" customWidth="0" width="3.109375" style="1"/>
    <col min="3624" max="3624" customWidth="0" width="3.109375" style="1"/>
    <col min="3625" max="3625" customWidth="0" width="3.109375" style="1"/>
    <col min="3626" max="3626" customWidth="0" width="3.109375" style="1"/>
    <col min="3627" max="3627" customWidth="0" width="3.109375" style="1"/>
    <col min="3628" max="3628" customWidth="0" width="3.109375" style="1"/>
    <col min="3629" max="3629" customWidth="0" width="3.109375" style="1"/>
    <col min="3630" max="3630" customWidth="0" width="3.109375" style="1"/>
    <col min="3631" max="3631" customWidth="0" width="3.109375" style="1"/>
    <col min="3632" max="3632" customWidth="0" width="3.109375" style="1"/>
    <col min="3633" max="3633" customWidth="0" width="3.109375" style="1"/>
    <col min="3634" max="3634" customWidth="0" width="3.109375" style="1"/>
    <col min="3635" max="3635" customWidth="0" width="3.109375" style="1"/>
    <col min="3636" max="3636" customWidth="0" width="3.109375" style="1"/>
    <col min="3637" max="3637" customWidth="0" width="3.109375" style="1"/>
    <col min="3638" max="3638" customWidth="0" width="3.109375" style="1"/>
    <col min="3639" max="3639" customWidth="0" width="3.109375" style="1"/>
    <col min="3640" max="3640" customWidth="0" width="3.109375" style="1"/>
    <col min="3641" max="3641" customWidth="0" width="3.109375" style="1"/>
    <col min="3642" max="3642" customWidth="0" width="3.109375" style="1"/>
    <col min="3643" max="3643" customWidth="0" width="3.109375" style="1"/>
    <col min="3644" max="3644" customWidth="0" width="3.109375" style="1"/>
    <col min="3645" max="3645" customWidth="0" width="3.109375" style="1"/>
    <col min="3646" max="3646" customWidth="0" width="3.109375" style="1"/>
    <col min="3647" max="3647" customWidth="0" width="3.109375" style="1"/>
    <col min="3648" max="3648" customWidth="0" width="3.109375" style="1"/>
    <col min="3649" max="3649" customWidth="0" width="3.109375" style="1"/>
    <col min="3650" max="3650" customWidth="0" width="3.109375" style="1"/>
    <col min="3651" max="3651" customWidth="0" width="3.109375" style="1"/>
    <col min="3652" max="3652" customWidth="0" width="3.109375" style="1"/>
    <col min="3653" max="3653" customWidth="0" width="3.109375" style="1"/>
    <col min="3654" max="3654" customWidth="0" width="3.109375" style="1"/>
    <col min="3655" max="3655" customWidth="0" width="3.109375" style="1"/>
    <col min="3656" max="3656" customWidth="0" width="3.109375" style="1"/>
    <col min="3657" max="3657" customWidth="0" width="3.109375" style="1"/>
    <col min="3658" max="3658" customWidth="0" width="3.109375" style="1"/>
    <col min="3659" max="3659" customWidth="0" width="3.109375" style="1"/>
    <col min="3660" max="3660" customWidth="0" width="3.109375" style="1"/>
    <col min="3661" max="3661" customWidth="0" width="3.109375" style="1"/>
    <col min="3662" max="3662" customWidth="0" width="3.109375" style="1"/>
    <col min="3663" max="3663" customWidth="0" width="3.109375" style="1"/>
    <col min="3664" max="3664" customWidth="0" width="3.109375" style="1"/>
    <col min="3665" max="3665" customWidth="0" width="3.109375" style="1"/>
    <col min="3666" max="3666" customWidth="0" width="3.109375" style="1"/>
    <col min="3667" max="3667" customWidth="0" width="3.109375" style="1"/>
    <col min="3668" max="3668" customWidth="0" width="3.109375" style="1"/>
    <col min="3669" max="3669" customWidth="0" width="3.109375" style="1"/>
    <col min="3670" max="3670" customWidth="0" width="3.109375" style="1"/>
    <col min="3671" max="3671" customWidth="0" width="3.109375" style="1"/>
    <col min="3672" max="3672" customWidth="0" width="3.109375" style="1"/>
    <col min="3673" max="3673" customWidth="0" width="3.109375" style="1"/>
    <col min="3674" max="3674" customWidth="0" width="3.109375" style="1"/>
    <col min="3675" max="3675" customWidth="0" width="3.109375" style="1"/>
    <col min="3676" max="3676" customWidth="0" width="3.109375" style="1"/>
    <col min="3677" max="3677" customWidth="0" width="3.109375" style="1"/>
    <col min="3678" max="3678" customWidth="0" width="3.109375" style="1"/>
    <col min="3679" max="3679" customWidth="0" width="3.109375" style="1"/>
    <col min="3680" max="3680" customWidth="0" width="3.109375" style="1"/>
    <col min="3681" max="3681" customWidth="0" width="3.109375" style="1"/>
    <col min="3682" max="3682" customWidth="0" width="3.109375" style="1"/>
    <col min="3683" max="3683" customWidth="0" width="3.109375" style="1"/>
    <col min="3684" max="3684" customWidth="0" width="3.109375" style="1"/>
    <col min="3685" max="3685" customWidth="0" width="3.109375" style="1"/>
    <col min="3686" max="3686" customWidth="0" width="3.109375" style="1"/>
    <col min="3687" max="3687" customWidth="0" width="3.109375" style="1"/>
    <col min="3688" max="3688" customWidth="0" width="3.109375" style="1"/>
    <col min="3689" max="3689" customWidth="0" width="3.109375" style="1"/>
    <col min="3690" max="3690" customWidth="0" width="3.109375" style="1"/>
    <col min="3691" max="3691" customWidth="0" width="3.109375" style="1"/>
    <col min="3692" max="3692" customWidth="0" width="3.109375" style="1"/>
    <col min="3693" max="3693" customWidth="0" width="3.109375" style="1"/>
    <col min="3694" max="3694" customWidth="0" width="3.109375" style="1"/>
    <col min="3695" max="3695" customWidth="0" width="3.109375" style="1"/>
    <col min="3696" max="3696" customWidth="0" width="3.109375" style="1"/>
    <col min="3697" max="3697" customWidth="0" width="3.109375" style="1"/>
    <col min="3698" max="3698" customWidth="0" width="3.109375" style="1"/>
    <col min="3699" max="3699" customWidth="0" width="3.109375" style="1"/>
    <col min="3700" max="3700" customWidth="0" width="3.109375" style="1"/>
    <col min="3701" max="3701" customWidth="0" width="3.109375" style="1"/>
    <col min="3702" max="3702" customWidth="0" width="3.109375" style="1"/>
    <col min="3703" max="3703" customWidth="0" width="3.109375" style="1"/>
    <col min="3704" max="3704" customWidth="0" width="3.109375" style="1"/>
    <col min="3705" max="3705" customWidth="0" width="3.109375" style="1"/>
    <col min="3706" max="3706" customWidth="0" width="3.109375" style="1"/>
    <col min="3707" max="3707" customWidth="0" width="3.109375" style="1"/>
    <col min="3708" max="3708" customWidth="0" width="3.109375" style="1"/>
    <col min="3709" max="3709" customWidth="0" width="3.109375" style="1"/>
    <col min="3710" max="3710" customWidth="0" width="3.109375" style="1"/>
    <col min="3711" max="3711" customWidth="0" width="3.109375" style="1"/>
    <col min="3712" max="3712" customWidth="0" width="3.109375" style="1"/>
    <col min="3713" max="3713" customWidth="0" width="3.109375" style="1"/>
    <col min="3714" max="3714" customWidth="0" width="3.109375" style="1"/>
    <col min="3715" max="3715" customWidth="0" width="3.109375" style="1"/>
    <col min="3716" max="3716" customWidth="0" width="3.109375" style="1"/>
    <col min="3717" max="3717" customWidth="0" width="3.109375" style="1"/>
    <col min="3718" max="3718" customWidth="0" width="3.109375" style="1"/>
    <col min="3719" max="3719" customWidth="0" width="3.109375" style="1"/>
    <col min="3720" max="3720" customWidth="0" width="3.109375" style="1"/>
    <col min="3721" max="3721" customWidth="0" width="3.109375" style="1"/>
    <col min="3722" max="3722" customWidth="0" width="3.109375" style="1"/>
    <col min="3723" max="3723" customWidth="0" width="3.109375" style="1"/>
    <col min="3724" max="3724" customWidth="0" width="3.109375" style="1"/>
    <col min="3725" max="3725" customWidth="0" width="3.109375" style="1"/>
    <col min="3726" max="3726" customWidth="0" width="3.109375" style="1"/>
    <col min="3727" max="3727" customWidth="0" width="3.109375" style="1"/>
    <col min="3728" max="3728" customWidth="0" width="3.109375" style="1"/>
    <col min="3729" max="3729" customWidth="0" width="3.109375" style="1"/>
    <col min="3730" max="3730" customWidth="0" width="3.109375" style="1"/>
    <col min="3731" max="3731" customWidth="0" width="3.109375" style="1"/>
    <col min="3732" max="3732" customWidth="0" width="3.109375" style="1"/>
    <col min="3733" max="3733" customWidth="0" width="3.109375" style="1"/>
    <col min="3734" max="3734" customWidth="0" width="3.109375" style="1"/>
    <col min="3735" max="3735" customWidth="0" width="3.109375" style="1"/>
    <col min="3736" max="3736" customWidth="0" width="3.109375" style="1"/>
    <col min="3737" max="3737" customWidth="0" width="3.109375" style="1"/>
    <col min="3738" max="3738" customWidth="0" width="3.109375" style="1"/>
    <col min="3739" max="3739" customWidth="0" width="3.109375" style="1"/>
    <col min="3740" max="3740" customWidth="0" width="3.109375" style="1"/>
    <col min="3741" max="3741" customWidth="0" width="3.109375" style="1"/>
    <col min="3742" max="3742" customWidth="0" width="3.109375" style="1"/>
    <col min="3743" max="3743" customWidth="0" width="3.109375" style="1"/>
    <col min="3744" max="3744" customWidth="0" width="3.109375" style="1"/>
    <col min="3745" max="3745" customWidth="0" width="3.109375" style="1"/>
    <col min="3746" max="3746" customWidth="0" width="3.109375" style="1"/>
    <col min="3747" max="3747" customWidth="0" width="3.109375" style="1"/>
    <col min="3748" max="3748" customWidth="0" width="3.109375" style="1"/>
    <col min="3749" max="3749" customWidth="0" width="3.109375" style="1"/>
    <col min="3750" max="3750" customWidth="0" width="3.109375" style="1"/>
    <col min="3751" max="3751" customWidth="0" width="3.109375" style="1"/>
    <col min="3752" max="3752" customWidth="0" width="3.109375" style="1"/>
    <col min="3753" max="3753" customWidth="0" width="3.109375" style="1"/>
    <col min="3754" max="3754" customWidth="0" width="3.109375" style="1"/>
    <col min="3755" max="3755" customWidth="0" width="3.109375" style="1"/>
    <col min="3756" max="3756" customWidth="0" width="3.109375" style="1"/>
    <col min="3757" max="3757" customWidth="0" width="3.109375" style="1"/>
    <col min="3758" max="3758" customWidth="0" width="3.109375" style="1"/>
    <col min="3759" max="3759" customWidth="0" width="3.109375" style="1"/>
    <col min="3760" max="3760" customWidth="0" width="3.109375" style="1"/>
    <col min="3761" max="3761" customWidth="0" width="3.109375" style="1"/>
    <col min="3762" max="3762" customWidth="0" width="3.109375" style="1"/>
    <col min="3763" max="3763" customWidth="0" width="3.109375" style="1"/>
    <col min="3764" max="3764" customWidth="0" width="3.109375" style="1"/>
    <col min="3765" max="3765" customWidth="0" width="3.109375" style="1"/>
    <col min="3766" max="3766" customWidth="0" width="3.109375" style="1"/>
    <col min="3767" max="3767" customWidth="0" width="3.109375" style="1"/>
    <col min="3768" max="3768" customWidth="0" width="3.109375" style="1"/>
    <col min="3769" max="3769" customWidth="0" width="3.109375" style="1"/>
    <col min="3770" max="3770" customWidth="0" width="3.109375" style="1"/>
    <col min="3771" max="3771" customWidth="0" width="3.109375" style="1"/>
    <col min="3772" max="3772" customWidth="0" width="3.109375" style="1"/>
    <col min="3773" max="3773" customWidth="0" width="3.109375" style="1"/>
    <col min="3774" max="3774" customWidth="0" width="3.109375" style="1"/>
    <col min="3775" max="3775" customWidth="0" width="3.109375" style="1"/>
    <col min="3776" max="3776" customWidth="0" width="3.109375" style="1"/>
    <col min="3777" max="3777" customWidth="0" width="3.109375" style="1"/>
    <col min="3778" max="3778" customWidth="0" width="3.109375" style="1"/>
    <col min="3779" max="3779" customWidth="0" width="3.109375" style="1"/>
    <col min="3780" max="3780" customWidth="0" width="3.109375" style="1"/>
    <col min="3781" max="3781" customWidth="0" width="3.109375" style="1"/>
    <col min="3782" max="3782" customWidth="0" width="3.109375" style="1"/>
    <col min="3783" max="3783" customWidth="0" width="3.109375" style="1"/>
    <col min="3784" max="3784" customWidth="0" width="3.109375" style="1"/>
    <col min="3785" max="3785" customWidth="0" width="3.109375" style="1"/>
    <col min="3786" max="3786" customWidth="0" width="3.109375" style="1"/>
    <col min="3787" max="3787" customWidth="0" width="3.109375" style="1"/>
    <col min="3788" max="3788" customWidth="0" width="3.109375" style="1"/>
    <col min="3789" max="3789" customWidth="0" width="3.109375" style="1"/>
    <col min="3790" max="3790" customWidth="0" width="3.109375" style="1"/>
    <col min="3791" max="3791" customWidth="0" width="3.109375" style="1"/>
    <col min="3792" max="3792" customWidth="0" width="3.109375" style="1"/>
    <col min="3793" max="3793" customWidth="0" width="3.109375" style="1"/>
    <col min="3794" max="3794" customWidth="0" width="3.109375" style="1"/>
    <col min="3795" max="3795" customWidth="0" width="3.109375" style="1"/>
    <col min="3796" max="3796" customWidth="0" width="3.109375" style="1"/>
    <col min="3797" max="3797" customWidth="0" width="3.109375" style="1"/>
    <col min="3798" max="3798" customWidth="0" width="3.109375" style="1"/>
    <col min="3799" max="3799" customWidth="0" width="3.109375" style="1"/>
    <col min="3800" max="3800" customWidth="0" width="3.109375" style="1"/>
    <col min="3801" max="3801" customWidth="0" width="3.109375" style="1"/>
    <col min="3802" max="3802" customWidth="0" width="3.109375" style="1"/>
    <col min="3803" max="3803" customWidth="0" width="3.109375" style="1"/>
    <col min="3804" max="3804" customWidth="0" width="3.109375" style="1"/>
    <col min="3805" max="3805" customWidth="0" width="3.109375" style="1"/>
    <col min="3806" max="3806" customWidth="0" width="3.109375" style="1"/>
    <col min="3807" max="3807" customWidth="0" width="3.109375" style="1"/>
    <col min="3808" max="3808" customWidth="0" width="3.109375" style="1"/>
    <col min="3809" max="3809" customWidth="0" width="3.109375" style="1"/>
    <col min="3810" max="3810" customWidth="0" width="3.109375" style="1"/>
    <col min="3811" max="3811" customWidth="0" width="3.109375" style="1"/>
    <col min="3812" max="3812" customWidth="0" width="3.109375" style="1"/>
    <col min="3813" max="3813" customWidth="0" width="3.109375" style="1"/>
    <col min="3814" max="3814" customWidth="0" width="3.109375" style="1"/>
    <col min="3815" max="3815" customWidth="0" width="3.109375" style="1"/>
    <col min="3816" max="3816" customWidth="0" width="3.109375" style="1"/>
    <col min="3817" max="3817" customWidth="0" width="3.109375" style="1"/>
    <col min="3818" max="3818" customWidth="0" width="3.109375" style="1"/>
    <col min="3819" max="3819" customWidth="0" width="3.109375" style="1"/>
    <col min="3820" max="3820" customWidth="0" width="3.109375" style="1"/>
    <col min="3821" max="3821" customWidth="0" width="3.109375" style="1"/>
    <col min="3822" max="3822" customWidth="0" width="3.109375" style="1"/>
    <col min="3823" max="3823" customWidth="0" width="3.109375" style="1"/>
    <col min="3824" max="3824" customWidth="0" width="3.109375" style="1"/>
    <col min="3825" max="3825" customWidth="0" width="3.109375" style="1"/>
    <col min="3826" max="3826" customWidth="0" width="3.109375" style="1"/>
    <col min="3827" max="3827" customWidth="0" width="3.109375" style="1"/>
    <col min="3828" max="3828" customWidth="0" width="3.109375" style="1"/>
    <col min="3829" max="3829" customWidth="0" width="3.109375" style="1"/>
    <col min="3830" max="3830" customWidth="0" width="3.109375" style="1"/>
    <col min="3831" max="3831" customWidth="0" width="3.109375" style="1"/>
    <col min="3832" max="3832" customWidth="0" width="3.109375" style="1"/>
    <col min="3833" max="3833" customWidth="0" width="3.109375" style="1"/>
    <col min="3834" max="3834" customWidth="0" width="3.109375" style="1"/>
    <col min="3835" max="3835" customWidth="0" width="3.109375" style="1"/>
    <col min="3836" max="3836" customWidth="0" width="3.109375" style="1"/>
    <col min="3837" max="3837" customWidth="0" width="3.109375" style="1"/>
    <col min="3838" max="3838" customWidth="0" width="3.109375" style="1"/>
    <col min="3839" max="3839" customWidth="0" width="3.109375" style="1"/>
    <col min="3840" max="3840" customWidth="0" width="3.109375" style="1"/>
    <col min="3841" max="3841" customWidth="0" width="3.109375" style="1"/>
    <col min="3842" max="3842" customWidth="0" width="3.109375" style="1"/>
    <col min="3843" max="3843" customWidth="0" width="3.109375" style="1"/>
    <col min="3844" max="3844" customWidth="0" width="3.109375" style="1"/>
    <col min="3845" max="3845" customWidth="0" width="3.109375" style="1"/>
    <col min="3846" max="3846" customWidth="0" width="3.109375" style="1"/>
    <col min="3847" max="3847" customWidth="0" width="3.109375" style="1"/>
    <col min="3848" max="3848" customWidth="0" width="3.109375" style="1"/>
    <col min="3849" max="3849" customWidth="0" width="3.109375" style="1"/>
    <col min="3850" max="3850" customWidth="0" width="3.109375" style="1"/>
    <col min="3851" max="3851" customWidth="0" width="3.109375" style="1"/>
    <col min="3852" max="3852" customWidth="0" width="3.109375" style="1"/>
    <col min="3853" max="3853" customWidth="0" width="3.109375" style="1"/>
    <col min="3854" max="3854" customWidth="0" width="3.109375" style="1"/>
    <col min="3855" max="3855" customWidth="0" width="3.109375" style="1"/>
    <col min="3856" max="3856" customWidth="0" width="3.109375" style="1"/>
    <col min="3857" max="3857" customWidth="0" width="3.109375" style="1"/>
    <col min="3858" max="3858" customWidth="0" width="3.109375" style="1"/>
    <col min="3859" max="3859" customWidth="0" width="3.109375" style="1"/>
    <col min="3860" max="3860" customWidth="0" width="3.109375" style="1"/>
    <col min="3861" max="3861" customWidth="0" width="3.109375" style="1"/>
    <col min="3862" max="3862" customWidth="0" width="3.109375" style="1"/>
    <col min="3863" max="3863" customWidth="0" width="3.109375" style="1"/>
    <col min="3864" max="3864" customWidth="0" width="3.109375" style="1"/>
    <col min="3865" max="3865" customWidth="0" width="3.109375" style="1"/>
    <col min="3866" max="3866" customWidth="0" width="3.109375" style="1"/>
    <col min="3867" max="3867" customWidth="0" width="3.109375" style="1"/>
    <col min="3868" max="3868" customWidth="0" width="3.109375" style="1"/>
    <col min="3869" max="3869" customWidth="0" width="3.109375" style="1"/>
    <col min="3870" max="3870" customWidth="0" width="3.109375" style="1"/>
    <col min="3871" max="3871" customWidth="0" width="3.109375" style="1"/>
    <col min="3872" max="3872" customWidth="0" width="3.109375" style="1"/>
    <col min="3873" max="3873" customWidth="0" width="3.109375" style="1"/>
    <col min="3874" max="3874" customWidth="0" width="3.109375" style="1"/>
    <col min="3875" max="3875" customWidth="0" width="3.109375" style="1"/>
    <col min="3876" max="3876" customWidth="0" width="3.109375" style="1"/>
    <col min="3877" max="3877" customWidth="0" width="3.109375" style="1"/>
    <col min="3878" max="3878" customWidth="0" width="3.109375" style="1"/>
    <col min="3879" max="3879" customWidth="0" width="3.109375" style="1"/>
    <col min="3880" max="3880" customWidth="0" width="3.109375" style="1"/>
    <col min="3881" max="3881" customWidth="0" width="3.109375" style="1"/>
    <col min="3882" max="3882" customWidth="0" width="3.109375" style="1"/>
    <col min="3883" max="3883" customWidth="0" width="3.109375" style="1"/>
    <col min="3884" max="3884" customWidth="0" width="3.109375" style="1"/>
    <col min="3885" max="3885" customWidth="0" width="3.109375" style="1"/>
    <col min="3886" max="3886" customWidth="0" width="3.109375" style="1"/>
    <col min="3887" max="3887" customWidth="0" width="3.109375" style="1"/>
    <col min="3888" max="3888" customWidth="0" width="3.109375" style="1"/>
    <col min="3889" max="3889" customWidth="0" width="3.109375" style="1"/>
    <col min="3890" max="3890" customWidth="0" width="3.109375" style="1"/>
    <col min="3891" max="3891" customWidth="0" width="3.109375" style="1"/>
    <col min="3892" max="3892" customWidth="0" width="3.109375" style="1"/>
    <col min="3893" max="3893" customWidth="0" width="3.109375" style="1"/>
    <col min="3894" max="3894" customWidth="0" width="3.109375" style="1"/>
    <col min="3895" max="3895" customWidth="0" width="3.109375" style="1"/>
    <col min="3896" max="3896" customWidth="0" width="3.109375" style="1"/>
    <col min="3897" max="3897" customWidth="0" width="3.109375" style="1"/>
    <col min="3898" max="3898" customWidth="0" width="3.109375" style="1"/>
    <col min="3899" max="3899" customWidth="0" width="3.109375" style="1"/>
    <col min="3900" max="3900" customWidth="0" width="3.109375" style="1"/>
    <col min="3901" max="3901" customWidth="0" width="3.109375" style="1"/>
    <col min="3902" max="3902" customWidth="0" width="3.109375" style="1"/>
    <col min="3903" max="3903" customWidth="0" width="3.109375" style="1"/>
    <col min="3904" max="3904" customWidth="0" width="3.109375" style="1"/>
    <col min="3905" max="3905" customWidth="0" width="3.109375" style="1"/>
    <col min="3906" max="3906" customWidth="0" width="3.109375" style="1"/>
    <col min="3907" max="3907" customWidth="0" width="3.109375" style="1"/>
    <col min="3908" max="3908" customWidth="0" width="3.109375" style="1"/>
    <col min="3909" max="3909" customWidth="0" width="3.109375" style="1"/>
    <col min="3910" max="3910" customWidth="0" width="3.109375" style="1"/>
    <col min="3911" max="3911" customWidth="0" width="3.109375" style="1"/>
    <col min="3912" max="3912" customWidth="0" width="3.109375" style="1"/>
    <col min="3913" max="3913" customWidth="0" width="3.109375" style="1"/>
    <col min="3914" max="3914" customWidth="0" width="3.109375" style="1"/>
    <col min="3915" max="3915" customWidth="0" width="3.109375" style="1"/>
    <col min="3916" max="3916" customWidth="0" width="3.109375" style="1"/>
    <col min="3917" max="3917" customWidth="0" width="3.109375" style="1"/>
    <col min="3918" max="3918" customWidth="0" width="3.109375" style="1"/>
    <col min="3919" max="3919" customWidth="0" width="3.109375" style="1"/>
    <col min="3920" max="3920" customWidth="0" width="3.109375" style="1"/>
    <col min="3921" max="3921" customWidth="0" width="3.109375" style="1"/>
    <col min="3922" max="3922" customWidth="0" width="3.109375" style="1"/>
    <col min="3923" max="3923" customWidth="0" width="3.109375" style="1"/>
    <col min="3924" max="3924" customWidth="0" width="3.109375" style="1"/>
    <col min="3925" max="3925" customWidth="0" width="3.109375" style="1"/>
    <col min="3926" max="3926" customWidth="0" width="3.109375" style="1"/>
    <col min="3927" max="3927" customWidth="0" width="3.109375" style="1"/>
    <col min="3928" max="3928" customWidth="0" width="3.109375" style="1"/>
    <col min="3929" max="3929" customWidth="0" width="3.109375" style="1"/>
    <col min="3930" max="3930" customWidth="0" width="3.109375" style="1"/>
    <col min="3931" max="3931" customWidth="0" width="3.109375" style="1"/>
    <col min="3932" max="3932" customWidth="0" width="3.109375" style="1"/>
    <col min="3933" max="3933" customWidth="0" width="3.109375" style="1"/>
    <col min="3934" max="3934" customWidth="0" width="3.109375" style="1"/>
    <col min="3935" max="3935" customWidth="0" width="3.109375" style="1"/>
    <col min="3936" max="3936" customWidth="0" width="3.109375" style="1"/>
    <col min="3937" max="3937" customWidth="0" width="3.109375" style="1"/>
    <col min="3938" max="3938" customWidth="0" width="3.109375" style="1"/>
    <col min="3939" max="3939" customWidth="0" width="3.109375" style="1"/>
    <col min="3940" max="3940" customWidth="0" width="3.109375" style="1"/>
    <col min="3941" max="3941" customWidth="0" width="3.109375" style="1"/>
    <col min="3942" max="3942" customWidth="0" width="3.109375" style="1"/>
    <col min="3943" max="3943" customWidth="0" width="3.109375" style="1"/>
    <col min="3944" max="3944" customWidth="0" width="3.109375" style="1"/>
    <col min="3945" max="3945" customWidth="0" width="3.109375" style="1"/>
    <col min="3946" max="3946" customWidth="0" width="3.109375" style="1"/>
    <col min="3947" max="3947" customWidth="0" width="3.109375" style="1"/>
    <col min="3948" max="3948" customWidth="0" width="3.109375" style="1"/>
    <col min="3949" max="3949" customWidth="0" width="3.109375" style="1"/>
    <col min="3950" max="3950" customWidth="0" width="3.109375" style="1"/>
    <col min="3951" max="3951" customWidth="0" width="3.109375" style="1"/>
    <col min="3952" max="3952" customWidth="0" width="3.109375" style="1"/>
    <col min="3953" max="3953" customWidth="0" width="3.109375" style="1"/>
    <col min="3954" max="3954" customWidth="0" width="3.109375" style="1"/>
    <col min="3955" max="3955" customWidth="0" width="3.109375" style="1"/>
    <col min="3956" max="3956" customWidth="0" width="3.109375" style="1"/>
    <col min="3957" max="3957" customWidth="0" width="3.109375" style="1"/>
    <col min="3958" max="3958" customWidth="0" width="3.109375" style="1"/>
    <col min="3959" max="3959" customWidth="0" width="3.109375" style="1"/>
    <col min="3960" max="3960" customWidth="0" width="3.109375" style="1"/>
    <col min="3961" max="3961" customWidth="0" width="3.109375" style="1"/>
    <col min="3962" max="3962" customWidth="0" width="3.109375" style="1"/>
    <col min="3963" max="3963" customWidth="0" width="3.109375" style="1"/>
    <col min="3964" max="3964" customWidth="0" width="3.109375" style="1"/>
    <col min="3965" max="3965" customWidth="0" width="3.109375" style="1"/>
    <col min="3966" max="3966" customWidth="0" width="3.109375" style="1"/>
    <col min="3967" max="3967" customWidth="0" width="3.109375" style="1"/>
    <col min="3968" max="3968" customWidth="0" width="3.109375" style="1"/>
    <col min="3969" max="3969" customWidth="0" width="3.109375" style="1"/>
    <col min="3970" max="3970" customWidth="0" width="3.109375" style="1"/>
    <col min="3971" max="3971" customWidth="0" width="3.109375" style="1"/>
    <col min="3972" max="3972" customWidth="0" width="3.109375" style="1"/>
    <col min="3973" max="3973" customWidth="0" width="3.109375" style="1"/>
    <col min="3974" max="3974" customWidth="0" width="3.109375" style="1"/>
    <col min="3975" max="3975" customWidth="0" width="3.109375" style="1"/>
    <col min="3976" max="3976" customWidth="0" width="3.109375" style="1"/>
    <col min="3977" max="3977" customWidth="0" width="3.109375" style="1"/>
    <col min="3978" max="3978" customWidth="0" width="3.109375" style="1"/>
    <col min="3979" max="3979" customWidth="0" width="3.109375" style="1"/>
    <col min="3980" max="3980" customWidth="0" width="3.109375" style="1"/>
    <col min="3981" max="3981" customWidth="0" width="3.109375" style="1"/>
    <col min="3982" max="3982" customWidth="0" width="3.109375" style="1"/>
    <col min="3983" max="3983" customWidth="0" width="3.109375" style="1"/>
    <col min="3984" max="3984" customWidth="0" width="3.109375" style="1"/>
    <col min="3985" max="3985" customWidth="0" width="3.109375" style="1"/>
    <col min="3986" max="3986" customWidth="0" width="3.109375" style="1"/>
    <col min="3987" max="3987" customWidth="0" width="3.109375" style="1"/>
    <col min="3988" max="3988" customWidth="0" width="3.109375" style="1"/>
    <col min="3989" max="3989" customWidth="0" width="3.109375" style="1"/>
    <col min="3990" max="3990" customWidth="0" width="3.109375" style="1"/>
    <col min="3991" max="3991" customWidth="0" width="3.109375" style="1"/>
    <col min="3992" max="3992" customWidth="0" width="3.109375" style="1"/>
    <col min="3993" max="3993" customWidth="0" width="3.109375" style="1"/>
    <col min="3994" max="3994" customWidth="0" width="3.109375" style="1"/>
    <col min="3995" max="3995" customWidth="0" width="3.109375" style="1"/>
    <col min="3996" max="3996" customWidth="0" width="3.109375" style="1"/>
    <col min="3997" max="3997" customWidth="0" width="3.109375" style="1"/>
    <col min="3998" max="3998" customWidth="0" width="3.109375" style="1"/>
    <col min="3999" max="3999" customWidth="0" width="3.109375" style="1"/>
    <col min="4000" max="4000" customWidth="0" width="3.109375" style="1"/>
    <col min="4001" max="4001" customWidth="0" width="3.109375" style="1"/>
    <col min="4002" max="4002" customWidth="0" width="3.109375" style="1"/>
    <col min="4003" max="4003" customWidth="0" width="3.109375" style="1"/>
    <col min="4004" max="4004" customWidth="0" width="3.109375" style="1"/>
    <col min="4005" max="4005" customWidth="0" width="3.109375" style="1"/>
    <col min="4006" max="4006" customWidth="0" width="3.109375" style="1"/>
    <col min="4007" max="4007" customWidth="0" width="3.109375" style="1"/>
    <col min="4008" max="4008" customWidth="0" width="3.109375" style="1"/>
    <col min="4009" max="4009" customWidth="0" width="3.109375" style="1"/>
    <col min="4010" max="4010" customWidth="0" width="3.109375" style="1"/>
    <col min="4011" max="4011" customWidth="0" width="3.109375" style="1"/>
    <col min="4012" max="4012" customWidth="0" width="3.109375" style="1"/>
    <col min="4013" max="4013" customWidth="0" width="3.109375" style="1"/>
    <col min="4014" max="4014" customWidth="0" width="3.109375" style="1"/>
    <col min="4015" max="4015" customWidth="0" width="3.109375" style="1"/>
    <col min="4016" max="4016" customWidth="0" width="3.109375" style="1"/>
    <col min="4017" max="4017" customWidth="0" width="3.109375" style="1"/>
    <col min="4018" max="4018" customWidth="0" width="3.109375" style="1"/>
    <col min="4019" max="4019" customWidth="0" width="3.109375" style="1"/>
    <col min="4020" max="4020" customWidth="0" width="3.109375" style="1"/>
    <col min="4021" max="4021" customWidth="0" width="3.109375" style="1"/>
    <col min="4022" max="4022" customWidth="0" width="3.109375" style="1"/>
    <col min="4023" max="4023" customWidth="0" width="3.109375" style="1"/>
    <col min="4024" max="4024" customWidth="0" width="3.109375" style="1"/>
    <col min="4025" max="4025" customWidth="0" width="3.109375" style="1"/>
    <col min="4026" max="4026" customWidth="0" width="3.109375" style="1"/>
    <col min="4027" max="4027" customWidth="0" width="3.109375" style="1"/>
    <col min="4028" max="4028" customWidth="0" width="3.109375" style="1"/>
    <col min="4029" max="4029" customWidth="0" width="3.109375" style="1"/>
    <col min="4030" max="4030" customWidth="0" width="3.109375" style="1"/>
    <col min="4031" max="4031" customWidth="0" width="3.109375" style="1"/>
    <col min="4032" max="4032" customWidth="0" width="3.109375" style="1"/>
    <col min="4033" max="4033" customWidth="0" width="3.109375" style="1"/>
    <col min="4034" max="4034" customWidth="0" width="3.109375" style="1"/>
    <col min="4035" max="4035" customWidth="0" width="3.109375" style="1"/>
    <col min="4036" max="4036" customWidth="0" width="3.109375" style="1"/>
    <col min="4037" max="4037" customWidth="0" width="3.109375" style="1"/>
    <col min="4038" max="4038" customWidth="0" width="3.109375" style="1"/>
    <col min="4039" max="4039" customWidth="0" width="3.109375" style="1"/>
    <col min="4040" max="4040" customWidth="0" width="3.109375" style="1"/>
    <col min="4041" max="4041" customWidth="0" width="3.109375" style="1"/>
    <col min="4042" max="4042" customWidth="0" width="3.109375" style="1"/>
    <col min="4043" max="4043" customWidth="0" width="3.109375" style="1"/>
    <col min="4044" max="4044" customWidth="0" width="3.109375" style="1"/>
    <col min="4045" max="4045" customWidth="0" width="3.109375" style="1"/>
    <col min="4046" max="4046" customWidth="0" width="3.109375" style="1"/>
    <col min="4047" max="4047" customWidth="0" width="3.109375" style="1"/>
    <col min="4048" max="4048" customWidth="0" width="3.109375" style="1"/>
    <col min="4049" max="4049" customWidth="0" width="3.109375" style="1"/>
    <col min="4050" max="4050" customWidth="0" width="3.109375" style="1"/>
    <col min="4051" max="4051" customWidth="0" width="3.109375" style="1"/>
    <col min="4052" max="4052" customWidth="0" width="3.109375" style="1"/>
    <col min="4053" max="4053" customWidth="0" width="3.109375" style="1"/>
    <col min="4054" max="4054" customWidth="0" width="3.109375" style="1"/>
    <col min="4055" max="4055" customWidth="0" width="3.109375" style="1"/>
    <col min="4056" max="4056" customWidth="0" width="3.109375" style="1"/>
    <col min="4057" max="4057" customWidth="0" width="3.109375" style="1"/>
    <col min="4058" max="4058" customWidth="0" width="3.109375" style="1"/>
    <col min="4059" max="4059" customWidth="0" width="3.109375" style="1"/>
    <col min="4060" max="4060" customWidth="0" width="3.109375" style="1"/>
    <col min="4061" max="4061" customWidth="0" width="3.109375" style="1"/>
    <col min="4062" max="4062" customWidth="0" width="3.109375" style="1"/>
    <col min="4063" max="4063" customWidth="0" width="3.109375" style="1"/>
    <col min="4064" max="4064" customWidth="0" width="3.109375" style="1"/>
    <col min="4065" max="4065" customWidth="0" width="3.109375" style="1"/>
    <col min="4066" max="4066" customWidth="0" width="3.109375" style="1"/>
    <col min="4067" max="4067" customWidth="0" width="3.109375" style="1"/>
    <col min="4068" max="4068" customWidth="0" width="3.109375" style="1"/>
    <col min="4069" max="4069" customWidth="0" width="3.109375" style="1"/>
    <col min="4070" max="4070" customWidth="0" width="3.109375" style="1"/>
    <col min="4071" max="4071" customWidth="0" width="3.109375" style="1"/>
    <col min="4072" max="4072" customWidth="0" width="3.109375" style="1"/>
    <col min="4073" max="4073" customWidth="0" width="3.109375" style="1"/>
    <col min="4074" max="4074" customWidth="0" width="3.109375" style="1"/>
    <col min="4075" max="4075" customWidth="0" width="3.109375" style="1"/>
    <col min="4076" max="4076" customWidth="0" width="3.109375" style="1"/>
    <col min="4077" max="4077" customWidth="0" width="3.109375" style="1"/>
    <col min="4078" max="4078" customWidth="0" width="3.109375" style="1"/>
    <col min="4079" max="4079" customWidth="0" width="3.109375" style="1"/>
    <col min="4080" max="4080" customWidth="0" width="3.109375" style="1"/>
    <col min="4081" max="4081" customWidth="0" width="3.109375" style="1"/>
    <col min="4082" max="4082" customWidth="0" width="3.109375" style="1"/>
    <col min="4083" max="4083" customWidth="0" width="3.109375" style="1"/>
    <col min="4084" max="4084" customWidth="0" width="3.109375" style="1"/>
    <col min="4085" max="4085" customWidth="0" width="3.109375" style="1"/>
    <col min="4086" max="4086" customWidth="0" width="3.109375" style="1"/>
    <col min="4087" max="4087" customWidth="0" width="3.109375" style="1"/>
    <col min="4088" max="4088" customWidth="0" width="3.109375" style="1"/>
    <col min="4089" max="4089" customWidth="0" width="3.109375" style="1"/>
    <col min="4090" max="4090" customWidth="0" width="3.109375" style="1"/>
    <col min="4091" max="4091" customWidth="0" width="3.109375" style="1"/>
    <col min="4092" max="4092" customWidth="0" width="3.109375" style="1"/>
    <col min="4093" max="4093" customWidth="0" width="3.109375" style="1"/>
    <col min="4094" max="4094" customWidth="0" width="3.109375" style="1"/>
    <col min="4095" max="4095" customWidth="0" width="3.109375" style="1"/>
    <col min="4096" max="4096" customWidth="0" width="3.109375" style="1"/>
    <col min="4097" max="4097" customWidth="0" width="3.109375" style="1"/>
    <col min="4098" max="4098" customWidth="0" width="3.109375" style="1"/>
    <col min="4099" max="4099" customWidth="0" width="3.109375" style="1"/>
    <col min="4100" max="4100" customWidth="0" width="3.109375" style="1"/>
    <col min="4101" max="4101" customWidth="0" width="3.109375" style="1"/>
    <col min="4102" max="4102" customWidth="0" width="3.109375" style="1"/>
    <col min="4103" max="4103" customWidth="0" width="3.109375" style="1"/>
    <col min="4104" max="4104" customWidth="0" width="3.109375" style="1"/>
    <col min="4105" max="4105" customWidth="0" width="3.109375" style="1"/>
    <col min="4106" max="4106" customWidth="0" width="3.109375" style="1"/>
    <col min="4107" max="4107" customWidth="0" width="3.109375" style="1"/>
    <col min="4108" max="4108" customWidth="0" width="3.109375" style="1"/>
    <col min="4109" max="4109" customWidth="0" width="3.109375" style="1"/>
    <col min="4110" max="4110" customWidth="0" width="3.109375" style="1"/>
    <col min="4111" max="4111" customWidth="0" width="3.109375" style="1"/>
    <col min="4112" max="4112" customWidth="0" width="3.109375" style="1"/>
    <col min="4113" max="4113" customWidth="0" width="3.109375" style="1"/>
    <col min="4114" max="4114" customWidth="0" width="3.109375" style="1"/>
    <col min="4115" max="4115" customWidth="0" width="3.109375" style="1"/>
    <col min="4116" max="4116" customWidth="0" width="3.109375" style="1"/>
    <col min="4117" max="4117" customWidth="0" width="3.109375" style="1"/>
    <col min="4118" max="4118" customWidth="0" width="3.109375" style="1"/>
    <col min="4119" max="4119" customWidth="0" width="3.109375" style="1"/>
    <col min="4120" max="4120" customWidth="0" width="3.109375" style="1"/>
    <col min="4121" max="4121" customWidth="0" width="3.109375" style="1"/>
    <col min="4122" max="4122" customWidth="0" width="3.109375" style="1"/>
    <col min="4123" max="4123" customWidth="0" width="3.109375" style="1"/>
    <col min="4124" max="4124" customWidth="0" width="3.109375" style="1"/>
    <col min="4125" max="4125" customWidth="0" width="3.109375" style="1"/>
    <col min="4126" max="4126" customWidth="0" width="3.109375" style="1"/>
    <col min="4127" max="4127" customWidth="0" width="3.109375" style="1"/>
    <col min="4128" max="4128" customWidth="0" width="3.109375" style="1"/>
    <col min="4129" max="4129" customWidth="0" width="3.109375" style="1"/>
    <col min="4130" max="4130" customWidth="0" width="3.109375" style="1"/>
    <col min="4131" max="4131" customWidth="0" width="3.109375" style="1"/>
    <col min="4132" max="4132" customWidth="0" width="3.109375" style="1"/>
    <col min="4133" max="4133" customWidth="0" width="3.109375" style="1"/>
    <col min="4134" max="4134" customWidth="0" width="3.109375" style="1"/>
    <col min="4135" max="4135" customWidth="0" width="3.109375" style="1"/>
    <col min="4136" max="4136" customWidth="0" width="3.109375" style="1"/>
    <col min="4137" max="4137" customWidth="0" width="3.109375" style="1"/>
    <col min="4138" max="4138" customWidth="0" width="3.109375" style="1"/>
    <col min="4139" max="4139" customWidth="0" width="3.109375" style="1"/>
    <col min="4140" max="4140" customWidth="0" width="3.109375" style="1"/>
    <col min="4141" max="4141" customWidth="0" width="3.109375" style="1"/>
    <col min="4142" max="4142" customWidth="0" width="3.109375" style="1"/>
    <col min="4143" max="4143" customWidth="0" width="3.109375" style="1"/>
    <col min="4144" max="4144" customWidth="0" width="3.109375" style="1"/>
    <col min="4145" max="4145" customWidth="0" width="3.109375" style="1"/>
    <col min="4146" max="4146" customWidth="0" width="3.109375" style="1"/>
    <col min="4147" max="4147" customWidth="0" width="3.109375" style="1"/>
    <col min="4148" max="4148" customWidth="0" width="3.109375" style="1"/>
    <col min="4149" max="4149" customWidth="0" width="3.109375" style="1"/>
    <col min="4150" max="4150" customWidth="0" width="3.109375" style="1"/>
    <col min="4151" max="4151" customWidth="0" width="3.109375" style="1"/>
    <col min="4152" max="4152" customWidth="0" width="3.109375" style="1"/>
    <col min="4153" max="4153" customWidth="0" width="3.109375" style="1"/>
    <col min="4154" max="4154" customWidth="0" width="3.109375" style="1"/>
    <col min="4155" max="4155" customWidth="0" width="3.109375" style="1"/>
    <col min="4156" max="4156" customWidth="0" width="3.109375" style="1"/>
    <col min="4157" max="4157" customWidth="0" width="3.109375" style="1"/>
    <col min="4158" max="4158" customWidth="0" width="3.109375" style="1"/>
    <col min="4159" max="4159" customWidth="0" width="3.109375" style="1"/>
    <col min="4160" max="4160" customWidth="0" width="3.109375" style="1"/>
    <col min="4161" max="4161" customWidth="0" width="3.109375" style="1"/>
    <col min="4162" max="4162" customWidth="0" width="3.109375" style="1"/>
    <col min="4163" max="4163" customWidth="0" width="3.109375" style="1"/>
    <col min="4164" max="4164" customWidth="0" width="3.109375" style="1"/>
    <col min="4165" max="4165" customWidth="0" width="3.109375" style="1"/>
    <col min="4166" max="4166" customWidth="0" width="3.109375" style="1"/>
    <col min="4167" max="4167" customWidth="0" width="3.109375" style="1"/>
    <col min="4168" max="4168" customWidth="0" width="3.109375" style="1"/>
    <col min="4169" max="4169" customWidth="0" width="3.109375" style="1"/>
    <col min="4170" max="4170" customWidth="0" width="3.109375" style="1"/>
    <col min="4171" max="4171" customWidth="0" width="3.109375" style="1"/>
    <col min="4172" max="4172" customWidth="0" width="3.109375" style="1"/>
    <col min="4173" max="4173" customWidth="0" width="3.109375" style="1"/>
    <col min="4174" max="4174" customWidth="0" width="3.109375" style="1"/>
    <col min="4175" max="4175" customWidth="0" width="3.109375" style="1"/>
    <col min="4176" max="4176" customWidth="0" width="3.109375" style="1"/>
    <col min="4177" max="4177" customWidth="0" width="3.109375" style="1"/>
    <col min="4178" max="4178" customWidth="0" width="3.109375" style="1"/>
    <col min="4179" max="4179" customWidth="0" width="3.109375" style="1"/>
    <col min="4180" max="4180" customWidth="0" width="3.109375" style="1"/>
    <col min="4181" max="4181" customWidth="0" width="3.109375" style="1"/>
    <col min="4182" max="4182" customWidth="0" width="3.109375" style="1"/>
    <col min="4183" max="4183" customWidth="0" width="3.109375" style="1"/>
    <col min="4184" max="4184" customWidth="0" width="3.109375" style="1"/>
    <col min="4185" max="4185" customWidth="0" width="3.109375" style="1"/>
    <col min="4186" max="4186" customWidth="0" width="3.109375" style="1"/>
    <col min="4187" max="4187" customWidth="0" width="3.109375" style="1"/>
    <col min="4188" max="4188" customWidth="0" width="3.109375" style="1"/>
    <col min="4189" max="4189" customWidth="0" width="3.109375" style="1"/>
    <col min="4190" max="4190" customWidth="0" width="3.109375" style="1"/>
    <col min="4191" max="4191" customWidth="0" width="3.109375" style="1"/>
    <col min="4192" max="4192" customWidth="0" width="3.109375" style="1"/>
    <col min="4193" max="4193" customWidth="0" width="3.109375" style="1"/>
    <col min="4194" max="4194" customWidth="0" width="3.109375" style="1"/>
    <col min="4195" max="4195" customWidth="0" width="3.109375" style="1"/>
    <col min="4196" max="4196" customWidth="0" width="3.109375" style="1"/>
    <col min="4197" max="4197" customWidth="0" width="3.109375" style="1"/>
    <col min="4198" max="4198" customWidth="0" width="3.109375" style="1"/>
    <col min="4199" max="4199" customWidth="0" width="3.109375" style="1"/>
    <col min="4200" max="4200" customWidth="0" width="3.109375" style="1"/>
    <col min="4201" max="4201" customWidth="0" width="3.109375" style="1"/>
    <col min="4202" max="4202" customWidth="0" width="3.109375" style="1"/>
    <col min="4203" max="4203" customWidth="0" width="3.109375" style="1"/>
    <col min="4204" max="4204" customWidth="0" width="3.109375" style="1"/>
    <col min="4205" max="4205" customWidth="0" width="3.109375" style="1"/>
    <col min="4206" max="4206" customWidth="0" width="3.109375" style="1"/>
    <col min="4207" max="4207" customWidth="0" width="3.109375" style="1"/>
    <col min="4208" max="4208" customWidth="0" width="3.109375" style="1"/>
    <col min="4209" max="4209" customWidth="0" width="3.109375" style="1"/>
    <col min="4210" max="4210" customWidth="0" width="3.109375" style="1"/>
    <col min="4211" max="4211" customWidth="0" width="3.109375" style="1"/>
    <col min="4212" max="4212" customWidth="0" width="3.109375" style="1"/>
    <col min="4213" max="4213" customWidth="0" width="3.109375" style="1"/>
    <col min="4214" max="4214" customWidth="0" width="3.109375" style="1"/>
    <col min="4215" max="4215" customWidth="0" width="3.109375" style="1"/>
    <col min="4216" max="4216" customWidth="0" width="3.109375" style="1"/>
    <col min="4217" max="4217" customWidth="0" width="3.109375" style="1"/>
    <col min="4218" max="4218" customWidth="0" width="3.109375" style="1"/>
    <col min="4219" max="4219" customWidth="0" width="3.109375" style="1"/>
    <col min="4220" max="4220" customWidth="0" width="3.109375" style="1"/>
    <col min="4221" max="4221" customWidth="0" width="3.109375" style="1"/>
    <col min="4222" max="4222" customWidth="0" width="3.109375" style="1"/>
    <col min="4223" max="4223" customWidth="0" width="3.109375" style="1"/>
    <col min="4224" max="4224" customWidth="0" width="3.109375" style="1"/>
    <col min="4225" max="4225" customWidth="0" width="3.109375" style="1"/>
    <col min="4226" max="4226" customWidth="0" width="3.109375" style="1"/>
    <col min="4227" max="4227" customWidth="0" width="3.109375" style="1"/>
    <col min="4228" max="4228" customWidth="0" width="3.109375" style="1"/>
    <col min="4229" max="4229" customWidth="0" width="3.109375" style="1"/>
    <col min="4230" max="4230" customWidth="0" width="3.109375" style="1"/>
    <col min="4231" max="4231" customWidth="0" width="3.109375" style="1"/>
    <col min="4232" max="4232" customWidth="0" width="3.109375" style="1"/>
    <col min="4233" max="4233" customWidth="0" width="3.109375" style="1"/>
    <col min="4234" max="4234" customWidth="0" width="3.109375" style="1"/>
    <col min="4235" max="4235" customWidth="0" width="3.109375" style="1"/>
    <col min="4236" max="4236" customWidth="0" width="3.109375" style="1"/>
    <col min="4237" max="4237" customWidth="0" width="3.109375" style="1"/>
    <col min="4238" max="4238" customWidth="0" width="3.109375" style="1"/>
    <col min="4239" max="4239" customWidth="0" width="3.109375" style="1"/>
    <col min="4240" max="4240" customWidth="0" width="3.109375" style="1"/>
    <col min="4241" max="4241" customWidth="0" width="3.109375" style="1"/>
    <col min="4242" max="4242" customWidth="0" width="3.109375" style="1"/>
    <col min="4243" max="4243" customWidth="0" width="3.109375" style="1"/>
    <col min="4244" max="4244" customWidth="0" width="3.109375" style="1"/>
    <col min="4245" max="4245" customWidth="0" width="3.109375" style="1"/>
    <col min="4246" max="4246" customWidth="0" width="3.109375" style="1"/>
    <col min="4247" max="4247" customWidth="0" width="3.109375" style="1"/>
    <col min="4248" max="4248" customWidth="0" width="3.109375" style="1"/>
    <col min="4249" max="4249" customWidth="0" width="3.109375" style="1"/>
    <col min="4250" max="4250" customWidth="0" width="3.109375" style="1"/>
    <col min="4251" max="4251" customWidth="0" width="3.109375" style="1"/>
    <col min="4252" max="4252" customWidth="0" width="3.109375" style="1"/>
    <col min="4253" max="4253" customWidth="0" width="3.109375" style="1"/>
    <col min="4254" max="4254" customWidth="0" width="3.109375" style="1"/>
    <col min="4255" max="4255" customWidth="0" width="3.109375" style="1"/>
    <col min="4256" max="4256" customWidth="0" width="3.109375" style="1"/>
    <col min="4257" max="4257" customWidth="0" width="3.109375" style="1"/>
    <col min="4258" max="4258" customWidth="0" width="3.109375" style="1"/>
    <col min="4259" max="4259" customWidth="0" width="3.109375" style="1"/>
    <col min="4260" max="4260" customWidth="0" width="3.109375" style="1"/>
    <col min="4261" max="4261" customWidth="0" width="3.109375" style="1"/>
    <col min="4262" max="4262" customWidth="0" width="3.109375" style="1"/>
    <col min="4263" max="4263" customWidth="0" width="3.109375" style="1"/>
    <col min="4264" max="4264" customWidth="0" width="3.109375" style="1"/>
    <col min="4265" max="4265" customWidth="0" width="3.109375" style="1"/>
    <col min="4266" max="4266" customWidth="0" width="3.109375" style="1"/>
    <col min="4267" max="4267" customWidth="0" width="3.109375" style="1"/>
    <col min="4268" max="4268" customWidth="0" width="3.109375" style="1"/>
    <col min="4269" max="4269" customWidth="0" width="3.109375" style="1"/>
    <col min="4270" max="4270" customWidth="0" width="3.109375" style="1"/>
    <col min="4271" max="4271" customWidth="0" width="3.109375" style="1"/>
    <col min="4272" max="4272" customWidth="0" width="3.109375" style="1"/>
    <col min="4273" max="4273" customWidth="0" width="3.109375" style="1"/>
    <col min="4274" max="4274" customWidth="0" width="3.109375" style="1"/>
    <col min="4275" max="4275" customWidth="0" width="3.109375" style="1"/>
    <col min="4276" max="4276" customWidth="0" width="3.109375" style="1"/>
    <col min="4277" max="4277" customWidth="0" width="3.109375" style="1"/>
    <col min="4278" max="4278" customWidth="0" width="3.109375" style="1"/>
    <col min="4279" max="4279" customWidth="0" width="3.109375" style="1"/>
    <col min="4280" max="4280" customWidth="0" width="3.109375" style="1"/>
    <col min="4281" max="4281" customWidth="0" width="3.109375" style="1"/>
    <col min="4282" max="4282" customWidth="0" width="3.109375" style="1"/>
    <col min="4283" max="4283" customWidth="0" width="3.109375" style="1"/>
    <col min="4284" max="4284" customWidth="0" width="3.109375" style="1"/>
    <col min="4285" max="4285" customWidth="0" width="3.109375" style="1"/>
    <col min="4286" max="4286" customWidth="0" width="3.109375" style="1"/>
    <col min="4287" max="4287" customWidth="0" width="3.109375" style="1"/>
    <col min="4288" max="4288" customWidth="0" width="3.109375" style="1"/>
    <col min="4289" max="4289" customWidth="0" width="3.109375" style="1"/>
    <col min="4290" max="4290" customWidth="0" width="3.109375" style="1"/>
    <col min="4291" max="4291" customWidth="0" width="3.109375" style="1"/>
    <col min="4292" max="4292" customWidth="0" width="3.109375" style="1"/>
    <col min="4293" max="4293" customWidth="0" width="3.109375" style="1"/>
    <col min="4294" max="4294" customWidth="0" width="3.109375" style="1"/>
    <col min="4295" max="4295" customWidth="0" width="3.109375" style="1"/>
    <col min="4296" max="4296" customWidth="0" width="3.109375" style="1"/>
    <col min="4297" max="4297" customWidth="0" width="3.109375" style="1"/>
    <col min="4298" max="4298" customWidth="0" width="3.109375" style="1"/>
    <col min="4299" max="4299" customWidth="0" width="3.109375" style="1"/>
    <col min="4300" max="4300" customWidth="0" width="3.109375" style="1"/>
    <col min="4301" max="4301" customWidth="0" width="3.109375" style="1"/>
    <col min="4302" max="4302" customWidth="0" width="3.109375" style="1"/>
    <col min="4303" max="4303" customWidth="0" width="3.109375" style="1"/>
    <col min="4304" max="4304" customWidth="0" width="3.109375" style="1"/>
    <col min="4305" max="4305" customWidth="0" width="3.109375" style="1"/>
    <col min="4306" max="4306" customWidth="0" width="3.109375" style="1"/>
    <col min="4307" max="4307" customWidth="0" width="3.109375" style="1"/>
    <col min="4308" max="4308" customWidth="0" width="3.109375" style="1"/>
    <col min="4309" max="4309" customWidth="0" width="3.109375" style="1"/>
    <col min="4310" max="4310" customWidth="0" width="3.109375" style="1"/>
    <col min="4311" max="4311" customWidth="0" width="3.109375" style="1"/>
    <col min="4312" max="4312" customWidth="0" width="3.109375" style="1"/>
    <col min="4313" max="4313" customWidth="0" width="3.109375" style="1"/>
    <col min="4314" max="4314" customWidth="0" width="3.109375" style="1"/>
    <col min="4315" max="4315" customWidth="0" width="3.109375" style="1"/>
    <col min="4316" max="4316" customWidth="0" width="3.109375" style="1"/>
    <col min="4317" max="4317" customWidth="0" width="3.109375" style="1"/>
    <col min="4318" max="4318" customWidth="0" width="3.109375" style="1"/>
    <col min="4319" max="4319" customWidth="0" width="3.109375" style="1"/>
    <col min="4320" max="4320" customWidth="0" width="3.109375" style="1"/>
    <col min="4321" max="4321" customWidth="0" width="3.109375" style="1"/>
    <col min="4322" max="4322" customWidth="0" width="3.109375" style="1"/>
    <col min="4323" max="4323" customWidth="0" width="3.109375" style="1"/>
    <col min="4324" max="4324" customWidth="0" width="3.109375" style="1"/>
    <col min="4325" max="4325" customWidth="0" width="3.109375" style="1"/>
    <col min="4326" max="4326" customWidth="0" width="3.109375" style="1"/>
    <col min="4327" max="4327" customWidth="0" width="3.109375" style="1"/>
    <col min="4328" max="4328" customWidth="0" width="3.109375" style="1"/>
    <col min="4329" max="4329" customWidth="0" width="3.109375" style="1"/>
    <col min="4330" max="4330" customWidth="0" width="3.109375" style="1"/>
    <col min="4331" max="4331" customWidth="0" width="3.109375" style="1"/>
    <col min="4332" max="4332" customWidth="0" width="3.109375" style="1"/>
    <col min="4333" max="4333" customWidth="0" width="3.109375" style="1"/>
    <col min="4334" max="4334" customWidth="0" width="3.109375" style="1"/>
    <col min="4335" max="4335" customWidth="0" width="3.109375" style="1"/>
    <col min="4336" max="4336" customWidth="0" width="3.109375" style="1"/>
    <col min="4337" max="4337" customWidth="0" width="3.109375" style="1"/>
    <col min="4338" max="4338" customWidth="0" width="3.109375" style="1"/>
    <col min="4339" max="4339" customWidth="0" width="3.109375" style="1"/>
    <col min="4340" max="4340" customWidth="0" width="3.109375" style="1"/>
    <col min="4341" max="4341" customWidth="0" width="3.109375" style="1"/>
    <col min="4342" max="4342" customWidth="0" width="3.109375" style="1"/>
    <col min="4343" max="4343" customWidth="0" width="3.109375" style="1"/>
    <col min="4344" max="4344" customWidth="0" width="3.109375" style="1"/>
    <col min="4345" max="4345" customWidth="0" width="3.109375" style="1"/>
    <col min="4346" max="4346" customWidth="0" width="3.109375" style="1"/>
    <col min="4347" max="4347" customWidth="0" width="3.109375" style="1"/>
    <col min="4348" max="4348" customWidth="0" width="3.109375" style="1"/>
    <col min="4349" max="4349" customWidth="0" width="3.109375" style="1"/>
    <col min="4350" max="4350" customWidth="0" width="3.109375" style="1"/>
    <col min="4351" max="4351" customWidth="0" width="3.109375" style="1"/>
    <col min="4352" max="4352" customWidth="0" width="3.109375" style="1"/>
    <col min="4353" max="4353" customWidth="0" width="3.109375" style="1"/>
    <col min="4354" max="4354" customWidth="0" width="3.109375" style="1"/>
    <col min="4355" max="4355" customWidth="0" width="3.109375" style="1"/>
    <col min="4356" max="4356" customWidth="0" width="3.109375" style="1"/>
    <col min="4357" max="4357" customWidth="0" width="3.109375" style="1"/>
    <col min="4358" max="4358" customWidth="0" width="3.109375" style="1"/>
    <col min="4359" max="4359" customWidth="0" width="3.109375" style="1"/>
    <col min="4360" max="4360" customWidth="0" width="3.109375" style="1"/>
    <col min="4361" max="4361" customWidth="0" width="3.109375" style="1"/>
    <col min="4362" max="4362" customWidth="0" width="3.109375" style="1"/>
    <col min="4363" max="4363" customWidth="0" width="3.109375" style="1"/>
    <col min="4364" max="4364" customWidth="0" width="3.109375" style="1"/>
    <col min="4365" max="4365" customWidth="0" width="3.109375" style="1"/>
    <col min="4366" max="4366" customWidth="0" width="3.109375" style="1"/>
    <col min="4367" max="4367" customWidth="0" width="3.109375" style="1"/>
    <col min="4368" max="4368" customWidth="0" width="3.109375" style="1"/>
    <col min="4369" max="4369" customWidth="0" width="3.109375" style="1"/>
    <col min="4370" max="4370" customWidth="0" width="3.109375" style="1"/>
    <col min="4371" max="4371" customWidth="0" width="3.109375" style="1"/>
    <col min="4372" max="4372" customWidth="0" width="3.109375" style="1"/>
    <col min="4373" max="4373" customWidth="0" width="3.109375" style="1"/>
    <col min="4374" max="4374" customWidth="0" width="3.109375" style="1"/>
    <col min="4375" max="4375" customWidth="0" width="3.109375" style="1"/>
    <col min="4376" max="4376" customWidth="0" width="3.109375" style="1"/>
    <col min="4377" max="4377" customWidth="0" width="3.109375" style="1"/>
    <col min="4378" max="4378" customWidth="0" width="3.109375" style="1"/>
    <col min="4379" max="4379" customWidth="0" width="3.109375" style="1"/>
    <col min="4380" max="4380" customWidth="0" width="3.109375" style="1"/>
    <col min="4381" max="4381" customWidth="0" width="3.109375" style="1"/>
    <col min="4382" max="4382" customWidth="0" width="3.109375" style="1"/>
    <col min="4383" max="4383" customWidth="0" width="3.109375" style="1"/>
    <col min="4384" max="4384" customWidth="0" width="3.109375" style="1"/>
    <col min="4385" max="4385" customWidth="0" width="3.109375" style="1"/>
    <col min="4386" max="4386" customWidth="0" width="3.109375" style="1"/>
    <col min="4387" max="4387" customWidth="0" width="3.109375" style="1"/>
    <col min="4388" max="4388" customWidth="0" width="3.109375" style="1"/>
    <col min="4389" max="4389" customWidth="0" width="3.109375" style="1"/>
    <col min="4390" max="4390" customWidth="0" width="3.109375" style="1"/>
    <col min="4391" max="4391" customWidth="0" width="3.109375" style="1"/>
    <col min="4392" max="4392" customWidth="0" width="3.109375" style="1"/>
    <col min="4393" max="4393" customWidth="0" width="3.109375" style="1"/>
    <col min="4394" max="4394" customWidth="0" width="3.109375" style="1"/>
    <col min="4395" max="4395" customWidth="0" width="3.109375" style="1"/>
    <col min="4396" max="4396" customWidth="0" width="3.109375" style="1"/>
    <col min="4397" max="4397" customWidth="0" width="3.109375" style="1"/>
    <col min="4398" max="4398" customWidth="0" width="3.109375" style="1"/>
    <col min="4399" max="4399" customWidth="0" width="3.109375" style="1"/>
    <col min="4400" max="4400" customWidth="0" width="3.109375" style="1"/>
    <col min="4401" max="4401" customWidth="0" width="3.109375" style="1"/>
    <col min="4402" max="4402" customWidth="0" width="3.109375" style="1"/>
    <col min="4403" max="4403" customWidth="0" width="3.109375" style="1"/>
    <col min="4404" max="4404" customWidth="0" width="3.109375" style="1"/>
    <col min="4405" max="4405" customWidth="0" width="3.109375" style="1"/>
    <col min="4406" max="4406" customWidth="0" width="3.109375" style="1"/>
    <col min="4407" max="4407" customWidth="0" width="3.109375" style="1"/>
    <col min="4408" max="4408" customWidth="0" width="3.109375" style="1"/>
    <col min="4409" max="4409" customWidth="0" width="3.109375" style="1"/>
    <col min="4410" max="4410" customWidth="0" width="3.109375" style="1"/>
    <col min="4411" max="4411" customWidth="0" width="3.109375" style="1"/>
    <col min="4412" max="4412" customWidth="0" width="3.109375" style="1"/>
    <col min="4413" max="4413" customWidth="0" width="3.109375" style="1"/>
    <col min="4414" max="4414" customWidth="0" width="3.109375" style="1"/>
    <col min="4415" max="4415" customWidth="0" width="3.109375" style="1"/>
    <col min="4416" max="4416" customWidth="0" width="3.109375" style="1"/>
    <col min="4417" max="4417" customWidth="0" width="3.109375" style="1"/>
    <col min="4418" max="4418" customWidth="0" width="3.109375" style="1"/>
    <col min="4419" max="4419" customWidth="0" width="3.109375" style="1"/>
    <col min="4420" max="4420" customWidth="0" width="3.109375" style="1"/>
    <col min="4421" max="4421" customWidth="0" width="3.109375" style="1"/>
    <col min="4422" max="4422" customWidth="0" width="3.109375" style="1"/>
    <col min="4423" max="4423" customWidth="0" width="3.109375" style="1"/>
    <col min="4424" max="4424" customWidth="0" width="3.109375" style="1"/>
    <col min="4425" max="4425" customWidth="0" width="3.109375" style="1"/>
    <col min="4426" max="4426" customWidth="0" width="3.109375" style="1"/>
    <col min="4427" max="4427" customWidth="0" width="3.109375" style="1"/>
    <col min="4428" max="4428" customWidth="0" width="3.109375" style="1"/>
    <col min="4429" max="4429" customWidth="0" width="3.109375" style="1"/>
    <col min="4430" max="4430" customWidth="0" width="3.109375" style="1"/>
    <col min="4431" max="4431" customWidth="0" width="3.109375" style="1"/>
    <col min="4432" max="4432" customWidth="0" width="3.109375" style="1"/>
    <col min="4433" max="4433" customWidth="0" width="3.109375" style="1"/>
    <col min="4434" max="4434" customWidth="0" width="3.109375" style="1"/>
    <col min="4435" max="4435" customWidth="0" width="3.109375" style="1"/>
    <col min="4436" max="4436" customWidth="0" width="3.109375" style="1"/>
    <col min="4437" max="4437" customWidth="0" width="3.109375" style="1"/>
    <col min="4438" max="4438" customWidth="0" width="3.109375" style="1"/>
    <col min="4439" max="4439" customWidth="0" width="3.109375" style="1"/>
    <col min="4440" max="4440" customWidth="0" width="3.109375" style="1"/>
    <col min="4441" max="4441" customWidth="0" width="3.109375" style="1"/>
    <col min="4442" max="4442" customWidth="0" width="3.109375" style="1"/>
    <col min="4443" max="4443" customWidth="0" width="3.109375" style="1"/>
    <col min="4444" max="4444" customWidth="0" width="3.109375" style="1"/>
    <col min="4445" max="4445" customWidth="0" width="3.109375" style="1"/>
    <col min="4446" max="4446" customWidth="0" width="3.109375" style="1"/>
    <col min="4447" max="4447" customWidth="0" width="3.109375" style="1"/>
    <col min="4448" max="4448" customWidth="0" width="3.109375" style="1"/>
    <col min="4449" max="4449" customWidth="0" width="3.109375" style="1"/>
    <col min="4450" max="4450" customWidth="0" width="3.109375" style="1"/>
    <col min="4451" max="4451" customWidth="0" width="3.109375" style="1"/>
    <col min="4452" max="4452" customWidth="0" width="3.109375" style="1"/>
    <col min="4453" max="4453" customWidth="0" width="3.109375" style="1"/>
    <col min="4454" max="4454" customWidth="0" width="3.109375" style="1"/>
    <col min="4455" max="4455" customWidth="0" width="3.109375" style="1"/>
    <col min="4456" max="4456" customWidth="0" width="3.109375" style="1"/>
    <col min="4457" max="4457" customWidth="0" width="3.109375" style="1"/>
    <col min="4458" max="4458" customWidth="0" width="3.109375" style="1"/>
    <col min="4459" max="4459" customWidth="0" width="3.109375" style="1"/>
    <col min="4460" max="4460" customWidth="0" width="3.109375" style="1"/>
    <col min="4461" max="4461" customWidth="0" width="3.109375" style="1"/>
    <col min="4462" max="4462" customWidth="0" width="3.109375" style="1"/>
    <col min="4463" max="4463" customWidth="0" width="3.109375" style="1"/>
    <col min="4464" max="4464" customWidth="0" width="3.109375" style="1"/>
    <col min="4465" max="4465" customWidth="0" width="3.109375" style="1"/>
    <col min="4466" max="4466" customWidth="0" width="3.109375" style="1"/>
    <col min="4467" max="4467" customWidth="0" width="3.109375" style="1"/>
    <col min="4468" max="4468" customWidth="0" width="3.109375" style="1"/>
    <col min="4469" max="4469" customWidth="0" width="3.109375" style="1"/>
    <col min="4470" max="4470" customWidth="0" width="3.109375" style="1"/>
    <col min="4471" max="4471" customWidth="0" width="3.109375" style="1"/>
    <col min="4472" max="4472" customWidth="0" width="3.109375" style="1"/>
    <col min="4473" max="4473" customWidth="0" width="3.109375" style="1"/>
    <col min="4474" max="4474" customWidth="0" width="3.109375" style="1"/>
    <col min="4475" max="4475" customWidth="0" width="3.109375" style="1"/>
    <col min="4476" max="4476" customWidth="0" width="3.109375" style="1"/>
    <col min="4477" max="4477" customWidth="0" width="3.109375" style="1"/>
    <col min="4478" max="4478" customWidth="0" width="3.109375" style="1"/>
    <col min="4479" max="4479" customWidth="0" width="3.109375" style="1"/>
    <col min="4480" max="4480" customWidth="0" width="3.109375" style="1"/>
    <col min="4481" max="4481" customWidth="0" width="3.109375" style="1"/>
    <col min="4482" max="4482" customWidth="0" width="3.109375" style="1"/>
    <col min="4483" max="4483" customWidth="0" width="3.109375" style="1"/>
    <col min="4484" max="4484" customWidth="0" width="3.109375" style="1"/>
    <col min="4485" max="4485" customWidth="0" width="3.109375" style="1"/>
    <col min="4486" max="4486" customWidth="0" width="3.109375" style="1"/>
    <col min="4487" max="4487" customWidth="0" width="3.109375" style="1"/>
    <col min="4488" max="4488" customWidth="0" width="3.109375" style="1"/>
    <col min="4489" max="4489" customWidth="0" width="3.109375" style="1"/>
    <col min="4490" max="4490" customWidth="0" width="3.109375" style="1"/>
    <col min="4491" max="4491" customWidth="0" width="3.109375" style="1"/>
    <col min="4492" max="4492" customWidth="0" width="3.109375" style="1"/>
    <col min="4493" max="4493" customWidth="0" width="3.109375" style="1"/>
    <col min="4494" max="4494" customWidth="0" width="3.109375" style="1"/>
    <col min="4495" max="4495" customWidth="0" width="3.109375" style="1"/>
    <col min="4496" max="4496" customWidth="0" width="3.109375" style="1"/>
    <col min="4497" max="4497" customWidth="0" width="3.109375" style="1"/>
    <col min="4498" max="4498" customWidth="0" width="3.109375" style="1"/>
    <col min="4499" max="4499" customWidth="0" width="3.109375" style="1"/>
    <col min="4500" max="4500" customWidth="0" width="3.109375" style="1"/>
    <col min="4501" max="4501" customWidth="0" width="3.109375" style="1"/>
    <col min="4502" max="4502" customWidth="0" width="3.109375" style="1"/>
    <col min="4503" max="4503" customWidth="0" width="3.109375" style="1"/>
    <col min="4504" max="4504" customWidth="0" width="3.109375" style="1"/>
    <col min="4505" max="4505" customWidth="0" width="3.109375" style="1"/>
    <col min="4506" max="4506" customWidth="0" width="3.109375" style="1"/>
    <col min="4507" max="4507" customWidth="0" width="3.109375" style="1"/>
    <col min="4508" max="4508" customWidth="0" width="3.109375" style="1"/>
    <col min="4509" max="4509" customWidth="0" width="3.109375" style="1"/>
    <col min="4510" max="4510" customWidth="0" width="3.109375" style="1"/>
    <col min="4511" max="4511" customWidth="0" width="3.109375" style="1"/>
    <col min="4512" max="4512" customWidth="0" width="3.109375" style="1"/>
    <col min="4513" max="4513" customWidth="0" width="3.109375" style="1"/>
    <col min="4514" max="4514" customWidth="0" width="3.109375" style="1"/>
    <col min="4515" max="4515" customWidth="0" width="3.109375" style="1"/>
    <col min="4516" max="4516" customWidth="0" width="3.109375" style="1"/>
    <col min="4517" max="4517" customWidth="0" width="3.109375" style="1"/>
    <col min="4518" max="4518" customWidth="0" width="3.109375" style="1"/>
    <col min="4519" max="4519" customWidth="0" width="3.109375" style="1"/>
    <col min="4520" max="4520" customWidth="0" width="3.109375" style="1"/>
    <col min="4521" max="4521" customWidth="0" width="3.109375" style="1"/>
    <col min="4522" max="4522" customWidth="0" width="3.109375" style="1"/>
    <col min="4523" max="4523" customWidth="0" width="3.109375" style="1"/>
    <col min="4524" max="4524" customWidth="0" width="3.109375" style="1"/>
    <col min="4525" max="4525" customWidth="0" width="3.109375" style="1"/>
    <col min="4526" max="4526" customWidth="0" width="3.109375" style="1"/>
    <col min="4527" max="4527" customWidth="0" width="3.109375" style="1"/>
    <col min="4528" max="4528" customWidth="0" width="3.109375" style="1"/>
    <col min="4529" max="4529" customWidth="0" width="3.109375" style="1"/>
    <col min="4530" max="4530" customWidth="0" width="3.109375" style="1"/>
    <col min="4531" max="4531" customWidth="0" width="3.109375" style="1"/>
    <col min="4532" max="4532" customWidth="0" width="3.109375" style="1"/>
    <col min="4533" max="4533" customWidth="0" width="3.109375" style="1"/>
    <col min="4534" max="4534" customWidth="0" width="3.109375" style="1"/>
    <col min="4535" max="4535" customWidth="0" width="3.109375" style="1"/>
    <col min="4536" max="4536" customWidth="0" width="3.109375" style="1"/>
    <col min="4537" max="4537" customWidth="0" width="3.109375" style="1"/>
    <col min="4538" max="4538" customWidth="0" width="3.109375" style="1"/>
    <col min="4539" max="4539" customWidth="0" width="3.109375" style="1"/>
    <col min="4540" max="4540" customWidth="0" width="3.109375" style="1"/>
    <col min="4541" max="4541" customWidth="0" width="3.109375" style="1"/>
    <col min="4542" max="4542" customWidth="0" width="3.109375" style="1"/>
    <col min="4543" max="4543" customWidth="0" width="3.109375" style="1"/>
    <col min="4544" max="4544" customWidth="0" width="3.109375" style="1"/>
    <col min="4545" max="4545" customWidth="0" width="3.109375" style="1"/>
    <col min="4546" max="4546" customWidth="0" width="3.109375" style="1"/>
    <col min="4547" max="4547" customWidth="0" width="3.109375" style="1"/>
    <col min="4548" max="4548" customWidth="0" width="3.109375" style="1"/>
    <col min="4549" max="4549" customWidth="0" width="3.109375" style="1"/>
    <col min="4550" max="4550" customWidth="0" width="3.109375" style="1"/>
    <col min="4551" max="4551" customWidth="0" width="3.109375" style="1"/>
    <col min="4552" max="4552" customWidth="0" width="3.109375" style="1"/>
    <col min="4553" max="4553" customWidth="0" width="3.109375" style="1"/>
    <col min="4554" max="4554" customWidth="0" width="3.109375" style="1"/>
    <col min="4555" max="4555" customWidth="0" width="3.109375" style="1"/>
    <col min="4556" max="4556" customWidth="0" width="3.109375" style="1"/>
    <col min="4557" max="4557" customWidth="0" width="3.109375" style="1"/>
    <col min="4558" max="4558" customWidth="0" width="3.109375" style="1"/>
    <col min="4559" max="4559" customWidth="0" width="3.109375" style="1"/>
    <col min="4560" max="4560" customWidth="0" width="3.109375" style="1"/>
    <col min="4561" max="4561" customWidth="0" width="3.109375" style="1"/>
    <col min="4562" max="4562" customWidth="0" width="3.109375" style="1"/>
    <col min="4563" max="4563" customWidth="0" width="3.109375" style="1"/>
    <col min="4564" max="4564" customWidth="0" width="3.109375" style="1"/>
    <col min="4565" max="4565" customWidth="0" width="3.109375" style="1"/>
    <col min="4566" max="4566" customWidth="0" width="3.109375" style="1"/>
    <col min="4567" max="4567" customWidth="0" width="3.109375" style="1"/>
    <col min="4568" max="4568" customWidth="0" width="3.109375" style="1"/>
    <col min="4569" max="4569" customWidth="0" width="3.109375" style="1"/>
    <col min="4570" max="4570" customWidth="0" width="3.109375" style="1"/>
    <col min="4571" max="4571" customWidth="0" width="3.109375" style="1"/>
    <col min="4572" max="4572" customWidth="0" width="3.109375" style="1"/>
    <col min="4573" max="4573" customWidth="0" width="3.109375" style="1"/>
    <col min="4574" max="4574" customWidth="0" width="3.109375" style="1"/>
    <col min="4575" max="4575" customWidth="0" width="3.109375" style="1"/>
    <col min="4576" max="4576" customWidth="0" width="3.109375" style="1"/>
    <col min="4577" max="4577" customWidth="0" width="3.109375" style="1"/>
    <col min="4578" max="4578" customWidth="0" width="3.109375" style="1"/>
    <col min="4579" max="4579" customWidth="0" width="3.109375" style="1"/>
    <col min="4580" max="4580" customWidth="0" width="3.109375" style="1"/>
    <col min="4581" max="4581" customWidth="0" width="3.109375" style="1"/>
    <col min="4582" max="4582" customWidth="0" width="3.109375" style="1"/>
    <col min="4583" max="4583" customWidth="0" width="3.109375" style="1"/>
    <col min="4584" max="4584" customWidth="0" width="3.109375" style="1"/>
    <col min="4585" max="4585" customWidth="0" width="3.109375" style="1"/>
    <col min="4586" max="4586" customWidth="0" width="3.109375" style="1"/>
    <col min="4587" max="4587" customWidth="0" width="3.109375" style="1"/>
    <col min="4588" max="4588" customWidth="0" width="3.109375" style="1"/>
    <col min="4589" max="4589" customWidth="0" width="3.109375" style="1"/>
    <col min="4590" max="4590" customWidth="0" width="3.109375" style="1"/>
    <col min="4591" max="4591" customWidth="0" width="3.109375" style="1"/>
    <col min="4592" max="4592" customWidth="0" width="3.109375" style="1"/>
    <col min="4593" max="4593" customWidth="0" width="3.109375" style="1"/>
    <col min="4594" max="4594" customWidth="0" width="3.109375" style="1"/>
    <col min="4595" max="4595" customWidth="0" width="3.109375" style="1"/>
    <col min="4596" max="4596" customWidth="0" width="3.109375" style="1"/>
    <col min="4597" max="4597" customWidth="0" width="3.109375" style="1"/>
    <col min="4598" max="4598" customWidth="0" width="3.109375" style="1"/>
    <col min="4599" max="4599" customWidth="0" width="3.109375" style="1"/>
    <col min="4600" max="4600" customWidth="0" width="3.109375" style="1"/>
    <col min="4601" max="4601" customWidth="0" width="3.109375" style="1"/>
    <col min="4602" max="4602" customWidth="0" width="3.109375" style="1"/>
    <col min="4603" max="4603" customWidth="0" width="3.109375" style="1"/>
    <col min="4604" max="4604" customWidth="0" width="3.109375" style="1"/>
    <col min="4605" max="4605" customWidth="0" width="3.109375" style="1"/>
    <col min="4606" max="4606" customWidth="0" width="3.109375" style="1"/>
    <col min="4607" max="4607" customWidth="0" width="3.109375" style="1"/>
    <col min="4608" max="4608" customWidth="0" width="3.109375" style="1"/>
    <col min="4609" max="4609" customWidth="0" width="3.109375" style="1"/>
    <col min="4610" max="4610" customWidth="0" width="3.109375" style="1"/>
    <col min="4611" max="4611" customWidth="0" width="3.109375" style="1"/>
    <col min="4612" max="4612" customWidth="0" width="3.109375" style="1"/>
    <col min="4613" max="4613" customWidth="0" width="3.109375" style="1"/>
    <col min="4614" max="4614" customWidth="0" width="3.109375" style="1"/>
    <col min="4615" max="4615" customWidth="0" width="3.109375" style="1"/>
    <col min="4616" max="4616" customWidth="0" width="3.109375" style="1"/>
    <col min="4617" max="4617" customWidth="0" width="3.109375" style="1"/>
    <col min="4618" max="4618" customWidth="0" width="3.109375" style="1"/>
    <col min="4619" max="4619" customWidth="0" width="3.109375" style="1"/>
    <col min="4620" max="4620" customWidth="0" width="3.109375" style="1"/>
    <col min="4621" max="4621" customWidth="0" width="3.109375" style="1"/>
    <col min="4622" max="4622" customWidth="0" width="3.109375" style="1"/>
    <col min="4623" max="4623" customWidth="0" width="3.109375" style="1"/>
    <col min="4624" max="4624" customWidth="0" width="3.109375" style="1"/>
    <col min="4625" max="4625" customWidth="0" width="3.109375" style="1"/>
    <col min="4626" max="4626" customWidth="0" width="3.109375" style="1"/>
    <col min="4627" max="4627" customWidth="0" width="3.109375" style="1"/>
    <col min="4628" max="4628" customWidth="0" width="3.109375" style="1"/>
    <col min="4629" max="4629" customWidth="0" width="3.109375" style="1"/>
    <col min="4630" max="4630" customWidth="0" width="3.109375" style="1"/>
    <col min="4631" max="4631" customWidth="0" width="3.109375" style="1"/>
    <col min="4632" max="4632" customWidth="0" width="3.109375" style="1"/>
    <col min="4633" max="4633" customWidth="0" width="3.109375" style="1"/>
    <col min="4634" max="4634" customWidth="0" width="3.109375" style="1"/>
    <col min="4635" max="4635" customWidth="0" width="3.109375" style="1"/>
    <col min="4636" max="4636" customWidth="0" width="3.109375" style="1"/>
    <col min="4637" max="4637" customWidth="0" width="3.109375" style="1"/>
    <col min="4638" max="4638" customWidth="0" width="3.109375" style="1"/>
    <col min="4639" max="4639" customWidth="0" width="3.109375" style="1"/>
    <col min="4640" max="4640" customWidth="0" width="3.109375" style="1"/>
    <col min="4641" max="4641" customWidth="0" width="3.109375" style="1"/>
    <col min="4642" max="4642" customWidth="0" width="3.109375" style="1"/>
    <col min="4643" max="4643" customWidth="0" width="3.109375" style="1"/>
    <col min="4644" max="4644" customWidth="0" width="3.109375" style="1"/>
    <col min="4645" max="4645" customWidth="0" width="3.109375" style="1"/>
    <col min="4646" max="4646" customWidth="0" width="3.109375" style="1"/>
    <col min="4647" max="4647" customWidth="0" width="3.109375" style="1"/>
    <col min="4648" max="4648" customWidth="0" width="3.109375" style="1"/>
    <col min="4649" max="4649" customWidth="0" width="3.109375" style="1"/>
    <col min="4650" max="4650" customWidth="0" width="3.109375" style="1"/>
    <col min="4651" max="4651" customWidth="0" width="3.109375" style="1"/>
    <col min="4652" max="4652" customWidth="0" width="3.109375" style="1"/>
    <col min="4653" max="4653" customWidth="0" width="3.109375" style="1"/>
    <col min="4654" max="4654" customWidth="0" width="3.109375" style="1"/>
    <col min="4655" max="4655" customWidth="0" width="3.109375" style="1"/>
    <col min="4656" max="4656" customWidth="0" width="3.109375" style="1"/>
    <col min="4657" max="4657" customWidth="0" width="3.109375" style="1"/>
    <col min="4658" max="4658" customWidth="0" width="3.109375" style="1"/>
    <col min="4659" max="4659" customWidth="0" width="3.109375" style="1"/>
    <col min="4660" max="4660" customWidth="0" width="3.109375" style="1"/>
    <col min="4661" max="4661" customWidth="0" width="3.109375" style="1"/>
    <col min="4662" max="4662" customWidth="0" width="3.109375" style="1"/>
    <col min="4663" max="4663" customWidth="0" width="3.109375" style="1"/>
    <col min="4664" max="4664" customWidth="0" width="3.109375" style="1"/>
    <col min="4665" max="4665" customWidth="0" width="3.109375" style="1"/>
    <col min="4666" max="4666" customWidth="0" width="3.109375" style="1"/>
    <col min="4667" max="4667" customWidth="0" width="3.109375" style="1"/>
    <col min="4668" max="4668" customWidth="0" width="3.109375" style="1"/>
    <col min="4669" max="4669" customWidth="0" width="3.109375" style="1"/>
    <col min="4670" max="4670" customWidth="0" width="3.109375" style="1"/>
    <col min="4671" max="4671" customWidth="0" width="3.109375" style="1"/>
    <col min="4672" max="4672" customWidth="0" width="3.109375" style="1"/>
    <col min="4673" max="4673" customWidth="0" width="3.109375" style="1"/>
    <col min="4674" max="4674" customWidth="0" width="3.109375" style="1"/>
    <col min="4675" max="4675" customWidth="0" width="3.109375" style="1"/>
    <col min="4676" max="4676" customWidth="0" width="3.109375" style="1"/>
    <col min="4677" max="4677" customWidth="0" width="3.109375" style="1"/>
    <col min="4678" max="4678" customWidth="0" width="3.109375" style="1"/>
    <col min="4679" max="4679" customWidth="0" width="3.109375" style="1"/>
    <col min="4680" max="4680" customWidth="0" width="3.109375" style="1"/>
    <col min="4681" max="4681" customWidth="0" width="3.109375" style="1"/>
    <col min="4682" max="4682" customWidth="0" width="3.109375" style="1"/>
    <col min="4683" max="4683" customWidth="0" width="3.109375" style="1"/>
    <col min="4684" max="4684" customWidth="0" width="3.109375" style="1"/>
    <col min="4685" max="4685" customWidth="0" width="3.109375" style="1"/>
    <col min="4686" max="4686" customWidth="0" width="3.109375" style="1"/>
    <col min="4687" max="4687" customWidth="0" width="3.109375" style="1"/>
    <col min="4688" max="4688" customWidth="0" width="3.109375" style="1"/>
    <col min="4689" max="4689" customWidth="0" width="3.109375" style="1"/>
    <col min="4690" max="4690" customWidth="0" width="3.109375" style="1"/>
    <col min="4691" max="4691" customWidth="0" width="3.109375" style="1"/>
    <col min="4692" max="4692" customWidth="0" width="3.109375" style="1"/>
    <col min="4693" max="4693" customWidth="0" width="3.109375" style="1"/>
    <col min="4694" max="4694" customWidth="0" width="3.109375" style="1"/>
    <col min="4695" max="4695" customWidth="0" width="3.109375" style="1"/>
    <col min="4696" max="4696" customWidth="0" width="3.109375" style="1"/>
    <col min="4697" max="4697" customWidth="0" width="3.109375" style="1"/>
    <col min="4698" max="4698" customWidth="0" width="3.109375" style="1"/>
    <col min="4699" max="4699" customWidth="0" width="3.109375" style="1"/>
    <col min="4700" max="4700" customWidth="0" width="3.109375" style="1"/>
    <col min="4701" max="4701" customWidth="0" width="3.109375" style="1"/>
    <col min="4702" max="4702" customWidth="0" width="3.109375" style="1"/>
    <col min="4703" max="4703" customWidth="0" width="3.109375" style="1"/>
    <col min="4704" max="4704" customWidth="0" width="3.109375" style="1"/>
    <col min="4705" max="4705" customWidth="0" width="3.109375" style="1"/>
    <col min="4706" max="4706" customWidth="0" width="3.109375" style="1"/>
    <col min="4707" max="4707" customWidth="0" width="3.109375" style="1"/>
    <col min="4708" max="4708" customWidth="0" width="3.109375" style="1"/>
    <col min="4709" max="4709" customWidth="0" width="3.109375" style="1"/>
    <col min="4710" max="4710" customWidth="0" width="3.109375" style="1"/>
    <col min="4711" max="4711" customWidth="0" width="3.109375" style="1"/>
    <col min="4712" max="4712" customWidth="0" width="3.109375" style="1"/>
    <col min="4713" max="4713" customWidth="0" width="3.109375" style="1"/>
    <col min="4714" max="4714" customWidth="0" width="3.109375" style="1"/>
    <col min="4715" max="4715" customWidth="0" width="3.109375" style="1"/>
    <col min="4716" max="4716" customWidth="0" width="3.109375" style="1"/>
    <col min="4717" max="4717" customWidth="0" width="3.109375" style="1"/>
    <col min="4718" max="4718" customWidth="0" width="3.109375" style="1"/>
    <col min="4719" max="4719" customWidth="0" width="3.109375" style="1"/>
    <col min="4720" max="4720" customWidth="0" width="3.109375" style="1"/>
    <col min="4721" max="4721" customWidth="0" width="3.109375" style="1"/>
    <col min="4722" max="4722" customWidth="0" width="3.109375" style="1"/>
    <col min="4723" max="4723" customWidth="0" width="3.109375" style="1"/>
    <col min="4724" max="4724" customWidth="0" width="3.109375" style="1"/>
    <col min="4725" max="4725" customWidth="0" width="3.109375" style="1"/>
    <col min="4726" max="4726" customWidth="0" width="3.109375" style="1"/>
    <col min="4727" max="4727" customWidth="0" width="3.109375" style="1"/>
    <col min="4728" max="4728" customWidth="0" width="3.109375" style="1"/>
    <col min="4729" max="4729" customWidth="0" width="3.109375" style="1"/>
    <col min="4730" max="4730" customWidth="0" width="3.109375" style="1"/>
    <col min="4731" max="4731" customWidth="0" width="3.109375" style="1"/>
    <col min="4732" max="4732" customWidth="0" width="3.109375" style="1"/>
    <col min="4733" max="4733" customWidth="0" width="3.109375" style="1"/>
    <col min="4734" max="4734" customWidth="0" width="3.109375" style="1"/>
    <col min="4735" max="4735" customWidth="0" width="3.109375" style="1"/>
    <col min="4736" max="4736" customWidth="0" width="3.109375" style="1"/>
    <col min="4737" max="4737" customWidth="0" width="3.109375" style="1"/>
    <col min="4738" max="4738" customWidth="0" width="3.109375" style="1"/>
    <col min="4739" max="4739" customWidth="0" width="3.109375" style="1"/>
    <col min="4740" max="4740" customWidth="0" width="3.109375" style="1"/>
    <col min="4741" max="4741" customWidth="0" width="3.109375" style="1"/>
    <col min="4742" max="4742" customWidth="0" width="3.109375" style="1"/>
    <col min="4743" max="4743" customWidth="0" width="3.109375" style="1"/>
    <col min="4744" max="4744" customWidth="0" width="3.109375" style="1"/>
    <col min="4745" max="4745" customWidth="0" width="3.109375" style="1"/>
    <col min="4746" max="4746" customWidth="0" width="3.109375" style="1"/>
    <col min="4747" max="4747" customWidth="0" width="3.109375" style="1"/>
    <col min="4748" max="4748" customWidth="0" width="3.109375" style="1"/>
    <col min="4749" max="4749" customWidth="0" width="3.109375" style="1"/>
    <col min="4750" max="4750" customWidth="0" width="3.109375" style="1"/>
    <col min="4751" max="4751" customWidth="0" width="3.109375" style="1"/>
    <col min="4752" max="4752" customWidth="0" width="3.109375" style="1"/>
    <col min="4753" max="4753" customWidth="0" width="3.109375" style="1"/>
    <col min="4754" max="4754" customWidth="0" width="3.109375" style="1"/>
    <col min="4755" max="4755" customWidth="0" width="3.109375" style="1"/>
    <col min="4756" max="4756" customWidth="0" width="3.109375" style="1"/>
    <col min="4757" max="4757" customWidth="0" width="3.109375" style="1"/>
    <col min="4758" max="4758" customWidth="0" width="3.109375" style="1"/>
    <col min="4759" max="4759" customWidth="0" width="3.109375" style="1"/>
    <col min="4760" max="4760" customWidth="0" width="3.109375" style="1"/>
    <col min="4761" max="4761" customWidth="0" width="3.109375" style="1"/>
    <col min="4762" max="4762" customWidth="0" width="3.109375" style="1"/>
    <col min="4763" max="4763" customWidth="0" width="3.109375" style="1"/>
    <col min="4764" max="4764" customWidth="0" width="3.109375" style="1"/>
    <col min="4765" max="4765" customWidth="0" width="3.109375" style="1"/>
    <col min="4766" max="4766" customWidth="0" width="3.109375" style="1"/>
    <col min="4767" max="4767" customWidth="0" width="3.109375" style="1"/>
    <col min="4768" max="4768" customWidth="0" width="3.109375" style="1"/>
    <col min="4769" max="4769" customWidth="0" width="3.109375" style="1"/>
    <col min="4770" max="4770" customWidth="0" width="3.109375" style="1"/>
    <col min="4771" max="4771" customWidth="0" width="3.109375" style="1"/>
    <col min="4772" max="4772" customWidth="0" width="3.109375" style="1"/>
    <col min="4773" max="4773" customWidth="0" width="3.109375" style="1"/>
    <col min="4774" max="4774" customWidth="0" width="3.109375" style="1"/>
    <col min="4775" max="4775" customWidth="0" width="3.109375" style="1"/>
    <col min="4776" max="4776" customWidth="0" width="3.109375" style="1"/>
    <col min="4777" max="4777" customWidth="0" width="3.109375" style="1"/>
    <col min="4778" max="4778" customWidth="0" width="3.109375" style="1"/>
    <col min="4779" max="4779" customWidth="0" width="3.109375" style="1"/>
    <col min="4780" max="4780" customWidth="0" width="3.109375" style="1"/>
    <col min="4781" max="4781" customWidth="0" width="3.109375" style="1"/>
    <col min="4782" max="4782" customWidth="0" width="3.109375" style="1"/>
    <col min="4783" max="4783" customWidth="0" width="3.109375" style="1"/>
    <col min="4784" max="4784" customWidth="0" width="3.109375" style="1"/>
    <col min="4785" max="4785" customWidth="0" width="3.109375" style="1"/>
    <col min="4786" max="4786" customWidth="0" width="3.109375" style="1"/>
    <col min="4787" max="4787" customWidth="0" width="3.109375" style="1"/>
    <col min="4788" max="4788" customWidth="0" width="3.109375" style="1"/>
    <col min="4789" max="4789" customWidth="0" width="3.109375" style="1"/>
    <col min="4790" max="4790" customWidth="0" width="3.109375" style="1"/>
    <col min="4791" max="4791" customWidth="0" width="3.109375" style="1"/>
    <col min="4792" max="4792" customWidth="0" width="3.109375" style="1"/>
    <col min="4793" max="4793" customWidth="0" width="3.109375" style="1"/>
    <col min="4794" max="4794" customWidth="0" width="3.109375" style="1"/>
    <col min="4795" max="4795" customWidth="0" width="3.109375" style="1"/>
    <col min="4796" max="4796" customWidth="0" width="3.109375" style="1"/>
    <col min="4797" max="4797" customWidth="0" width="3.109375" style="1"/>
    <col min="4798" max="4798" customWidth="0" width="3.109375" style="1"/>
    <col min="4799" max="4799" customWidth="0" width="3.109375" style="1"/>
    <col min="4800" max="4800" customWidth="0" width="3.109375" style="1"/>
    <col min="4801" max="4801" customWidth="0" width="3.109375" style="1"/>
    <col min="4802" max="4802" customWidth="0" width="3.109375" style="1"/>
    <col min="4803" max="4803" customWidth="0" width="3.109375" style="1"/>
    <col min="4804" max="4804" customWidth="0" width="3.109375" style="1"/>
    <col min="4805" max="4805" customWidth="0" width="3.109375" style="1"/>
    <col min="4806" max="4806" customWidth="0" width="3.109375" style="1"/>
    <col min="4807" max="4807" customWidth="0" width="3.109375" style="1"/>
    <col min="4808" max="4808" customWidth="0" width="3.109375" style="1"/>
    <col min="4809" max="4809" customWidth="0" width="3.109375" style="1"/>
    <col min="4810" max="4810" customWidth="0" width="3.109375" style="1"/>
    <col min="4811" max="4811" customWidth="0" width="3.109375" style="1"/>
    <col min="4812" max="4812" customWidth="0" width="3.109375" style="1"/>
    <col min="4813" max="4813" customWidth="0" width="3.109375" style="1"/>
    <col min="4814" max="4814" customWidth="0" width="3.109375" style="1"/>
    <col min="4815" max="4815" customWidth="0" width="3.109375" style="1"/>
    <col min="4816" max="4816" customWidth="0" width="3.109375" style="1"/>
    <col min="4817" max="4817" customWidth="0" width="3.109375" style="1"/>
    <col min="4818" max="4818" customWidth="0" width="3.109375" style="1"/>
    <col min="4819" max="4819" customWidth="0" width="3.109375" style="1"/>
    <col min="4820" max="4820" customWidth="0" width="3.109375" style="1"/>
    <col min="4821" max="4821" customWidth="0" width="3.109375" style="1"/>
    <col min="4822" max="4822" customWidth="0" width="3.109375" style="1"/>
    <col min="4823" max="4823" customWidth="0" width="3.109375" style="1"/>
    <col min="4824" max="4824" customWidth="0" width="3.109375" style="1"/>
    <col min="4825" max="4825" customWidth="0" width="3.109375" style="1"/>
    <col min="4826" max="4826" customWidth="0" width="3.109375" style="1"/>
    <col min="4827" max="4827" customWidth="0" width="3.109375" style="1"/>
    <col min="4828" max="4828" customWidth="0" width="3.109375" style="1"/>
    <col min="4829" max="4829" customWidth="0" width="3.109375" style="1"/>
    <col min="4830" max="4830" customWidth="0" width="3.109375" style="1"/>
    <col min="4831" max="4831" customWidth="0" width="3.109375" style="1"/>
    <col min="4832" max="4832" customWidth="0" width="3.109375" style="1"/>
    <col min="4833" max="4833" customWidth="0" width="3.109375" style="1"/>
    <col min="4834" max="4834" customWidth="0" width="3.109375" style="1"/>
    <col min="4835" max="4835" customWidth="0" width="3.109375" style="1"/>
    <col min="4836" max="4836" customWidth="0" width="3.109375" style="1"/>
    <col min="4837" max="4837" customWidth="0" width="3.109375" style="1"/>
    <col min="4838" max="4838" customWidth="0" width="3.109375" style="1"/>
    <col min="4839" max="4839" customWidth="0" width="3.109375" style="1"/>
    <col min="4840" max="4840" customWidth="0" width="3.109375" style="1"/>
    <col min="4841" max="4841" customWidth="0" width="3.109375" style="1"/>
    <col min="4842" max="4842" customWidth="0" width="3.109375" style="1"/>
    <col min="4843" max="4843" customWidth="0" width="3.109375" style="1"/>
    <col min="4844" max="4844" customWidth="0" width="3.109375" style="1"/>
    <col min="4845" max="4845" customWidth="0" width="3.109375" style="1"/>
    <col min="4846" max="4846" customWidth="0" width="3.109375" style="1"/>
    <col min="4847" max="4847" customWidth="0" width="3.109375" style="1"/>
    <col min="4848" max="4848" customWidth="0" width="3.109375" style="1"/>
    <col min="4849" max="4849" customWidth="0" width="3.109375" style="1"/>
    <col min="4850" max="4850" customWidth="0" width="3.109375" style="1"/>
    <col min="4851" max="4851" customWidth="0" width="3.109375" style="1"/>
    <col min="4852" max="4852" customWidth="0" width="3.109375" style="1"/>
    <col min="4853" max="4853" customWidth="0" width="3.109375" style="1"/>
    <col min="4854" max="4854" customWidth="0" width="3.109375" style="1"/>
    <col min="4855" max="4855" customWidth="0" width="3.109375" style="1"/>
    <col min="4856" max="4856" customWidth="0" width="3.109375" style="1"/>
    <col min="4857" max="4857" customWidth="0" width="3.109375" style="1"/>
    <col min="4858" max="4858" customWidth="0" width="3.109375" style="1"/>
    <col min="4859" max="4859" customWidth="0" width="3.109375" style="1"/>
    <col min="4860" max="4860" customWidth="0" width="3.109375" style="1"/>
    <col min="4861" max="4861" customWidth="0" width="3.109375" style="1"/>
    <col min="4862" max="4862" customWidth="0" width="3.109375" style="1"/>
    <col min="4863" max="4863" customWidth="0" width="3.109375" style="1"/>
    <col min="4864" max="4864" customWidth="0" width="3.109375" style="1"/>
    <col min="4865" max="4865" customWidth="0" width="3.109375" style="1"/>
    <col min="4866" max="4866" customWidth="0" width="3.109375" style="1"/>
    <col min="4867" max="4867" customWidth="0" width="3.109375" style="1"/>
    <col min="4868" max="4868" customWidth="0" width="3.109375" style="1"/>
    <col min="4869" max="4869" customWidth="0" width="3.109375" style="1"/>
    <col min="4870" max="4870" customWidth="0" width="3.109375" style="1"/>
    <col min="4871" max="4871" customWidth="0" width="3.109375" style="1"/>
    <col min="4872" max="4872" customWidth="0" width="3.109375" style="1"/>
    <col min="4873" max="4873" customWidth="0" width="3.109375" style="1"/>
    <col min="4874" max="4874" customWidth="0" width="3.109375" style="1"/>
    <col min="4875" max="4875" customWidth="0" width="3.109375" style="1"/>
    <col min="4876" max="4876" customWidth="0" width="3.109375" style="1"/>
    <col min="4877" max="4877" customWidth="0" width="3.109375" style="1"/>
    <col min="4878" max="4878" customWidth="0" width="3.109375" style="1"/>
    <col min="4879" max="4879" customWidth="0" width="3.109375" style="1"/>
    <col min="4880" max="4880" customWidth="0" width="3.109375" style="1"/>
    <col min="4881" max="4881" customWidth="0" width="3.109375" style="1"/>
    <col min="4882" max="4882" customWidth="0" width="3.109375" style="1"/>
    <col min="4883" max="4883" customWidth="0" width="3.109375" style="1"/>
    <col min="4884" max="4884" customWidth="0" width="3.109375" style="1"/>
    <col min="4885" max="4885" customWidth="0" width="3.109375" style="1"/>
    <col min="4886" max="4886" customWidth="0" width="3.109375" style="1"/>
    <col min="4887" max="4887" customWidth="0" width="3.109375" style="1"/>
    <col min="4888" max="4888" customWidth="0" width="3.109375" style="1"/>
    <col min="4889" max="4889" customWidth="0" width="3.109375" style="1"/>
    <col min="4890" max="4890" customWidth="0" width="3.109375" style="1"/>
    <col min="4891" max="4891" customWidth="0" width="3.109375" style="1"/>
    <col min="4892" max="4892" customWidth="0" width="3.109375" style="1"/>
    <col min="4893" max="4893" customWidth="0" width="3.109375" style="1"/>
    <col min="4894" max="4894" customWidth="0" width="3.109375" style="1"/>
    <col min="4895" max="4895" customWidth="0" width="3.109375" style="1"/>
    <col min="4896" max="4896" customWidth="0" width="3.109375" style="1"/>
    <col min="4897" max="4897" customWidth="0" width="3.109375" style="1"/>
    <col min="4898" max="4898" customWidth="0" width="3.109375" style="1"/>
    <col min="4899" max="4899" customWidth="0" width="3.109375" style="1"/>
    <col min="4900" max="4900" customWidth="0" width="3.109375" style="1"/>
    <col min="4901" max="4901" customWidth="0" width="3.109375" style="1"/>
    <col min="4902" max="4902" customWidth="0" width="3.109375" style="1"/>
    <col min="4903" max="4903" customWidth="0" width="3.109375" style="1"/>
    <col min="4904" max="4904" customWidth="0" width="3.109375" style="1"/>
    <col min="4905" max="4905" customWidth="0" width="3.109375" style="1"/>
    <col min="4906" max="4906" customWidth="0" width="3.109375" style="1"/>
    <col min="4907" max="4907" customWidth="0" width="3.109375" style="1"/>
    <col min="4908" max="4908" customWidth="0" width="3.109375" style="1"/>
    <col min="4909" max="4909" customWidth="0" width="3.109375" style="1"/>
    <col min="4910" max="4910" customWidth="0" width="3.109375" style="1"/>
    <col min="4911" max="4911" customWidth="0" width="3.109375" style="1"/>
    <col min="4912" max="4912" customWidth="0" width="3.109375" style="1"/>
    <col min="4913" max="4913" customWidth="0" width="3.109375" style="1"/>
    <col min="4914" max="4914" customWidth="0" width="3.109375" style="1"/>
    <col min="4915" max="4915" customWidth="0" width="3.109375" style="1"/>
    <col min="4916" max="4916" customWidth="0" width="3.109375" style="1"/>
    <col min="4917" max="4917" customWidth="0" width="3.109375" style="1"/>
    <col min="4918" max="4918" customWidth="0" width="3.109375" style="1"/>
    <col min="4919" max="4919" customWidth="0" width="3.109375" style="1"/>
    <col min="4920" max="4920" customWidth="0" width="3.109375" style="1"/>
    <col min="4921" max="4921" customWidth="0" width="3.109375" style="1"/>
    <col min="4922" max="4922" customWidth="0" width="3.109375" style="1"/>
    <col min="4923" max="4923" customWidth="0" width="3.109375" style="1"/>
    <col min="4924" max="4924" customWidth="0" width="3.109375" style="1"/>
    <col min="4925" max="4925" customWidth="0" width="3.109375" style="1"/>
    <col min="4926" max="4926" customWidth="0" width="3.109375" style="1"/>
    <col min="4927" max="4927" customWidth="0" width="3.109375" style="1"/>
    <col min="4928" max="4928" customWidth="0" width="3.109375" style="1"/>
    <col min="4929" max="4929" customWidth="0" width="3.109375" style="1"/>
    <col min="4930" max="4930" customWidth="0" width="3.109375" style="1"/>
    <col min="4931" max="4931" customWidth="0" width="3.109375" style="1"/>
    <col min="4932" max="4932" customWidth="0" width="3.109375" style="1"/>
    <col min="4933" max="4933" customWidth="0" width="3.109375" style="1"/>
    <col min="4934" max="4934" customWidth="0" width="3.109375" style="1"/>
    <col min="4935" max="4935" customWidth="0" width="3.109375" style="1"/>
    <col min="4936" max="4936" customWidth="0" width="3.109375" style="1"/>
    <col min="4937" max="4937" customWidth="0" width="3.109375" style="1"/>
    <col min="4938" max="4938" customWidth="0" width="3.109375" style="1"/>
    <col min="4939" max="4939" customWidth="0" width="3.109375" style="1"/>
    <col min="4940" max="4940" customWidth="0" width="3.109375" style="1"/>
    <col min="4941" max="4941" customWidth="0" width="3.109375" style="1"/>
    <col min="4942" max="4942" customWidth="0" width="3.109375" style="1"/>
    <col min="4943" max="4943" customWidth="0" width="3.109375" style="1"/>
    <col min="4944" max="4944" customWidth="0" width="3.109375" style="1"/>
    <col min="4945" max="4945" customWidth="0" width="3.109375" style="1"/>
    <col min="4946" max="4946" customWidth="0" width="3.109375" style="1"/>
    <col min="4947" max="4947" customWidth="0" width="3.109375" style="1"/>
    <col min="4948" max="4948" customWidth="0" width="3.109375" style="1"/>
    <col min="4949" max="4949" customWidth="0" width="3.109375" style="1"/>
    <col min="4950" max="4950" customWidth="0" width="3.109375" style="1"/>
    <col min="4951" max="4951" customWidth="0" width="3.109375" style="1"/>
    <col min="4952" max="4952" customWidth="0" width="3.109375" style="1"/>
    <col min="4953" max="4953" customWidth="0" width="3.109375" style="1"/>
    <col min="4954" max="4954" customWidth="0" width="3.109375" style="1"/>
    <col min="4955" max="4955" customWidth="0" width="3.109375" style="1"/>
    <col min="4956" max="4956" customWidth="0" width="3.109375" style="1"/>
    <col min="4957" max="4957" customWidth="0" width="3.109375" style="1"/>
    <col min="4958" max="4958" customWidth="0" width="3.109375" style="1"/>
    <col min="4959" max="4959" customWidth="0" width="3.109375" style="1"/>
    <col min="4960" max="4960" customWidth="0" width="3.109375" style="1"/>
    <col min="4961" max="4961" customWidth="0" width="3.109375" style="1"/>
    <col min="4962" max="4962" customWidth="0" width="3.109375" style="1"/>
    <col min="4963" max="4963" customWidth="0" width="3.109375" style="1"/>
    <col min="4964" max="4964" customWidth="0" width="3.109375" style="1"/>
    <col min="4965" max="4965" customWidth="0" width="3.109375" style="1"/>
    <col min="4966" max="4966" customWidth="0" width="3.109375" style="1"/>
    <col min="4967" max="4967" customWidth="0" width="3.109375" style="1"/>
    <col min="4968" max="4968" customWidth="0" width="3.109375" style="1"/>
    <col min="4969" max="4969" customWidth="0" width="3.109375" style="1"/>
    <col min="4970" max="4970" customWidth="0" width="3.109375" style="1"/>
    <col min="4971" max="4971" customWidth="0" width="3.109375" style="1"/>
    <col min="4972" max="4972" customWidth="0" width="3.109375" style="1"/>
    <col min="4973" max="4973" customWidth="0" width="3.109375" style="1"/>
    <col min="4974" max="4974" customWidth="0" width="3.109375" style="1"/>
    <col min="4975" max="4975" customWidth="0" width="3.109375" style="1"/>
    <col min="4976" max="4976" customWidth="0" width="3.109375" style="1"/>
    <col min="4977" max="4977" customWidth="0" width="3.109375" style="1"/>
    <col min="4978" max="4978" customWidth="0" width="3.109375" style="1"/>
    <col min="4979" max="4979" customWidth="0" width="3.109375" style="1"/>
    <col min="4980" max="4980" customWidth="0" width="3.109375" style="1"/>
    <col min="4981" max="4981" customWidth="0" width="3.109375" style="1"/>
    <col min="4982" max="4982" customWidth="0" width="3.109375" style="1"/>
    <col min="4983" max="4983" customWidth="0" width="3.109375" style="1"/>
    <col min="4984" max="4984" customWidth="0" width="3.109375" style="1"/>
    <col min="4985" max="4985" customWidth="0" width="3.109375" style="1"/>
    <col min="4986" max="4986" customWidth="0" width="3.109375" style="1"/>
    <col min="4987" max="4987" customWidth="0" width="3.109375" style="1"/>
    <col min="4988" max="4988" customWidth="0" width="3.109375" style="1"/>
    <col min="4989" max="4989" customWidth="0" width="3.109375" style="1"/>
    <col min="4990" max="4990" customWidth="0" width="3.109375" style="1"/>
    <col min="4991" max="4991" customWidth="0" width="3.109375" style="1"/>
    <col min="4992" max="4992" customWidth="0" width="3.109375" style="1"/>
    <col min="4993" max="4993" customWidth="0" width="3.109375" style="1"/>
    <col min="4994" max="4994" customWidth="0" width="3.109375" style="1"/>
    <col min="4995" max="4995" customWidth="0" width="3.109375" style="1"/>
    <col min="4996" max="4996" customWidth="0" width="3.109375" style="1"/>
    <col min="4997" max="4997" customWidth="0" width="3.109375" style="1"/>
    <col min="4998" max="4998" customWidth="0" width="3.109375" style="1"/>
    <col min="4999" max="4999" customWidth="0" width="3.109375" style="1"/>
    <col min="5000" max="5000" customWidth="0" width="3.109375" style="1"/>
    <col min="5001" max="5001" customWidth="0" width="3.109375" style="1"/>
    <col min="5002" max="5002" customWidth="0" width="3.109375" style="1"/>
    <col min="5003" max="5003" customWidth="0" width="3.109375" style="1"/>
    <col min="5004" max="5004" customWidth="0" width="3.109375" style="1"/>
    <col min="5005" max="5005" customWidth="0" width="3.109375" style="1"/>
    <col min="5006" max="5006" customWidth="0" width="3.109375" style="1"/>
    <col min="5007" max="5007" customWidth="0" width="3.109375" style="1"/>
    <col min="5008" max="5008" customWidth="0" width="3.109375" style="1"/>
    <col min="5009" max="5009" customWidth="0" width="3.109375" style="1"/>
    <col min="5010" max="5010" customWidth="0" width="3.109375" style="1"/>
    <col min="5011" max="5011" customWidth="0" width="3.109375" style="1"/>
    <col min="5012" max="5012" customWidth="0" width="3.109375" style="1"/>
    <col min="5013" max="5013" customWidth="0" width="3.109375" style="1"/>
    <col min="5014" max="5014" customWidth="0" width="3.109375" style="1"/>
    <col min="5015" max="5015" customWidth="0" width="3.109375" style="1"/>
    <col min="5016" max="5016" customWidth="0" width="3.109375" style="1"/>
    <col min="5017" max="5017" customWidth="0" width="3.109375" style="1"/>
    <col min="5018" max="5018" customWidth="0" width="3.109375" style="1"/>
    <col min="5019" max="5019" customWidth="0" width="3.109375" style="1"/>
    <col min="5020" max="5020" customWidth="0" width="3.109375" style="1"/>
    <col min="5021" max="5021" customWidth="0" width="3.109375" style="1"/>
    <col min="5022" max="5022" customWidth="0" width="3.109375" style="1"/>
    <col min="5023" max="5023" customWidth="0" width="3.109375" style="1"/>
    <col min="5024" max="5024" customWidth="0" width="3.109375" style="1"/>
    <col min="5025" max="5025" customWidth="0" width="3.109375" style="1"/>
    <col min="5026" max="5026" customWidth="0" width="3.109375" style="1"/>
    <col min="5027" max="5027" customWidth="0" width="3.109375" style="1"/>
    <col min="5028" max="5028" customWidth="0" width="3.109375" style="1"/>
    <col min="5029" max="5029" customWidth="0" width="3.109375" style="1"/>
    <col min="5030" max="5030" customWidth="0" width="3.109375" style="1"/>
    <col min="5031" max="5031" customWidth="0" width="3.109375" style="1"/>
    <col min="5032" max="5032" customWidth="0" width="3.109375" style="1"/>
    <col min="5033" max="5033" customWidth="0" width="3.109375" style="1"/>
    <col min="5034" max="5034" customWidth="0" width="3.109375" style="1"/>
    <col min="5035" max="5035" customWidth="0" width="3.109375" style="1"/>
    <col min="5036" max="5036" customWidth="0" width="3.109375" style="1"/>
    <col min="5037" max="5037" customWidth="0" width="3.109375" style="1"/>
    <col min="5038" max="5038" customWidth="0" width="3.109375" style="1"/>
    <col min="5039" max="5039" customWidth="0" width="3.109375" style="1"/>
    <col min="5040" max="5040" customWidth="0" width="3.109375" style="1"/>
    <col min="5041" max="5041" customWidth="0" width="3.109375" style="1"/>
    <col min="5042" max="5042" customWidth="0" width="3.109375" style="1"/>
    <col min="5043" max="5043" customWidth="0" width="3.109375" style="1"/>
    <col min="5044" max="5044" customWidth="0" width="3.109375" style="1"/>
    <col min="5045" max="5045" customWidth="0" width="3.109375" style="1"/>
    <col min="5046" max="5046" customWidth="0" width="3.109375" style="1"/>
    <col min="5047" max="5047" customWidth="0" width="3.109375" style="1"/>
    <col min="5048" max="5048" customWidth="0" width="3.109375" style="1"/>
    <col min="5049" max="5049" customWidth="0" width="3.109375" style="1"/>
    <col min="5050" max="5050" customWidth="0" width="3.109375" style="1"/>
    <col min="5051" max="5051" customWidth="0" width="3.109375" style="1"/>
    <col min="5052" max="5052" customWidth="0" width="3.109375" style="1"/>
    <col min="5053" max="5053" customWidth="0" width="3.109375" style="1"/>
    <col min="5054" max="5054" customWidth="0" width="3.109375" style="1"/>
    <col min="5055" max="5055" customWidth="0" width="3.109375" style="1"/>
    <col min="5056" max="5056" customWidth="0" width="3.109375" style="1"/>
    <col min="5057" max="5057" customWidth="0" width="3.109375" style="1"/>
    <col min="5058" max="5058" customWidth="0" width="3.109375" style="1"/>
    <col min="5059" max="5059" customWidth="0" width="3.109375" style="1"/>
    <col min="5060" max="5060" customWidth="0" width="3.109375" style="1"/>
    <col min="5061" max="5061" customWidth="0" width="3.109375" style="1"/>
    <col min="5062" max="5062" customWidth="0" width="3.109375" style="1"/>
    <col min="5063" max="5063" customWidth="0" width="3.109375" style="1"/>
    <col min="5064" max="5064" customWidth="0" width="3.109375" style="1"/>
    <col min="5065" max="5065" customWidth="0" width="3.109375" style="1"/>
    <col min="5066" max="5066" customWidth="0" width="3.109375" style="1"/>
    <col min="5067" max="5067" customWidth="0" width="3.109375" style="1"/>
    <col min="5068" max="5068" customWidth="0" width="3.109375" style="1"/>
    <col min="5069" max="5069" customWidth="0" width="3.109375" style="1"/>
    <col min="5070" max="5070" customWidth="0" width="3.109375" style="1"/>
    <col min="5071" max="5071" customWidth="0" width="3.109375" style="1"/>
    <col min="5072" max="5072" customWidth="0" width="3.109375" style="1"/>
    <col min="5073" max="5073" customWidth="0" width="3.109375" style="1"/>
    <col min="5074" max="5074" customWidth="0" width="3.109375" style="1"/>
    <col min="5075" max="5075" customWidth="0" width="3.109375" style="1"/>
    <col min="5076" max="5076" customWidth="0" width="3.109375" style="1"/>
    <col min="5077" max="5077" customWidth="0" width="3.109375" style="1"/>
    <col min="5078" max="5078" customWidth="0" width="3.109375" style="1"/>
    <col min="5079" max="5079" customWidth="0" width="3.109375" style="1"/>
    <col min="5080" max="5080" customWidth="0" width="3.109375" style="1"/>
    <col min="5081" max="5081" customWidth="0" width="3.109375" style="1"/>
    <col min="5082" max="5082" customWidth="0" width="3.109375" style="1"/>
    <col min="5083" max="5083" customWidth="0" width="3.109375" style="1"/>
    <col min="5084" max="5084" customWidth="0" width="3.109375" style="1"/>
    <col min="5085" max="5085" customWidth="0" width="3.109375" style="1"/>
    <col min="5086" max="5086" customWidth="0" width="3.109375" style="1"/>
    <col min="5087" max="5087" customWidth="0" width="3.109375" style="1"/>
    <col min="5088" max="5088" customWidth="0" width="3.109375" style="1"/>
    <col min="5089" max="5089" customWidth="0" width="3.109375" style="1"/>
    <col min="5090" max="5090" customWidth="0" width="3.109375" style="1"/>
    <col min="5091" max="5091" customWidth="0" width="3.109375" style="1"/>
    <col min="5092" max="5092" customWidth="0" width="3.109375" style="1"/>
    <col min="5093" max="5093" customWidth="0" width="3.109375" style="1"/>
    <col min="5094" max="5094" customWidth="0" width="3.109375" style="1"/>
    <col min="5095" max="5095" customWidth="0" width="3.109375" style="1"/>
    <col min="5096" max="5096" customWidth="0" width="3.109375" style="1"/>
    <col min="5097" max="5097" customWidth="0" width="3.109375" style="1"/>
    <col min="5098" max="5098" customWidth="0" width="3.109375" style="1"/>
    <col min="5099" max="5099" customWidth="0" width="3.109375" style="1"/>
    <col min="5100" max="5100" customWidth="0" width="3.109375" style="1"/>
    <col min="5101" max="5101" customWidth="0" width="3.109375" style="1"/>
    <col min="5102" max="5102" customWidth="0" width="3.109375" style="1"/>
    <col min="5103" max="5103" customWidth="0" width="3.109375" style="1"/>
    <col min="5104" max="5104" customWidth="0" width="3.109375" style="1"/>
    <col min="5105" max="5105" customWidth="0" width="3.109375" style="1"/>
    <col min="5106" max="5106" customWidth="0" width="3.109375" style="1"/>
    <col min="5107" max="5107" customWidth="0" width="3.109375" style="1"/>
    <col min="5108" max="5108" customWidth="0" width="3.109375" style="1"/>
    <col min="5109" max="5109" customWidth="0" width="3.109375" style="1"/>
    <col min="5110" max="5110" customWidth="0" width="3.109375" style="1"/>
    <col min="5111" max="5111" customWidth="0" width="3.109375" style="1"/>
    <col min="5112" max="5112" customWidth="0" width="3.109375" style="1"/>
    <col min="5113" max="5113" customWidth="0" width="3.109375" style="1"/>
    <col min="5114" max="5114" customWidth="0" width="3.109375" style="1"/>
    <col min="5115" max="5115" customWidth="0" width="3.109375" style="1"/>
    <col min="5116" max="5116" customWidth="0" width="3.109375" style="1"/>
    <col min="5117" max="5117" customWidth="0" width="3.109375" style="1"/>
    <col min="5118" max="5118" customWidth="0" width="3.109375" style="1"/>
    <col min="5119" max="5119" customWidth="0" width="3.109375" style="1"/>
    <col min="5120" max="5120" customWidth="0" width="3.109375" style="1"/>
    <col min="5121" max="5121" customWidth="0" width="3.109375" style="1"/>
    <col min="5122" max="5122" customWidth="0" width="3.109375" style="1"/>
    <col min="5123" max="5123" customWidth="0" width="3.109375" style="1"/>
    <col min="5124" max="5124" customWidth="0" width="3.109375" style="1"/>
    <col min="5125" max="5125" customWidth="0" width="3.109375" style="1"/>
    <col min="5126" max="5126" customWidth="0" width="3.109375" style="1"/>
    <col min="5127" max="5127" customWidth="0" width="3.109375" style="1"/>
    <col min="5128" max="5128" customWidth="0" width="3.109375" style="1"/>
    <col min="5129" max="5129" customWidth="0" width="3.109375" style="1"/>
    <col min="5130" max="5130" customWidth="0" width="3.109375" style="1"/>
    <col min="5131" max="5131" customWidth="0" width="3.109375" style="1"/>
    <col min="5132" max="5132" customWidth="0" width="3.109375" style="1"/>
    <col min="5133" max="5133" customWidth="0" width="3.109375" style="1"/>
    <col min="5134" max="5134" customWidth="0" width="3.109375" style="1"/>
    <col min="5135" max="5135" customWidth="0" width="3.109375" style="1"/>
    <col min="5136" max="5136" customWidth="0" width="3.109375" style="1"/>
    <col min="5137" max="5137" customWidth="0" width="3.109375" style="1"/>
    <col min="5138" max="5138" customWidth="0" width="3.109375" style="1"/>
    <col min="5139" max="5139" customWidth="0" width="3.109375" style="1"/>
    <col min="5140" max="5140" customWidth="0" width="3.109375" style="1"/>
    <col min="5141" max="5141" customWidth="0" width="3.109375" style="1"/>
    <col min="5142" max="5142" customWidth="0" width="3.109375" style="1"/>
    <col min="5143" max="5143" customWidth="0" width="3.109375" style="1"/>
    <col min="5144" max="5144" customWidth="0" width="3.109375" style="1"/>
    <col min="5145" max="5145" customWidth="0" width="3.109375" style="1"/>
    <col min="5146" max="5146" customWidth="0" width="3.109375" style="1"/>
    <col min="5147" max="5147" customWidth="0" width="3.109375" style="1"/>
    <col min="5148" max="5148" customWidth="0" width="3.109375" style="1"/>
    <col min="5149" max="5149" customWidth="0" width="3.109375" style="1"/>
    <col min="5150" max="5150" customWidth="0" width="3.109375" style="1"/>
    <col min="5151" max="5151" customWidth="0" width="3.109375" style="1"/>
    <col min="5152" max="5152" customWidth="0" width="3.109375" style="1"/>
    <col min="5153" max="5153" customWidth="0" width="3.109375" style="1"/>
    <col min="5154" max="5154" customWidth="0" width="3.109375" style="1"/>
    <col min="5155" max="5155" customWidth="0" width="3.109375" style="1"/>
    <col min="5156" max="5156" customWidth="0" width="3.109375" style="1"/>
    <col min="5157" max="5157" customWidth="0" width="3.109375" style="1"/>
    <col min="5158" max="5158" customWidth="0" width="3.109375" style="1"/>
    <col min="5159" max="5159" customWidth="0" width="3.109375" style="1"/>
    <col min="5160" max="5160" customWidth="0" width="3.109375" style="1"/>
    <col min="5161" max="5161" customWidth="0" width="3.109375" style="1"/>
    <col min="5162" max="5162" customWidth="0" width="3.109375" style="1"/>
    <col min="5163" max="5163" customWidth="0" width="3.109375" style="1"/>
    <col min="5164" max="5164" customWidth="0" width="3.109375" style="1"/>
    <col min="5165" max="5165" customWidth="0" width="3.109375" style="1"/>
    <col min="5166" max="5166" customWidth="0" width="3.109375" style="1"/>
    <col min="5167" max="5167" customWidth="0" width="3.109375" style="1"/>
    <col min="5168" max="5168" customWidth="0" width="3.109375" style="1"/>
    <col min="5169" max="5169" customWidth="0" width="3.109375" style="1"/>
    <col min="5170" max="5170" customWidth="0" width="3.109375" style="1"/>
    <col min="5171" max="5171" customWidth="0" width="3.109375" style="1"/>
    <col min="5172" max="5172" customWidth="0" width="3.109375" style="1"/>
    <col min="5173" max="5173" customWidth="0" width="3.109375" style="1"/>
    <col min="5174" max="5174" customWidth="0" width="3.109375" style="1"/>
    <col min="5175" max="5175" customWidth="0" width="3.109375" style="1"/>
    <col min="5176" max="5176" customWidth="0" width="3.109375" style="1"/>
    <col min="5177" max="5177" customWidth="0" width="3.109375" style="1"/>
    <col min="5178" max="5178" customWidth="0" width="3.109375" style="1"/>
    <col min="5179" max="5179" customWidth="0" width="3.109375" style="1"/>
    <col min="5180" max="5180" customWidth="0" width="3.109375" style="1"/>
    <col min="5181" max="5181" customWidth="0" width="3.109375" style="1"/>
    <col min="5182" max="5182" customWidth="0" width="3.109375" style="1"/>
    <col min="5183" max="5183" customWidth="0" width="3.109375" style="1"/>
    <col min="5184" max="5184" customWidth="0" width="3.109375" style="1"/>
    <col min="5185" max="5185" customWidth="0" width="3.109375" style="1"/>
    <col min="5186" max="5186" customWidth="0" width="3.109375" style="1"/>
    <col min="5187" max="5187" customWidth="0" width="3.109375" style="1"/>
    <col min="5188" max="5188" customWidth="0" width="3.109375" style="1"/>
    <col min="5189" max="5189" customWidth="0" width="3.109375" style="1"/>
    <col min="5190" max="5190" customWidth="0" width="3.109375" style="1"/>
    <col min="5191" max="5191" customWidth="0" width="3.109375" style="1"/>
    <col min="5192" max="5192" customWidth="0" width="3.109375" style="1"/>
    <col min="5193" max="5193" customWidth="0" width="3.109375" style="1"/>
    <col min="5194" max="5194" customWidth="0" width="3.109375" style="1"/>
    <col min="5195" max="5195" customWidth="0" width="3.109375" style="1"/>
    <col min="5196" max="5196" customWidth="0" width="3.109375" style="1"/>
    <col min="5197" max="5197" customWidth="0" width="3.109375" style="1"/>
    <col min="5198" max="5198" customWidth="0" width="3.109375" style="1"/>
    <col min="5199" max="5199" customWidth="0" width="3.109375" style="1"/>
    <col min="5200" max="5200" customWidth="0" width="3.109375" style="1"/>
    <col min="5201" max="5201" customWidth="0" width="3.109375" style="1"/>
    <col min="5202" max="5202" customWidth="0" width="3.109375" style="1"/>
    <col min="5203" max="5203" customWidth="0" width="3.109375" style="1"/>
    <col min="5204" max="5204" customWidth="0" width="3.109375" style="1"/>
    <col min="5205" max="5205" customWidth="0" width="3.109375" style="1"/>
    <col min="5206" max="5206" customWidth="0" width="3.109375" style="1"/>
    <col min="5207" max="5207" customWidth="0" width="3.109375" style="1"/>
    <col min="5208" max="5208" customWidth="0" width="3.109375" style="1"/>
    <col min="5209" max="5209" customWidth="0" width="3.109375" style="1"/>
    <col min="5210" max="5210" customWidth="0" width="3.109375" style="1"/>
    <col min="5211" max="5211" customWidth="0" width="3.109375" style="1"/>
    <col min="5212" max="5212" customWidth="0" width="3.109375" style="1"/>
    <col min="5213" max="5213" customWidth="0" width="3.109375" style="1"/>
    <col min="5214" max="5214" customWidth="0" width="3.109375" style="1"/>
    <col min="5215" max="5215" customWidth="0" width="3.109375" style="1"/>
    <col min="5216" max="5216" customWidth="0" width="3.109375" style="1"/>
    <col min="5217" max="5217" customWidth="0" width="3.109375" style="1"/>
    <col min="5218" max="5218" customWidth="0" width="3.109375" style="1"/>
    <col min="5219" max="5219" customWidth="0" width="3.109375" style="1"/>
    <col min="5220" max="5220" customWidth="0" width="3.109375" style="1"/>
    <col min="5221" max="5221" customWidth="0" width="3.109375" style="1"/>
    <col min="5222" max="5222" customWidth="0" width="3.109375" style="1"/>
    <col min="5223" max="5223" customWidth="0" width="3.109375" style="1"/>
    <col min="5224" max="5224" customWidth="0" width="3.109375" style="1"/>
    <col min="5225" max="5225" customWidth="0" width="3.109375" style="1"/>
    <col min="5226" max="5226" customWidth="0" width="3.109375" style="1"/>
    <col min="5227" max="5227" customWidth="0" width="3.109375" style="1"/>
    <col min="5228" max="5228" customWidth="0" width="3.109375" style="1"/>
    <col min="5229" max="5229" customWidth="0" width="3.109375" style="1"/>
    <col min="5230" max="5230" customWidth="0" width="3.109375" style="1"/>
    <col min="5231" max="5231" customWidth="0" width="3.109375" style="1"/>
    <col min="5232" max="5232" customWidth="0" width="3.109375" style="1"/>
    <col min="5233" max="5233" customWidth="0" width="3.109375" style="1"/>
    <col min="5234" max="5234" customWidth="0" width="3.109375" style="1"/>
    <col min="5235" max="5235" customWidth="0" width="3.109375" style="1"/>
    <col min="5236" max="5236" customWidth="0" width="3.109375" style="1"/>
    <col min="5237" max="5237" customWidth="0" width="3.109375" style="1"/>
    <col min="5238" max="5238" customWidth="0" width="3.109375" style="1"/>
    <col min="5239" max="5239" customWidth="0" width="3.109375" style="1"/>
    <col min="5240" max="5240" customWidth="0" width="3.109375" style="1"/>
    <col min="5241" max="5241" customWidth="0" width="3.109375" style="1"/>
    <col min="5242" max="5242" customWidth="0" width="3.109375" style="1"/>
    <col min="5243" max="5243" customWidth="0" width="3.109375" style="1"/>
    <col min="5244" max="5244" customWidth="0" width="3.109375" style="1"/>
    <col min="5245" max="5245" customWidth="0" width="3.109375" style="1"/>
    <col min="5246" max="5246" customWidth="0" width="3.109375" style="1"/>
    <col min="5247" max="5247" customWidth="0" width="3.109375" style="1"/>
    <col min="5248" max="5248" customWidth="0" width="3.109375" style="1"/>
    <col min="5249" max="5249" customWidth="0" width="3.109375" style="1"/>
    <col min="5250" max="5250" customWidth="0" width="3.109375" style="1"/>
    <col min="5251" max="5251" customWidth="0" width="3.109375" style="1"/>
    <col min="5252" max="5252" customWidth="0" width="3.109375" style="1"/>
    <col min="5253" max="5253" customWidth="0" width="3.109375" style="1"/>
    <col min="5254" max="5254" customWidth="0" width="3.109375" style="1"/>
    <col min="5255" max="5255" customWidth="0" width="3.109375" style="1"/>
    <col min="5256" max="5256" customWidth="0" width="3.109375" style="1"/>
    <col min="5257" max="5257" customWidth="0" width="3.109375" style="1"/>
    <col min="5258" max="5258" customWidth="0" width="3.109375" style="1"/>
    <col min="5259" max="5259" customWidth="0" width="3.109375" style="1"/>
    <col min="5260" max="5260" customWidth="0" width="3.109375" style="1"/>
    <col min="5261" max="5261" customWidth="0" width="3.109375" style="1"/>
    <col min="5262" max="5262" customWidth="0" width="3.109375" style="1"/>
    <col min="5263" max="5263" customWidth="0" width="3.109375" style="1"/>
    <col min="5264" max="5264" customWidth="0" width="3.109375" style="1"/>
    <col min="5265" max="5265" customWidth="0" width="3.109375" style="1"/>
    <col min="5266" max="5266" customWidth="0" width="3.109375" style="1"/>
    <col min="5267" max="5267" customWidth="0" width="3.109375" style="1"/>
    <col min="5268" max="5268" customWidth="0" width="3.109375" style="1"/>
    <col min="5269" max="5269" customWidth="0" width="3.109375" style="1"/>
    <col min="5270" max="5270" customWidth="0" width="3.109375" style="1"/>
    <col min="5271" max="5271" customWidth="0" width="3.109375" style="1"/>
    <col min="5272" max="5272" customWidth="0" width="3.109375" style="1"/>
    <col min="5273" max="5273" customWidth="0" width="3.109375" style="1"/>
    <col min="5274" max="5274" customWidth="0" width="3.109375" style="1"/>
    <col min="5275" max="5275" customWidth="0" width="3.109375" style="1"/>
    <col min="5276" max="5276" customWidth="0" width="3.109375" style="1"/>
    <col min="5277" max="5277" customWidth="0" width="3.109375" style="1"/>
    <col min="5278" max="5278" customWidth="0" width="3.109375" style="1"/>
    <col min="5279" max="5279" customWidth="0" width="3.109375" style="1"/>
    <col min="5280" max="5280" customWidth="0" width="3.109375" style="1"/>
    <col min="5281" max="5281" customWidth="0" width="3.109375" style="1"/>
    <col min="5282" max="5282" customWidth="0" width="3.109375" style="1"/>
    <col min="5283" max="5283" customWidth="0" width="3.109375" style="1"/>
    <col min="5284" max="5284" customWidth="0" width="3.109375" style="1"/>
    <col min="5285" max="5285" customWidth="0" width="3.109375" style="1"/>
    <col min="5286" max="5286" customWidth="0" width="3.109375" style="1"/>
    <col min="5287" max="5287" customWidth="0" width="3.109375" style="1"/>
    <col min="5288" max="5288" customWidth="0" width="3.109375" style="1"/>
    <col min="5289" max="5289" customWidth="0" width="3.109375" style="1"/>
    <col min="5290" max="5290" customWidth="0" width="3.109375" style="1"/>
    <col min="5291" max="5291" customWidth="0" width="3.109375" style="1"/>
    <col min="5292" max="5292" customWidth="0" width="3.109375" style="1"/>
    <col min="5293" max="5293" customWidth="0" width="3.109375" style="1"/>
    <col min="5294" max="5294" customWidth="0" width="3.109375" style="1"/>
    <col min="5295" max="5295" customWidth="0" width="3.109375" style="1"/>
    <col min="5296" max="5296" customWidth="0" width="3.109375" style="1"/>
    <col min="5297" max="5297" customWidth="0" width="3.109375" style="1"/>
    <col min="5298" max="5298" customWidth="0" width="3.109375" style="1"/>
    <col min="5299" max="5299" customWidth="0" width="3.109375" style="1"/>
    <col min="5300" max="5300" customWidth="0" width="3.109375" style="1"/>
    <col min="5301" max="5301" customWidth="0" width="3.109375" style="1"/>
    <col min="5302" max="5302" customWidth="0" width="3.109375" style="1"/>
    <col min="5303" max="5303" customWidth="0" width="3.109375" style="1"/>
    <col min="5304" max="5304" customWidth="0" width="3.109375" style="1"/>
    <col min="5305" max="5305" customWidth="0" width="3.109375" style="1"/>
    <col min="5306" max="5306" customWidth="0" width="3.109375" style="1"/>
    <col min="5307" max="5307" customWidth="0" width="3.109375" style="1"/>
    <col min="5308" max="5308" customWidth="0" width="3.109375" style="1"/>
    <col min="5309" max="5309" customWidth="0" width="3.109375" style="1"/>
    <col min="5310" max="5310" customWidth="0" width="3.109375" style="1"/>
    <col min="5311" max="5311" customWidth="0" width="3.109375" style="1"/>
    <col min="5312" max="5312" customWidth="0" width="3.109375" style="1"/>
    <col min="5313" max="5313" customWidth="0" width="3.109375" style="1"/>
    <col min="5314" max="5314" customWidth="0" width="3.109375" style="1"/>
    <col min="5315" max="5315" customWidth="0" width="3.109375" style="1"/>
    <col min="5316" max="5316" customWidth="0" width="3.109375" style="1"/>
    <col min="5317" max="5317" customWidth="0" width="3.109375" style="1"/>
    <col min="5318" max="5318" customWidth="0" width="3.109375" style="1"/>
    <col min="5319" max="5319" customWidth="0" width="3.109375" style="1"/>
    <col min="5320" max="5320" customWidth="0" width="3.109375" style="1"/>
    <col min="5321" max="5321" customWidth="0" width="3.109375" style="1"/>
    <col min="5322" max="5322" customWidth="0" width="3.109375" style="1"/>
    <col min="5323" max="5323" customWidth="0" width="3.109375" style="1"/>
    <col min="5324" max="5324" customWidth="0" width="3.109375" style="1"/>
    <col min="5325" max="5325" customWidth="0" width="3.109375" style="1"/>
    <col min="5326" max="5326" customWidth="0" width="3.109375" style="1"/>
    <col min="5327" max="5327" customWidth="0" width="3.109375" style="1"/>
    <col min="5328" max="5328" customWidth="0" width="3.109375" style="1"/>
    <col min="5329" max="5329" customWidth="0" width="3.109375" style="1"/>
    <col min="5330" max="5330" customWidth="0" width="3.109375" style="1"/>
    <col min="5331" max="5331" customWidth="0" width="3.109375" style="1"/>
    <col min="5332" max="5332" customWidth="0" width="3.109375" style="1"/>
    <col min="5333" max="5333" customWidth="0" width="3.109375" style="1"/>
    <col min="5334" max="5334" customWidth="0" width="3.109375" style="1"/>
    <col min="5335" max="5335" customWidth="0" width="3.109375" style="1"/>
    <col min="5336" max="5336" customWidth="0" width="3.109375" style="1"/>
    <col min="5337" max="5337" customWidth="0" width="3.109375" style="1"/>
    <col min="5338" max="5338" customWidth="0" width="3.109375" style="1"/>
    <col min="5339" max="5339" customWidth="0" width="3.109375" style="1"/>
    <col min="5340" max="5340" customWidth="0" width="3.109375" style="1"/>
    <col min="5341" max="5341" customWidth="0" width="3.109375" style="1"/>
    <col min="5342" max="5342" customWidth="0" width="3.109375" style="1"/>
    <col min="5343" max="5343" customWidth="0" width="3.109375" style="1"/>
    <col min="5344" max="5344" customWidth="0" width="3.109375" style="1"/>
    <col min="5345" max="5345" customWidth="0" width="3.109375" style="1"/>
    <col min="5346" max="5346" customWidth="0" width="3.109375" style="1"/>
    <col min="5347" max="5347" customWidth="0" width="3.109375" style="1"/>
    <col min="5348" max="5348" customWidth="0" width="3.109375" style="1"/>
    <col min="5349" max="5349" customWidth="0" width="3.109375" style="1"/>
    <col min="5350" max="5350" customWidth="0" width="3.109375" style="1"/>
    <col min="5351" max="5351" customWidth="0" width="3.109375" style="1"/>
    <col min="5352" max="5352" customWidth="0" width="3.109375" style="1"/>
    <col min="5353" max="5353" customWidth="0" width="3.109375" style="1"/>
    <col min="5354" max="5354" customWidth="0" width="3.109375" style="1"/>
    <col min="5355" max="5355" customWidth="0" width="3.109375" style="1"/>
    <col min="5356" max="5356" customWidth="0" width="3.109375" style="1"/>
    <col min="5357" max="5357" customWidth="0" width="3.109375" style="1"/>
    <col min="5358" max="5358" customWidth="0" width="3.109375" style="1"/>
    <col min="5359" max="5359" customWidth="0" width="3.109375" style="1"/>
    <col min="5360" max="5360" customWidth="0" width="3.109375" style="1"/>
    <col min="5361" max="5361" customWidth="0" width="3.109375" style="1"/>
    <col min="5362" max="5362" customWidth="0" width="3.109375" style="1"/>
    <col min="5363" max="5363" customWidth="0" width="3.109375" style="1"/>
    <col min="5364" max="5364" customWidth="0" width="3.109375" style="1"/>
    <col min="5365" max="5365" customWidth="0" width="3.109375" style="1"/>
    <col min="5366" max="5366" customWidth="0" width="3.109375" style="1"/>
    <col min="5367" max="5367" customWidth="0" width="3.109375" style="1"/>
    <col min="5368" max="5368" customWidth="0" width="3.109375" style="1"/>
    <col min="5369" max="5369" customWidth="0" width="3.109375" style="1"/>
    <col min="5370" max="5370" customWidth="0" width="3.109375" style="1"/>
    <col min="5371" max="5371" customWidth="0" width="3.109375" style="1"/>
    <col min="5372" max="5372" customWidth="0" width="3.109375" style="1"/>
    <col min="5373" max="5373" customWidth="0" width="3.109375" style="1"/>
    <col min="5374" max="5374" customWidth="0" width="3.109375" style="1"/>
    <col min="5375" max="5375" customWidth="0" width="3.109375" style="1"/>
    <col min="5376" max="5376" customWidth="0" width="3.109375" style="1"/>
    <col min="5377" max="5377" customWidth="0" width="3.109375" style="1"/>
    <col min="5378" max="5378" customWidth="0" width="3.109375" style="1"/>
    <col min="5379" max="5379" customWidth="0" width="3.109375" style="1"/>
    <col min="5380" max="5380" customWidth="0" width="3.109375" style="1"/>
    <col min="5381" max="5381" customWidth="0" width="3.109375" style="1"/>
    <col min="5382" max="5382" customWidth="0" width="3.109375" style="1"/>
    <col min="5383" max="5383" customWidth="0" width="3.109375" style="1"/>
    <col min="5384" max="5384" customWidth="0" width="3.109375" style="1"/>
    <col min="5385" max="5385" customWidth="0" width="3.109375" style="1"/>
    <col min="5386" max="5386" customWidth="0" width="3.109375" style="1"/>
    <col min="5387" max="5387" customWidth="0" width="3.109375" style="1"/>
    <col min="5388" max="5388" customWidth="0" width="3.109375" style="1"/>
    <col min="5389" max="5389" customWidth="0" width="3.109375" style="1"/>
    <col min="5390" max="5390" customWidth="0" width="3.109375" style="1"/>
    <col min="5391" max="5391" customWidth="0" width="3.109375" style="1"/>
    <col min="5392" max="5392" customWidth="0" width="3.109375" style="1"/>
    <col min="5393" max="5393" customWidth="0" width="3.109375" style="1"/>
    <col min="5394" max="5394" customWidth="0" width="3.109375" style="1"/>
    <col min="5395" max="5395" customWidth="0" width="3.109375" style="1"/>
    <col min="5396" max="5396" customWidth="0" width="3.109375" style="1"/>
    <col min="5397" max="5397" customWidth="0" width="3.109375" style="1"/>
    <col min="5398" max="5398" customWidth="0" width="3.109375" style="1"/>
    <col min="5399" max="5399" customWidth="0" width="3.109375" style="1"/>
    <col min="5400" max="5400" customWidth="0" width="3.109375" style="1"/>
    <col min="5401" max="5401" customWidth="0" width="3.109375" style="1"/>
    <col min="5402" max="5402" customWidth="0" width="3.109375" style="1"/>
    <col min="5403" max="5403" customWidth="0" width="3.109375" style="1"/>
    <col min="5404" max="5404" customWidth="0" width="3.109375" style="1"/>
    <col min="5405" max="5405" customWidth="0" width="3.109375" style="1"/>
    <col min="5406" max="5406" customWidth="0" width="3.109375" style="1"/>
    <col min="5407" max="5407" customWidth="0" width="3.109375" style="1"/>
    <col min="5408" max="5408" customWidth="0" width="3.109375" style="1"/>
    <col min="5409" max="5409" customWidth="0" width="3.109375" style="1"/>
    <col min="5410" max="5410" customWidth="0" width="3.109375" style="1"/>
    <col min="5411" max="5411" customWidth="0" width="3.109375" style="1"/>
    <col min="5412" max="5412" customWidth="0" width="3.109375" style="1"/>
    <col min="5413" max="5413" customWidth="0" width="3.109375" style="1"/>
    <col min="5414" max="5414" customWidth="0" width="3.109375" style="1"/>
    <col min="5415" max="5415" customWidth="0" width="3.109375" style="1"/>
    <col min="5416" max="5416" customWidth="0" width="3.109375" style="1"/>
    <col min="5417" max="5417" customWidth="0" width="3.109375" style="1"/>
    <col min="5418" max="5418" customWidth="0" width="3.109375" style="1"/>
    <col min="5419" max="5419" customWidth="0" width="3.109375" style="1"/>
    <col min="5420" max="5420" customWidth="0" width="3.109375" style="1"/>
    <col min="5421" max="5421" customWidth="0" width="3.109375" style="1"/>
    <col min="5422" max="5422" customWidth="0" width="3.109375" style="1"/>
    <col min="5423" max="5423" customWidth="0" width="3.109375" style="1"/>
    <col min="5424" max="5424" customWidth="0" width="3.109375" style="1"/>
    <col min="5425" max="5425" customWidth="0" width="3.109375" style="1"/>
    <col min="5426" max="5426" customWidth="0" width="3.109375" style="1"/>
    <col min="5427" max="5427" customWidth="0" width="3.109375" style="1"/>
    <col min="5428" max="5428" customWidth="0" width="3.109375" style="1"/>
    <col min="5429" max="5429" customWidth="0" width="3.109375" style="1"/>
    <col min="5430" max="5430" customWidth="0" width="3.109375" style="1"/>
    <col min="5431" max="5431" customWidth="0" width="3.109375" style="1"/>
    <col min="5432" max="5432" customWidth="0" width="3.109375" style="1"/>
    <col min="5433" max="5433" customWidth="0" width="3.109375" style="1"/>
    <col min="5434" max="5434" customWidth="0" width="3.109375" style="1"/>
    <col min="5435" max="5435" customWidth="0" width="3.109375" style="1"/>
    <col min="5436" max="5436" customWidth="0" width="3.109375" style="1"/>
    <col min="5437" max="5437" customWidth="0" width="3.109375" style="1"/>
    <col min="5438" max="5438" customWidth="0" width="3.109375" style="1"/>
    <col min="5439" max="5439" customWidth="0" width="3.109375" style="1"/>
    <col min="5440" max="5440" customWidth="0" width="3.109375" style="1"/>
    <col min="5441" max="5441" customWidth="0" width="3.109375" style="1"/>
    <col min="5442" max="5442" customWidth="0" width="3.109375" style="1"/>
    <col min="5443" max="5443" customWidth="0" width="3.109375" style="1"/>
    <col min="5444" max="5444" customWidth="0" width="3.109375" style="1"/>
    <col min="5445" max="5445" customWidth="0" width="3.109375" style="1"/>
    <col min="5446" max="5446" customWidth="0" width="3.109375" style="1"/>
    <col min="5447" max="5447" customWidth="0" width="3.109375" style="1"/>
    <col min="5448" max="5448" customWidth="0" width="3.109375" style="1"/>
    <col min="5449" max="5449" customWidth="0" width="3.109375" style="1"/>
    <col min="5450" max="5450" customWidth="0" width="3.109375" style="1"/>
    <col min="5451" max="5451" customWidth="0" width="3.109375" style="1"/>
    <col min="5452" max="5452" customWidth="0" width="3.109375" style="1"/>
    <col min="5453" max="5453" customWidth="0" width="3.109375" style="1"/>
    <col min="5454" max="5454" customWidth="0" width="3.109375" style="1"/>
    <col min="5455" max="5455" customWidth="0" width="3.109375" style="1"/>
    <col min="5456" max="5456" customWidth="0" width="3.109375" style="1"/>
    <col min="5457" max="5457" customWidth="0" width="3.109375" style="1"/>
    <col min="5458" max="5458" customWidth="0" width="3.109375" style="1"/>
    <col min="5459" max="5459" customWidth="0" width="3.109375" style="1"/>
    <col min="5460" max="5460" customWidth="0" width="3.109375" style="1"/>
    <col min="5461" max="5461" customWidth="0" width="3.109375" style="1"/>
    <col min="5462" max="5462" customWidth="0" width="3.109375" style="1"/>
    <col min="5463" max="5463" customWidth="0" width="3.109375" style="1"/>
    <col min="5464" max="5464" customWidth="0" width="3.109375" style="1"/>
    <col min="5465" max="5465" customWidth="0" width="3.109375" style="1"/>
    <col min="5466" max="5466" customWidth="0" width="3.109375" style="1"/>
    <col min="5467" max="5467" customWidth="0" width="3.109375" style="1"/>
    <col min="5468" max="5468" customWidth="0" width="3.109375" style="1"/>
    <col min="5469" max="5469" customWidth="0" width="3.109375" style="1"/>
    <col min="5470" max="5470" customWidth="0" width="3.109375" style="1"/>
    <col min="5471" max="5471" customWidth="0" width="3.109375" style="1"/>
    <col min="5472" max="5472" customWidth="0" width="3.109375" style="1"/>
    <col min="5473" max="5473" customWidth="0" width="3.109375" style="1"/>
    <col min="5474" max="5474" customWidth="0" width="3.109375" style="1"/>
    <col min="5475" max="5475" customWidth="0" width="3.109375" style="1"/>
    <col min="5476" max="5476" customWidth="0" width="3.109375" style="1"/>
    <col min="5477" max="5477" customWidth="0" width="3.109375" style="1"/>
    <col min="5478" max="5478" customWidth="0" width="3.109375" style="1"/>
    <col min="5479" max="5479" customWidth="0" width="3.109375" style="1"/>
    <col min="5480" max="5480" customWidth="0" width="3.109375" style="1"/>
    <col min="5481" max="5481" customWidth="0" width="3.109375" style="1"/>
    <col min="5482" max="5482" customWidth="0" width="3.109375" style="1"/>
    <col min="5483" max="5483" customWidth="0" width="3.109375" style="1"/>
    <col min="5484" max="5484" customWidth="0" width="3.109375" style="1"/>
    <col min="5485" max="5485" customWidth="0" width="3.109375" style="1"/>
    <col min="5486" max="5486" customWidth="0" width="3.109375" style="1"/>
    <col min="5487" max="5487" customWidth="0" width="3.109375" style="1"/>
    <col min="5488" max="5488" customWidth="0" width="3.109375" style="1"/>
    <col min="5489" max="5489" customWidth="0" width="3.109375" style="1"/>
    <col min="5490" max="5490" customWidth="0" width="3.109375" style="1"/>
    <col min="5491" max="5491" customWidth="0" width="3.109375" style="1"/>
    <col min="5492" max="5492" customWidth="0" width="3.109375" style="1"/>
    <col min="5493" max="5493" customWidth="0" width="3.109375" style="1"/>
    <col min="5494" max="5494" customWidth="0" width="3.109375" style="1"/>
    <col min="5495" max="5495" customWidth="0" width="3.109375" style="1"/>
    <col min="5496" max="5496" customWidth="0" width="3.109375" style="1"/>
    <col min="5497" max="5497" customWidth="0" width="3.109375" style="1"/>
    <col min="5498" max="5498" customWidth="0" width="3.109375" style="1"/>
    <col min="5499" max="5499" customWidth="0" width="3.109375" style="1"/>
    <col min="5500" max="5500" customWidth="0" width="3.109375" style="1"/>
    <col min="5501" max="5501" customWidth="0" width="3.109375" style="1"/>
    <col min="5502" max="5502" customWidth="0" width="3.109375" style="1"/>
    <col min="5503" max="5503" customWidth="0" width="3.109375" style="1"/>
    <col min="5504" max="5504" customWidth="0" width="3.109375" style="1"/>
    <col min="5505" max="5505" customWidth="0" width="3.109375" style="1"/>
    <col min="5506" max="5506" customWidth="0" width="3.109375" style="1"/>
    <col min="5507" max="5507" customWidth="0" width="3.109375" style="1"/>
    <col min="5508" max="5508" customWidth="0" width="3.109375" style="1"/>
    <col min="5509" max="5509" customWidth="0" width="3.109375" style="1"/>
    <col min="5510" max="5510" customWidth="0" width="3.109375" style="1"/>
    <col min="5511" max="5511" customWidth="0" width="3.109375" style="1"/>
    <col min="5512" max="5512" customWidth="0" width="3.109375" style="1"/>
    <col min="5513" max="5513" customWidth="0" width="3.109375" style="1"/>
    <col min="5514" max="5514" customWidth="0" width="3.109375" style="1"/>
    <col min="5515" max="5515" customWidth="0" width="3.109375" style="1"/>
    <col min="5516" max="5516" customWidth="0" width="3.109375" style="1"/>
    <col min="5517" max="5517" customWidth="0" width="3.109375" style="1"/>
    <col min="5518" max="5518" customWidth="0" width="3.109375" style="1"/>
    <col min="5519" max="5519" customWidth="0" width="3.109375" style="1"/>
    <col min="5520" max="5520" customWidth="0" width="3.109375" style="1"/>
    <col min="5521" max="5521" customWidth="0" width="3.109375" style="1"/>
    <col min="5522" max="5522" customWidth="0" width="3.109375" style="1"/>
    <col min="5523" max="5523" customWidth="0" width="3.109375" style="1"/>
    <col min="5524" max="5524" customWidth="0" width="3.109375" style="1"/>
    <col min="5525" max="5525" customWidth="0" width="3.109375" style="1"/>
    <col min="5526" max="5526" customWidth="0" width="3.109375" style="1"/>
    <col min="5527" max="5527" customWidth="0" width="3.109375" style="1"/>
    <col min="5528" max="5528" customWidth="0" width="3.109375" style="1"/>
    <col min="5529" max="5529" customWidth="0" width="3.109375" style="1"/>
    <col min="5530" max="5530" customWidth="0" width="3.109375" style="1"/>
    <col min="5531" max="5531" customWidth="0" width="3.109375" style="1"/>
    <col min="5532" max="5532" customWidth="0" width="3.109375" style="1"/>
    <col min="5533" max="5533" customWidth="0" width="3.109375" style="1"/>
    <col min="5534" max="5534" customWidth="0" width="3.109375" style="1"/>
    <col min="5535" max="5535" customWidth="0" width="3.109375" style="1"/>
    <col min="5536" max="5536" customWidth="0" width="3.109375" style="1"/>
    <col min="5537" max="5537" customWidth="0" width="3.109375" style="1"/>
    <col min="5538" max="5538" customWidth="0" width="3.109375" style="1"/>
    <col min="5539" max="5539" customWidth="0" width="3.109375" style="1"/>
    <col min="5540" max="5540" customWidth="0" width="3.109375" style="1"/>
    <col min="5541" max="5541" customWidth="0" width="3.109375" style="1"/>
    <col min="5542" max="5542" customWidth="0" width="3.109375" style="1"/>
    <col min="5543" max="5543" customWidth="0" width="3.109375" style="1"/>
    <col min="5544" max="5544" customWidth="0" width="3.109375" style="1"/>
    <col min="5545" max="5545" customWidth="0" width="3.109375" style="1"/>
    <col min="5546" max="5546" customWidth="0" width="3.109375" style="1"/>
    <col min="5547" max="5547" customWidth="0" width="3.109375" style="1"/>
    <col min="5548" max="5548" customWidth="0" width="3.109375" style="1"/>
    <col min="5549" max="5549" customWidth="0" width="3.109375" style="1"/>
    <col min="5550" max="5550" customWidth="0" width="3.109375" style="1"/>
    <col min="5551" max="5551" customWidth="0" width="3.109375" style="1"/>
    <col min="5552" max="5552" customWidth="0" width="3.109375" style="1"/>
    <col min="5553" max="5553" customWidth="0" width="3.109375" style="1"/>
    <col min="5554" max="5554" customWidth="0" width="3.109375" style="1"/>
    <col min="5555" max="5555" customWidth="0" width="3.109375" style="1"/>
    <col min="5556" max="5556" customWidth="0" width="3.109375" style="1"/>
    <col min="5557" max="5557" customWidth="0" width="3.109375" style="1"/>
    <col min="5558" max="5558" customWidth="0" width="3.109375" style="1"/>
    <col min="5559" max="5559" customWidth="0" width="3.109375" style="1"/>
    <col min="5560" max="5560" customWidth="0" width="3.109375" style="1"/>
    <col min="5561" max="5561" customWidth="0" width="3.109375" style="1"/>
    <col min="5562" max="5562" customWidth="0" width="3.109375" style="1"/>
    <col min="5563" max="5563" customWidth="0" width="3.109375" style="1"/>
    <col min="5564" max="5564" customWidth="0" width="3.109375" style="1"/>
    <col min="5565" max="5565" customWidth="0" width="3.109375" style="1"/>
    <col min="5566" max="5566" customWidth="0" width="3.109375" style="1"/>
    <col min="5567" max="5567" customWidth="0" width="3.109375" style="1"/>
    <col min="5568" max="5568" customWidth="0" width="3.109375" style="1"/>
    <col min="5569" max="5569" customWidth="0" width="3.109375" style="1"/>
    <col min="5570" max="5570" customWidth="0" width="3.109375" style="1"/>
    <col min="5571" max="5571" customWidth="0" width="3.109375" style="1"/>
    <col min="5572" max="5572" customWidth="0" width="3.109375" style="1"/>
    <col min="5573" max="5573" customWidth="0" width="3.109375" style="1"/>
    <col min="5574" max="5574" customWidth="0" width="3.109375" style="1"/>
    <col min="5575" max="5575" customWidth="0" width="3.109375" style="1"/>
    <col min="5576" max="5576" customWidth="0" width="3.109375" style="1"/>
    <col min="5577" max="5577" customWidth="0" width="3.109375" style="1"/>
    <col min="5578" max="5578" customWidth="0" width="3.109375" style="1"/>
    <col min="5579" max="5579" customWidth="0" width="3.109375" style="1"/>
    <col min="5580" max="5580" customWidth="0" width="3.109375" style="1"/>
    <col min="5581" max="5581" customWidth="0" width="3.109375" style="1"/>
    <col min="5582" max="5582" customWidth="0" width="3.109375" style="1"/>
    <col min="5583" max="5583" customWidth="0" width="3.109375" style="1"/>
    <col min="5584" max="5584" customWidth="0" width="3.109375" style="1"/>
    <col min="5585" max="5585" customWidth="0" width="3.109375" style="1"/>
    <col min="5586" max="5586" customWidth="0" width="3.109375" style="1"/>
    <col min="5587" max="5587" customWidth="0" width="3.109375" style="1"/>
    <col min="5588" max="5588" customWidth="0" width="3.109375" style="1"/>
    <col min="5589" max="5589" customWidth="0" width="3.109375" style="1"/>
    <col min="5590" max="5590" customWidth="0" width="3.109375" style="1"/>
    <col min="5591" max="5591" customWidth="0" width="3.109375" style="1"/>
    <col min="5592" max="5592" customWidth="0" width="3.109375" style="1"/>
    <col min="5593" max="5593" customWidth="0" width="3.109375" style="1"/>
    <col min="5594" max="5594" customWidth="0" width="3.109375" style="1"/>
    <col min="5595" max="5595" customWidth="0" width="3.109375" style="1"/>
    <col min="5596" max="5596" customWidth="0" width="3.109375" style="1"/>
    <col min="5597" max="5597" customWidth="0" width="3.109375" style="1"/>
    <col min="5598" max="5598" customWidth="0" width="3.109375" style="1"/>
    <col min="5599" max="5599" customWidth="0" width="3.109375" style="1"/>
    <col min="5600" max="5600" customWidth="0" width="3.109375" style="1"/>
    <col min="5601" max="5601" customWidth="0" width="3.109375" style="1"/>
    <col min="5602" max="5602" customWidth="0" width="3.109375" style="1"/>
    <col min="5603" max="5603" customWidth="0" width="3.109375" style="1"/>
    <col min="5604" max="5604" customWidth="0" width="3.109375" style="1"/>
    <col min="5605" max="5605" customWidth="0" width="3.109375" style="1"/>
    <col min="5606" max="5606" customWidth="0" width="3.109375" style="1"/>
    <col min="5607" max="5607" customWidth="0" width="3.109375" style="1"/>
    <col min="5608" max="5608" customWidth="0" width="3.109375" style="1"/>
    <col min="5609" max="5609" customWidth="0" width="3.109375" style="1"/>
    <col min="5610" max="5610" customWidth="0" width="3.109375" style="1"/>
    <col min="5611" max="5611" customWidth="0" width="3.109375" style="1"/>
    <col min="5612" max="5612" customWidth="0" width="3.109375" style="1"/>
    <col min="5613" max="5613" customWidth="0" width="3.109375" style="1"/>
    <col min="5614" max="5614" customWidth="0" width="3.109375" style="1"/>
    <col min="5615" max="5615" customWidth="0" width="3.109375" style="1"/>
    <col min="5616" max="5616" customWidth="0" width="3.109375" style="1"/>
    <col min="5617" max="5617" customWidth="0" width="3.109375" style="1"/>
    <col min="5618" max="5618" customWidth="0" width="3.109375" style="1"/>
    <col min="5619" max="5619" customWidth="0" width="3.109375" style="1"/>
    <col min="5620" max="5620" customWidth="0" width="3.109375" style="1"/>
    <col min="5621" max="5621" customWidth="0" width="3.109375" style="1"/>
    <col min="5622" max="5622" customWidth="0" width="3.109375" style="1"/>
    <col min="5623" max="5623" customWidth="0" width="3.109375" style="1"/>
    <col min="5624" max="5624" customWidth="0" width="3.109375" style="1"/>
    <col min="5625" max="5625" customWidth="0" width="3.109375" style="1"/>
    <col min="5626" max="5626" customWidth="0" width="3.109375" style="1"/>
    <col min="5627" max="5627" customWidth="0" width="3.109375" style="1"/>
    <col min="5628" max="5628" customWidth="0" width="3.109375" style="1"/>
    <col min="5629" max="5629" customWidth="0" width="3.109375" style="1"/>
    <col min="5630" max="5630" customWidth="0" width="3.109375" style="1"/>
    <col min="5631" max="5631" customWidth="0" width="3.109375" style="1"/>
    <col min="5632" max="5632" customWidth="0" width="3.109375" style="1"/>
    <col min="5633" max="5633" customWidth="0" width="3.109375" style="1"/>
    <col min="5634" max="5634" customWidth="0" width="3.109375" style="1"/>
    <col min="5635" max="5635" customWidth="0" width="3.109375" style="1"/>
    <col min="5636" max="5636" customWidth="0" width="3.109375" style="1"/>
    <col min="5637" max="5637" customWidth="0" width="3.109375" style="1"/>
    <col min="5638" max="5638" customWidth="0" width="3.109375" style="1"/>
    <col min="5639" max="5639" customWidth="0" width="3.109375" style="1"/>
    <col min="5640" max="5640" customWidth="0" width="3.109375" style="1"/>
    <col min="5641" max="5641" customWidth="0" width="3.109375" style="1"/>
    <col min="5642" max="5642" customWidth="0" width="3.109375" style="1"/>
    <col min="5643" max="5643" customWidth="0" width="3.109375" style="1"/>
    <col min="5644" max="5644" customWidth="0" width="3.109375" style="1"/>
    <col min="5645" max="5645" customWidth="0" width="3.109375" style="1"/>
    <col min="5646" max="5646" customWidth="0" width="3.109375" style="1"/>
    <col min="5647" max="5647" customWidth="0" width="3.109375" style="1"/>
    <col min="5648" max="5648" customWidth="0" width="3.109375" style="1"/>
    <col min="5649" max="5649" customWidth="0" width="3.109375" style="1"/>
    <col min="5650" max="5650" customWidth="0" width="3.109375" style="1"/>
    <col min="5651" max="5651" customWidth="0" width="3.109375" style="1"/>
    <col min="5652" max="5652" customWidth="0" width="3.109375" style="1"/>
    <col min="5653" max="5653" customWidth="0" width="3.109375" style="1"/>
    <col min="5654" max="5654" customWidth="0" width="3.109375" style="1"/>
    <col min="5655" max="5655" customWidth="0" width="3.109375" style="1"/>
    <col min="5656" max="5656" customWidth="0" width="3.109375" style="1"/>
    <col min="5657" max="5657" customWidth="0" width="3.109375" style="1"/>
    <col min="5658" max="5658" customWidth="0" width="3.109375" style="1"/>
    <col min="5659" max="5659" customWidth="0" width="3.109375" style="1"/>
    <col min="5660" max="5660" customWidth="0" width="3.109375" style="1"/>
    <col min="5661" max="5661" customWidth="0" width="3.109375" style="1"/>
    <col min="5662" max="5662" customWidth="0" width="3.109375" style="1"/>
    <col min="5663" max="5663" customWidth="0" width="3.109375" style="1"/>
    <col min="5664" max="5664" customWidth="0" width="3.109375" style="1"/>
    <col min="5665" max="5665" customWidth="0" width="3.109375" style="1"/>
    <col min="5666" max="5666" customWidth="0" width="3.109375" style="1"/>
    <col min="5667" max="5667" customWidth="0" width="3.109375" style="1"/>
    <col min="5668" max="5668" customWidth="0" width="3.109375" style="1"/>
    <col min="5669" max="5669" customWidth="0" width="3.109375" style="1"/>
    <col min="5670" max="5670" customWidth="0" width="3.109375" style="1"/>
    <col min="5671" max="5671" customWidth="0" width="3.109375" style="1"/>
    <col min="5672" max="5672" customWidth="0" width="3.109375" style="1"/>
    <col min="5673" max="5673" customWidth="0" width="3.109375" style="1"/>
    <col min="5674" max="5674" customWidth="0" width="3.109375" style="1"/>
    <col min="5675" max="5675" customWidth="0" width="3.109375" style="1"/>
    <col min="5676" max="5676" customWidth="0" width="3.109375" style="1"/>
    <col min="5677" max="5677" customWidth="0" width="3.109375" style="1"/>
    <col min="5678" max="5678" customWidth="0" width="3.109375" style="1"/>
    <col min="5679" max="5679" customWidth="0" width="3.109375" style="1"/>
    <col min="5680" max="5680" customWidth="0" width="3.109375" style="1"/>
    <col min="5681" max="5681" customWidth="0" width="3.109375" style="1"/>
    <col min="5682" max="5682" customWidth="0" width="3.109375" style="1"/>
    <col min="5683" max="5683" customWidth="0" width="3.109375" style="1"/>
    <col min="5684" max="5684" customWidth="0" width="3.109375" style="1"/>
    <col min="5685" max="5685" customWidth="0" width="3.109375" style="1"/>
    <col min="5686" max="5686" customWidth="0" width="3.109375" style="1"/>
    <col min="5687" max="5687" customWidth="0" width="3.109375" style="1"/>
    <col min="5688" max="5688" customWidth="0" width="3.109375" style="1"/>
    <col min="5689" max="5689" customWidth="0" width="3.109375" style="1"/>
    <col min="5690" max="5690" customWidth="0" width="3.109375" style="1"/>
    <col min="5691" max="5691" customWidth="0" width="3.109375" style="1"/>
    <col min="5692" max="5692" customWidth="0" width="3.109375" style="1"/>
    <col min="5693" max="5693" customWidth="0" width="3.109375" style="1"/>
    <col min="5694" max="5694" customWidth="0" width="3.109375" style="1"/>
    <col min="5695" max="5695" customWidth="0" width="3.109375" style="1"/>
    <col min="5696" max="5696" customWidth="0" width="3.109375" style="1"/>
    <col min="5697" max="5697" customWidth="0" width="3.109375" style="1"/>
    <col min="5698" max="5698" customWidth="0" width="3.109375" style="1"/>
    <col min="5699" max="5699" customWidth="0" width="3.109375" style="1"/>
    <col min="5700" max="5700" customWidth="0" width="3.109375" style="1"/>
    <col min="5701" max="5701" customWidth="0" width="3.109375" style="1"/>
    <col min="5702" max="5702" customWidth="0" width="3.109375" style="1"/>
    <col min="5703" max="5703" customWidth="0" width="3.109375" style="1"/>
    <col min="5704" max="5704" customWidth="0" width="3.109375" style="1"/>
    <col min="5705" max="5705" customWidth="0" width="3.109375" style="1"/>
    <col min="5706" max="5706" customWidth="0" width="3.109375" style="1"/>
    <col min="5707" max="5707" customWidth="0" width="3.109375" style="1"/>
    <col min="5708" max="5708" customWidth="0" width="3.109375" style="1"/>
    <col min="5709" max="5709" customWidth="0" width="3.109375" style="1"/>
    <col min="5710" max="5710" customWidth="0" width="3.109375" style="1"/>
    <col min="5711" max="5711" customWidth="0" width="3.109375" style="1"/>
    <col min="5712" max="5712" customWidth="0" width="3.109375" style="1"/>
    <col min="5713" max="5713" customWidth="0" width="3.109375" style="1"/>
    <col min="5714" max="5714" customWidth="0" width="3.109375" style="1"/>
    <col min="5715" max="5715" customWidth="0" width="3.109375" style="1"/>
    <col min="5716" max="5716" customWidth="0" width="3.109375" style="1"/>
    <col min="5717" max="5717" customWidth="0" width="3.109375" style="1"/>
    <col min="5718" max="5718" customWidth="0" width="3.109375" style="1"/>
    <col min="5719" max="5719" customWidth="0" width="3.109375" style="1"/>
    <col min="5720" max="5720" customWidth="0" width="3.109375" style="1"/>
    <col min="5721" max="5721" customWidth="0" width="3.109375" style="1"/>
    <col min="5722" max="5722" customWidth="0" width="3.109375" style="1"/>
    <col min="5723" max="5723" customWidth="0" width="3.109375" style="1"/>
    <col min="5724" max="5724" customWidth="0" width="3.109375" style="1"/>
    <col min="5725" max="5725" customWidth="0" width="3.109375" style="1"/>
    <col min="5726" max="5726" customWidth="0" width="3.109375" style="1"/>
    <col min="5727" max="5727" customWidth="0" width="3.109375" style="1"/>
    <col min="5728" max="5728" customWidth="0" width="3.109375" style="1"/>
    <col min="5729" max="5729" customWidth="0" width="3.109375" style="1"/>
    <col min="5730" max="5730" customWidth="0" width="3.109375" style="1"/>
    <col min="5731" max="5731" customWidth="0" width="3.109375" style="1"/>
    <col min="5732" max="5732" customWidth="0" width="3.109375" style="1"/>
    <col min="5733" max="5733" customWidth="0" width="3.109375" style="1"/>
    <col min="5734" max="5734" customWidth="0" width="3.109375" style="1"/>
    <col min="5735" max="5735" customWidth="0" width="3.109375" style="1"/>
    <col min="5736" max="5736" customWidth="0" width="3.109375" style="1"/>
    <col min="5737" max="5737" customWidth="0" width="3.109375" style="1"/>
    <col min="5738" max="5738" customWidth="0" width="3.109375" style="1"/>
    <col min="5739" max="5739" customWidth="0" width="3.109375" style="1"/>
    <col min="5740" max="5740" customWidth="0" width="3.109375" style="1"/>
    <col min="5741" max="5741" customWidth="0" width="3.109375" style="1"/>
    <col min="5742" max="5742" customWidth="0" width="3.109375" style="1"/>
    <col min="5743" max="5743" customWidth="0" width="3.109375" style="1"/>
    <col min="5744" max="5744" customWidth="0" width="3.109375" style="1"/>
    <col min="5745" max="5745" customWidth="0" width="3.109375" style="1"/>
    <col min="5746" max="5746" customWidth="0" width="3.109375" style="1"/>
    <col min="5747" max="5747" customWidth="0" width="3.109375" style="1"/>
    <col min="5748" max="5748" customWidth="0" width="3.109375" style="1"/>
    <col min="5749" max="5749" customWidth="0" width="3.109375" style="1"/>
    <col min="5750" max="5750" customWidth="0" width="3.109375" style="1"/>
    <col min="5751" max="5751" customWidth="0" width="3.109375" style="1"/>
    <col min="5752" max="5752" customWidth="0" width="3.109375" style="1"/>
    <col min="5753" max="5753" customWidth="0" width="3.109375" style="1"/>
    <col min="5754" max="5754" customWidth="0" width="3.109375" style="1"/>
    <col min="5755" max="5755" customWidth="0" width="3.109375" style="1"/>
    <col min="5756" max="5756" customWidth="0" width="3.109375" style="1"/>
    <col min="5757" max="5757" customWidth="0" width="3.109375" style="1"/>
    <col min="5758" max="5758" customWidth="0" width="3.109375" style="1"/>
    <col min="5759" max="5759" customWidth="0" width="3.109375" style="1"/>
    <col min="5760" max="5760" customWidth="0" width="3.109375" style="1"/>
    <col min="5761" max="5761" customWidth="0" width="3.109375" style="1"/>
    <col min="5762" max="5762" customWidth="0" width="3.109375" style="1"/>
    <col min="5763" max="5763" customWidth="0" width="3.109375" style="1"/>
    <col min="5764" max="5764" customWidth="0" width="3.109375" style="1"/>
    <col min="5765" max="5765" customWidth="0" width="3.109375" style="1"/>
    <col min="5766" max="5766" customWidth="0" width="3.109375" style="1"/>
    <col min="5767" max="5767" customWidth="0" width="3.109375" style="1"/>
    <col min="5768" max="5768" customWidth="0" width="3.109375" style="1"/>
    <col min="5769" max="5769" customWidth="0" width="3.109375" style="1"/>
    <col min="5770" max="5770" customWidth="0" width="3.109375" style="1"/>
    <col min="5771" max="5771" customWidth="0" width="3.109375" style="1"/>
    <col min="5772" max="5772" customWidth="0" width="3.109375" style="1"/>
    <col min="5773" max="5773" customWidth="0" width="3.109375" style="1"/>
    <col min="5774" max="5774" customWidth="0" width="3.109375" style="1"/>
    <col min="5775" max="5775" customWidth="0" width="3.109375" style="1"/>
    <col min="5776" max="5776" customWidth="0" width="3.109375" style="1"/>
    <col min="5777" max="5777" customWidth="0" width="3.109375" style="1"/>
    <col min="5778" max="5778" customWidth="0" width="3.109375" style="1"/>
    <col min="5779" max="5779" customWidth="0" width="3.109375" style="1"/>
    <col min="5780" max="5780" customWidth="0" width="3.109375" style="1"/>
    <col min="5781" max="5781" customWidth="0" width="3.109375" style="1"/>
    <col min="5782" max="5782" customWidth="0" width="3.109375" style="1"/>
    <col min="5783" max="5783" customWidth="0" width="3.109375" style="1"/>
    <col min="5784" max="5784" customWidth="0" width="3.109375" style="1"/>
    <col min="5785" max="5785" customWidth="0" width="3.109375" style="1"/>
    <col min="5786" max="5786" customWidth="0" width="3.109375" style="1"/>
    <col min="5787" max="5787" customWidth="0" width="3.109375" style="1"/>
    <col min="5788" max="5788" customWidth="0" width="3.109375" style="1"/>
    <col min="5789" max="5789" customWidth="0" width="3.109375" style="1"/>
    <col min="5790" max="5790" customWidth="0" width="3.109375" style="1"/>
    <col min="5791" max="5791" customWidth="0" width="3.109375" style="1"/>
    <col min="5792" max="5792" customWidth="0" width="3.109375" style="1"/>
    <col min="5793" max="5793" customWidth="0" width="3.109375" style="1"/>
    <col min="5794" max="5794" customWidth="0" width="3.109375" style="1"/>
    <col min="5795" max="5795" customWidth="0" width="3.109375" style="1"/>
    <col min="5796" max="5796" customWidth="0" width="3.109375" style="1"/>
    <col min="5797" max="5797" customWidth="0" width="3.109375" style="1"/>
    <col min="5798" max="5798" customWidth="0" width="3.109375" style="1"/>
    <col min="5799" max="5799" customWidth="0" width="3.109375" style="1"/>
    <col min="5800" max="5800" customWidth="0" width="3.109375" style="1"/>
    <col min="5801" max="5801" customWidth="0" width="3.109375" style="1"/>
    <col min="5802" max="5802" customWidth="0" width="3.109375" style="1"/>
    <col min="5803" max="5803" customWidth="0" width="3.109375" style="1"/>
    <col min="5804" max="5804" customWidth="0" width="3.109375" style="1"/>
    <col min="5805" max="5805" customWidth="0" width="3.109375" style="1"/>
    <col min="5806" max="5806" customWidth="0" width="3.109375" style="1"/>
    <col min="5807" max="5807" customWidth="0" width="3.109375" style="1"/>
    <col min="5808" max="5808" customWidth="0" width="3.109375" style="1"/>
    <col min="5809" max="5809" customWidth="0" width="3.109375" style="1"/>
    <col min="5810" max="5810" customWidth="0" width="3.109375" style="1"/>
    <col min="5811" max="5811" customWidth="0" width="3.109375" style="1"/>
    <col min="5812" max="5812" customWidth="0" width="3.109375" style="1"/>
    <col min="5813" max="5813" customWidth="0" width="3.109375" style="1"/>
    <col min="5814" max="5814" customWidth="0" width="3.109375" style="1"/>
    <col min="5815" max="5815" customWidth="0" width="3.109375" style="1"/>
    <col min="5816" max="5816" customWidth="0" width="3.109375" style="1"/>
    <col min="5817" max="5817" customWidth="0" width="3.109375" style="1"/>
    <col min="5818" max="5818" customWidth="0" width="3.109375" style="1"/>
    <col min="5819" max="5819" customWidth="0" width="3.109375" style="1"/>
    <col min="5820" max="5820" customWidth="0" width="3.109375" style="1"/>
    <col min="5821" max="5821" customWidth="0" width="3.109375" style="1"/>
    <col min="5822" max="5822" customWidth="0" width="3.109375" style="1"/>
    <col min="5823" max="5823" customWidth="0" width="3.109375" style="1"/>
    <col min="5824" max="5824" customWidth="0" width="3.109375" style="1"/>
    <col min="5825" max="5825" customWidth="0" width="3.109375" style="1"/>
    <col min="5826" max="5826" customWidth="0" width="3.109375" style="1"/>
    <col min="5827" max="5827" customWidth="0" width="3.109375" style="1"/>
    <col min="5828" max="5828" customWidth="0" width="3.109375" style="1"/>
    <col min="5829" max="5829" customWidth="0" width="3.109375" style="1"/>
    <col min="5830" max="5830" customWidth="0" width="3.109375" style="1"/>
    <col min="5831" max="5831" customWidth="0" width="3.109375" style="1"/>
    <col min="5832" max="5832" customWidth="0" width="3.109375" style="1"/>
    <col min="5833" max="5833" customWidth="0" width="3.109375" style="1"/>
    <col min="5834" max="5834" customWidth="0" width="3.109375" style="1"/>
    <col min="5835" max="5835" customWidth="0" width="3.109375" style="1"/>
    <col min="5836" max="5836" customWidth="0" width="3.109375" style="1"/>
    <col min="5837" max="5837" customWidth="0" width="3.109375" style="1"/>
    <col min="5838" max="5838" customWidth="0" width="3.109375" style="1"/>
    <col min="5839" max="5839" customWidth="0" width="3.109375" style="1"/>
    <col min="5840" max="5840" customWidth="0" width="3.109375" style="1"/>
    <col min="5841" max="5841" customWidth="0" width="3.109375" style="1"/>
    <col min="5842" max="5842" customWidth="0" width="3.109375" style="1"/>
    <col min="5843" max="5843" customWidth="0" width="3.109375" style="1"/>
    <col min="5844" max="5844" customWidth="0" width="3.109375" style="1"/>
    <col min="5845" max="5845" customWidth="0" width="3.109375" style="1"/>
    <col min="5846" max="5846" customWidth="0" width="3.109375" style="1"/>
    <col min="5847" max="5847" customWidth="0" width="3.109375" style="1"/>
    <col min="5848" max="5848" customWidth="0" width="3.109375" style="1"/>
    <col min="5849" max="5849" customWidth="0" width="3.109375" style="1"/>
    <col min="5850" max="5850" customWidth="0" width="3.109375" style="1"/>
    <col min="5851" max="5851" customWidth="0" width="3.109375" style="1"/>
    <col min="5852" max="5852" customWidth="0" width="3.109375" style="1"/>
    <col min="5853" max="5853" customWidth="0" width="3.109375" style="1"/>
    <col min="5854" max="5854" customWidth="0" width="3.109375" style="1"/>
    <col min="5855" max="5855" customWidth="0" width="3.109375" style="1"/>
    <col min="5856" max="5856" customWidth="0" width="3.109375" style="1"/>
    <col min="5857" max="5857" customWidth="0" width="3.109375" style="1"/>
    <col min="5858" max="5858" customWidth="0" width="3.109375" style="1"/>
    <col min="5859" max="5859" customWidth="0" width="3.109375" style="1"/>
    <col min="5860" max="5860" customWidth="0" width="3.109375" style="1"/>
    <col min="5861" max="5861" customWidth="0" width="3.109375" style="1"/>
    <col min="5862" max="5862" customWidth="0" width="3.109375" style="1"/>
    <col min="5863" max="5863" customWidth="0" width="3.109375" style="1"/>
    <col min="5864" max="5864" customWidth="0" width="3.109375" style="1"/>
    <col min="5865" max="5865" customWidth="0" width="3.109375" style="1"/>
    <col min="5866" max="5866" customWidth="0" width="3.109375" style="1"/>
    <col min="5867" max="5867" customWidth="0" width="3.109375" style="1"/>
    <col min="5868" max="5868" customWidth="0" width="3.109375" style="1"/>
    <col min="5869" max="5869" customWidth="0" width="3.109375" style="1"/>
    <col min="5870" max="5870" customWidth="0" width="3.109375" style="1"/>
    <col min="5871" max="5871" customWidth="0" width="3.109375" style="1"/>
    <col min="5872" max="5872" customWidth="0" width="3.109375" style="1"/>
    <col min="5873" max="5873" customWidth="0" width="3.109375" style="1"/>
    <col min="5874" max="5874" customWidth="0" width="3.109375" style="1"/>
    <col min="5875" max="5875" customWidth="0" width="3.109375" style="1"/>
    <col min="5876" max="5876" customWidth="0" width="3.109375" style="1"/>
    <col min="5877" max="5877" customWidth="0" width="3.109375" style="1"/>
    <col min="5878" max="5878" customWidth="0" width="3.109375" style="1"/>
    <col min="5879" max="5879" customWidth="0" width="3.109375" style="1"/>
    <col min="5880" max="5880" customWidth="0" width="3.109375" style="1"/>
    <col min="5881" max="5881" customWidth="0" width="3.109375" style="1"/>
    <col min="5882" max="5882" customWidth="0" width="3.109375" style="1"/>
    <col min="5883" max="5883" customWidth="0" width="3.109375" style="1"/>
    <col min="5884" max="5884" customWidth="0" width="3.109375" style="1"/>
    <col min="5885" max="5885" customWidth="0" width="3.109375" style="1"/>
    <col min="5886" max="5886" customWidth="0" width="3.109375" style="1"/>
    <col min="5887" max="5887" customWidth="0" width="3.109375" style="1"/>
    <col min="5888" max="5888" customWidth="0" width="3.109375" style="1"/>
    <col min="5889" max="5889" customWidth="0" width="3.109375" style="1"/>
    <col min="5890" max="5890" customWidth="0" width="3.109375" style="1"/>
    <col min="5891" max="5891" customWidth="0" width="3.109375" style="1"/>
    <col min="5892" max="5892" customWidth="0" width="3.109375" style="1"/>
    <col min="5893" max="5893" customWidth="0" width="3.109375" style="1"/>
    <col min="5894" max="5894" customWidth="0" width="3.109375" style="1"/>
    <col min="5895" max="5895" customWidth="0" width="3.109375" style="1"/>
    <col min="5896" max="5896" customWidth="0" width="3.109375" style="1"/>
    <col min="5897" max="5897" customWidth="0" width="3.109375" style="1"/>
    <col min="5898" max="5898" customWidth="0" width="3.109375" style="1"/>
    <col min="5899" max="5899" customWidth="0" width="3.109375" style="1"/>
    <col min="5900" max="5900" customWidth="0" width="3.109375" style="1"/>
    <col min="5901" max="5901" customWidth="0" width="3.109375" style="1"/>
    <col min="5902" max="5902" customWidth="0" width="3.109375" style="1"/>
    <col min="5903" max="5903" customWidth="0" width="3.109375" style="1"/>
    <col min="5904" max="5904" customWidth="0" width="3.109375" style="1"/>
    <col min="5905" max="5905" customWidth="0" width="3.109375" style="1"/>
    <col min="5906" max="5906" customWidth="0" width="3.109375" style="1"/>
    <col min="5907" max="5907" customWidth="0" width="3.109375" style="1"/>
    <col min="5908" max="5908" customWidth="0" width="3.109375" style="1"/>
    <col min="5909" max="5909" customWidth="0" width="3.109375" style="1"/>
    <col min="5910" max="5910" customWidth="0" width="3.109375" style="1"/>
    <col min="5911" max="5911" customWidth="0" width="3.109375" style="1"/>
    <col min="5912" max="5912" customWidth="0" width="3.109375" style="1"/>
    <col min="5913" max="5913" customWidth="0" width="3.109375" style="1"/>
    <col min="5914" max="5914" customWidth="0" width="3.109375" style="1"/>
    <col min="5915" max="5915" customWidth="0" width="3.109375" style="1"/>
    <col min="5916" max="5916" customWidth="0" width="3.109375" style="1"/>
    <col min="5917" max="5917" customWidth="0" width="3.109375" style="1"/>
    <col min="5918" max="5918" customWidth="0" width="3.109375" style="1"/>
    <col min="5919" max="5919" customWidth="0" width="3.109375" style="1"/>
    <col min="5920" max="5920" customWidth="0" width="3.109375" style="1"/>
    <col min="5921" max="5921" customWidth="0" width="3.109375" style="1"/>
    <col min="5922" max="5922" customWidth="0" width="3.109375" style="1"/>
    <col min="5923" max="5923" customWidth="0" width="3.109375" style="1"/>
    <col min="5924" max="5924" customWidth="0" width="3.109375" style="1"/>
    <col min="5925" max="5925" customWidth="0" width="3.109375" style="1"/>
    <col min="5926" max="5926" customWidth="0" width="3.109375" style="1"/>
    <col min="5927" max="5927" customWidth="0" width="3.109375" style="1"/>
    <col min="5928" max="5928" customWidth="0" width="3.109375" style="1"/>
    <col min="5929" max="5929" customWidth="0" width="3.109375" style="1"/>
    <col min="5930" max="5930" customWidth="0" width="3.109375" style="1"/>
    <col min="5931" max="5931" customWidth="0" width="3.109375" style="1"/>
    <col min="5932" max="5932" customWidth="0" width="3.109375" style="1"/>
    <col min="5933" max="5933" customWidth="0" width="3.109375" style="1"/>
    <col min="5934" max="5934" customWidth="0" width="3.109375" style="1"/>
    <col min="5935" max="5935" customWidth="0" width="3.109375" style="1"/>
    <col min="5936" max="5936" customWidth="0" width="3.109375" style="1"/>
    <col min="5937" max="5937" customWidth="0" width="3.109375" style="1"/>
    <col min="5938" max="5938" customWidth="0" width="3.109375" style="1"/>
    <col min="5939" max="5939" customWidth="0" width="3.109375" style="1"/>
    <col min="5940" max="5940" customWidth="0" width="3.109375" style="1"/>
    <col min="5941" max="5941" customWidth="0" width="3.109375" style="1"/>
    <col min="5942" max="5942" customWidth="0" width="3.109375" style="1"/>
    <col min="5943" max="5943" customWidth="0" width="3.109375" style="1"/>
    <col min="5944" max="5944" customWidth="0" width="3.109375" style="1"/>
    <col min="5945" max="5945" customWidth="0" width="3.109375" style="1"/>
    <col min="5946" max="5946" customWidth="0" width="3.109375" style="1"/>
    <col min="5947" max="5947" customWidth="0" width="3.109375" style="1"/>
    <col min="5948" max="5948" customWidth="0" width="3.109375" style="1"/>
    <col min="5949" max="5949" customWidth="0" width="3.109375" style="1"/>
    <col min="5950" max="5950" customWidth="0" width="3.109375" style="1"/>
    <col min="5951" max="5951" customWidth="0" width="3.109375" style="1"/>
    <col min="5952" max="5952" customWidth="0" width="3.109375" style="1"/>
    <col min="5953" max="5953" customWidth="0" width="3.109375" style="1"/>
    <col min="5954" max="5954" customWidth="0" width="3.109375" style="1"/>
    <col min="5955" max="5955" customWidth="0" width="3.109375" style="1"/>
    <col min="5956" max="5956" customWidth="0" width="3.109375" style="1"/>
    <col min="5957" max="5957" customWidth="0" width="3.109375" style="1"/>
    <col min="5958" max="5958" customWidth="0" width="3.109375" style="1"/>
    <col min="5959" max="5959" customWidth="0" width="3.109375" style="1"/>
    <col min="5960" max="5960" customWidth="0" width="3.109375" style="1"/>
    <col min="5961" max="5961" customWidth="0" width="3.109375" style="1"/>
    <col min="5962" max="5962" customWidth="0" width="3.109375" style="1"/>
    <col min="5963" max="5963" customWidth="0" width="3.109375" style="1"/>
    <col min="5964" max="5964" customWidth="0" width="3.109375" style="1"/>
    <col min="5965" max="5965" customWidth="0" width="3.109375" style="1"/>
    <col min="5966" max="5966" customWidth="0" width="3.109375" style="1"/>
    <col min="5967" max="5967" customWidth="0" width="3.109375" style="1"/>
    <col min="5968" max="5968" customWidth="0" width="3.109375" style="1"/>
    <col min="5969" max="5969" customWidth="0" width="3.109375" style="1"/>
    <col min="5970" max="5970" customWidth="0" width="3.109375" style="1"/>
    <col min="5971" max="5971" customWidth="0" width="3.109375" style="1"/>
    <col min="5972" max="5972" customWidth="0" width="3.109375" style="1"/>
    <col min="5973" max="5973" customWidth="0" width="3.109375" style="1"/>
    <col min="5974" max="5974" customWidth="0" width="3.109375" style="1"/>
    <col min="5975" max="5975" customWidth="0" width="3.109375" style="1"/>
    <col min="5976" max="5976" customWidth="0" width="3.109375" style="1"/>
    <col min="5977" max="5977" customWidth="0" width="3.109375" style="1"/>
    <col min="5978" max="5978" customWidth="0" width="3.109375" style="1"/>
    <col min="5979" max="5979" customWidth="0" width="3.109375" style="1"/>
    <col min="5980" max="5980" customWidth="0" width="3.109375" style="1"/>
    <col min="5981" max="5981" customWidth="0" width="3.109375" style="1"/>
    <col min="5982" max="5982" customWidth="0" width="3.109375" style="1"/>
    <col min="5983" max="5983" customWidth="0" width="3.109375" style="1"/>
    <col min="5984" max="5984" customWidth="0" width="3.109375" style="1"/>
    <col min="5985" max="5985" customWidth="0" width="3.109375" style="1"/>
    <col min="5986" max="5986" customWidth="0" width="3.109375" style="1"/>
    <col min="5987" max="5987" customWidth="0" width="3.109375" style="1"/>
    <col min="5988" max="5988" customWidth="0" width="3.109375" style="1"/>
    <col min="5989" max="5989" customWidth="0" width="3.109375" style="1"/>
    <col min="5990" max="5990" customWidth="0" width="3.109375" style="1"/>
    <col min="5991" max="5991" customWidth="0" width="3.109375" style="1"/>
    <col min="5992" max="5992" customWidth="0" width="3.109375" style="1"/>
    <col min="5993" max="5993" customWidth="0" width="3.109375" style="1"/>
    <col min="5994" max="5994" customWidth="0" width="3.109375" style="1"/>
    <col min="5995" max="5995" customWidth="0" width="3.109375" style="1"/>
    <col min="5996" max="5996" customWidth="0" width="3.109375" style="1"/>
    <col min="5997" max="5997" customWidth="0" width="3.109375" style="1"/>
    <col min="5998" max="5998" customWidth="0" width="3.109375" style="1"/>
    <col min="5999" max="5999" customWidth="0" width="3.109375" style="1"/>
    <col min="6000" max="6000" customWidth="0" width="3.109375" style="1"/>
    <col min="6001" max="6001" customWidth="0" width="3.109375" style="1"/>
    <col min="6002" max="6002" customWidth="0" width="3.109375" style="1"/>
    <col min="6003" max="6003" customWidth="0" width="3.109375" style="1"/>
    <col min="6004" max="6004" customWidth="0" width="3.109375" style="1"/>
    <col min="6005" max="6005" customWidth="0" width="3.109375" style="1"/>
    <col min="6006" max="6006" customWidth="0" width="3.109375" style="1"/>
    <col min="6007" max="6007" customWidth="0" width="3.109375" style="1"/>
    <col min="6008" max="6008" customWidth="0" width="3.109375" style="1"/>
    <col min="6009" max="6009" customWidth="0" width="3.109375" style="1"/>
    <col min="6010" max="6010" customWidth="0" width="3.109375" style="1"/>
    <col min="6011" max="6011" customWidth="0" width="3.109375" style="1"/>
    <col min="6012" max="6012" customWidth="0" width="3.109375" style="1"/>
    <col min="6013" max="6013" customWidth="0" width="3.109375" style="1"/>
    <col min="6014" max="6014" customWidth="0" width="3.109375" style="1"/>
    <col min="6015" max="6015" customWidth="0" width="3.109375" style="1"/>
    <col min="6016" max="6016" customWidth="0" width="3.109375" style="1"/>
    <col min="6017" max="6017" customWidth="0" width="3.109375" style="1"/>
    <col min="6018" max="6018" customWidth="0" width="3.109375" style="1"/>
    <col min="6019" max="6019" customWidth="0" width="3.109375" style="1"/>
    <col min="6020" max="6020" customWidth="0" width="3.109375" style="1"/>
    <col min="6021" max="6021" customWidth="0" width="3.109375" style="1"/>
    <col min="6022" max="6022" customWidth="0" width="3.109375" style="1"/>
    <col min="6023" max="6023" customWidth="0" width="3.109375" style="1"/>
    <col min="6024" max="6024" customWidth="0" width="3.109375" style="1"/>
    <col min="6025" max="6025" customWidth="0" width="3.109375" style="1"/>
    <col min="6026" max="6026" customWidth="0" width="3.109375" style="1"/>
    <col min="6027" max="6027" customWidth="0" width="3.109375" style="1"/>
    <col min="6028" max="6028" customWidth="0" width="3.109375" style="1"/>
    <col min="6029" max="6029" customWidth="0" width="3.109375" style="1"/>
    <col min="6030" max="6030" customWidth="0" width="3.109375" style="1"/>
    <col min="6031" max="6031" customWidth="0" width="3.109375" style="1"/>
    <col min="6032" max="6032" customWidth="0" width="3.109375" style="1"/>
    <col min="6033" max="6033" customWidth="0" width="3.109375" style="1"/>
    <col min="6034" max="6034" customWidth="0" width="3.109375" style="1"/>
    <col min="6035" max="6035" customWidth="0" width="3.109375" style="1"/>
    <col min="6036" max="6036" customWidth="0" width="3.109375" style="1"/>
    <col min="6037" max="6037" customWidth="0" width="3.109375" style="1"/>
    <col min="6038" max="6038" customWidth="0" width="3.109375" style="1"/>
    <col min="6039" max="6039" customWidth="0" width="3.109375" style="1"/>
    <col min="6040" max="6040" customWidth="0" width="3.109375" style="1"/>
    <col min="6041" max="6041" customWidth="0" width="3.109375" style="1"/>
    <col min="6042" max="6042" customWidth="0" width="3.109375" style="1"/>
    <col min="6043" max="6043" customWidth="0" width="3.109375" style="1"/>
    <col min="6044" max="6044" customWidth="0" width="3.109375" style="1"/>
    <col min="6045" max="6045" customWidth="0" width="3.109375" style="1"/>
    <col min="6046" max="6046" customWidth="0" width="3.109375" style="1"/>
    <col min="6047" max="6047" customWidth="0" width="3.109375" style="1"/>
    <col min="6048" max="6048" customWidth="0" width="3.109375" style="1"/>
    <col min="6049" max="6049" customWidth="0" width="3.109375" style="1"/>
    <col min="6050" max="6050" customWidth="0" width="3.109375" style="1"/>
    <col min="6051" max="6051" customWidth="0" width="3.109375" style="1"/>
    <col min="6052" max="6052" customWidth="0" width="3.109375" style="1"/>
    <col min="6053" max="6053" customWidth="0" width="3.109375" style="1"/>
    <col min="6054" max="6054" customWidth="0" width="3.109375" style="1"/>
    <col min="6055" max="6055" customWidth="0" width="3.109375" style="1"/>
    <col min="6056" max="6056" customWidth="0" width="3.109375" style="1"/>
    <col min="6057" max="6057" customWidth="0" width="3.109375" style="1"/>
    <col min="6058" max="6058" customWidth="0" width="3.109375" style="1"/>
    <col min="6059" max="6059" customWidth="0" width="3.109375" style="1"/>
    <col min="6060" max="6060" customWidth="0" width="3.109375" style="1"/>
    <col min="6061" max="6061" customWidth="0" width="3.109375" style="1"/>
    <col min="6062" max="6062" customWidth="0" width="3.109375" style="1"/>
    <col min="6063" max="6063" customWidth="0" width="3.109375" style="1"/>
    <col min="6064" max="6064" customWidth="0" width="3.109375" style="1"/>
    <col min="6065" max="6065" customWidth="0" width="3.109375" style="1"/>
    <col min="6066" max="6066" customWidth="0" width="3.109375" style="1"/>
    <col min="6067" max="6067" customWidth="0" width="3.109375" style="1"/>
    <col min="6068" max="6068" customWidth="0" width="3.109375" style="1"/>
    <col min="6069" max="6069" customWidth="0" width="3.109375" style="1"/>
    <col min="6070" max="6070" customWidth="0" width="3.109375" style="1"/>
    <col min="6071" max="6071" customWidth="0" width="3.109375" style="1"/>
    <col min="6072" max="6072" customWidth="0" width="3.109375" style="1"/>
    <col min="6073" max="6073" customWidth="0" width="3.109375" style="1"/>
    <col min="6074" max="6074" customWidth="0" width="3.109375" style="1"/>
    <col min="6075" max="6075" customWidth="0" width="3.109375" style="1"/>
    <col min="6076" max="6076" customWidth="0" width="3.109375" style="1"/>
    <col min="6077" max="6077" customWidth="0" width="3.109375" style="1"/>
    <col min="6078" max="6078" customWidth="0" width="3.109375" style="1"/>
    <col min="6079" max="6079" customWidth="0" width="3.109375" style="1"/>
    <col min="6080" max="6080" customWidth="0" width="3.109375" style="1"/>
    <col min="6081" max="6081" customWidth="0" width="3.109375" style="1"/>
    <col min="6082" max="6082" customWidth="0" width="3.109375" style="1"/>
    <col min="6083" max="6083" customWidth="0" width="3.109375" style="1"/>
    <col min="6084" max="6084" customWidth="0" width="3.109375" style="1"/>
    <col min="6085" max="6085" customWidth="0" width="3.109375" style="1"/>
    <col min="6086" max="6086" customWidth="0" width="3.109375" style="1"/>
    <col min="6087" max="6087" customWidth="0" width="3.109375" style="1"/>
    <col min="6088" max="6088" customWidth="0" width="3.109375" style="1"/>
    <col min="6089" max="6089" customWidth="0" width="3.109375" style="1"/>
    <col min="6090" max="6090" customWidth="0" width="3.109375" style="1"/>
    <col min="6091" max="6091" customWidth="0" width="3.109375" style="1"/>
    <col min="6092" max="6092" customWidth="0" width="3.109375" style="1"/>
    <col min="6093" max="6093" customWidth="0" width="3.109375" style="1"/>
    <col min="6094" max="6094" customWidth="0" width="3.109375" style="1"/>
    <col min="6095" max="6095" customWidth="0" width="3.109375" style="1"/>
    <col min="6096" max="6096" customWidth="0" width="3.109375" style="1"/>
    <col min="6097" max="6097" customWidth="0" width="3.109375" style="1"/>
    <col min="6098" max="6098" customWidth="0" width="3.109375" style="1"/>
    <col min="6099" max="6099" customWidth="0" width="3.109375" style="1"/>
    <col min="6100" max="6100" customWidth="0" width="3.109375" style="1"/>
    <col min="6101" max="6101" customWidth="0" width="3.109375" style="1"/>
    <col min="6102" max="6102" customWidth="0" width="3.109375" style="1"/>
    <col min="6103" max="6103" customWidth="0" width="3.109375" style="1"/>
    <col min="6104" max="6104" customWidth="0" width="3.109375" style="1"/>
    <col min="6105" max="6105" customWidth="0" width="3.109375" style="1"/>
    <col min="6106" max="6106" customWidth="0" width="3.109375" style="1"/>
    <col min="6107" max="6107" customWidth="0" width="3.109375" style="1"/>
    <col min="6108" max="6108" customWidth="0" width="3.109375" style="1"/>
    <col min="6109" max="6109" customWidth="0" width="3.109375" style="1"/>
    <col min="6110" max="6110" customWidth="0" width="3.109375" style="1"/>
    <col min="6111" max="6111" customWidth="0" width="3.109375" style="1"/>
    <col min="6112" max="6112" customWidth="0" width="3.109375" style="1"/>
    <col min="6113" max="6113" customWidth="0" width="3.109375" style="1"/>
    <col min="6114" max="6114" customWidth="0" width="3.109375" style="1"/>
    <col min="6115" max="6115" customWidth="0" width="3.109375" style="1"/>
    <col min="6116" max="6116" customWidth="0" width="3.109375" style="1"/>
    <col min="6117" max="6117" customWidth="0" width="3.109375" style="1"/>
    <col min="6118" max="6118" customWidth="0" width="3.109375" style="1"/>
    <col min="6119" max="6119" customWidth="0" width="3.109375" style="1"/>
    <col min="6120" max="6120" customWidth="0" width="3.109375" style="1"/>
    <col min="6121" max="6121" customWidth="0" width="3.109375" style="1"/>
    <col min="6122" max="6122" customWidth="0" width="3.109375" style="1"/>
    <col min="6123" max="6123" customWidth="0" width="3.109375" style="1"/>
    <col min="6124" max="6124" customWidth="0" width="3.109375" style="1"/>
    <col min="6125" max="6125" customWidth="0" width="3.109375" style="1"/>
    <col min="6126" max="6126" customWidth="0" width="3.109375" style="1"/>
    <col min="6127" max="6127" customWidth="0" width="3.109375" style="1"/>
    <col min="6128" max="6128" customWidth="0" width="3.109375" style="1"/>
    <col min="6129" max="6129" customWidth="0" width="3.109375" style="1"/>
    <col min="6130" max="6130" customWidth="0" width="3.109375" style="1"/>
    <col min="6131" max="6131" customWidth="0" width="3.109375" style="1"/>
    <col min="6132" max="6132" customWidth="0" width="3.109375" style="1"/>
    <col min="6133" max="6133" customWidth="0" width="3.109375" style="1"/>
    <col min="6134" max="6134" customWidth="0" width="3.109375" style="1"/>
    <col min="6135" max="6135" customWidth="0" width="3.109375" style="1"/>
    <col min="6136" max="6136" customWidth="0" width="3.109375" style="1"/>
    <col min="6137" max="6137" customWidth="0" width="3.109375" style="1"/>
    <col min="6138" max="6138" customWidth="0" width="3.109375" style="1"/>
    <col min="6139" max="6139" customWidth="0" width="3.109375" style="1"/>
    <col min="6140" max="6140" customWidth="0" width="3.109375" style="1"/>
    <col min="6141" max="6141" customWidth="0" width="3.109375" style="1"/>
    <col min="6142" max="6142" customWidth="0" width="3.109375" style="1"/>
    <col min="6143" max="6143" customWidth="0" width="3.109375" style="1"/>
    <col min="6144" max="6144" customWidth="0" width="3.109375" style="1"/>
    <col min="6145" max="6145" customWidth="0" width="3.109375" style="1"/>
    <col min="6146" max="6146" customWidth="0" width="3.109375" style="1"/>
    <col min="6147" max="6147" customWidth="0" width="3.109375" style="1"/>
    <col min="6148" max="6148" customWidth="0" width="3.109375" style="1"/>
    <col min="6149" max="6149" customWidth="0" width="3.109375" style="1"/>
    <col min="6150" max="6150" customWidth="0" width="3.109375" style="1"/>
    <col min="6151" max="6151" customWidth="0" width="3.109375" style="1"/>
    <col min="6152" max="6152" customWidth="0" width="3.109375" style="1"/>
    <col min="6153" max="6153" customWidth="0" width="3.109375" style="1"/>
    <col min="6154" max="6154" customWidth="0" width="3.109375" style="1"/>
    <col min="6155" max="6155" customWidth="0" width="3.109375" style="1"/>
    <col min="6156" max="6156" customWidth="0" width="3.109375" style="1"/>
    <col min="6157" max="6157" customWidth="0" width="3.109375" style="1"/>
    <col min="6158" max="6158" customWidth="0" width="3.109375" style="1"/>
    <col min="6159" max="6159" customWidth="0" width="3.109375" style="1"/>
    <col min="6160" max="6160" customWidth="0" width="3.109375" style="1"/>
    <col min="6161" max="6161" customWidth="0" width="3.109375" style="1"/>
    <col min="6162" max="6162" customWidth="0" width="3.109375" style="1"/>
    <col min="6163" max="6163" customWidth="0" width="3.109375" style="1"/>
    <col min="6164" max="6164" customWidth="0" width="3.109375" style="1"/>
    <col min="6165" max="6165" customWidth="0" width="3.109375" style="1"/>
    <col min="6166" max="6166" customWidth="0" width="3.109375" style="1"/>
    <col min="6167" max="6167" customWidth="0" width="3.109375" style="1"/>
    <col min="6168" max="6168" customWidth="0" width="3.109375" style="1"/>
    <col min="6169" max="6169" customWidth="0" width="3.109375" style="1"/>
    <col min="6170" max="6170" customWidth="0" width="3.109375" style="1"/>
    <col min="6171" max="6171" customWidth="0" width="3.109375" style="1"/>
    <col min="6172" max="6172" customWidth="0" width="3.109375" style="1"/>
    <col min="6173" max="6173" customWidth="0" width="3.109375" style="1"/>
    <col min="6174" max="6174" customWidth="0" width="3.109375" style="1"/>
    <col min="6175" max="6175" customWidth="0" width="3.109375" style="1"/>
    <col min="6176" max="6176" customWidth="0" width="3.109375" style="1"/>
    <col min="6177" max="6177" customWidth="0" width="3.109375" style="1"/>
    <col min="6178" max="6178" customWidth="0" width="3.109375" style="1"/>
    <col min="6179" max="6179" customWidth="0" width="3.109375" style="1"/>
    <col min="6180" max="6180" customWidth="0" width="3.109375" style="1"/>
    <col min="6181" max="6181" customWidth="0" width="3.109375" style="1"/>
    <col min="6182" max="6182" customWidth="0" width="3.109375" style="1"/>
    <col min="6183" max="6183" customWidth="0" width="3.109375" style="1"/>
    <col min="6184" max="6184" customWidth="0" width="3.109375" style="1"/>
    <col min="6185" max="6185" customWidth="0" width="3.109375" style="1"/>
    <col min="6186" max="6186" customWidth="0" width="3.109375" style="1"/>
    <col min="6187" max="6187" customWidth="0" width="3.109375" style="1"/>
    <col min="6188" max="6188" customWidth="0" width="3.109375" style="1"/>
    <col min="6189" max="6189" customWidth="0" width="3.109375" style="1"/>
    <col min="6190" max="6190" customWidth="0" width="3.109375" style="1"/>
    <col min="6191" max="6191" customWidth="0" width="3.109375" style="1"/>
    <col min="6192" max="6192" customWidth="0" width="3.109375" style="1"/>
    <col min="6193" max="6193" customWidth="0" width="3.109375" style="1"/>
    <col min="6194" max="6194" customWidth="0" width="3.109375" style="1"/>
    <col min="6195" max="6195" customWidth="0" width="3.109375" style="1"/>
    <col min="6196" max="6196" customWidth="0" width="3.109375" style="1"/>
    <col min="6197" max="6197" customWidth="0" width="3.109375" style="1"/>
    <col min="6198" max="6198" customWidth="0" width="3.109375" style="1"/>
    <col min="6199" max="6199" customWidth="0" width="3.109375" style="1"/>
    <col min="6200" max="6200" customWidth="0" width="3.109375" style="1"/>
    <col min="6201" max="6201" customWidth="0" width="3.109375" style="1"/>
    <col min="6202" max="6202" customWidth="0" width="3.109375" style="1"/>
    <col min="6203" max="6203" customWidth="0" width="3.109375" style="1"/>
    <col min="6204" max="6204" customWidth="0" width="3.109375" style="1"/>
    <col min="6205" max="6205" customWidth="0" width="3.109375" style="1"/>
    <col min="6206" max="6206" customWidth="0" width="3.109375" style="1"/>
    <col min="6207" max="6207" customWidth="0" width="3.109375" style="1"/>
    <col min="6208" max="6208" customWidth="0" width="3.109375" style="1"/>
    <col min="6209" max="6209" customWidth="0" width="3.109375" style="1"/>
    <col min="6210" max="6210" customWidth="0" width="3.109375" style="1"/>
    <col min="6211" max="6211" customWidth="0" width="3.109375" style="1"/>
    <col min="6212" max="6212" customWidth="0" width="3.109375" style="1"/>
    <col min="6213" max="6213" customWidth="0" width="3.109375" style="1"/>
    <col min="6214" max="6214" customWidth="0" width="3.109375" style="1"/>
    <col min="6215" max="6215" customWidth="0" width="3.109375" style="1"/>
    <col min="6216" max="6216" customWidth="0" width="3.109375" style="1"/>
    <col min="6217" max="6217" customWidth="0" width="3.109375" style="1"/>
    <col min="6218" max="6218" customWidth="0" width="3.109375" style="1"/>
    <col min="6219" max="6219" customWidth="0" width="3.109375" style="1"/>
    <col min="6220" max="6220" customWidth="0" width="3.109375" style="1"/>
    <col min="6221" max="6221" customWidth="0" width="3.109375" style="1"/>
    <col min="6222" max="6222" customWidth="0" width="3.109375" style="1"/>
    <col min="6223" max="6223" customWidth="0" width="3.109375" style="1"/>
    <col min="6224" max="6224" customWidth="0" width="3.109375" style="1"/>
    <col min="6225" max="6225" customWidth="0" width="3.109375" style="1"/>
    <col min="6226" max="6226" customWidth="0" width="3.109375" style="1"/>
    <col min="6227" max="6227" customWidth="0" width="3.109375" style="1"/>
    <col min="6228" max="6228" customWidth="0" width="3.109375" style="1"/>
    <col min="6229" max="6229" customWidth="0" width="3.109375" style="1"/>
    <col min="6230" max="6230" customWidth="0" width="3.109375" style="1"/>
    <col min="6231" max="6231" customWidth="0" width="3.109375" style="1"/>
    <col min="6232" max="6232" customWidth="0" width="3.109375" style="1"/>
    <col min="6233" max="6233" customWidth="0" width="3.109375" style="1"/>
    <col min="6234" max="6234" customWidth="0" width="3.109375" style="1"/>
    <col min="6235" max="6235" customWidth="0" width="3.109375" style="1"/>
    <col min="6236" max="6236" customWidth="0" width="3.109375" style="1"/>
    <col min="6237" max="6237" customWidth="0" width="3.109375" style="1"/>
    <col min="6238" max="6238" customWidth="0" width="3.109375" style="1"/>
    <col min="6239" max="6239" customWidth="0" width="3.109375" style="1"/>
    <col min="6240" max="6240" customWidth="0" width="3.109375" style="1"/>
    <col min="6241" max="6241" customWidth="0" width="3.109375" style="1"/>
    <col min="6242" max="6242" customWidth="0" width="3.109375" style="1"/>
    <col min="6243" max="6243" customWidth="0" width="3.109375" style="1"/>
    <col min="6244" max="6244" customWidth="0" width="3.109375" style="1"/>
    <col min="6245" max="6245" customWidth="0" width="3.109375" style="1"/>
    <col min="6246" max="6246" customWidth="0" width="3.109375" style="1"/>
    <col min="6247" max="6247" customWidth="0" width="3.109375" style="1"/>
    <col min="6248" max="6248" customWidth="0" width="3.109375" style="1"/>
    <col min="6249" max="6249" customWidth="0" width="3.109375" style="1"/>
    <col min="6250" max="6250" customWidth="0" width="3.109375" style="1"/>
    <col min="6251" max="6251" customWidth="0" width="3.109375" style="1"/>
    <col min="6252" max="6252" customWidth="0" width="3.109375" style="1"/>
    <col min="6253" max="6253" customWidth="0" width="3.109375" style="1"/>
    <col min="6254" max="6254" customWidth="0" width="3.109375" style="1"/>
    <col min="6255" max="6255" customWidth="0" width="3.109375" style="1"/>
    <col min="6256" max="6256" customWidth="0" width="3.109375" style="1"/>
    <col min="6257" max="6257" customWidth="0" width="3.109375" style="1"/>
    <col min="6258" max="6258" customWidth="0" width="3.109375" style="1"/>
    <col min="6259" max="6259" customWidth="0" width="3.109375" style="1"/>
    <col min="6260" max="6260" customWidth="0" width="3.109375" style="1"/>
    <col min="6261" max="6261" customWidth="0" width="3.109375" style="1"/>
    <col min="6262" max="6262" customWidth="0" width="3.109375" style="1"/>
    <col min="6263" max="6263" customWidth="0" width="3.109375" style="1"/>
    <col min="6264" max="6264" customWidth="0" width="3.109375" style="1"/>
    <col min="6265" max="6265" customWidth="0" width="3.109375" style="1"/>
    <col min="6266" max="6266" customWidth="0" width="3.109375" style="1"/>
    <col min="6267" max="6267" customWidth="0" width="3.109375" style="1"/>
    <col min="6268" max="6268" customWidth="0" width="3.109375" style="1"/>
    <col min="6269" max="6269" customWidth="0" width="3.109375" style="1"/>
    <col min="6270" max="6270" customWidth="0" width="3.109375" style="1"/>
    <col min="6271" max="6271" customWidth="0" width="3.109375" style="1"/>
    <col min="6272" max="6272" customWidth="0" width="3.109375" style="1"/>
    <col min="6273" max="6273" customWidth="0" width="3.109375" style="1"/>
    <col min="6274" max="6274" customWidth="0" width="3.109375" style="1"/>
    <col min="6275" max="6275" customWidth="0" width="3.109375" style="1"/>
    <col min="6276" max="6276" customWidth="0" width="3.109375" style="1"/>
    <col min="6277" max="6277" customWidth="0" width="3.109375" style="1"/>
    <col min="6278" max="6278" customWidth="0" width="3.109375" style="1"/>
    <col min="6279" max="6279" customWidth="0" width="3.109375" style="1"/>
    <col min="6280" max="6280" customWidth="0" width="3.109375" style="1"/>
    <col min="6281" max="6281" customWidth="0" width="3.109375" style="1"/>
    <col min="6282" max="6282" customWidth="0" width="3.109375" style="1"/>
    <col min="6283" max="6283" customWidth="0" width="3.109375" style="1"/>
    <col min="6284" max="6284" customWidth="0" width="3.109375" style="1"/>
    <col min="6285" max="6285" customWidth="0" width="3.109375" style="1"/>
    <col min="6286" max="6286" customWidth="0" width="3.109375" style="1"/>
    <col min="6287" max="6287" customWidth="0" width="3.109375" style="1"/>
    <col min="6288" max="6288" customWidth="0" width="3.109375" style="1"/>
    <col min="6289" max="6289" customWidth="0" width="3.109375" style="1"/>
    <col min="6290" max="6290" customWidth="0" width="3.109375" style="1"/>
    <col min="6291" max="6291" customWidth="0" width="3.109375" style="1"/>
    <col min="6292" max="6292" customWidth="0" width="3.109375" style="1"/>
    <col min="6293" max="6293" customWidth="0" width="3.109375" style="1"/>
    <col min="6294" max="6294" customWidth="0" width="3.109375" style="1"/>
    <col min="6295" max="6295" customWidth="0" width="3.109375" style="1"/>
    <col min="6296" max="6296" customWidth="0" width="3.109375" style="1"/>
    <col min="6297" max="6297" customWidth="0" width="3.109375" style="1"/>
    <col min="6298" max="6298" customWidth="0" width="3.109375" style="1"/>
    <col min="6299" max="6299" customWidth="0" width="3.109375" style="1"/>
    <col min="6300" max="6300" customWidth="0" width="3.109375" style="1"/>
    <col min="6301" max="6301" customWidth="0" width="3.109375" style="1"/>
    <col min="6302" max="6302" customWidth="0" width="3.109375" style="1"/>
    <col min="6303" max="6303" customWidth="0" width="3.109375" style="1"/>
    <col min="6304" max="6304" customWidth="0" width="3.109375" style="1"/>
    <col min="6305" max="6305" customWidth="0" width="3.109375" style="1"/>
    <col min="6306" max="6306" customWidth="0" width="3.109375" style="1"/>
    <col min="6307" max="6307" customWidth="0" width="3.109375" style="1"/>
    <col min="6308" max="6308" customWidth="0" width="3.109375" style="1"/>
    <col min="6309" max="6309" customWidth="0" width="3.109375" style="1"/>
    <col min="6310" max="6310" customWidth="0" width="3.109375" style="1"/>
    <col min="6311" max="6311" customWidth="0" width="3.109375" style="1"/>
    <col min="6312" max="6312" customWidth="0" width="3.109375" style="1"/>
    <col min="6313" max="6313" customWidth="0" width="3.109375" style="1"/>
    <col min="6314" max="6314" customWidth="0" width="3.109375" style="1"/>
    <col min="6315" max="6315" customWidth="0" width="3.109375" style="1"/>
    <col min="6316" max="6316" customWidth="0" width="3.109375" style="1"/>
    <col min="6317" max="6317" customWidth="0" width="3.109375" style="1"/>
    <col min="6318" max="6318" customWidth="0" width="3.109375" style="1"/>
    <col min="6319" max="6319" customWidth="0" width="3.109375" style="1"/>
    <col min="6320" max="6320" customWidth="0" width="3.109375" style="1"/>
    <col min="6321" max="6321" customWidth="0" width="3.109375" style="1"/>
    <col min="6322" max="6322" customWidth="0" width="3.109375" style="1"/>
    <col min="6323" max="6323" customWidth="0" width="3.109375" style="1"/>
    <col min="6324" max="6324" customWidth="0" width="3.109375" style="1"/>
    <col min="6325" max="6325" customWidth="0" width="3.109375" style="1"/>
    <col min="6326" max="6326" customWidth="0" width="3.109375" style="1"/>
    <col min="6327" max="6327" customWidth="0" width="3.109375" style="1"/>
    <col min="6328" max="6328" customWidth="0" width="3.109375" style="1"/>
    <col min="6329" max="6329" customWidth="0" width="3.109375" style="1"/>
    <col min="6330" max="6330" customWidth="0" width="3.109375" style="1"/>
    <col min="6331" max="6331" customWidth="0" width="3.109375" style="1"/>
    <col min="6332" max="6332" customWidth="0" width="3.109375" style="1"/>
    <col min="6333" max="6333" customWidth="0" width="3.109375" style="1"/>
    <col min="6334" max="6334" customWidth="0" width="3.109375" style="1"/>
    <col min="6335" max="6335" customWidth="0" width="3.109375" style="1"/>
    <col min="6336" max="6336" customWidth="0" width="3.109375" style="1"/>
    <col min="6337" max="6337" customWidth="0" width="3.109375" style="1"/>
    <col min="6338" max="6338" customWidth="0" width="3.109375" style="1"/>
    <col min="6339" max="6339" customWidth="0" width="3.109375" style="1"/>
    <col min="6340" max="6340" customWidth="0" width="3.109375" style="1"/>
    <col min="6341" max="6341" customWidth="0" width="3.109375" style="1"/>
    <col min="6342" max="6342" customWidth="0" width="3.109375" style="1"/>
    <col min="6343" max="6343" customWidth="0" width="3.109375" style="1"/>
    <col min="6344" max="6344" customWidth="0" width="3.109375" style="1"/>
    <col min="6345" max="6345" customWidth="0" width="3.109375" style="1"/>
    <col min="6346" max="6346" customWidth="0" width="3.109375" style="1"/>
    <col min="6347" max="6347" customWidth="0" width="3.109375" style="1"/>
    <col min="6348" max="6348" customWidth="0" width="3.109375" style="1"/>
    <col min="6349" max="6349" customWidth="0" width="3.109375" style="1"/>
    <col min="6350" max="6350" customWidth="0" width="3.109375" style="1"/>
    <col min="6351" max="6351" customWidth="0" width="3.109375" style="1"/>
    <col min="6352" max="6352" customWidth="0" width="3.109375" style="1"/>
    <col min="6353" max="6353" customWidth="0" width="3.109375" style="1"/>
    <col min="6354" max="6354" customWidth="0" width="3.109375" style="1"/>
    <col min="6355" max="6355" customWidth="0" width="3.109375" style="1"/>
    <col min="6356" max="6356" customWidth="0" width="3.109375" style="1"/>
    <col min="6357" max="6357" customWidth="0" width="3.109375" style="1"/>
    <col min="6358" max="6358" customWidth="0" width="3.109375" style="1"/>
    <col min="6359" max="6359" customWidth="0" width="3.109375" style="1"/>
    <col min="6360" max="6360" customWidth="0" width="3.109375" style="1"/>
    <col min="6361" max="6361" customWidth="0" width="3.109375" style="1"/>
    <col min="6362" max="6362" customWidth="0" width="3.109375" style="1"/>
    <col min="6363" max="6363" customWidth="0" width="3.109375" style="1"/>
    <col min="6364" max="6364" customWidth="0" width="3.109375" style="1"/>
    <col min="6365" max="6365" customWidth="0" width="3.109375" style="1"/>
    <col min="6366" max="6366" customWidth="0" width="3.109375" style="1"/>
    <col min="6367" max="6367" customWidth="0" width="3.109375" style="1"/>
    <col min="6368" max="6368" customWidth="0" width="3.109375" style="1"/>
    <col min="6369" max="6369" customWidth="0" width="3.109375" style="1"/>
    <col min="6370" max="6370" customWidth="0" width="3.109375" style="1"/>
    <col min="6371" max="6371" customWidth="0" width="3.109375" style="1"/>
    <col min="6372" max="6372" customWidth="0" width="3.109375" style="1"/>
    <col min="6373" max="6373" customWidth="0" width="3.109375" style="1"/>
    <col min="6374" max="6374" customWidth="0" width="3.109375" style="1"/>
    <col min="6375" max="6375" customWidth="0" width="3.109375" style="1"/>
    <col min="6376" max="6376" customWidth="0" width="3.109375" style="1"/>
    <col min="6377" max="6377" customWidth="0" width="3.109375" style="1"/>
    <col min="6378" max="6378" customWidth="0" width="3.109375" style="1"/>
    <col min="6379" max="6379" customWidth="0" width="3.109375" style="1"/>
    <col min="6380" max="6380" customWidth="0" width="3.109375" style="1"/>
    <col min="6381" max="6381" customWidth="0" width="3.109375" style="1"/>
    <col min="6382" max="6382" customWidth="0" width="3.109375" style="1"/>
    <col min="6383" max="6383" customWidth="0" width="3.109375" style="1"/>
    <col min="6384" max="6384" customWidth="0" width="3.109375" style="1"/>
    <col min="6385" max="6385" customWidth="0" width="3.109375" style="1"/>
    <col min="6386" max="6386" customWidth="0" width="3.109375" style="1"/>
    <col min="6387" max="6387" customWidth="0" width="3.109375" style="1"/>
    <col min="6388" max="6388" customWidth="0" width="3.109375" style="1"/>
    <col min="6389" max="6389" customWidth="0" width="3.109375" style="1"/>
    <col min="6390" max="6390" customWidth="0" width="3.109375" style="1"/>
    <col min="6391" max="6391" customWidth="0" width="3.109375" style="1"/>
    <col min="6392" max="6392" customWidth="0" width="3.109375" style="1"/>
    <col min="6393" max="6393" customWidth="0" width="3.109375" style="1"/>
    <col min="6394" max="6394" customWidth="0" width="3.109375" style="1"/>
    <col min="6395" max="6395" customWidth="0" width="3.109375" style="1"/>
    <col min="6396" max="6396" customWidth="0" width="3.109375" style="1"/>
    <col min="6397" max="6397" customWidth="0" width="3.109375" style="1"/>
    <col min="6398" max="6398" customWidth="0" width="3.109375" style="1"/>
    <col min="6399" max="6399" customWidth="0" width="3.109375" style="1"/>
    <col min="6400" max="6400" customWidth="0" width="3.109375" style="1"/>
    <col min="6401" max="6401" customWidth="0" width="3.109375" style="1"/>
    <col min="6402" max="6402" customWidth="0" width="3.109375" style="1"/>
    <col min="6403" max="6403" customWidth="0" width="3.109375" style="1"/>
    <col min="6404" max="6404" customWidth="0" width="3.109375" style="1"/>
    <col min="6405" max="6405" customWidth="0" width="3.109375" style="1"/>
    <col min="6406" max="6406" customWidth="0" width="3.109375" style="1"/>
    <col min="6407" max="6407" customWidth="0" width="3.109375" style="1"/>
    <col min="6408" max="6408" customWidth="0" width="3.109375" style="1"/>
    <col min="6409" max="6409" customWidth="0" width="3.109375" style="1"/>
    <col min="6410" max="6410" customWidth="0" width="3.109375" style="1"/>
    <col min="6411" max="6411" customWidth="0" width="3.109375" style="1"/>
    <col min="6412" max="6412" customWidth="0" width="3.109375" style="1"/>
    <col min="6413" max="6413" customWidth="0" width="3.109375" style="1"/>
    <col min="6414" max="6414" customWidth="0" width="3.109375" style="1"/>
    <col min="6415" max="6415" customWidth="0" width="3.109375" style="1"/>
    <col min="6416" max="6416" customWidth="0" width="3.109375" style="1"/>
    <col min="6417" max="6417" customWidth="0" width="3.109375" style="1"/>
    <col min="6418" max="6418" customWidth="0" width="3.109375" style="1"/>
    <col min="6419" max="6419" customWidth="0" width="3.109375" style="1"/>
    <col min="6420" max="6420" customWidth="0" width="3.109375" style="1"/>
    <col min="6421" max="6421" customWidth="0" width="3.109375" style="1"/>
    <col min="6422" max="6422" customWidth="0" width="3.109375" style="1"/>
    <col min="6423" max="6423" customWidth="0" width="3.109375" style="1"/>
    <col min="6424" max="6424" customWidth="0" width="3.109375" style="1"/>
    <col min="6425" max="6425" customWidth="0" width="3.109375" style="1"/>
    <col min="6426" max="6426" customWidth="0" width="3.109375" style="1"/>
    <col min="6427" max="6427" customWidth="0" width="3.109375" style="1"/>
    <col min="6428" max="6428" customWidth="0" width="3.109375" style="1"/>
    <col min="6429" max="6429" customWidth="0" width="3.109375" style="1"/>
    <col min="6430" max="6430" customWidth="0" width="3.109375" style="1"/>
    <col min="6431" max="6431" customWidth="0" width="3.109375" style="1"/>
    <col min="6432" max="6432" customWidth="0" width="3.109375" style="1"/>
    <col min="6433" max="6433" customWidth="0" width="3.109375" style="1"/>
    <col min="6434" max="6434" customWidth="0" width="3.109375" style="1"/>
    <col min="6435" max="6435" customWidth="0" width="3.109375" style="1"/>
    <col min="6436" max="6436" customWidth="0" width="3.109375" style="1"/>
    <col min="6437" max="6437" customWidth="0" width="3.109375" style="1"/>
    <col min="6438" max="6438" customWidth="0" width="3.109375" style="1"/>
    <col min="6439" max="6439" customWidth="0" width="3.109375" style="1"/>
    <col min="6440" max="6440" customWidth="0" width="3.109375" style="1"/>
    <col min="6441" max="6441" customWidth="0" width="3.109375" style="1"/>
    <col min="6442" max="6442" customWidth="0" width="3.109375" style="1"/>
    <col min="6443" max="6443" customWidth="0" width="3.109375" style="1"/>
    <col min="6444" max="6444" customWidth="0" width="3.109375" style="1"/>
    <col min="6445" max="6445" customWidth="0" width="3.109375" style="1"/>
    <col min="6446" max="6446" customWidth="0" width="3.109375" style="1"/>
    <col min="6447" max="6447" customWidth="0" width="3.109375" style="1"/>
    <col min="6448" max="6448" customWidth="0" width="3.109375" style="1"/>
    <col min="6449" max="6449" customWidth="0" width="3.109375" style="1"/>
    <col min="6450" max="6450" customWidth="0" width="3.109375" style="1"/>
    <col min="6451" max="6451" customWidth="0" width="3.109375" style="1"/>
    <col min="6452" max="6452" customWidth="0" width="3.109375" style="1"/>
    <col min="6453" max="6453" customWidth="0" width="3.109375" style="1"/>
    <col min="6454" max="6454" customWidth="0" width="3.109375" style="1"/>
    <col min="6455" max="6455" customWidth="0" width="3.109375" style="1"/>
    <col min="6456" max="6456" customWidth="0" width="3.109375" style="1"/>
    <col min="6457" max="6457" customWidth="0" width="3.109375" style="1"/>
    <col min="6458" max="6458" customWidth="0" width="3.109375" style="1"/>
    <col min="6459" max="6459" customWidth="0" width="3.109375" style="1"/>
    <col min="6460" max="6460" customWidth="0" width="3.109375" style="1"/>
    <col min="6461" max="6461" customWidth="0" width="3.109375" style="1"/>
    <col min="6462" max="6462" customWidth="0" width="3.109375" style="1"/>
    <col min="6463" max="6463" customWidth="0" width="3.109375" style="1"/>
    <col min="6464" max="6464" customWidth="0" width="3.109375" style="1"/>
    <col min="6465" max="6465" customWidth="0" width="3.109375" style="1"/>
    <col min="6466" max="6466" customWidth="0" width="3.109375" style="1"/>
    <col min="6467" max="6467" customWidth="0" width="3.109375" style="1"/>
    <col min="6468" max="6468" customWidth="0" width="3.109375" style="1"/>
    <col min="6469" max="6469" customWidth="0" width="3.109375" style="1"/>
    <col min="6470" max="6470" customWidth="0" width="3.109375" style="1"/>
    <col min="6471" max="6471" customWidth="0" width="3.109375" style="1"/>
    <col min="6472" max="6472" customWidth="0" width="3.109375" style="1"/>
    <col min="6473" max="6473" customWidth="0" width="3.109375" style="1"/>
    <col min="6474" max="6474" customWidth="0" width="3.109375" style="1"/>
    <col min="6475" max="6475" customWidth="0" width="3.109375" style="1"/>
    <col min="6476" max="6476" customWidth="0" width="3.109375" style="1"/>
    <col min="6477" max="6477" customWidth="0" width="3.109375" style="1"/>
    <col min="6478" max="6478" customWidth="0" width="3.109375" style="1"/>
    <col min="6479" max="6479" customWidth="0" width="3.109375" style="1"/>
    <col min="6480" max="6480" customWidth="0" width="3.109375" style="1"/>
    <col min="6481" max="6481" customWidth="0" width="3.109375" style="1"/>
    <col min="6482" max="6482" customWidth="0" width="3.109375" style="1"/>
    <col min="6483" max="6483" customWidth="0" width="3.109375" style="1"/>
    <col min="6484" max="6484" customWidth="0" width="3.109375" style="1"/>
    <col min="6485" max="6485" customWidth="0" width="3.109375" style="1"/>
    <col min="6486" max="6486" customWidth="0" width="3.109375" style="1"/>
    <col min="6487" max="6487" customWidth="0" width="3.109375" style="1"/>
    <col min="6488" max="6488" customWidth="0" width="3.109375" style="1"/>
    <col min="6489" max="6489" customWidth="0" width="3.109375" style="1"/>
    <col min="6490" max="6490" customWidth="0" width="3.109375" style="1"/>
    <col min="6491" max="6491" customWidth="0" width="3.109375" style="1"/>
    <col min="6492" max="6492" customWidth="0" width="3.109375" style="1"/>
    <col min="6493" max="6493" customWidth="0" width="3.109375" style="1"/>
    <col min="6494" max="6494" customWidth="0" width="3.109375" style="1"/>
    <col min="6495" max="6495" customWidth="0" width="3.109375" style="1"/>
    <col min="6496" max="6496" customWidth="0" width="3.109375" style="1"/>
    <col min="6497" max="6497" customWidth="0" width="3.109375" style="1"/>
    <col min="6498" max="6498" customWidth="0" width="3.109375" style="1"/>
    <col min="6499" max="6499" customWidth="0" width="3.109375" style="1"/>
    <col min="6500" max="6500" customWidth="0" width="3.109375" style="1"/>
    <col min="6501" max="6501" customWidth="0" width="3.109375" style="1"/>
    <col min="6502" max="6502" customWidth="0" width="3.109375" style="1"/>
    <col min="6503" max="6503" customWidth="0" width="3.109375" style="1"/>
    <col min="6504" max="6504" customWidth="0" width="3.109375" style="1"/>
    <col min="6505" max="6505" customWidth="0" width="3.109375" style="1"/>
    <col min="6506" max="6506" customWidth="0" width="3.109375" style="1"/>
    <col min="6507" max="6507" customWidth="0" width="3.109375" style="1"/>
    <col min="6508" max="6508" customWidth="0" width="3.109375" style="1"/>
    <col min="6509" max="6509" customWidth="0" width="3.109375" style="1"/>
    <col min="6510" max="6510" customWidth="0" width="3.109375" style="1"/>
    <col min="6511" max="6511" customWidth="0" width="3.109375" style="1"/>
    <col min="6512" max="6512" customWidth="0" width="3.109375" style="1"/>
    <col min="6513" max="6513" customWidth="0" width="3.109375" style="1"/>
    <col min="6514" max="6514" customWidth="0" width="3.109375" style="1"/>
    <col min="6515" max="6515" customWidth="0" width="3.109375" style="1"/>
    <col min="6516" max="6516" customWidth="0" width="3.109375" style="1"/>
    <col min="6517" max="6517" customWidth="0" width="3.109375" style="1"/>
    <col min="6518" max="6518" customWidth="0" width="3.109375" style="1"/>
    <col min="6519" max="6519" customWidth="0" width="3.109375" style="1"/>
    <col min="6520" max="6520" customWidth="0" width="3.109375" style="1"/>
    <col min="6521" max="6521" customWidth="0" width="3.109375" style="1"/>
    <col min="6522" max="6522" customWidth="0" width="3.109375" style="1"/>
    <col min="6523" max="6523" customWidth="0" width="3.109375" style="1"/>
    <col min="6524" max="6524" customWidth="0" width="3.109375" style="1"/>
    <col min="6525" max="6525" customWidth="0" width="3.109375" style="1"/>
    <col min="6526" max="6526" customWidth="0" width="3.109375" style="1"/>
    <col min="6527" max="6527" customWidth="0" width="3.109375" style="1"/>
    <col min="6528" max="6528" customWidth="0" width="3.109375" style="1"/>
    <col min="6529" max="6529" customWidth="0" width="3.109375" style="1"/>
    <col min="6530" max="6530" customWidth="0" width="3.109375" style="1"/>
    <col min="6531" max="6531" customWidth="0" width="3.109375" style="1"/>
    <col min="6532" max="6532" customWidth="0" width="3.109375" style="1"/>
    <col min="6533" max="6533" customWidth="0" width="3.109375" style="1"/>
    <col min="6534" max="6534" customWidth="0" width="3.109375" style="1"/>
    <col min="6535" max="6535" customWidth="0" width="3.109375" style="1"/>
    <col min="6536" max="6536" customWidth="0" width="3.109375" style="1"/>
    <col min="6537" max="6537" customWidth="0" width="3.109375" style="1"/>
    <col min="6538" max="6538" customWidth="0" width="3.109375" style="1"/>
    <col min="6539" max="6539" customWidth="0" width="3.109375" style="1"/>
    <col min="6540" max="6540" customWidth="0" width="3.109375" style="1"/>
    <col min="6541" max="6541" customWidth="0" width="3.109375" style="1"/>
    <col min="6542" max="6542" customWidth="0" width="3.109375" style="1"/>
    <col min="6543" max="6543" customWidth="0" width="3.109375" style="1"/>
    <col min="6544" max="6544" customWidth="0" width="3.109375" style="1"/>
    <col min="6545" max="6545" customWidth="0" width="3.109375" style="1"/>
    <col min="6546" max="6546" customWidth="0" width="3.109375" style="1"/>
    <col min="6547" max="6547" customWidth="0" width="3.109375" style="1"/>
    <col min="6548" max="6548" customWidth="0" width="3.109375" style="1"/>
    <col min="6549" max="6549" customWidth="0" width="3.109375" style="1"/>
    <col min="6550" max="6550" customWidth="0" width="3.109375" style="1"/>
    <col min="6551" max="6551" customWidth="0" width="3.109375" style="1"/>
    <col min="6552" max="6552" customWidth="0" width="3.109375" style="1"/>
    <col min="6553" max="6553" customWidth="0" width="3.109375" style="1"/>
    <col min="6554" max="6554" customWidth="0" width="3.109375" style="1"/>
    <col min="6555" max="6555" customWidth="0" width="3.109375" style="1"/>
    <col min="6556" max="6556" customWidth="0" width="3.109375" style="1"/>
    <col min="6557" max="6557" customWidth="0" width="3.109375" style="1"/>
    <col min="6558" max="6558" customWidth="0" width="3.109375" style="1"/>
    <col min="6559" max="6559" customWidth="0" width="3.109375" style="1"/>
    <col min="6560" max="6560" customWidth="0" width="3.109375" style="1"/>
    <col min="6561" max="6561" customWidth="0" width="3.109375" style="1"/>
    <col min="6562" max="6562" customWidth="0" width="3.109375" style="1"/>
    <col min="6563" max="6563" customWidth="0" width="3.109375" style="1"/>
    <col min="6564" max="6564" customWidth="0" width="3.109375" style="1"/>
    <col min="6565" max="6565" customWidth="0" width="3.109375" style="1"/>
    <col min="6566" max="6566" customWidth="0" width="3.109375" style="1"/>
    <col min="6567" max="6567" customWidth="0" width="3.109375" style="1"/>
    <col min="6568" max="6568" customWidth="0" width="3.109375" style="1"/>
    <col min="6569" max="6569" customWidth="0" width="3.109375" style="1"/>
    <col min="6570" max="6570" customWidth="0" width="3.109375" style="1"/>
    <col min="6571" max="6571" customWidth="0" width="3.109375" style="1"/>
    <col min="6572" max="6572" customWidth="0" width="3.109375" style="1"/>
    <col min="6573" max="6573" customWidth="0" width="3.109375" style="1"/>
    <col min="6574" max="6574" customWidth="0" width="3.109375" style="1"/>
    <col min="6575" max="6575" customWidth="0" width="3.109375" style="1"/>
    <col min="6576" max="6576" customWidth="0" width="3.109375" style="1"/>
    <col min="6577" max="6577" customWidth="0" width="3.109375" style="1"/>
    <col min="6578" max="6578" customWidth="0" width="3.109375" style="1"/>
    <col min="6579" max="6579" customWidth="0" width="3.109375" style="1"/>
    <col min="6580" max="6580" customWidth="0" width="3.109375" style="1"/>
    <col min="6581" max="6581" customWidth="0" width="3.109375" style="1"/>
    <col min="6582" max="6582" customWidth="0" width="3.109375" style="1"/>
    <col min="6583" max="6583" customWidth="0" width="3.109375" style="1"/>
    <col min="6584" max="6584" customWidth="0" width="3.109375" style="1"/>
    <col min="6585" max="6585" customWidth="0" width="3.109375" style="1"/>
    <col min="6586" max="6586" customWidth="0" width="3.109375" style="1"/>
    <col min="6587" max="6587" customWidth="0" width="3.109375" style="1"/>
    <col min="6588" max="6588" customWidth="0" width="3.109375" style="1"/>
    <col min="6589" max="6589" customWidth="0" width="3.109375" style="1"/>
    <col min="6590" max="6590" customWidth="0" width="3.109375" style="1"/>
    <col min="6591" max="6591" customWidth="0" width="3.109375" style="1"/>
    <col min="6592" max="6592" customWidth="0" width="3.109375" style="1"/>
    <col min="6593" max="6593" customWidth="0" width="3.109375" style="1"/>
    <col min="6594" max="6594" customWidth="0" width="3.109375" style="1"/>
    <col min="6595" max="6595" customWidth="0" width="3.109375" style="1"/>
    <col min="6596" max="6596" customWidth="0" width="3.109375" style="1"/>
    <col min="6597" max="6597" customWidth="0" width="3.109375" style="1"/>
    <col min="6598" max="6598" customWidth="0" width="3.109375" style="1"/>
    <col min="6599" max="6599" customWidth="0" width="3.109375" style="1"/>
    <col min="6600" max="6600" customWidth="0" width="3.109375" style="1"/>
    <col min="6601" max="6601" customWidth="0" width="3.109375" style="1"/>
    <col min="6602" max="6602" customWidth="0" width="3.109375" style="1"/>
    <col min="6603" max="6603" customWidth="0" width="3.109375" style="1"/>
    <col min="6604" max="6604" customWidth="0" width="3.109375" style="1"/>
    <col min="6605" max="6605" customWidth="0" width="3.109375" style="1"/>
    <col min="6606" max="6606" customWidth="0" width="3.109375" style="1"/>
    <col min="6607" max="6607" customWidth="0" width="3.109375" style="1"/>
    <col min="6608" max="6608" customWidth="0" width="3.109375" style="1"/>
    <col min="6609" max="6609" customWidth="0" width="3.109375" style="1"/>
    <col min="6610" max="6610" customWidth="0" width="3.109375" style="1"/>
    <col min="6611" max="6611" customWidth="0" width="3.109375" style="1"/>
    <col min="6612" max="6612" customWidth="0" width="3.109375" style="1"/>
    <col min="6613" max="6613" customWidth="0" width="3.109375" style="1"/>
    <col min="6614" max="6614" customWidth="0" width="3.109375" style="1"/>
    <col min="6615" max="6615" customWidth="0" width="3.109375" style="1"/>
    <col min="6616" max="6616" customWidth="0" width="3.109375" style="1"/>
    <col min="6617" max="6617" customWidth="0" width="3.109375" style="1"/>
    <col min="6618" max="6618" customWidth="0" width="3.109375" style="1"/>
    <col min="6619" max="6619" customWidth="0" width="3.109375" style="1"/>
    <col min="6620" max="6620" customWidth="0" width="3.109375" style="1"/>
    <col min="6621" max="6621" customWidth="0" width="3.109375" style="1"/>
    <col min="6622" max="6622" customWidth="0" width="3.109375" style="1"/>
    <col min="6623" max="6623" customWidth="0" width="3.109375" style="1"/>
    <col min="6624" max="6624" customWidth="0" width="3.109375" style="1"/>
    <col min="6625" max="6625" customWidth="0" width="3.109375" style="1"/>
    <col min="6626" max="6626" customWidth="0" width="3.109375" style="1"/>
    <col min="6627" max="6627" customWidth="0" width="3.109375" style="1"/>
    <col min="6628" max="6628" customWidth="0" width="3.109375" style="1"/>
    <col min="6629" max="6629" customWidth="0" width="3.109375" style="1"/>
    <col min="6630" max="6630" customWidth="0" width="3.109375" style="1"/>
    <col min="6631" max="6631" customWidth="0" width="3.109375" style="1"/>
    <col min="6632" max="6632" customWidth="0" width="3.109375" style="1"/>
    <col min="6633" max="6633" customWidth="0" width="3.109375" style="1"/>
    <col min="6634" max="6634" customWidth="0" width="3.109375" style="1"/>
    <col min="6635" max="6635" customWidth="0" width="3.109375" style="1"/>
    <col min="6636" max="6636" customWidth="0" width="3.109375" style="1"/>
    <col min="6637" max="6637" customWidth="0" width="3.109375" style="1"/>
    <col min="6638" max="6638" customWidth="0" width="3.109375" style="1"/>
    <col min="6639" max="6639" customWidth="0" width="3.109375" style="1"/>
    <col min="6640" max="6640" customWidth="0" width="3.109375" style="1"/>
    <col min="6641" max="6641" customWidth="0" width="3.109375" style="1"/>
    <col min="6642" max="6642" customWidth="0" width="3.109375" style="1"/>
    <col min="6643" max="6643" customWidth="0" width="3.109375" style="1"/>
    <col min="6644" max="6644" customWidth="0" width="3.109375" style="1"/>
    <col min="6645" max="6645" customWidth="0" width="3.109375" style="1"/>
    <col min="6646" max="6646" customWidth="0" width="3.109375" style="1"/>
    <col min="6647" max="6647" customWidth="0" width="3.109375" style="1"/>
    <col min="6648" max="6648" customWidth="0" width="3.109375" style="1"/>
    <col min="6649" max="6649" customWidth="0" width="3.109375" style="1"/>
    <col min="6650" max="6650" customWidth="0" width="3.109375" style="1"/>
    <col min="6651" max="6651" customWidth="0" width="3.109375" style="1"/>
    <col min="6652" max="6652" customWidth="0" width="3.109375" style="1"/>
    <col min="6653" max="6653" customWidth="0" width="3.109375" style="1"/>
    <col min="6654" max="6654" customWidth="0" width="3.109375" style="1"/>
    <col min="6655" max="6655" customWidth="0" width="3.109375" style="1"/>
    <col min="6656" max="6656" customWidth="0" width="3.109375" style="1"/>
    <col min="6657" max="6657" customWidth="0" width="3.109375" style="1"/>
    <col min="6658" max="6658" customWidth="0" width="3.109375" style="1"/>
    <col min="6659" max="6659" customWidth="0" width="3.109375" style="1"/>
    <col min="6660" max="6660" customWidth="0" width="3.109375" style="1"/>
    <col min="6661" max="6661" customWidth="0" width="3.109375" style="1"/>
    <col min="6662" max="6662" customWidth="0" width="3.109375" style="1"/>
    <col min="6663" max="6663" customWidth="0" width="3.109375" style="1"/>
    <col min="6664" max="6664" customWidth="0" width="3.109375" style="1"/>
    <col min="6665" max="6665" customWidth="0" width="3.109375" style="1"/>
    <col min="6666" max="6666" customWidth="0" width="3.109375" style="1"/>
    <col min="6667" max="6667" customWidth="0" width="3.109375" style="1"/>
    <col min="6668" max="6668" customWidth="0" width="3.109375" style="1"/>
    <col min="6669" max="6669" customWidth="0" width="3.109375" style="1"/>
    <col min="6670" max="6670" customWidth="0" width="3.109375" style="1"/>
    <col min="6671" max="6671" customWidth="0" width="3.109375" style="1"/>
    <col min="6672" max="6672" customWidth="0" width="3.109375" style="1"/>
    <col min="6673" max="6673" customWidth="0" width="3.109375" style="1"/>
    <col min="6674" max="6674" customWidth="0" width="3.109375" style="1"/>
    <col min="6675" max="6675" customWidth="0" width="3.109375" style="1"/>
    <col min="6676" max="6676" customWidth="0" width="3.109375" style="1"/>
    <col min="6677" max="6677" customWidth="0" width="3.109375" style="1"/>
    <col min="6678" max="6678" customWidth="0" width="3.109375" style="1"/>
    <col min="6679" max="6679" customWidth="0" width="3.109375" style="1"/>
    <col min="6680" max="6680" customWidth="0" width="3.109375" style="1"/>
    <col min="6681" max="6681" customWidth="0" width="3.109375" style="1"/>
    <col min="6682" max="6682" customWidth="0" width="3.109375" style="1"/>
    <col min="6683" max="6683" customWidth="0" width="3.109375" style="1"/>
    <col min="6684" max="6684" customWidth="0" width="3.109375" style="1"/>
    <col min="6685" max="6685" customWidth="0" width="3.109375" style="1"/>
    <col min="6686" max="6686" customWidth="0" width="3.109375" style="1"/>
    <col min="6687" max="6687" customWidth="0" width="3.109375" style="1"/>
    <col min="6688" max="6688" customWidth="0" width="3.109375" style="1"/>
    <col min="6689" max="6689" customWidth="0" width="3.109375" style="1"/>
    <col min="6690" max="6690" customWidth="0" width="3.109375" style="1"/>
    <col min="6691" max="6691" customWidth="0" width="3.109375" style="1"/>
    <col min="6692" max="6692" customWidth="0" width="3.109375" style="1"/>
    <col min="6693" max="6693" customWidth="0" width="3.109375" style="1"/>
    <col min="6694" max="6694" customWidth="0" width="3.109375" style="1"/>
    <col min="6695" max="6695" customWidth="0" width="3.109375" style="1"/>
    <col min="6696" max="6696" customWidth="0" width="3.109375" style="1"/>
    <col min="6697" max="6697" customWidth="0" width="3.109375" style="1"/>
    <col min="6698" max="6698" customWidth="0" width="3.109375" style="1"/>
    <col min="6699" max="6699" customWidth="0" width="3.109375" style="1"/>
    <col min="6700" max="6700" customWidth="0" width="3.109375" style="1"/>
    <col min="6701" max="6701" customWidth="0" width="3.109375" style="1"/>
    <col min="6702" max="6702" customWidth="0" width="3.109375" style="1"/>
    <col min="6703" max="6703" customWidth="0" width="3.109375" style="1"/>
    <col min="6704" max="6704" customWidth="0" width="3.109375" style="1"/>
    <col min="6705" max="6705" customWidth="0" width="3.109375" style="1"/>
    <col min="6706" max="6706" customWidth="0" width="3.109375" style="1"/>
    <col min="6707" max="6707" customWidth="0" width="3.109375" style="1"/>
    <col min="6708" max="6708" customWidth="0" width="3.109375" style="1"/>
    <col min="6709" max="6709" customWidth="0" width="3.109375" style="1"/>
    <col min="6710" max="6710" customWidth="0" width="3.109375" style="1"/>
    <col min="6711" max="6711" customWidth="0" width="3.109375" style="1"/>
    <col min="6712" max="6712" customWidth="0" width="3.109375" style="1"/>
    <col min="6713" max="6713" customWidth="0" width="3.109375" style="1"/>
    <col min="6714" max="6714" customWidth="0" width="3.109375" style="1"/>
    <col min="6715" max="6715" customWidth="0" width="3.109375" style="1"/>
    <col min="6716" max="6716" customWidth="0" width="3.109375" style="1"/>
    <col min="6717" max="6717" customWidth="0" width="3.109375" style="1"/>
    <col min="6718" max="6718" customWidth="0" width="3.109375" style="1"/>
    <col min="6719" max="6719" customWidth="0" width="3.109375" style="1"/>
    <col min="6720" max="6720" customWidth="0" width="3.109375" style="1"/>
    <col min="6721" max="6721" customWidth="0" width="3.109375" style="1"/>
    <col min="6722" max="6722" customWidth="0" width="3.109375" style="1"/>
    <col min="6723" max="6723" customWidth="0" width="3.109375" style="1"/>
    <col min="6724" max="6724" customWidth="0" width="3.109375" style="1"/>
    <col min="6725" max="6725" customWidth="0" width="3.109375" style="1"/>
    <col min="6726" max="6726" customWidth="0" width="3.109375" style="1"/>
    <col min="6727" max="6727" customWidth="0" width="3.109375" style="1"/>
    <col min="6728" max="6728" customWidth="0" width="3.109375" style="1"/>
    <col min="6729" max="6729" customWidth="0" width="3.109375" style="1"/>
    <col min="6730" max="6730" customWidth="0" width="3.109375" style="1"/>
    <col min="6731" max="6731" customWidth="0" width="3.109375" style="1"/>
    <col min="6732" max="6732" customWidth="0" width="3.109375" style="1"/>
    <col min="6733" max="6733" customWidth="0" width="3.109375" style="1"/>
    <col min="6734" max="6734" customWidth="0" width="3.109375" style="1"/>
    <col min="6735" max="6735" customWidth="0" width="3.109375" style="1"/>
    <col min="6736" max="6736" customWidth="0" width="3.109375" style="1"/>
    <col min="6737" max="6737" customWidth="0" width="3.109375" style="1"/>
    <col min="6738" max="6738" customWidth="0" width="3.109375" style="1"/>
    <col min="6739" max="6739" customWidth="0" width="3.109375" style="1"/>
    <col min="6740" max="6740" customWidth="0" width="3.109375" style="1"/>
    <col min="6741" max="6741" customWidth="0" width="3.109375" style="1"/>
    <col min="6742" max="6742" customWidth="0" width="3.109375" style="1"/>
    <col min="6743" max="6743" customWidth="0" width="3.109375" style="1"/>
    <col min="6744" max="6744" customWidth="0" width="3.109375" style="1"/>
    <col min="6745" max="6745" customWidth="0" width="3.109375" style="1"/>
    <col min="6746" max="6746" customWidth="0" width="3.109375" style="1"/>
    <col min="6747" max="6747" customWidth="0" width="3.109375" style="1"/>
    <col min="6748" max="6748" customWidth="0" width="3.109375" style="1"/>
    <col min="6749" max="6749" customWidth="0" width="3.109375" style="1"/>
    <col min="6750" max="6750" customWidth="0" width="3.109375" style="1"/>
    <col min="6751" max="6751" customWidth="0" width="3.109375" style="1"/>
    <col min="6752" max="6752" customWidth="0" width="3.109375" style="1"/>
    <col min="6753" max="6753" customWidth="0" width="3.109375" style="1"/>
    <col min="6754" max="6754" customWidth="0" width="3.109375" style="1"/>
    <col min="6755" max="6755" customWidth="0" width="3.109375" style="1"/>
    <col min="6756" max="6756" customWidth="0" width="3.109375" style="1"/>
    <col min="6757" max="6757" customWidth="0" width="3.109375" style="1"/>
    <col min="6758" max="6758" customWidth="0" width="3.109375" style="1"/>
    <col min="6759" max="6759" customWidth="0" width="3.109375" style="1"/>
    <col min="6760" max="6760" customWidth="0" width="3.109375" style="1"/>
    <col min="6761" max="6761" customWidth="0" width="3.109375" style="1"/>
    <col min="6762" max="6762" customWidth="0" width="3.109375" style="1"/>
    <col min="6763" max="6763" customWidth="0" width="3.109375" style="1"/>
    <col min="6764" max="6764" customWidth="0" width="3.109375" style="1"/>
    <col min="6765" max="6765" customWidth="0" width="3.109375" style="1"/>
    <col min="6766" max="6766" customWidth="0" width="3.109375" style="1"/>
    <col min="6767" max="6767" customWidth="0" width="3.109375" style="1"/>
    <col min="6768" max="6768" customWidth="0" width="3.109375" style="1"/>
    <col min="6769" max="6769" customWidth="0" width="3.109375" style="1"/>
    <col min="6770" max="6770" customWidth="0" width="3.109375" style="1"/>
    <col min="6771" max="6771" customWidth="0" width="3.109375" style="1"/>
    <col min="6772" max="6772" customWidth="0" width="3.109375" style="1"/>
    <col min="6773" max="6773" customWidth="0" width="3.109375" style="1"/>
    <col min="6774" max="6774" customWidth="0" width="3.109375" style="1"/>
    <col min="6775" max="6775" customWidth="0" width="3.109375" style="1"/>
    <col min="6776" max="6776" customWidth="0" width="3.109375" style="1"/>
    <col min="6777" max="6777" customWidth="0" width="3.109375" style="1"/>
    <col min="6778" max="6778" customWidth="0" width="3.109375" style="1"/>
    <col min="6779" max="6779" customWidth="0" width="3.109375" style="1"/>
    <col min="6780" max="6780" customWidth="0" width="3.109375" style="1"/>
    <col min="6781" max="6781" customWidth="0" width="3.109375" style="1"/>
    <col min="6782" max="6782" customWidth="0" width="3.109375" style="1"/>
    <col min="6783" max="6783" customWidth="0" width="3.109375" style="1"/>
    <col min="6784" max="6784" customWidth="0" width="3.109375" style="1"/>
    <col min="6785" max="6785" customWidth="0" width="3.109375" style="1"/>
    <col min="6786" max="6786" customWidth="0" width="3.109375" style="1"/>
    <col min="6787" max="6787" customWidth="0" width="3.109375" style="1"/>
    <col min="6788" max="6788" customWidth="0" width="3.109375" style="1"/>
    <col min="6789" max="6789" customWidth="0" width="3.109375" style="1"/>
    <col min="6790" max="6790" customWidth="0" width="3.109375" style="1"/>
    <col min="6791" max="6791" customWidth="0" width="3.109375" style="1"/>
    <col min="6792" max="6792" customWidth="0" width="3.109375" style="1"/>
    <col min="6793" max="6793" customWidth="0" width="3.109375" style="1"/>
    <col min="6794" max="6794" customWidth="0" width="3.109375" style="1"/>
    <col min="6795" max="6795" customWidth="0" width="3.109375" style="1"/>
    <col min="6796" max="6796" customWidth="0" width="3.109375" style="1"/>
    <col min="6797" max="6797" customWidth="0" width="3.109375" style="1"/>
    <col min="6798" max="6798" customWidth="0" width="3.109375" style="1"/>
    <col min="6799" max="6799" customWidth="0" width="3.109375" style="1"/>
    <col min="6800" max="6800" customWidth="0" width="3.109375" style="1"/>
    <col min="6801" max="6801" customWidth="0" width="3.109375" style="1"/>
    <col min="6802" max="6802" customWidth="0" width="3.109375" style="1"/>
    <col min="6803" max="6803" customWidth="0" width="3.109375" style="1"/>
    <col min="6804" max="6804" customWidth="0" width="3.109375" style="1"/>
    <col min="6805" max="6805" customWidth="0" width="3.109375" style="1"/>
    <col min="6806" max="6806" customWidth="0" width="3.109375" style="1"/>
    <col min="6807" max="6807" customWidth="0" width="3.109375" style="1"/>
    <col min="6808" max="6808" customWidth="0" width="3.109375" style="1"/>
    <col min="6809" max="6809" customWidth="0" width="3.109375" style="1"/>
    <col min="6810" max="6810" customWidth="0" width="3.109375" style="1"/>
    <col min="6811" max="6811" customWidth="0" width="3.109375" style="1"/>
    <col min="6812" max="6812" customWidth="0" width="3.109375" style="1"/>
    <col min="6813" max="6813" customWidth="0" width="3.109375" style="1"/>
    <col min="6814" max="6814" customWidth="0" width="3.109375" style="1"/>
    <col min="6815" max="6815" customWidth="0" width="3.109375" style="1"/>
    <col min="6816" max="6816" customWidth="0" width="3.109375" style="1"/>
    <col min="6817" max="6817" customWidth="0" width="3.109375" style="1"/>
    <col min="6818" max="6818" customWidth="0" width="3.109375" style="1"/>
    <col min="6819" max="6819" customWidth="0" width="3.109375" style="1"/>
    <col min="6820" max="6820" customWidth="0" width="3.109375" style="1"/>
    <col min="6821" max="6821" customWidth="0" width="3.109375" style="1"/>
    <col min="6822" max="6822" customWidth="0" width="3.109375" style="1"/>
    <col min="6823" max="6823" customWidth="0" width="3.109375" style="1"/>
    <col min="6824" max="6824" customWidth="0" width="3.109375" style="1"/>
    <col min="6825" max="6825" customWidth="0" width="3.109375" style="1"/>
    <col min="6826" max="6826" customWidth="0" width="3.109375" style="1"/>
    <col min="6827" max="6827" customWidth="0" width="3.109375" style="1"/>
    <col min="6828" max="6828" customWidth="0" width="3.109375" style="1"/>
    <col min="6829" max="6829" customWidth="0" width="3.109375" style="1"/>
    <col min="6830" max="6830" customWidth="0" width="3.109375" style="1"/>
    <col min="6831" max="6831" customWidth="0" width="3.109375" style="1"/>
    <col min="6832" max="6832" customWidth="0" width="3.109375" style="1"/>
    <col min="6833" max="6833" customWidth="0" width="3.109375" style="1"/>
    <col min="6834" max="6834" customWidth="0" width="3.109375" style="1"/>
    <col min="6835" max="6835" customWidth="0" width="3.109375" style="1"/>
    <col min="6836" max="6836" customWidth="0" width="3.109375" style="1"/>
    <col min="6837" max="6837" customWidth="0" width="3.109375" style="1"/>
    <col min="6838" max="6838" customWidth="0" width="3.109375" style="1"/>
    <col min="6839" max="6839" customWidth="0" width="3.109375" style="1"/>
    <col min="6840" max="6840" customWidth="0" width="3.109375" style="1"/>
    <col min="6841" max="6841" customWidth="0" width="3.109375" style="1"/>
    <col min="6842" max="6842" customWidth="0" width="3.109375" style="1"/>
    <col min="6843" max="6843" customWidth="0" width="3.109375" style="1"/>
    <col min="6844" max="6844" customWidth="0" width="3.109375" style="1"/>
    <col min="6845" max="6845" customWidth="0" width="3.109375" style="1"/>
    <col min="6846" max="6846" customWidth="0" width="3.109375" style="1"/>
    <col min="6847" max="6847" customWidth="0" width="3.109375" style="1"/>
    <col min="6848" max="6848" customWidth="0" width="3.109375" style="1"/>
    <col min="6849" max="6849" customWidth="0" width="3.109375" style="1"/>
    <col min="6850" max="6850" customWidth="0" width="3.109375" style="1"/>
    <col min="6851" max="6851" customWidth="0" width="3.109375" style="1"/>
    <col min="6852" max="6852" customWidth="0" width="3.109375" style="1"/>
    <col min="6853" max="6853" customWidth="0" width="3.109375" style="1"/>
    <col min="6854" max="6854" customWidth="0" width="3.109375" style="1"/>
    <col min="6855" max="6855" customWidth="0" width="3.109375" style="1"/>
    <col min="6856" max="6856" customWidth="0" width="3.109375" style="1"/>
    <col min="6857" max="6857" customWidth="0" width="3.109375" style="1"/>
    <col min="6858" max="6858" customWidth="0" width="3.109375" style="1"/>
    <col min="6859" max="6859" customWidth="0" width="3.109375" style="1"/>
    <col min="6860" max="6860" customWidth="0" width="3.109375" style="1"/>
    <col min="6861" max="6861" customWidth="0" width="3.109375" style="1"/>
    <col min="6862" max="6862" customWidth="0" width="3.109375" style="1"/>
    <col min="6863" max="6863" customWidth="0" width="3.109375" style="1"/>
    <col min="6864" max="6864" customWidth="0" width="3.109375" style="1"/>
    <col min="6865" max="6865" customWidth="0" width="3.109375" style="1"/>
    <col min="6866" max="6866" customWidth="0" width="3.109375" style="1"/>
    <col min="6867" max="6867" customWidth="0" width="3.109375" style="1"/>
    <col min="6868" max="6868" customWidth="0" width="3.109375" style="1"/>
    <col min="6869" max="6869" customWidth="0" width="3.109375" style="1"/>
    <col min="6870" max="6870" customWidth="0" width="3.109375" style="1"/>
    <col min="6871" max="6871" customWidth="0" width="3.109375" style="1"/>
    <col min="6872" max="6872" customWidth="0" width="3.109375" style="1"/>
    <col min="6873" max="6873" customWidth="0" width="3.109375" style="1"/>
    <col min="6874" max="6874" customWidth="0" width="3.109375" style="1"/>
    <col min="6875" max="6875" customWidth="0" width="3.109375" style="1"/>
    <col min="6876" max="6876" customWidth="0" width="3.109375" style="1"/>
    <col min="6877" max="6877" customWidth="0" width="3.109375" style="1"/>
    <col min="6878" max="6878" customWidth="0" width="3.109375" style="1"/>
    <col min="6879" max="6879" customWidth="0" width="3.109375" style="1"/>
    <col min="6880" max="6880" customWidth="0" width="3.109375" style="1"/>
    <col min="6881" max="6881" customWidth="0" width="3.109375" style="1"/>
    <col min="6882" max="6882" customWidth="0" width="3.109375" style="1"/>
    <col min="6883" max="6883" customWidth="0" width="3.109375" style="1"/>
    <col min="6884" max="6884" customWidth="0" width="3.109375" style="1"/>
    <col min="6885" max="6885" customWidth="0" width="3.109375" style="1"/>
    <col min="6886" max="6886" customWidth="0" width="3.109375" style="1"/>
    <col min="6887" max="6887" customWidth="0" width="3.109375" style="1"/>
    <col min="6888" max="6888" customWidth="0" width="3.109375" style="1"/>
    <col min="6889" max="6889" customWidth="0" width="3.109375" style="1"/>
    <col min="6890" max="6890" customWidth="0" width="3.109375" style="1"/>
    <col min="6891" max="6891" customWidth="0" width="3.109375" style="1"/>
    <col min="6892" max="6892" customWidth="0" width="3.109375" style="1"/>
    <col min="6893" max="6893" customWidth="0" width="3.109375" style="1"/>
    <col min="6894" max="6894" customWidth="0" width="3.109375" style="1"/>
    <col min="6895" max="6895" customWidth="0" width="3.109375" style="1"/>
    <col min="6896" max="6896" customWidth="0" width="3.109375" style="1"/>
    <col min="6897" max="6897" customWidth="0" width="3.109375" style="1"/>
    <col min="6898" max="6898" customWidth="0" width="3.109375" style="1"/>
    <col min="6899" max="6899" customWidth="0" width="3.109375" style="1"/>
    <col min="6900" max="6900" customWidth="0" width="3.109375" style="1"/>
    <col min="6901" max="6901" customWidth="0" width="3.109375" style="1"/>
    <col min="6902" max="6902" customWidth="0" width="3.109375" style="1"/>
    <col min="6903" max="6903" customWidth="0" width="3.109375" style="1"/>
    <col min="6904" max="6904" customWidth="0" width="3.109375" style="1"/>
    <col min="6905" max="6905" customWidth="0" width="3.109375" style="1"/>
    <col min="6906" max="6906" customWidth="0" width="3.109375" style="1"/>
    <col min="6907" max="6907" customWidth="0" width="3.109375" style="1"/>
    <col min="6908" max="6908" customWidth="0" width="3.109375" style="1"/>
    <col min="6909" max="6909" customWidth="0" width="3.109375" style="1"/>
    <col min="6910" max="6910" customWidth="0" width="3.109375" style="1"/>
    <col min="6911" max="6911" customWidth="0" width="3.109375" style="1"/>
    <col min="6912" max="6912" customWidth="0" width="3.109375" style="1"/>
    <col min="6913" max="6913" customWidth="0" width="3.109375" style="1"/>
    <col min="6914" max="6914" customWidth="0" width="3.109375" style="1"/>
    <col min="6915" max="6915" customWidth="0" width="3.109375" style="1"/>
    <col min="6916" max="6916" customWidth="0" width="3.109375" style="1"/>
    <col min="6917" max="6917" customWidth="0" width="3.109375" style="1"/>
    <col min="6918" max="6918" customWidth="0" width="3.109375" style="1"/>
    <col min="6919" max="6919" customWidth="0" width="3.109375" style="1"/>
    <col min="6920" max="6920" customWidth="0" width="3.109375" style="1"/>
    <col min="6921" max="6921" customWidth="0" width="3.109375" style="1"/>
    <col min="6922" max="6922" customWidth="0" width="3.109375" style="1"/>
    <col min="6923" max="6923" customWidth="0" width="3.109375" style="1"/>
    <col min="6924" max="6924" customWidth="0" width="3.109375" style="1"/>
    <col min="6925" max="6925" customWidth="0" width="3.109375" style="1"/>
    <col min="6926" max="6926" customWidth="0" width="3.109375" style="1"/>
    <col min="6927" max="6927" customWidth="0" width="3.109375" style="1"/>
    <col min="6928" max="6928" customWidth="0" width="3.109375" style="1"/>
    <col min="6929" max="6929" customWidth="0" width="3.109375" style="1"/>
    <col min="6930" max="6930" customWidth="0" width="3.109375" style="1"/>
    <col min="6931" max="6931" customWidth="0" width="3.109375" style="1"/>
    <col min="6932" max="6932" customWidth="0" width="3.109375" style="1"/>
    <col min="6933" max="6933" customWidth="0" width="3.109375" style="1"/>
    <col min="6934" max="6934" customWidth="0" width="3.109375" style="1"/>
    <col min="6935" max="6935" customWidth="0" width="3.109375" style="1"/>
    <col min="6936" max="6936" customWidth="0" width="3.109375" style="1"/>
    <col min="6937" max="6937" customWidth="0" width="3.109375" style="1"/>
    <col min="6938" max="6938" customWidth="0" width="3.109375" style="1"/>
    <col min="6939" max="6939" customWidth="0" width="3.109375" style="1"/>
    <col min="6940" max="6940" customWidth="0" width="3.109375" style="1"/>
    <col min="6941" max="6941" customWidth="0" width="3.109375" style="1"/>
    <col min="6942" max="6942" customWidth="0" width="3.109375" style="1"/>
    <col min="6943" max="6943" customWidth="0" width="3.109375" style="1"/>
    <col min="6944" max="6944" customWidth="0" width="3.109375" style="1"/>
    <col min="6945" max="6945" customWidth="0" width="3.109375" style="1"/>
    <col min="6946" max="6946" customWidth="0" width="3.109375" style="1"/>
    <col min="6947" max="6947" customWidth="0" width="3.109375" style="1"/>
    <col min="6948" max="6948" customWidth="0" width="3.109375" style="1"/>
    <col min="6949" max="6949" customWidth="0" width="3.109375" style="1"/>
    <col min="6950" max="6950" customWidth="0" width="3.109375" style="1"/>
    <col min="6951" max="6951" customWidth="0" width="3.109375" style="1"/>
    <col min="6952" max="6952" customWidth="0" width="3.109375" style="1"/>
    <col min="6953" max="6953" customWidth="0" width="3.109375" style="1"/>
    <col min="6954" max="6954" customWidth="0" width="3.109375" style="1"/>
    <col min="6955" max="6955" customWidth="0" width="3.109375" style="1"/>
    <col min="6956" max="6956" customWidth="0" width="3.109375" style="1"/>
    <col min="6957" max="6957" customWidth="0" width="3.109375" style="1"/>
    <col min="6958" max="6958" customWidth="0" width="3.109375" style="1"/>
    <col min="6959" max="6959" customWidth="0" width="3.109375" style="1"/>
    <col min="6960" max="6960" customWidth="0" width="3.109375" style="1"/>
    <col min="6961" max="6961" customWidth="0" width="3.109375" style="1"/>
    <col min="6962" max="6962" customWidth="0" width="3.109375" style="1"/>
    <col min="6963" max="6963" customWidth="0" width="3.109375" style="1"/>
    <col min="6964" max="6964" customWidth="0" width="3.109375" style="1"/>
    <col min="6965" max="6965" customWidth="0" width="3.109375" style="1"/>
    <col min="6966" max="6966" customWidth="0" width="3.109375" style="1"/>
    <col min="6967" max="6967" customWidth="0" width="3.109375" style="1"/>
    <col min="6968" max="6968" customWidth="0" width="3.109375" style="1"/>
    <col min="6969" max="6969" customWidth="0" width="3.109375" style="1"/>
    <col min="6970" max="6970" customWidth="0" width="3.109375" style="1"/>
    <col min="6971" max="6971" customWidth="0" width="3.109375" style="1"/>
    <col min="6972" max="6972" customWidth="0" width="3.109375" style="1"/>
    <col min="6973" max="6973" customWidth="0" width="3.109375" style="1"/>
    <col min="6974" max="6974" customWidth="0" width="3.109375" style="1"/>
    <col min="6975" max="6975" customWidth="0" width="3.109375" style="1"/>
    <col min="6976" max="6976" customWidth="0" width="3.109375" style="1"/>
    <col min="6977" max="6977" customWidth="0" width="3.109375" style="1"/>
    <col min="6978" max="6978" customWidth="0" width="3.109375" style="1"/>
    <col min="6979" max="6979" customWidth="0" width="3.109375" style="1"/>
    <col min="6980" max="6980" customWidth="0" width="3.109375" style="1"/>
    <col min="6981" max="6981" customWidth="0" width="3.109375" style="1"/>
    <col min="6982" max="6982" customWidth="0" width="3.109375" style="1"/>
    <col min="6983" max="6983" customWidth="0" width="3.109375" style="1"/>
    <col min="6984" max="6984" customWidth="0" width="3.109375" style="1"/>
    <col min="6985" max="6985" customWidth="0" width="3.109375" style="1"/>
    <col min="6986" max="6986" customWidth="0" width="3.109375" style="1"/>
    <col min="6987" max="6987" customWidth="0" width="3.109375" style="1"/>
    <col min="6988" max="6988" customWidth="0" width="3.109375" style="1"/>
    <col min="6989" max="6989" customWidth="0" width="3.109375" style="1"/>
    <col min="6990" max="6990" customWidth="0" width="3.109375" style="1"/>
    <col min="6991" max="6991" customWidth="0" width="3.109375" style="1"/>
    <col min="6992" max="6992" customWidth="0" width="3.109375" style="1"/>
    <col min="6993" max="6993" customWidth="0" width="3.109375" style="1"/>
    <col min="6994" max="6994" customWidth="0" width="3.109375" style="1"/>
    <col min="6995" max="6995" customWidth="0" width="3.109375" style="1"/>
    <col min="6996" max="6996" customWidth="0" width="3.109375" style="1"/>
    <col min="6997" max="6997" customWidth="0" width="3.109375" style="1"/>
    <col min="6998" max="6998" customWidth="0" width="3.109375" style="1"/>
    <col min="6999" max="6999" customWidth="0" width="3.109375" style="1"/>
    <col min="7000" max="7000" customWidth="0" width="3.109375" style="1"/>
    <col min="7001" max="7001" customWidth="0" width="3.109375" style="1"/>
    <col min="7002" max="7002" customWidth="0" width="3.109375" style="1"/>
    <col min="7003" max="7003" customWidth="0" width="3.109375" style="1"/>
    <col min="7004" max="7004" customWidth="0" width="3.109375" style="1"/>
    <col min="7005" max="7005" customWidth="0" width="3.109375" style="1"/>
    <col min="7006" max="7006" customWidth="0" width="3.109375" style="1"/>
    <col min="7007" max="7007" customWidth="0" width="3.109375" style="1"/>
    <col min="7008" max="7008" customWidth="0" width="3.109375" style="1"/>
    <col min="7009" max="7009" customWidth="0" width="3.109375" style="1"/>
    <col min="7010" max="7010" customWidth="0" width="3.109375" style="1"/>
    <col min="7011" max="7011" customWidth="0" width="3.109375" style="1"/>
    <col min="7012" max="7012" customWidth="0" width="3.109375" style="1"/>
    <col min="7013" max="7013" customWidth="0" width="3.109375" style="1"/>
    <col min="7014" max="7014" customWidth="0" width="3.109375" style="1"/>
    <col min="7015" max="7015" customWidth="0" width="3.109375" style="1"/>
    <col min="7016" max="7016" customWidth="0" width="3.109375" style="1"/>
    <col min="7017" max="7017" customWidth="0" width="3.109375" style="1"/>
    <col min="7018" max="7018" customWidth="0" width="3.109375" style="1"/>
    <col min="7019" max="7019" customWidth="0" width="3.109375" style="1"/>
    <col min="7020" max="7020" customWidth="0" width="3.109375" style="1"/>
    <col min="7021" max="7021" customWidth="0" width="3.109375" style="1"/>
    <col min="7022" max="7022" customWidth="0" width="3.109375" style="1"/>
    <col min="7023" max="7023" customWidth="0" width="3.109375" style="1"/>
    <col min="7024" max="7024" customWidth="0" width="3.109375" style="1"/>
    <col min="7025" max="7025" customWidth="0" width="3.109375" style="1"/>
    <col min="7026" max="7026" customWidth="0" width="3.109375" style="1"/>
    <col min="7027" max="7027" customWidth="0" width="3.109375" style="1"/>
    <col min="7028" max="7028" customWidth="0" width="3.109375" style="1"/>
    <col min="7029" max="7029" customWidth="0" width="3.109375" style="1"/>
    <col min="7030" max="7030" customWidth="0" width="3.109375" style="1"/>
    <col min="7031" max="7031" customWidth="0" width="3.109375" style="1"/>
    <col min="7032" max="7032" customWidth="0" width="3.109375" style="1"/>
    <col min="7033" max="7033" customWidth="0" width="3.109375" style="1"/>
    <col min="7034" max="7034" customWidth="0" width="3.109375" style="1"/>
    <col min="7035" max="7035" customWidth="0" width="3.109375" style="1"/>
    <col min="7036" max="7036" customWidth="0" width="3.109375" style="1"/>
    <col min="7037" max="7037" customWidth="0" width="3.109375" style="1"/>
    <col min="7038" max="7038" customWidth="0" width="3.109375" style="1"/>
    <col min="7039" max="7039" customWidth="0" width="3.109375" style="1"/>
    <col min="7040" max="7040" customWidth="0" width="3.109375" style="1"/>
    <col min="7041" max="7041" customWidth="0" width="3.109375" style="1"/>
    <col min="7042" max="7042" customWidth="0" width="3.109375" style="1"/>
    <col min="7043" max="7043" customWidth="0" width="3.109375" style="1"/>
    <col min="7044" max="7044" customWidth="0" width="3.109375" style="1"/>
    <col min="7045" max="7045" customWidth="0" width="3.109375" style="1"/>
    <col min="7046" max="7046" customWidth="0" width="3.109375" style="1"/>
    <col min="7047" max="7047" customWidth="0" width="3.109375" style="1"/>
    <col min="7048" max="7048" customWidth="0" width="3.109375" style="1"/>
    <col min="7049" max="7049" customWidth="0" width="3.109375" style="1"/>
    <col min="7050" max="7050" customWidth="0" width="3.109375" style="1"/>
    <col min="7051" max="7051" customWidth="0" width="3.109375" style="1"/>
    <col min="7052" max="7052" customWidth="0" width="3.109375" style="1"/>
    <col min="7053" max="7053" customWidth="0" width="3.109375" style="1"/>
    <col min="7054" max="7054" customWidth="0" width="3.109375" style="1"/>
    <col min="7055" max="7055" customWidth="0" width="3.109375" style="1"/>
    <col min="7056" max="7056" customWidth="0" width="3.109375" style="1"/>
    <col min="7057" max="7057" customWidth="0" width="3.109375" style="1"/>
    <col min="7058" max="7058" customWidth="0" width="3.109375" style="1"/>
    <col min="7059" max="7059" customWidth="0" width="3.109375" style="1"/>
    <col min="7060" max="7060" customWidth="0" width="3.109375" style="1"/>
    <col min="7061" max="7061" customWidth="0" width="3.109375" style="1"/>
    <col min="7062" max="7062" customWidth="0" width="3.109375" style="1"/>
    <col min="7063" max="7063" customWidth="0" width="3.109375" style="1"/>
    <col min="7064" max="7064" customWidth="0" width="3.109375" style="1"/>
    <col min="7065" max="7065" customWidth="0" width="3.109375" style="1"/>
    <col min="7066" max="7066" customWidth="0" width="3.109375" style="1"/>
    <col min="7067" max="7067" customWidth="0" width="3.109375" style="1"/>
    <col min="7068" max="7068" customWidth="0" width="3.109375" style="1"/>
    <col min="7069" max="7069" customWidth="0" width="3.109375" style="1"/>
    <col min="7070" max="7070" customWidth="0" width="3.109375" style="1"/>
    <col min="7071" max="7071" customWidth="0" width="3.109375" style="1"/>
    <col min="7072" max="7072" customWidth="0" width="3.109375" style="1"/>
    <col min="7073" max="7073" customWidth="0" width="3.109375" style="1"/>
    <col min="7074" max="7074" customWidth="0" width="3.109375" style="1"/>
    <col min="7075" max="7075" customWidth="0" width="3.109375" style="1"/>
    <col min="7076" max="7076" customWidth="0" width="3.109375" style="1"/>
    <col min="7077" max="7077" customWidth="0" width="3.109375" style="1"/>
    <col min="7078" max="7078" customWidth="0" width="3.109375" style="1"/>
    <col min="7079" max="7079" customWidth="0" width="3.109375" style="1"/>
    <col min="7080" max="7080" customWidth="0" width="3.109375" style="1"/>
    <col min="7081" max="7081" customWidth="0" width="3.109375" style="1"/>
    <col min="7082" max="7082" customWidth="0" width="3.109375" style="1"/>
    <col min="7083" max="7083" customWidth="0" width="3.109375" style="1"/>
    <col min="7084" max="7084" customWidth="0" width="3.109375" style="1"/>
    <col min="7085" max="7085" customWidth="0" width="3.109375" style="1"/>
    <col min="7086" max="7086" customWidth="0" width="3.109375" style="1"/>
    <col min="7087" max="7087" customWidth="0" width="3.109375" style="1"/>
    <col min="7088" max="7088" customWidth="0" width="3.109375" style="1"/>
    <col min="7089" max="7089" customWidth="0" width="3.109375" style="1"/>
    <col min="7090" max="7090" customWidth="0" width="3.109375" style="1"/>
    <col min="7091" max="7091" customWidth="0" width="3.109375" style="1"/>
    <col min="7092" max="7092" customWidth="0" width="3.109375" style="1"/>
    <col min="7093" max="7093" customWidth="0" width="3.109375" style="1"/>
    <col min="7094" max="7094" customWidth="0" width="3.109375" style="1"/>
    <col min="7095" max="7095" customWidth="0" width="3.109375" style="1"/>
    <col min="7096" max="7096" customWidth="0" width="3.109375" style="1"/>
    <col min="7097" max="7097" customWidth="0" width="3.109375" style="1"/>
    <col min="7098" max="7098" customWidth="0" width="3.109375" style="1"/>
    <col min="7099" max="7099" customWidth="0" width="3.109375" style="1"/>
    <col min="7100" max="7100" customWidth="0" width="3.109375" style="1"/>
    <col min="7101" max="7101" customWidth="0" width="3.109375" style="1"/>
    <col min="7102" max="7102" customWidth="0" width="3.109375" style="1"/>
    <col min="7103" max="7103" customWidth="0" width="3.109375" style="1"/>
    <col min="7104" max="7104" customWidth="0" width="3.109375" style="1"/>
    <col min="7105" max="7105" customWidth="0" width="3.109375" style="1"/>
    <col min="7106" max="7106" customWidth="0" width="3.109375" style="1"/>
    <col min="7107" max="7107" customWidth="0" width="3.109375" style="1"/>
    <col min="7108" max="7108" customWidth="0" width="3.109375" style="1"/>
    <col min="7109" max="7109" customWidth="0" width="3.109375" style="1"/>
    <col min="7110" max="7110" customWidth="0" width="3.109375" style="1"/>
    <col min="7111" max="7111" customWidth="0" width="3.109375" style="1"/>
    <col min="7112" max="7112" customWidth="0" width="3.109375" style="1"/>
    <col min="7113" max="7113" customWidth="0" width="3.109375" style="1"/>
    <col min="7114" max="7114" customWidth="0" width="3.109375" style="1"/>
    <col min="7115" max="7115" customWidth="0" width="3.109375" style="1"/>
    <col min="7116" max="7116" customWidth="0" width="3.109375" style="1"/>
    <col min="7117" max="7117" customWidth="0" width="3.109375" style="1"/>
    <col min="7118" max="7118" customWidth="0" width="3.109375" style="1"/>
    <col min="7119" max="7119" customWidth="0" width="3.109375" style="1"/>
    <col min="7120" max="7120" customWidth="0" width="3.109375" style="1"/>
    <col min="7121" max="7121" customWidth="0" width="3.109375" style="1"/>
    <col min="7122" max="7122" customWidth="0" width="3.109375" style="1"/>
    <col min="7123" max="7123" customWidth="0" width="3.109375" style="1"/>
    <col min="7124" max="7124" customWidth="0" width="3.109375" style="1"/>
    <col min="7125" max="7125" customWidth="0" width="3.109375" style="1"/>
    <col min="7126" max="7126" customWidth="0" width="3.109375" style="1"/>
    <col min="7127" max="7127" customWidth="0" width="3.109375" style="1"/>
    <col min="7128" max="7128" customWidth="0" width="3.109375" style="1"/>
    <col min="7129" max="7129" customWidth="0" width="3.109375" style="1"/>
    <col min="7130" max="7130" customWidth="0" width="3.109375" style="1"/>
    <col min="7131" max="7131" customWidth="0" width="3.109375" style="1"/>
    <col min="7132" max="7132" customWidth="0" width="3.109375" style="1"/>
    <col min="7133" max="7133" customWidth="0" width="3.109375" style="1"/>
    <col min="7134" max="7134" customWidth="0" width="3.109375" style="1"/>
    <col min="7135" max="7135" customWidth="0" width="3.109375" style="1"/>
    <col min="7136" max="7136" customWidth="0" width="3.109375" style="1"/>
    <col min="7137" max="7137" customWidth="0" width="3.109375" style="1"/>
    <col min="7138" max="7138" customWidth="0" width="3.109375" style="1"/>
    <col min="7139" max="7139" customWidth="0" width="3.109375" style="1"/>
    <col min="7140" max="7140" customWidth="0" width="3.109375" style="1"/>
    <col min="7141" max="7141" customWidth="0" width="3.109375" style="1"/>
    <col min="7142" max="7142" customWidth="0" width="3.109375" style="1"/>
    <col min="7143" max="7143" customWidth="0" width="3.109375" style="1"/>
    <col min="7144" max="7144" customWidth="0" width="3.109375" style="1"/>
    <col min="7145" max="7145" customWidth="0" width="3.109375" style="1"/>
    <col min="7146" max="7146" customWidth="0" width="3.109375" style="1"/>
    <col min="7147" max="7147" customWidth="0" width="3.109375" style="1"/>
    <col min="7148" max="7148" customWidth="0" width="3.109375" style="1"/>
    <col min="7149" max="7149" customWidth="0" width="3.109375" style="1"/>
    <col min="7150" max="7150" customWidth="0" width="3.109375" style="1"/>
    <col min="7151" max="7151" customWidth="0" width="3.109375" style="1"/>
    <col min="7152" max="7152" customWidth="0" width="3.109375" style="1"/>
    <col min="7153" max="7153" customWidth="0" width="3.109375" style="1"/>
    <col min="7154" max="7154" customWidth="0" width="3.109375" style="1"/>
    <col min="7155" max="7155" customWidth="0" width="3.109375" style="1"/>
    <col min="7156" max="7156" customWidth="0" width="3.109375" style="1"/>
    <col min="7157" max="7157" customWidth="0" width="3.109375" style="1"/>
    <col min="7158" max="7158" customWidth="0" width="3.109375" style="1"/>
    <col min="7159" max="7159" customWidth="0" width="3.109375" style="1"/>
    <col min="7160" max="7160" customWidth="0" width="3.109375" style="1"/>
    <col min="7161" max="7161" customWidth="0" width="3.109375" style="1"/>
    <col min="7162" max="7162" customWidth="0" width="3.109375" style="1"/>
    <col min="7163" max="7163" customWidth="0" width="3.109375" style="1"/>
    <col min="7164" max="7164" customWidth="0" width="3.109375" style="1"/>
    <col min="7165" max="7165" customWidth="0" width="3.109375" style="1"/>
    <col min="7166" max="7166" customWidth="0" width="3.109375" style="1"/>
    <col min="7167" max="7167" customWidth="0" width="3.109375" style="1"/>
    <col min="7168" max="7168" customWidth="0" width="3.109375" style="1"/>
    <col min="7169" max="7169" customWidth="0" width="3.109375" style="1"/>
    <col min="7170" max="7170" customWidth="0" width="3.109375" style="1"/>
    <col min="7171" max="7171" customWidth="0" width="3.109375" style="1"/>
    <col min="7172" max="7172" customWidth="0" width="3.109375" style="1"/>
    <col min="7173" max="7173" customWidth="0" width="3.109375" style="1"/>
    <col min="7174" max="7174" customWidth="0" width="3.109375" style="1"/>
    <col min="7175" max="7175" customWidth="0" width="3.109375" style="1"/>
    <col min="7176" max="7176" customWidth="0" width="3.109375" style="1"/>
    <col min="7177" max="7177" customWidth="0" width="3.109375" style="1"/>
    <col min="7178" max="7178" customWidth="0" width="3.109375" style="1"/>
    <col min="7179" max="7179" customWidth="0" width="3.109375" style="1"/>
    <col min="7180" max="7180" customWidth="0" width="3.109375" style="1"/>
    <col min="7181" max="7181" customWidth="0" width="3.109375" style="1"/>
    <col min="7182" max="7182" customWidth="0" width="3.109375" style="1"/>
    <col min="7183" max="7183" customWidth="0" width="3.109375" style="1"/>
    <col min="7184" max="7184" customWidth="0" width="3.109375" style="1"/>
    <col min="7185" max="7185" customWidth="0" width="3.109375" style="1"/>
    <col min="7186" max="7186" customWidth="0" width="3.109375" style="1"/>
    <col min="7187" max="7187" customWidth="0" width="3.109375" style="1"/>
    <col min="7188" max="7188" customWidth="0" width="3.109375" style="1"/>
    <col min="7189" max="7189" customWidth="0" width="3.109375" style="1"/>
    <col min="7190" max="7190" customWidth="0" width="3.109375" style="1"/>
    <col min="7191" max="7191" customWidth="0" width="3.109375" style="1"/>
    <col min="7192" max="7192" customWidth="0" width="3.109375" style="1"/>
    <col min="7193" max="7193" customWidth="0" width="3.109375" style="1"/>
    <col min="7194" max="7194" customWidth="0" width="3.109375" style="1"/>
    <col min="7195" max="7195" customWidth="0" width="3.109375" style="1"/>
    <col min="7196" max="7196" customWidth="0" width="3.109375" style="1"/>
    <col min="7197" max="7197" customWidth="0" width="3.109375" style="1"/>
    <col min="7198" max="7198" customWidth="0" width="3.109375" style="1"/>
    <col min="7199" max="7199" customWidth="0" width="3.109375" style="1"/>
    <col min="7200" max="7200" customWidth="0" width="3.109375" style="1"/>
    <col min="7201" max="7201" customWidth="0" width="3.109375" style="1"/>
    <col min="7202" max="7202" customWidth="0" width="3.109375" style="1"/>
    <col min="7203" max="7203" customWidth="0" width="3.109375" style="1"/>
    <col min="7204" max="7204" customWidth="0" width="3.109375" style="1"/>
    <col min="7205" max="7205" customWidth="0" width="3.109375" style="1"/>
    <col min="7206" max="7206" customWidth="0" width="3.109375" style="1"/>
    <col min="7207" max="7207" customWidth="0" width="3.109375" style="1"/>
    <col min="7208" max="7208" customWidth="0" width="3.109375" style="1"/>
    <col min="7209" max="7209" customWidth="0" width="3.109375" style="1"/>
    <col min="7210" max="7210" customWidth="0" width="3.109375" style="1"/>
    <col min="7211" max="7211" customWidth="0" width="3.109375" style="1"/>
    <col min="7212" max="7212" customWidth="0" width="3.109375" style="1"/>
    <col min="7213" max="7213" customWidth="0" width="3.109375" style="1"/>
    <col min="7214" max="7214" customWidth="0" width="3.109375" style="1"/>
    <col min="7215" max="7215" customWidth="0" width="3.109375" style="1"/>
    <col min="7216" max="7216" customWidth="0" width="3.109375" style="1"/>
    <col min="7217" max="7217" customWidth="0" width="3.109375" style="1"/>
    <col min="7218" max="7218" customWidth="0" width="3.109375" style="1"/>
    <col min="7219" max="7219" customWidth="0" width="3.109375" style="1"/>
    <col min="7220" max="7220" customWidth="0" width="3.109375" style="1"/>
    <col min="7221" max="7221" customWidth="0" width="3.109375" style="1"/>
    <col min="7222" max="7222" customWidth="0" width="3.109375" style="1"/>
    <col min="7223" max="7223" customWidth="0" width="3.109375" style="1"/>
    <col min="7224" max="7224" customWidth="0" width="3.109375" style="1"/>
    <col min="7225" max="7225" customWidth="0" width="3.109375" style="1"/>
    <col min="7226" max="7226" customWidth="0" width="3.109375" style="1"/>
    <col min="7227" max="7227" customWidth="0" width="3.109375" style="1"/>
    <col min="7228" max="7228" customWidth="0" width="3.109375" style="1"/>
    <col min="7229" max="7229" customWidth="0" width="3.109375" style="1"/>
    <col min="7230" max="7230" customWidth="0" width="3.109375" style="1"/>
    <col min="7231" max="7231" customWidth="0" width="3.109375" style="1"/>
    <col min="7232" max="7232" customWidth="0" width="3.109375" style="1"/>
    <col min="7233" max="7233" customWidth="0" width="3.109375" style="1"/>
    <col min="7234" max="7234" customWidth="0" width="3.109375" style="1"/>
    <col min="7235" max="7235" customWidth="0" width="3.109375" style="1"/>
    <col min="7236" max="7236" customWidth="0" width="3.109375" style="1"/>
    <col min="7237" max="7237" customWidth="0" width="3.109375" style="1"/>
    <col min="7238" max="7238" customWidth="0" width="3.109375" style="1"/>
    <col min="7239" max="7239" customWidth="0" width="3.109375" style="1"/>
    <col min="7240" max="7240" customWidth="0" width="3.109375" style="1"/>
    <col min="7241" max="7241" customWidth="0" width="3.109375" style="1"/>
    <col min="7242" max="7242" customWidth="0" width="3.109375" style="1"/>
    <col min="7243" max="7243" customWidth="0" width="3.109375" style="1"/>
    <col min="7244" max="7244" customWidth="0" width="3.109375" style="1"/>
    <col min="7245" max="7245" customWidth="0" width="3.109375" style="1"/>
    <col min="7246" max="7246" customWidth="0" width="3.109375" style="1"/>
    <col min="7247" max="7247" customWidth="0" width="3.109375" style="1"/>
    <col min="7248" max="7248" customWidth="0" width="3.109375" style="1"/>
    <col min="7249" max="7249" customWidth="0" width="3.109375" style="1"/>
    <col min="7250" max="7250" customWidth="0" width="3.109375" style="1"/>
    <col min="7251" max="7251" customWidth="0" width="3.109375" style="1"/>
    <col min="7252" max="7252" customWidth="0" width="3.109375" style="1"/>
    <col min="7253" max="7253" customWidth="0" width="3.109375" style="1"/>
    <col min="7254" max="7254" customWidth="0" width="3.109375" style="1"/>
    <col min="7255" max="7255" customWidth="0" width="3.109375" style="1"/>
    <col min="7256" max="7256" customWidth="0" width="3.109375" style="1"/>
    <col min="7257" max="7257" customWidth="0" width="3.109375" style="1"/>
    <col min="7258" max="7258" customWidth="0" width="3.109375" style="1"/>
    <col min="7259" max="7259" customWidth="0" width="3.109375" style="1"/>
    <col min="7260" max="7260" customWidth="0" width="3.109375" style="1"/>
    <col min="7261" max="7261" customWidth="0" width="3.109375" style="1"/>
    <col min="7262" max="7262" customWidth="0" width="3.109375" style="1"/>
    <col min="7263" max="7263" customWidth="0" width="3.109375" style="1"/>
    <col min="7264" max="7264" customWidth="0" width="3.109375" style="1"/>
    <col min="7265" max="7265" customWidth="0" width="3.109375" style="1"/>
    <col min="7266" max="7266" customWidth="0" width="3.109375" style="1"/>
    <col min="7267" max="7267" customWidth="0" width="3.109375" style="1"/>
    <col min="7268" max="7268" customWidth="0" width="3.109375" style="1"/>
    <col min="7269" max="7269" customWidth="0" width="3.109375" style="1"/>
    <col min="7270" max="7270" customWidth="0" width="3.109375" style="1"/>
    <col min="7271" max="7271" customWidth="0" width="3.109375" style="1"/>
    <col min="7272" max="7272" customWidth="0" width="3.109375" style="1"/>
    <col min="7273" max="7273" customWidth="0" width="3.109375" style="1"/>
    <col min="7274" max="7274" customWidth="0" width="3.109375" style="1"/>
    <col min="7275" max="7275" customWidth="0" width="3.109375" style="1"/>
    <col min="7276" max="7276" customWidth="0" width="3.109375" style="1"/>
    <col min="7277" max="7277" customWidth="0" width="3.109375" style="1"/>
    <col min="7278" max="7278" customWidth="0" width="3.109375" style="1"/>
    <col min="7279" max="7279" customWidth="0" width="3.109375" style="1"/>
    <col min="7280" max="7280" customWidth="0" width="3.109375" style="1"/>
    <col min="7281" max="7281" customWidth="0" width="3.109375" style="1"/>
    <col min="7282" max="7282" customWidth="0" width="3.109375" style="1"/>
    <col min="7283" max="7283" customWidth="0" width="3.109375" style="1"/>
    <col min="7284" max="7284" customWidth="0" width="3.109375" style="1"/>
    <col min="7285" max="7285" customWidth="0" width="3.109375" style="1"/>
    <col min="7286" max="7286" customWidth="0" width="3.109375" style="1"/>
    <col min="7287" max="7287" customWidth="0" width="3.109375" style="1"/>
    <col min="7288" max="7288" customWidth="0" width="3.109375" style="1"/>
    <col min="7289" max="7289" customWidth="0" width="3.109375" style="1"/>
    <col min="7290" max="7290" customWidth="0" width="3.109375" style="1"/>
    <col min="7291" max="7291" customWidth="0" width="3.109375" style="1"/>
    <col min="7292" max="7292" customWidth="0" width="3.109375" style="1"/>
    <col min="7293" max="7293" customWidth="0" width="3.109375" style="1"/>
    <col min="7294" max="7294" customWidth="0" width="3.109375" style="1"/>
    <col min="7295" max="7295" customWidth="0" width="3.109375" style="1"/>
    <col min="7296" max="7296" customWidth="0" width="3.109375" style="1"/>
    <col min="7297" max="7297" customWidth="0" width="3.109375" style="1"/>
    <col min="7298" max="7298" customWidth="0" width="3.109375" style="1"/>
    <col min="7299" max="7299" customWidth="0" width="3.109375" style="1"/>
    <col min="7300" max="7300" customWidth="0" width="3.109375" style="1"/>
    <col min="7301" max="7301" customWidth="0" width="3.109375" style="1"/>
    <col min="7302" max="7302" customWidth="0" width="3.109375" style="1"/>
    <col min="7303" max="7303" customWidth="0" width="3.109375" style="1"/>
    <col min="7304" max="7304" customWidth="0" width="3.109375" style="1"/>
    <col min="7305" max="7305" customWidth="0" width="3.109375" style="1"/>
    <col min="7306" max="7306" customWidth="0" width="3.109375" style="1"/>
    <col min="7307" max="7307" customWidth="0" width="3.109375" style="1"/>
    <col min="7308" max="7308" customWidth="0" width="3.109375" style="1"/>
    <col min="7309" max="7309" customWidth="0" width="3.109375" style="1"/>
    <col min="7310" max="7310" customWidth="0" width="3.109375" style="1"/>
    <col min="7311" max="7311" customWidth="0" width="3.109375" style="1"/>
    <col min="7312" max="7312" customWidth="0" width="3.109375" style="1"/>
    <col min="7313" max="7313" customWidth="0" width="3.109375" style="1"/>
    <col min="7314" max="7314" customWidth="0" width="3.109375" style="1"/>
    <col min="7315" max="7315" customWidth="0" width="3.109375" style="1"/>
    <col min="7316" max="7316" customWidth="0" width="3.109375" style="1"/>
    <col min="7317" max="7317" customWidth="0" width="3.109375" style="1"/>
    <col min="7318" max="7318" customWidth="0" width="3.109375" style="1"/>
    <col min="7319" max="7319" customWidth="0" width="3.109375" style="1"/>
    <col min="7320" max="7320" customWidth="0" width="3.109375" style="1"/>
    <col min="7321" max="7321" customWidth="0" width="3.109375" style="1"/>
    <col min="7322" max="7322" customWidth="0" width="3.109375" style="1"/>
    <col min="7323" max="7323" customWidth="0" width="3.109375" style="1"/>
    <col min="7324" max="7324" customWidth="0" width="3.109375" style="1"/>
    <col min="7325" max="7325" customWidth="0" width="3.109375" style="1"/>
    <col min="7326" max="7326" customWidth="0" width="3.109375" style="1"/>
    <col min="7327" max="7327" customWidth="0" width="3.109375" style="1"/>
    <col min="7328" max="7328" customWidth="0" width="3.109375" style="1"/>
    <col min="7329" max="7329" customWidth="0" width="3.109375" style="1"/>
    <col min="7330" max="7330" customWidth="0" width="3.109375" style="1"/>
    <col min="7331" max="7331" customWidth="0" width="3.109375" style="1"/>
    <col min="7332" max="7332" customWidth="0" width="3.109375" style="1"/>
    <col min="7333" max="7333" customWidth="0" width="3.109375" style="1"/>
    <col min="7334" max="7334" customWidth="0" width="3.109375" style="1"/>
    <col min="7335" max="7335" customWidth="0" width="3.109375" style="1"/>
    <col min="7336" max="7336" customWidth="0" width="3.109375" style="1"/>
    <col min="7337" max="7337" customWidth="0" width="3.109375" style="1"/>
    <col min="7338" max="7338" customWidth="0" width="3.109375" style="1"/>
    <col min="7339" max="7339" customWidth="0" width="3.109375" style="1"/>
    <col min="7340" max="7340" customWidth="0" width="3.109375" style="1"/>
    <col min="7341" max="7341" customWidth="0" width="3.109375" style="1"/>
    <col min="7342" max="7342" customWidth="0" width="3.109375" style="1"/>
    <col min="7343" max="7343" customWidth="0" width="3.109375" style="1"/>
    <col min="7344" max="7344" customWidth="0" width="3.109375" style="1"/>
    <col min="7345" max="7345" customWidth="0" width="3.109375" style="1"/>
    <col min="7346" max="7346" customWidth="0" width="3.109375" style="1"/>
    <col min="7347" max="7347" customWidth="0" width="3.109375" style="1"/>
    <col min="7348" max="7348" customWidth="0" width="3.109375" style="1"/>
    <col min="7349" max="7349" customWidth="0" width="3.109375" style="1"/>
    <col min="7350" max="7350" customWidth="0" width="3.109375" style="1"/>
    <col min="7351" max="7351" customWidth="0" width="3.109375" style="1"/>
    <col min="7352" max="7352" customWidth="0" width="3.109375" style="1"/>
    <col min="7353" max="7353" customWidth="0" width="3.109375" style="1"/>
    <col min="7354" max="7354" customWidth="0" width="3.109375" style="1"/>
    <col min="7355" max="7355" customWidth="0" width="3.109375" style="1"/>
    <col min="7356" max="7356" customWidth="0" width="3.109375" style="1"/>
    <col min="7357" max="7357" customWidth="0" width="3.109375" style="1"/>
    <col min="7358" max="7358" customWidth="0" width="3.109375" style="1"/>
    <col min="7359" max="7359" customWidth="0" width="3.109375" style="1"/>
    <col min="7360" max="7360" customWidth="0" width="3.109375" style="1"/>
    <col min="7361" max="7361" customWidth="0" width="3.109375" style="1"/>
    <col min="7362" max="7362" customWidth="0" width="3.109375" style="1"/>
    <col min="7363" max="7363" customWidth="0" width="3.109375" style="1"/>
    <col min="7364" max="7364" customWidth="0" width="3.109375" style="1"/>
    <col min="7365" max="7365" customWidth="0" width="3.109375" style="1"/>
    <col min="7366" max="7366" customWidth="0" width="3.109375" style="1"/>
    <col min="7367" max="7367" customWidth="0" width="3.109375" style="1"/>
    <col min="7368" max="7368" customWidth="0" width="3.109375" style="1"/>
    <col min="7369" max="7369" customWidth="0" width="3.109375" style="1"/>
    <col min="7370" max="7370" customWidth="0" width="3.109375" style="1"/>
    <col min="7371" max="7371" customWidth="0" width="3.109375" style="1"/>
    <col min="7372" max="7372" customWidth="0" width="3.109375" style="1"/>
    <col min="7373" max="7373" customWidth="0" width="3.109375" style="1"/>
    <col min="7374" max="7374" customWidth="0" width="3.109375" style="1"/>
    <col min="7375" max="7375" customWidth="0" width="3.109375" style="1"/>
    <col min="7376" max="7376" customWidth="0" width="3.109375" style="1"/>
    <col min="7377" max="7377" customWidth="0" width="3.109375" style="1"/>
    <col min="7378" max="7378" customWidth="0" width="3.109375" style="1"/>
    <col min="7379" max="7379" customWidth="0" width="3.109375" style="1"/>
    <col min="7380" max="7380" customWidth="0" width="3.109375" style="1"/>
    <col min="7381" max="7381" customWidth="0" width="3.109375" style="1"/>
    <col min="7382" max="7382" customWidth="0" width="3.109375" style="1"/>
    <col min="7383" max="7383" customWidth="0" width="3.109375" style="1"/>
    <col min="7384" max="7384" customWidth="0" width="3.109375" style="1"/>
    <col min="7385" max="7385" customWidth="0" width="3.109375" style="1"/>
    <col min="7386" max="7386" customWidth="0" width="3.109375" style="1"/>
    <col min="7387" max="7387" customWidth="0" width="3.109375" style="1"/>
    <col min="7388" max="7388" customWidth="0" width="3.109375" style="1"/>
    <col min="7389" max="7389" customWidth="0" width="3.109375" style="1"/>
    <col min="7390" max="7390" customWidth="0" width="3.109375" style="1"/>
    <col min="7391" max="7391" customWidth="0" width="3.109375" style="1"/>
    <col min="7392" max="7392" customWidth="0" width="3.109375" style="1"/>
    <col min="7393" max="7393" customWidth="0" width="3.109375" style="1"/>
    <col min="7394" max="7394" customWidth="0" width="3.109375" style="1"/>
    <col min="7395" max="7395" customWidth="0" width="3.109375" style="1"/>
    <col min="7396" max="7396" customWidth="0" width="3.109375" style="1"/>
    <col min="7397" max="7397" customWidth="0" width="3.109375" style="1"/>
    <col min="7398" max="7398" customWidth="0" width="3.109375" style="1"/>
    <col min="7399" max="7399" customWidth="0" width="3.109375" style="1"/>
    <col min="7400" max="7400" customWidth="0" width="3.109375" style="1"/>
    <col min="7401" max="7401" customWidth="0" width="3.109375" style="1"/>
    <col min="7402" max="7402" customWidth="0" width="3.109375" style="1"/>
    <col min="7403" max="7403" customWidth="0" width="3.109375" style="1"/>
    <col min="7404" max="7404" customWidth="0" width="3.109375" style="1"/>
    <col min="7405" max="7405" customWidth="0" width="3.109375" style="1"/>
    <col min="7406" max="7406" customWidth="0" width="3.109375" style="1"/>
    <col min="7407" max="7407" customWidth="0" width="3.109375" style="1"/>
    <col min="7408" max="7408" customWidth="0" width="3.109375" style="1"/>
    <col min="7409" max="7409" customWidth="0" width="3.109375" style="1"/>
    <col min="7410" max="7410" customWidth="0" width="3.109375" style="1"/>
    <col min="7411" max="7411" customWidth="0" width="3.109375" style="1"/>
    <col min="7412" max="7412" customWidth="0" width="3.109375" style="1"/>
    <col min="7413" max="7413" customWidth="0" width="3.109375" style="1"/>
    <col min="7414" max="7414" customWidth="0" width="3.109375" style="1"/>
    <col min="7415" max="7415" customWidth="0" width="3.109375" style="1"/>
    <col min="7416" max="7416" customWidth="0" width="3.109375" style="1"/>
    <col min="7417" max="7417" customWidth="0" width="3.109375" style="1"/>
    <col min="7418" max="7418" customWidth="0" width="3.109375" style="1"/>
    <col min="7419" max="7419" customWidth="0" width="3.109375" style="1"/>
    <col min="7420" max="7420" customWidth="0" width="3.109375" style="1"/>
    <col min="7421" max="7421" customWidth="0" width="3.109375" style="1"/>
    <col min="7422" max="7422" customWidth="0" width="3.109375" style="1"/>
    <col min="7423" max="7423" customWidth="0" width="3.109375" style="1"/>
    <col min="7424" max="7424" customWidth="0" width="3.109375" style="1"/>
    <col min="7425" max="7425" customWidth="0" width="3.109375" style="1"/>
    <col min="7426" max="7426" customWidth="0" width="3.109375" style="1"/>
    <col min="7427" max="7427" customWidth="0" width="3.109375" style="1"/>
    <col min="7428" max="7428" customWidth="0" width="3.109375" style="1"/>
    <col min="7429" max="7429" customWidth="0" width="3.109375" style="1"/>
    <col min="7430" max="7430" customWidth="0" width="3.109375" style="1"/>
    <col min="7431" max="7431" customWidth="0" width="3.109375" style="1"/>
    <col min="7432" max="7432" customWidth="0" width="3.109375" style="1"/>
    <col min="7433" max="7433" customWidth="0" width="3.109375" style="1"/>
    <col min="7434" max="7434" customWidth="0" width="3.109375" style="1"/>
    <col min="7435" max="7435" customWidth="0" width="3.109375" style="1"/>
    <col min="7436" max="7436" customWidth="0" width="3.109375" style="1"/>
    <col min="7437" max="7437" customWidth="0" width="3.109375" style="1"/>
    <col min="7438" max="7438" customWidth="0" width="3.109375" style="1"/>
    <col min="7439" max="7439" customWidth="0" width="3.109375" style="1"/>
    <col min="7440" max="7440" customWidth="0" width="3.109375" style="1"/>
    <col min="7441" max="7441" customWidth="0" width="3.109375" style="1"/>
    <col min="7442" max="7442" customWidth="0" width="3.109375" style="1"/>
    <col min="7443" max="7443" customWidth="0" width="3.109375" style="1"/>
    <col min="7444" max="7444" customWidth="0" width="3.109375" style="1"/>
    <col min="7445" max="7445" customWidth="0" width="3.109375" style="1"/>
    <col min="7446" max="7446" customWidth="0" width="3.109375" style="1"/>
    <col min="7447" max="7447" customWidth="0" width="3.109375" style="1"/>
    <col min="7448" max="7448" customWidth="0" width="3.109375" style="1"/>
    <col min="7449" max="7449" customWidth="0" width="3.109375" style="1"/>
    <col min="7450" max="7450" customWidth="0" width="3.109375" style="1"/>
    <col min="7451" max="7451" customWidth="0" width="3.109375" style="1"/>
    <col min="7452" max="7452" customWidth="0" width="3.109375" style="1"/>
    <col min="7453" max="7453" customWidth="0" width="3.109375" style="1"/>
    <col min="7454" max="7454" customWidth="0" width="3.109375" style="1"/>
    <col min="7455" max="7455" customWidth="0" width="3.109375" style="1"/>
    <col min="7456" max="7456" customWidth="0" width="3.109375" style="1"/>
    <col min="7457" max="7457" customWidth="0" width="3.109375" style="1"/>
    <col min="7458" max="7458" customWidth="0" width="3.109375" style="1"/>
    <col min="7459" max="7459" customWidth="0" width="3.109375" style="1"/>
    <col min="7460" max="7460" customWidth="0" width="3.109375" style="1"/>
    <col min="7461" max="7461" customWidth="0" width="3.109375" style="1"/>
    <col min="7462" max="7462" customWidth="0" width="3.109375" style="1"/>
    <col min="7463" max="7463" customWidth="0" width="3.109375" style="1"/>
    <col min="7464" max="7464" customWidth="0" width="3.109375" style="1"/>
    <col min="7465" max="7465" customWidth="0" width="3.109375" style="1"/>
    <col min="7466" max="7466" customWidth="0" width="3.109375" style="1"/>
    <col min="7467" max="7467" customWidth="0" width="3.109375" style="1"/>
    <col min="7468" max="7468" customWidth="0" width="3.109375" style="1"/>
    <col min="7469" max="7469" customWidth="0" width="3.109375" style="1"/>
    <col min="7470" max="7470" customWidth="0" width="3.109375" style="1"/>
    <col min="7471" max="7471" customWidth="0" width="3.109375" style="1"/>
    <col min="7472" max="7472" customWidth="0" width="3.109375" style="1"/>
    <col min="7473" max="7473" customWidth="0" width="3.109375" style="1"/>
    <col min="7474" max="7474" customWidth="0" width="3.109375" style="1"/>
    <col min="7475" max="7475" customWidth="0" width="3.109375" style="1"/>
    <col min="7476" max="7476" customWidth="0" width="3.109375" style="1"/>
    <col min="7477" max="7477" customWidth="0" width="3.109375" style="1"/>
    <col min="7478" max="7478" customWidth="0" width="3.109375" style="1"/>
    <col min="7479" max="7479" customWidth="0" width="3.109375" style="1"/>
    <col min="7480" max="7480" customWidth="0" width="3.109375" style="1"/>
    <col min="7481" max="7481" customWidth="0" width="3.109375" style="1"/>
    <col min="7482" max="7482" customWidth="0" width="3.109375" style="1"/>
    <col min="7483" max="7483" customWidth="0" width="3.109375" style="1"/>
    <col min="7484" max="7484" customWidth="0" width="3.109375" style="1"/>
    <col min="7485" max="7485" customWidth="0" width="3.109375" style="1"/>
    <col min="7486" max="7486" customWidth="0" width="3.109375" style="1"/>
    <col min="7487" max="7487" customWidth="0" width="3.109375" style="1"/>
    <col min="7488" max="7488" customWidth="0" width="3.109375" style="1"/>
    <col min="7489" max="7489" customWidth="0" width="3.109375" style="1"/>
    <col min="7490" max="7490" customWidth="0" width="3.109375" style="1"/>
    <col min="7491" max="7491" customWidth="0" width="3.109375" style="1"/>
    <col min="7492" max="7492" customWidth="0" width="3.109375" style="1"/>
    <col min="7493" max="7493" customWidth="0" width="3.109375" style="1"/>
    <col min="7494" max="7494" customWidth="0" width="3.109375" style="1"/>
    <col min="7495" max="7495" customWidth="0" width="3.109375" style="1"/>
    <col min="7496" max="7496" customWidth="0" width="3.109375" style="1"/>
    <col min="7497" max="7497" customWidth="0" width="3.109375" style="1"/>
    <col min="7498" max="7498" customWidth="0" width="3.109375" style="1"/>
    <col min="7499" max="7499" customWidth="0" width="3.109375" style="1"/>
    <col min="7500" max="7500" customWidth="0" width="3.109375" style="1"/>
    <col min="7501" max="7501" customWidth="0" width="3.109375" style="1"/>
    <col min="7502" max="7502" customWidth="0" width="3.109375" style="1"/>
    <col min="7503" max="7503" customWidth="0" width="3.109375" style="1"/>
    <col min="7504" max="7504" customWidth="0" width="3.109375" style="1"/>
    <col min="7505" max="7505" customWidth="0" width="3.109375" style="1"/>
    <col min="7506" max="7506" customWidth="0" width="3.109375" style="1"/>
    <col min="7507" max="7507" customWidth="0" width="3.109375" style="1"/>
    <col min="7508" max="7508" customWidth="0" width="3.109375" style="1"/>
    <col min="7509" max="7509" customWidth="0" width="3.109375" style="1"/>
    <col min="7510" max="7510" customWidth="0" width="3.109375" style="1"/>
    <col min="7511" max="7511" customWidth="0" width="3.109375" style="1"/>
    <col min="7512" max="7512" customWidth="0" width="3.109375" style="1"/>
    <col min="7513" max="7513" customWidth="0" width="3.109375" style="1"/>
    <col min="7514" max="7514" customWidth="0" width="3.109375" style="1"/>
    <col min="7515" max="7515" customWidth="0" width="3.109375" style="1"/>
    <col min="7516" max="7516" customWidth="0" width="3.109375" style="1"/>
    <col min="7517" max="7517" customWidth="0" width="3.109375" style="1"/>
    <col min="7518" max="7518" customWidth="0" width="3.109375" style="1"/>
    <col min="7519" max="7519" customWidth="0" width="3.109375" style="1"/>
    <col min="7520" max="7520" customWidth="0" width="3.109375" style="1"/>
    <col min="7521" max="7521" customWidth="0" width="3.109375" style="1"/>
    <col min="7522" max="7522" customWidth="0" width="3.109375" style="1"/>
    <col min="7523" max="7523" customWidth="0" width="3.109375" style="1"/>
    <col min="7524" max="7524" customWidth="0" width="3.109375" style="1"/>
    <col min="7525" max="7525" customWidth="0" width="3.109375" style="1"/>
    <col min="7526" max="7526" customWidth="0" width="3.109375" style="1"/>
    <col min="7527" max="7527" customWidth="0" width="3.109375" style="1"/>
    <col min="7528" max="7528" customWidth="0" width="3.109375" style="1"/>
    <col min="7529" max="7529" customWidth="0" width="3.109375" style="1"/>
    <col min="7530" max="7530" customWidth="0" width="3.109375" style="1"/>
    <col min="7531" max="7531" customWidth="0" width="3.109375" style="1"/>
    <col min="7532" max="7532" customWidth="0" width="3.109375" style="1"/>
    <col min="7533" max="7533" customWidth="0" width="3.109375" style="1"/>
    <col min="7534" max="7534" customWidth="0" width="3.109375" style="1"/>
    <col min="7535" max="7535" customWidth="0" width="3.109375" style="1"/>
    <col min="7536" max="7536" customWidth="0" width="3.109375" style="1"/>
    <col min="7537" max="7537" customWidth="0" width="3.109375" style="1"/>
    <col min="7538" max="7538" customWidth="0" width="3.109375" style="1"/>
    <col min="7539" max="7539" customWidth="0" width="3.109375" style="1"/>
    <col min="7540" max="7540" customWidth="0" width="3.109375" style="1"/>
    <col min="7541" max="7541" customWidth="0" width="3.109375" style="1"/>
    <col min="7542" max="7542" customWidth="0" width="3.109375" style="1"/>
    <col min="7543" max="7543" customWidth="0" width="3.109375" style="1"/>
    <col min="7544" max="7544" customWidth="0" width="3.109375" style="1"/>
    <col min="7545" max="7545" customWidth="0" width="3.109375" style="1"/>
    <col min="7546" max="7546" customWidth="0" width="3.109375" style="1"/>
    <col min="7547" max="7547" customWidth="0" width="3.109375" style="1"/>
    <col min="7548" max="7548" customWidth="0" width="3.109375" style="1"/>
    <col min="7549" max="7549" customWidth="0" width="3.109375" style="1"/>
    <col min="7550" max="7550" customWidth="0" width="3.109375" style="1"/>
    <col min="7551" max="7551" customWidth="0" width="3.109375" style="1"/>
    <col min="7552" max="7552" customWidth="0" width="3.109375" style="1"/>
    <col min="7553" max="7553" customWidth="0" width="3.109375" style="1"/>
    <col min="7554" max="7554" customWidth="0" width="3.109375" style="1"/>
    <col min="7555" max="7555" customWidth="0" width="3.109375" style="1"/>
    <col min="7556" max="7556" customWidth="0" width="3.109375" style="1"/>
    <col min="7557" max="7557" customWidth="0" width="3.109375" style="1"/>
    <col min="7558" max="7558" customWidth="0" width="3.109375" style="1"/>
    <col min="7559" max="7559" customWidth="0" width="3.109375" style="1"/>
    <col min="7560" max="7560" customWidth="0" width="3.109375" style="1"/>
    <col min="7561" max="7561" customWidth="0" width="3.109375" style="1"/>
    <col min="7562" max="7562" customWidth="0" width="3.109375" style="1"/>
    <col min="7563" max="7563" customWidth="0" width="3.109375" style="1"/>
    <col min="7564" max="7564" customWidth="0" width="3.109375" style="1"/>
    <col min="7565" max="7565" customWidth="0" width="3.109375" style="1"/>
    <col min="7566" max="7566" customWidth="0" width="3.109375" style="1"/>
    <col min="7567" max="7567" customWidth="0" width="3.109375" style="1"/>
    <col min="7568" max="7568" customWidth="0" width="3.109375" style="1"/>
    <col min="7569" max="7569" customWidth="0" width="3.109375" style="1"/>
    <col min="7570" max="7570" customWidth="0" width="3.109375" style="1"/>
    <col min="7571" max="7571" customWidth="0" width="3.109375" style="1"/>
    <col min="7572" max="7572" customWidth="0" width="3.109375" style="1"/>
    <col min="7573" max="7573" customWidth="0" width="3.109375" style="1"/>
    <col min="7574" max="7574" customWidth="0" width="3.109375" style="1"/>
    <col min="7575" max="7575" customWidth="0" width="3.109375" style="1"/>
    <col min="7576" max="7576" customWidth="0" width="3.109375" style="1"/>
    <col min="7577" max="7577" customWidth="0" width="3.109375" style="1"/>
    <col min="7578" max="7578" customWidth="0" width="3.109375" style="1"/>
    <col min="7579" max="7579" customWidth="0" width="3.109375" style="1"/>
    <col min="7580" max="7580" customWidth="0" width="3.109375" style="1"/>
    <col min="7581" max="7581" customWidth="0" width="3.109375" style="1"/>
    <col min="7582" max="7582" customWidth="0" width="3.109375" style="1"/>
    <col min="7583" max="7583" customWidth="0" width="3.109375" style="1"/>
    <col min="7584" max="7584" customWidth="0" width="3.109375" style="1"/>
    <col min="7585" max="7585" customWidth="0" width="3.109375" style="1"/>
    <col min="7586" max="7586" customWidth="0" width="3.109375" style="1"/>
    <col min="7587" max="7587" customWidth="0" width="3.109375" style="1"/>
    <col min="7588" max="7588" customWidth="0" width="3.109375" style="1"/>
    <col min="7589" max="7589" customWidth="0" width="3.109375" style="1"/>
    <col min="7590" max="7590" customWidth="0" width="3.109375" style="1"/>
    <col min="7591" max="7591" customWidth="0" width="3.109375" style="1"/>
    <col min="7592" max="7592" customWidth="0" width="3.109375" style="1"/>
    <col min="7593" max="7593" customWidth="0" width="3.109375" style="1"/>
    <col min="7594" max="7594" customWidth="0" width="3.109375" style="1"/>
    <col min="7595" max="7595" customWidth="0" width="3.109375" style="1"/>
    <col min="7596" max="7596" customWidth="0" width="3.109375" style="1"/>
    <col min="7597" max="7597" customWidth="0" width="3.109375" style="1"/>
    <col min="7598" max="7598" customWidth="0" width="3.109375" style="1"/>
    <col min="7599" max="7599" customWidth="0" width="3.109375" style="1"/>
    <col min="7600" max="7600" customWidth="0" width="3.109375" style="1"/>
    <col min="7601" max="7601" customWidth="0" width="3.109375" style="1"/>
    <col min="7602" max="7602" customWidth="0" width="3.109375" style="1"/>
    <col min="7603" max="7603" customWidth="0" width="3.109375" style="1"/>
    <col min="7604" max="7604" customWidth="0" width="3.109375" style="1"/>
    <col min="7605" max="7605" customWidth="0" width="3.109375" style="1"/>
    <col min="7606" max="7606" customWidth="0" width="3.109375" style="1"/>
    <col min="7607" max="7607" customWidth="0" width="3.109375" style="1"/>
    <col min="7608" max="7608" customWidth="0" width="3.109375" style="1"/>
    <col min="7609" max="7609" customWidth="0" width="3.109375" style="1"/>
    <col min="7610" max="7610" customWidth="0" width="3.109375" style="1"/>
    <col min="7611" max="7611" customWidth="0" width="3.109375" style="1"/>
    <col min="7612" max="7612" customWidth="0" width="3.109375" style="1"/>
    <col min="7613" max="7613" customWidth="0" width="3.109375" style="1"/>
    <col min="7614" max="7614" customWidth="0" width="3.109375" style="1"/>
    <col min="7615" max="7615" customWidth="0" width="3.109375" style="1"/>
    <col min="7616" max="7616" customWidth="0" width="3.109375" style="1"/>
    <col min="7617" max="7617" customWidth="0" width="3.109375" style="1"/>
    <col min="7618" max="7618" customWidth="0" width="3.109375" style="1"/>
    <col min="7619" max="7619" customWidth="0" width="3.109375" style="1"/>
    <col min="7620" max="7620" customWidth="0" width="3.109375" style="1"/>
    <col min="7621" max="7621" customWidth="0" width="3.109375" style="1"/>
    <col min="7622" max="7622" customWidth="0" width="3.109375" style="1"/>
    <col min="7623" max="7623" customWidth="0" width="3.109375" style="1"/>
    <col min="7624" max="7624" customWidth="0" width="3.109375" style="1"/>
    <col min="7625" max="7625" customWidth="0" width="3.109375" style="1"/>
    <col min="7626" max="7626" customWidth="0" width="3.109375" style="1"/>
    <col min="7627" max="7627" customWidth="0" width="3.109375" style="1"/>
    <col min="7628" max="7628" customWidth="0" width="3.109375" style="1"/>
    <col min="7629" max="7629" customWidth="0" width="3.109375" style="1"/>
    <col min="7630" max="7630" customWidth="0" width="3.109375" style="1"/>
    <col min="7631" max="7631" customWidth="0" width="3.109375" style="1"/>
    <col min="7632" max="7632" customWidth="0" width="3.109375" style="1"/>
    <col min="7633" max="7633" customWidth="0" width="3.109375" style="1"/>
    <col min="7634" max="7634" customWidth="0" width="3.109375" style="1"/>
    <col min="7635" max="7635" customWidth="0" width="3.109375" style="1"/>
    <col min="7636" max="7636" customWidth="0" width="3.109375" style="1"/>
    <col min="7637" max="7637" customWidth="0" width="3.109375" style="1"/>
    <col min="7638" max="7638" customWidth="0" width="3.109375" style="1"/>
    <col min="7639" max="7639" customWidth="0" width="3.109375" style="1"/>
    <col min="7640" max="7640" customWidth="0" width="3.109375" style="1"/>
    <col min="7641" max="7641" customWidth="0" width="3.109375" style="1"/>
    <col min="7642" max="7642" customWidth="0" width="3.109375" style="1"/>
    <col min="7643" max="7643" customWidth="0" width="3.109375" style="1"/>
    <col min="7644" max="7644" customWidth="0" width="3.109375" style="1"/>
    <col min="7645" max="7645" customWidth="0" width="3.109375" style="1"/>
    <col min="7646" max="7646" customWidth="0" width="3.109375" style="1"/>
    <col min="7647" max="7647" customWidth="0" width="3.109375" style="1"/>
    <col min="7648" max="7648" customWidth="0" width="3.109375" style="1"/>
    <col min="7649" max="7649" customWidth="0" width="3.109375" style="1"/>
    <col min="7650" max="7650" customWidth="0" width="3.109375" style="1"/>
    <col min="7651" max="7651" customWidth="0" width="3.109375" style="1"/>
    <col min="7652" max="7652" customWidth="0" width="3.109375" style="1"/>
    <col min="7653" max="7653" customWidth="0" width="3.109375" style="1"/>
    <col min="7654" max="7654" customWidth="0" width="3.109375" style="1"/>
    <col min="7655" max="7655" customWidth="0" width="3.109375" style="1"/>
    <col min="7656" max="7656" customWidth="0" width="3.109375" style="1"/>
    <col min="7657" max="7657" customWidth="0" width="3.109375" style="1"/>
    <col min="7658" max="7658" customWidth="0" width="3.109375" style="1"/>
    <col min="7659" max="7659" customWidth="0" width="3.109375" style="1"/>
    <col min="7660" max="7660" customWidth="0" width="3.109375" style="1"/>
    <col min="7661" max="7661" customWidth="0" width="3.109375" style="1"/>
    <col min="7662" max="7662" customWidth="0" width="3.109375" style="1"/>
    <col min="7663" max="7663" customWidth="0" width="3.109375" style="1"/>
    <col min="7664" max="7664" customWidth="0" width="3.109375" style="1"/>
    <col min="7665" max="7665" customWidth="0" width="3.109375" style="1"/>
    <col min="7666" max="7666" customWidth="0" width="3.109375" style="1"/>
    <col min="7667" max="7667" customWidth="0" width="3.109375" style="1"/>
    <col min="7668" max="7668" customWidth="0" width="3.109375" style="1"/>
    <col min="7669" max="7669" customWidth="0" width="3.109375" style="1"/>
    <col min="7670" max="7670" customWidth="0" width="3.109375" style="1"/>
    <col min="7671" max="7671" customWidth="0" width="3.109375" style="1"/>
    <col min="7672" max="7672" customWidth="0" width="3.109375" style="1"/>
    <col min="7673" max="7673" customWidth="0" width="3.109375" style="1"/>
    <col min="7674" max="7674" customWidth="0" width="3.109375" style="1"/>
    <col min="7675" max="7675" customWidth="0" width="3.109375" style="1"/>
    <col min="7676" max="7676" customWidth="0" width="3.109375" style="1"/>
    <col min="7677" max="7677" customWidth="0" width="3.109375" style="1"/>
    <col min="7678" max="7678" customWidth="0" width="3.109375" style="1"/>
    <col min="7679" max="7679" customWidth="0" width="3.109375" style="1"/>
    <col min="7680" max="7680" customWidth="0" width="3.109375" style="1"/>
    <col min="7681" max="7681" customWidth="0" width="3.109375" style="1"/>
    <col min="7682" max="7682" customWidth="0" width="3.109375" style="1"/>
    <col min="7683" max="7683" customWidth="0" width="3.109375" style="1"/>
    <col min="7684" max="7684" customWidth="0" width="3.109375" style="1"/>
    <col min="7685" max="7685" customWidth="0" width="3.109375" style="1"/>
    <col min="7686" max="7686" customWidth="0" width="3.109375" style="1"/>
    <col min="7687" max="7687" customWidth="0" width="3.109375" style="1"/>
    <col min="7688" max="7688" customWidth="0" width="3.109375" style="1"/>
    <col min="7689" max="7689" customWidth="0" width="3.109375" style="1"/>
    <col min="7690" max="7690" customWidth="0" width="3.109375" style="1"/>
    <col min="7691" max="7691" customWidth="0" width="3.109375" style="1"/>
    <col min="7692" max="7692" customWidth="0" width="3.109375" style="1"/>
    <col min="7693" max="7693" customWidth="0" width="3.109375" style="1"/>
    <col min="7694" max="7694" customWidth="0" width="3.109375" style="1"/>
    <col min="7695" max="7695" customWidth="0" width="3.109375" style="1"/>
    <col min="7696" max="7696" customWidth="0" width="3.109375" style="1"/>
    <col min="7697" max="7697" customWidth="0" width="3.109375" style="1"/>
    <col min="7698" max="7698" customWidth="0" width="3.109375" style="1"/>
    <col min="7699" max="7699" customWidth="0" width="3.109375" style="1"/>
    <col min="7700" max="7700" customWidth="0" width="3.109375" style="1"/>
    <col min="7701" max="7701" customWidth="0" width="3.109375" style="1"/>
    <col min="7702" max="7702" customWidth="0" width="3.109375" style="1"/>
    <col min="7703" max="7703" customWidth="0" width="3.109375" style="1"/>
    <col min="7704" max="7704" customWidth="0" width="3.109375" style="1"/>
    <col min="7705" max="7705" customWidth="0" width="3.109375" style="1"/>
    <col min="7706" max="7706" customWidth="0" width="3.109375" style="1"/>
    <col min="7707" max="7707" customWidth="0" width="3.109375" style="1"/>
    <col min="7708" max="7708" customWidth="0" width="3.109375" style="1"/>
    <col min="7709" max="7709" customWidth="0" width="3.109375" style="1"/>
    <col min="7710" max="7710" customWidth="0" width="3.109375" style="1"/>
    <col min="7711" max="7711" customWidth="0" width="3.109375" style="1"/>
    <col min="7712" max="7712" customWidth="0" width="3.109375" style="1"/>
    <col min="7713" max="7713" customWidth="0" width="3.109375" style="1"/>
    <col min="7714" max="7714" customWidth="0" width="3.109375" style="1"/>
    <col min="7715" max="7715" customWidth="0" width="3.109375" style="1"/>
    <col min="7716" max="7716" customWidth="0" width="3.109375" style="1"/>
    <col min="7717" max="7717" customWidth="0" width="3.109375" style="1"/>
    <col min="7718" max="7718" customWidth="0" width="3.109375" style="1"/>
    <col min="7719" max="7719" customWidth="0" width="3.109375" style="1"/>
    <col min="7720" max="7720" customWidth="0" width="3.109375" style="1"/>
    <col min="7721" max="7721" customWidth="0" width="3.109375" style="1"/>
    <col min="7722" max="7722" customWidth="0" width="3.109375" style="1"/>
    <col min="7723" max="7723" customWidth="0" width="3.109375" style="1"/>
    <col min="7724" max="7724" customWidth="0" width="3.109375" style="1"/>
    <col min="7725" max="7725" customWidth="0" width="3.109375" style="1"/>
    <col min="7726" max="7726" customWidth="0" width="3.109375" style="1"/>
    <col min="7727" max="7727" customWidth="0" width="3.109375" style="1"/>
    <col min="7728" max="7728" customWidth="0" width="3.109375" style="1"/>
    <col min="7729" max="7729" customWidth="0" width="3.109375" style="1"/>
    <col min="7730" max="7730" customWidth="0" width="3.109375" style="1"/>
    <col min="7731" max="7731" customWidth="0" width="3.109375" style="1"/>
    <col min="7732" max="7732" customWidth="0" width="3.109375" style="1"/>
    <col min="7733" max="7733" customWidth="0" width="3.109375" style="1"/>
    <col min="7734" max="7734" customWidth="0" width="3.109375" style="1"/>
    <col min="7735" max="7735" customWidth="0" width="3.109375" style="1"/>
    <col min="7736" max="7736" customWidth="0" width="3.109375" style="1"/>
    <col min="7737" max="7737" customWidth="0" width="3.109375" style="1"/>
    <col min="7738" max="7738" customWidth="0" width="3.109375" style="1"/>
    <col min="7739" max="7739" customWidth="0" width="3.109375" style="1"/>
    <col min="7740" max="7740" customWidth="0" width="3.109375" style="1"/>
    <col min="7741" max="7741" customWidth="0" width="3.109375" style="1"/>
    <col min="7742" max="7742" customWidth="0" width="3.109375" style="1"/>
    <col min="7743" max="7743" customWidth="0" width="3.109375" style="1"/>
    <col min="7744" max="7744" customWidth="0" width="3.109375" style="1"/>
    <col min="7745" max="7745" customWidth="0" width="3.109375" style="1"/>
    <col min="7746" max="7746" customWidth="0" width="3.109375" style="1"/>
    <col min="7747" max="7747" customWidth="0" width="3.109375" style="1"/>
    <col min="7748" max="7748" customWidth="0" width="3.109375" style="1"/>
    <col min="7749" max="7749" customWidth="0" width="3.109375" style="1"/>
    <col min="7750" max="7750" customWidth="0" width="3.109375" style="1"/>
    <col min="7751" max="7751" customWidth="0" width="3.109375" style="1"/>
    <col min="7752" max="7752" customWidth="0" width="3.109375" style="1"/>
    <col min="7753" max="7753" customWidth="0" width="3.109375" style="1"/>
    <col min="7754" max="7754" customWidth="0" width="3.109375" style="1"/>
    <col min="7755" max="7755" customWidth="0" width="3.109375" style="1"/>
    <col min="7756" max="7756" customWidth="0" width="3.109375" style="1"/>
    <col min="7757" max="7757" customWidth="0" width="3.109375" style="1"/>
    <col min="7758" max="7758" customWidth="0" width="3.109375" style="1"/>
    <col min="7759" max="7759" customWidth="0" width="3.109375" style="1"/>
    <col min="7760" max="7760" customWidth="0" width="3.109375" style="1"/>
    <col min="7761" max="7761" customWidth="0" width="3.109375" style="1"/>
    <col min="7762" max="7762" customWidth="0" width="3.109375" style="1"/>
    <col min="7763" max="7763" customWidth="0" width="3.109375" style="1"/>
    <col min="7764" max="7764" customWidth="0" width="3.109375" style="1"/>
    <col min="7765" max="7765" customWidth="0" width="3.109375" style="1"/>
    <col min="7766" max="7766" customWidth="0" width="3.109375" style="1"/>
    <col min="7767" max="7767" customWidth="0" width="3.109375" style="1"/>
    <col min="7768" max="7768" customWidth="0" width="3.109375" style="1"/>
    <col min="7769" max="7769" customWidth="0" width="3.109375" style="1"/>
    <col min="7770" max="7770" customWidth="0" width="3.109375" style="1"/>
    <col min="7771" max="7771" customWidth="0" width="3.109375" style="1"/>
    <col min="7772" max="7772" customWidth="0" width="3.109375" style="1"/>
    <col min="7773" max="7773" customWidth="0" width="3.109375" style="1"/>
    <col min="7774" max="7774" customWidth="0" width="3.109375" style="1"/>
    <col min="7775" max="7775" customWidth="0" width="3.109375" style="1"/>
    <col min="7776" max="7776" customWidth="0" width="3.109375" style="1"/>
    <col min="7777" max="7777" customWidth="0" width="3.109375" style="1"/>
    <col min="7778" max="7778" customWidth="0" width="3.109375" style="1"/>
    <col min="7779" max="7779" customWidth="0" width="3.109375" style="1"/>
    <col min="7780" max="7780" customWidth="0" width="3.109375" style="1"/>
    <col min="7781" max="7781" customWidth="0" width="3.109375" style="1"/>
    <col min="7782" max="7782" customWidth="0" width="3.109375" style="1"/>
    <col min="7783" max="7783" customWidth="0" width="3.109375" style="1"/>
    <col min="7784" max="7784" customWidth="0" width="3.109375" style="1"/>
    <col min="7785" max="7785" customWidth="0" width="3.109375" style="1"/>
    <col min="7786" max="7786" customWidth="0" width="3.109375" style="1"/>
    <col min="7787" max="7787" customWidth="0" width="3.109375" style="1"/>
    <col min="7788" max="7788" customWidth="0" width="3.109375" style="1"/>
    <col min="7789" max="7789" customWidth="0" width="3.109375" style="1"/>
    <col min="7790" max="7790" customWidth="0" width="3.109375" style="1"/>
    <col min="7791" max="7791" customWidth="0" width="3.109375" style="1"/>
    <col min="7792" max="7792" customWidth="0" width="3.109375" style="1"/>
    <col min="7793" max="7793" customWidth="0" width="3.109375" style="1"/>
    <col min="7794" max="7794" customWidth="0" width="3.109375" style="1"/>
    <col min="7795" max="7795" customWidth="0" width="3.109375" style="1"/>
    <col min="7796" max="7796" customWidth="0" width="3.109375" style="1"/>
    <col min="7797" max="7797" customWidth="0" width="3.109375" style="1"/>
    <col min="7798" max="7798" customWidth="0" width="3.109375" style="1"/>
    <col min="7799" max="7799" customWidth="0" width="3.109375" style="1"/>
    <col min="7800" max="7800" customWidth="0" width="3.109375" style="1"/>
    <col min="7801" max="7801" customWidth="0" width="3.109375" style="1"/>
    <col min="7802" max="7802" customWidth="0" width="3.109375" style="1"/>
    <col min="7803" max="7803" customWidth="0" width="3.109375" style="1"/>
    <col min="7804" max="7804" customWidth="0" width="3.109375" style="1"/>
    <col min="7805" max="7805" customWidth="0" width="3.109375" style="1"/>
    <col min="7806" max="7806" customWidth="0" width="3.109375" style="1"/>
    <col min="7807" max="7807" customWidth="0" width="3.109375" style="1"/>
    <col min="7808" max="7808" customWidth="0" width="3.109375" style="1"/>
    <col min="7809" max="7809" customWidth="0" width="3.109375" style="1"/>
    <col min="7810" max="7810" customWidth="0" width="3.109375" style="1"/>
    <col min="7811" max="7811" customWidth="0" width="3.109375" style="1"/>
    <col min="7812" max="7812" customWidth="0" width="3.109375" style="1"/>
    <col min="7813" max="7813" customWidth="0" width="3.109375" style="1"/>
    <col min="7814" max="7814" customWidth="0" width="3.109375" style="1"/>
    <col min="7815" max="7815" customWidth="0" width="3.109375" style="1"/>
    <col min="7816" max="7816" customWidth="0" width="3.109375" style="1"/>
    <col min="7817" max="7817" customWidth="0" width="3.109375" style="1"/>
    <col min="7818" max="7818" customWidth="0" width="3.109375" style="1"/>
    <col min="7819" max="7819" customWidth="0" width="3.109375" style="1"/>
    <col min="7820" max="7820" customWidth="0" width="3.109375" style="1"/>
    <col min="7821" max="7821" customWidth="0" width="3.109375" style="1"/>
    <col min="7822" max="7822" customWidth="0" width="3.109375" style="1"/>
    <col min="7823" max="7823" customWidth="0" width="3.109375" style="1"/>
    <col min="7824" max="7824" customWidth="0" width="3.109375" style="1"/>
    <col min="7825" max="7825" customWidth="0" width="3.109375" style="1"/>
    <col min="7826" max="7826" customWidth="0" width="3.109375" style="1"/>
    <col min="7827" max="7827" customWidth="0" width="3.109375" style="1"/>
    <col min="7828" max="7828" customWidth="0" width="3.109375" style="1"/>
    <col min="7829" max="7829" customWidth="0" width="3.109375" style="1"/>
    <col min="7830" max="7830" customWidth="0" width="3.109375" style="1"/>
    <col min="7831" max="7831" customWidth="0" width="3.109375" style="1"/>
    <col min="7832" max="7832" customWidth="0" width="3.109375" style="1"/>
    <col min="7833" max="7833" customWidth="0" width="3.109375" style="1"/>
    <col min="7834" max="7834" customWidth="0" width="3.109375" style="1"/>
    <col min="7835" max="7835" customWidth="0" width="3.109375" style="1"/>
    <col min="7836" max="7836" customWidth="0" width="3.109375" style="1"/>
    <col min="7837" max="7837" customWidth="0" width="3.109375" style="1"/>
    <col min="7838" max="7838" customWidth="0" width="3.109375" style="1"/>
    <col min="7839" max="7839" customWidth="0" width="3.109375" style="1"/>
    <col min="7840" max="7840" customWidth="0" width="3.109375" style="1"/>
    <col min="7841" max="7841" customWidth="0" width="3.109375" style="1"/>
    <col min="7842" max="7842" customWidth="0" width="3.109375" style="1"/>
    <col min="7843" max="7843" customWidth="0" width="3.109375" style="1"/>
    <col min="7844" max="7844" customWidth="0" width="3.109375" style="1"/>
    <col min="7845" max="7845" customWidth="0" width="3.109375" style="1"/>
    <col min="7846" max="7846" customWidth="0" width="3.109375" style="1"/>
    <col min="7847" max="7847" customWidth="0" width="3.109375" style="1"/>
    <col min="7848" max="7848" customWidth="0" width="3.109375" style="1"/>
    <col min="7849" max="7849" customWidth="0" width="3.109375" style="1"/>
    <col min="7850" max="7850" customWidth="0" width="3.109375" style="1"/>
    <col min="7851" max="7851" customWidth="0" width="3.109375" style="1"/>
    <col min="7852" max="7852" customWidth="0" width="3.109375" style="1"/>
    <col min="7853" max="7853" customWidth="0" width="3.109375" style="1"/>
    <col min="7854" max="7854" customWidth="0" width="3.109375" style="1"/>
    <col min="7855" max="7855" customWidth="0" width="3.109375" style="1"/>
    <col min="7856" max="7856" customWidth="0" width="3.109375" style="1"/>
    <col min="7857" max="7857" customWidth="0" width="3.109375" style="1"/>
    <col min="7858" max="7858" customWidth="0" width="3.109375" style="1"/>
    <col min="7859" max="7859" customWidth="0" width="3.109375" style="1"/>
    <col min="7860" max="7860" customWidth="0" width="3.109375" style="1"/>
    <col min="7861" max="7861" customWidth="0" width="3.109375" style="1"/>
    <col min="7862" max="7862" customWidth="0" width="3.109375" style="1"/>
    <col min="7863" max="7863" customWidth="0" width="3.109375" style="1"/>
    <col min="7864" max="7864" customWidth="0" width="3.109375" style="1"/>
    <col min="7865" max="7865" customWidth="0" width="3.109375" style="1"/>
    <col min="7866" max="7866" customWidth="0" width="3.109375" style="1"/>
    <col min="7867" max="7867" customWidth="0" width="3.109375" style="1"/>
    <col min="7868" max="7868" customWidth="0" width="3.109375" style="1"/>
    <col min="7869" max="7869" customWidth="0" width="3.109375" style="1"/>
    <col min="7870" max="7870" customWidth="0" width="3.109375" style="1"/>
    <col min="7871" max="7871" customWidth="0" width="3.109375" style="1"/>
    <col min="7872" max="7872" customWidth="0" width="3.109375" style="1"/>
    <col min="7873" max="7873" customWidth="0" width="3.109375" style="1"/>
    <col min="7874" max="7874" customWidth="0" width="3.109375" style="1"/>
    <col min="7875" max="7875" customWidth="0" width="3.109375" style="1"/>
    <col min="7876" max="7876" customWidth="0" width="3.109375" style="1"/>
    <col min="7877" max="7877" customWidth="0" width="3.109375" style="1"/>
    <col min="7878" max="7878" customWidth="0" width="3.109375" style="1"/>
    <col min="7879" max="7879" customWidth="0" width="3.109375" style="1"/>
    <col min="7880" max="7880" customWidth="0" width="3.109375" style="1"/>
    <col min="7881" max="7881" customWidth="0" width="3.109375" style="1"/>
    <col min="7882" max="7882" customWidth="0" width="3.109375" style="1"/>
    <col min="7883" max="7883" customWidth="0" width="3.109375" style="1"/>
    <col min="7884" max="7884" customWidth="0" width="3.109375" style="1"/>
    <col min="7885" max="7885" customWidth="0" width="3.109375" style="1"/>
    <col min="7886" max="7886" customWidth="0" width="3.109375" style="1"/>
    <col min="7887" max="7887" customWidth="0" width="3.109375" style="1"/>
    <col min="7888" max="7888" customWidth="0" width="3.109375" style="1"/>
    <col min="7889" max="7889" customWidth="0" width="3.109375" style="1"/>
    <col min="7890" max="7890" customWidth="0" width="3.109375" style="1"/>
    <col min="7891" max="7891" customWidth="0" width="3.109375" style="1"/>
    <col min="7892" max="7892" customWidth="0" width="3.109375" style="1"/>
    <col min="7893" max="7893" customWidth="0" width="3.109375" style="1"/>
    <col min="7894" max="7894" customWidth="0" width="3.109375" style="1"/>
    <col min="7895" max="7895" customWidth="0" width="3.109375" style="1"/>
    <col min="7896" max="7896" customWidth="0" width="3.109375" style="1"/>
    <col min="7897" max="7897" customWidth="0" width="3.109375" style="1"/>
    <col min="7898" max="7898" customWidth="0" width="3.109375" style="1"/>
    <col min="7899" max="7899" customWidth="0" width="3.109375" style="1"/>
    <col min="7900" max="7900" customWidth="0" width="3.109375" style="1"/>
    <col min="7901" max="7901" customWidth="0" width="3.109375" style="1"/>
    <col min="7902" max="7902" customWidth="0" width="3.109375" style="1"/>
    <col min="7903" max="7903" customWidth="0" width="3.109375" style="1"/>
    <col min="7904" max="7904" customWidth="0" width="3.109375" style="1"/>
    <col min="7905" max="7905" customWidth="0" width="3.109375" style="1"/>
    <col min="7906" max="7906" customWidth="0" width="3.109375" style="1"/>
    <col min="7907" max="7907" customWidth="0" width="3.109375" style="1"/>
    <col min="7908" max="7908" customWidth="0" width="3.109375" style="1"/>
    <col min="7909" max="7909" customWidth="0" width="3.109375" style="1"/>
    <col min="7910" max="7910" customWidth="0" width="3.109375" style="1"/>
    <col min="7911" max="7911" customWidth="0" width="3.109375" style="1"/>
    <col min="7912" max="7912" customWidth="0" width="3.109375" style="1"/>
    <col min="7913" max="7913" customWidth="0" width="3.109375" style="1"/>
    <col min="7914" max="7914" customWidth="0" width="3.109375" style="1"/>
    <col min="7915" max="7915" customWidth="0" width="3.109375" style="1"/>
    <col min="7916" max="7916" customWidth="0" width="3.109375" style="1"/>
    <col min="7917" max="7917" customWidth="0" width="3.109375" style="1"/>
    <col min="7918" max="7918" customWidth="0" width="3.109375" style="1"/>
    <col min="7919" max="7919" customWidth="0" width="3.109375" style="1"/>
    <col min="7920" max="7920" customWidth="0" width="3.109375" style="1"/>
    <col min="7921" max="7921" customWidth="0" width="3.109375" style="1"/>
    <col min="7922" max="7922" customWidth="0" width="3.109375" style="1"/>
    <col min="7923" max="7923" customWidth="0" width="3.109375" style="1"/>
    <col min="7924" max="7924" customWidth="0" width="3.109375" style="1"/>
    <col min="7925" max="7925" customWidth="0" width="3.109375" style="1"/>
    <col min="7926" max="7926" customWidth="0" width="3.109375" style="1"/>
    <col min="7927" max="7927" customWidth="0" width="3.109375" style="1"/>
    <col min="7928" max="7928" customWidth="0" width="3.109375" style="1"/>
    <col min="7929" max="7929" customWidth="0" width="3.109375" style="1"/>
    <col min="7930" max="7930" customWidth="0" width="3.109375" style="1"/>
    <col min="7931" max="7931" customWidth="0" width="3.109375" style="1"/>
    <col min="7932" max="7932" customWidth="0" width="3.109375" style="1"/>
    <col min="7933" max="7933" customWidth="0" width="3.109375" style="1"/>
    <col min="7934" max="7934" customWidth="0" width="3.109375" style="1"/>
    <col min="7935" max="7935" customWidth="0" width="3.109375" style="1"/>
    <col min="7936" max="7936" customWidth="0" width="3.109375" style="1"/>
    <col min="7937" max="7937" customWidth="0" width="3.109375" style="1"/>
    <col min="7938" max="7938" customWidth="0" width="3.109375" style="1"/>
    <col min="7939" max="7939" customWidth="0" width="3.109375" style="1"/>
    <col min="7940" max="7940" customWidth="0" width="3.109375" style="1"/>
    <col min="7941" max="7941" customWidth="0" width="3.109375" style="1"/>
    <col min="7942" max="7942" customWidth="0" width="3.109375" style="1"/>
    <col min="7943" max="7943" customWidth="0" width="3.109375" style="1"/>
    <col min="7944" max="7944" customWidth="0" width="3.109375" style="1"/>
    <col min="7945" max="7945" customWidth="0" width="3.109375" style="1"/>
    <col min="7946" max="7946" customWidth="0" width="3.109375" style="1"/>
    <col min="7947" max="7947" customWidth="0" width="3.109375" style="1"/>
    <col min="7948" max="7948" customWidth="0" width="3.109375" style="1"/>
    <col min="7949" max="7949" customWidth="0" width="3.109375" style="1"/>
    <col min="7950" max="7950" customWidth="0" width="3.109375" style="1"/>
    <col min="7951" max="7951" customWidth="0" width="3.109375" style="1"/>
    <col min="7952" max="7952" customWidth="0" width="3.109375" style="1"/>
    <col min="7953" max="7953" customWidth="0" width="3.109375" style="1"/>
    <col min="7954" max="7954" customWidth="0" width="3.109375" style="1"/>
    <col min="7955" max="7955" customWidth="0" width="3.109375" style="1"/>
    <col min="7956" max="7956" customWidth="0" width="3.109375" style="1"/>
    <col min="7957" max="7957" customWidth="0" width="3.109375" style="1"/>
    <col min="7958" max="7958" customWidth="0" width="3.109375" style="1"/>
    <col min="7959" max="7959" customWidth="0" width="3.109375" style="1"/>
    <col min="7960" max="7960" customWidth="0" width="3.109375" style="1"/>
    <col min="7961" max="7961" customWidth="0" width="3.109375" style="1"/>
    <col min="7962" max="7962" customWidth="0" width="3.109375" style="1"/>
    <col min="7963" max="7963" customWidth="0" width="3.109375" style="1"/>
    <col min="7964" max="7964" customWidth="0" width="3.109375" style="1"/>
    <col min="7965" max="7965" customWidth="0" width="3.109375" style="1"/>
    <col min="7966" max="7966" customWidth="0" width="3.109375" style="1"/>
    <col min="7967" max="7967" customWidth="0" width="3.109375" style="1"/>
    <col min="7968" max="7968" customWidth="0" width="3.109375" style="1"/>
    <col min="7969" max="7969" customWidth="0" width="3.109375" style="1"/>
    <col min="7970" max="7970" customWidth="0" width="3.109375" style="1"/>
    <col min="7971" max="7971" customWidth="0" width="3.109375" style="1"/>
    <col min="7972" max="7972" customWidth="0" width="3.109375" style="1"/>
    <col min="7973" max="7973" customWidth="0" width="3.109375" style="1"/>
    <col min="7974" max="7974" customWidth="0" width="3.109375" style="1"/>
    <col min="7975" max="7975" customWidth="0" width="3.109375" style="1"/>
    <col min="7976" max="7976" customWidth="0" width="3.109375" style="1"/>
    <col min="7977" max="7977" customWidth="0" width="3.109375" style="1"/>
    <col min="7978" max="7978" customWidth="0" width="3.109375" style="1"/>
    <col min="7979" max="7979" customWidth="0" width="3.109375" style="1"/>
    <col min="7980" max="7980" customWidth="0" width="3.109375" style="1"/>
    <col min="7981" max="7981" customWidth="0" width="3.109375" style="1"/>
    <col min="7982" max="7982" customWidth="0" width="3.109375" style="1"/>
    <col min="7983" max="7983" customWidth="0" width="3.109375" style="1"/>
    <col min="7984" max="7984" customWidth="0" width="3.109375" style="1"/>
    <col min="7985" max="7985" customWidth="0" width="3.109375" style="1"/>
    <col min="7986" max="7986" customWidth="0" width="3.109375" style="1"/>
    <col min="7987" max="7987" customWidth="0" width="3.109375" style="1"/>
    <col min="7988" max="7988" customWidth="0" width="3.109375" style="1"/>
    <col min="7989" max="7989" customWidth="0" width="3.109375" style="1"/>
    <col min="7990" max="7990" customWidth="0" width="3.109375" style="1"/>
    <col min="7991" max="7991" customWidth="0" width="3.109375" style="1"/>
    <col min="7992" max="7992" customWidth="0" width="3.109375" style="1"/>
    <col min="7993" max="7993" customWidth="0" width="3.109375" style="1"/>
    <col min="7994" max="7994" customWidth="0" width="3.109375" style="1"/>
    <col min="7995" max="7995" customWidth="0" width="3.109375" style="1"/>
    <col min="7996" max="7996" customWidth="0" width="3.109375" style="1"/>
    <col min="7997" max="7997" customWidth="0" width="3.109375" style="1"/>
    <col min="7998" max="7998" customWidth="0" width="3.109375" style="1"/>
    <col min="7999" max="7999" customWidth="0" width="3.109375" style="1"/>
    <col min="8000" max="8000" customWidth="0" width="3.109375" style="1"/>
    <col min="8001" max="8001" customWidth="0" width="3.109375" style="1"/>
    <col min="8002" max="8002" customWidth="0" width="3.109375" style="1"/>
    <col min="8003" max="8003" customWidth="0" width="3.109375" style="1"/>
    <col min="8004" max="8004" customWidth="0" width="3.109375" style="1"/>
    <col min="8005" max="8005" customWidth="0" width="3.109375" style="1"/>
    <col min="8006" max="8006" customWidth="0" width="3.109375" style="1"/>
    <col min="8007" max="8007" customWidth="0" width="3.109375" style="1"/>
    <col min="8008" max="8008" customWidth="0" width="3.109375" style="1"/>
    <col min="8009" max="8009" customWidth="0" width="3.109375" style="1"/>
    <col min="8010" max="8010" customWidth="0" width="3.109375" style="1"/>
    <col min="8011" max="8011" customWidth="0" width="3.109375" style="1"/>
    <col min="8012" max="8012" customWidth="0" width="3.109375" style="1"/>
    <col min="8013" max="8013" customWidth="0" width="3.109375" style="1"/>
    <col min="8014" max="8014" customWidth="0" width="3.109375" style="1"/>
    <col min="8015" max="8015" customWidth="0" width="3.109375" style="1"/>
    <col min="8016" max="8016" customWidth="0" width="3.109375" style="1"/>
    <col min="8017" max="8017" customWidth="0" width="3.109375" style="1"/>
    <col min="8018" max="8018" customWidth="0" width="3.109375" style="1"/>
    <col min="8019" max="8019" customWidth="0" width="3.109375" style="1"/>
    <col min="8020" max="8020" customWidth="0" width="3.109375" style="1"/>
    <col min="8021" max="8021" customWidth="0" width="3.109375" style="1"/>
    <col min="8022" max="8022" customWidth="0" width="3.109375" style="1"/>
    <col min="8023" max="8023" customWidth="0" width="3.109375" style="1"/>
    <col min="8024" max="8024" customWidth="0" width="3.109375" style="1"/>
    <col min="8025" max="8025" customWidth="0" width="3.109375" style="1"/>
    <col min="8026" max="8026" customWidth="0" width="3.109375" style="1"/>
    <col min="8027" max="8027" customWidth="0" width="3.109375" style="1"/>
    <col min="8028" max="8028" customWidth="0" width="3.109375" style="1"/>
    <col min="8029" max="8029" customWidth="0" width="3.109375" style="1"/>
    <col min="8030" max="8030" customWidth="0" width="3.109375" style="1"/>
    <col min="8031" max="8031" customWidth="0" width="3.109375" style="1"/>
    <col min="8032" max="8032" customWidth="0" width="3.109375" style="1"/>
    <col min="8033" max="8033" customWidth="0" width="3.109375" style="1"/>
    <col min="8034" max="8034" customWidth="0" width="3.109375" style="1"/>
    <col min="8035" max="8035" customWidth="0" width="3.109375" style="1"/>
    <col min="8036" max="8036" customWidth="0" width="3.109375" style="1"/>
    <col min="8037" max="8037" customWidth="0" width="3.109375" style="1"/>
    <col min="8038" max="8038" customWidth="0" width="3.109375" style="1"/>
    <col min="8039" max="8039" customWidth="0" width="3.109375" style="1"/>
    <col min="8040" max="8040" customWidth="0" width="3.109375" style="1"/>
    <col min="8041" max="8041" customWidth="0" width="3.109375" style="1"/>
    <col min="8042" max="8042" customWidth="0" width="3.109375" style="1"/>
    <col min="8043" max="8043" customWidth="0" width="3.109375" style="1"/>
    <col min="8044" max="8044" customWidth="0" width="3.109375" style="1"/>
    <col min="8045" max="8045" customWidth="0" width="3.109375" style="1"/>
    <col min="8046" max="8046" customWidth="0" width="3.109375" style="1"/>
    <col min="8047" max="8047" customWidth="0" width="3.109375" style="1"/>
    <col min="8048" max="8048" customWidth="0" width="3.109375" style="1"/>
    <col min="8049" max="8049" customWidth="0" width="3.109375" style="1"/>
    <col min="8050" max="8050" customWidth="0" width="3.109375" style="1"/>
    <col min="8051" max="8051" customWidth="0" width="3.109375" style="1"/>
    <col min="8052" max="8052" customWidth="0" width="3.109375" style="1"/>
    <col min="8053" max="8053" customWidth="0" width="3.109375" style="1"/>
    <col min="8054" max="8054" customWidth="0" width="3.109375" style="1"/>
    <col min="8055" max="8055" customWidth="0" width="3.109375" style="1"/>
    <col min="8056" max="8056" customWidth="0" width="3.109375" style="1"/>
    <col min="8057" max="8057" customWidth="0" width="3.109375" style="1"/>
    <col min="8058" max="8058" customWidth="0" width="3.109375" style="1"/>
    <col min="8059" max="8059" customWidth="0" width="3.109375" style="1"/>
    <col min="8060" max="8060" customWidth="0" width="3.109375" style="1"/>
    <col min="8061" max="8061" customWidth="0" width="3.109375" style="1"/>
    <col min="8062" max="8062" customWidth="0" width="3.109375" style="1"/>
    <col min="8063" max="8063" customWidth="0" width="3.109375" style="1"/>
    <col min="8064" max="8064" customWidth="0" width="3.109375" style="1"/>
    <col min="8065" max="8065" customWidth="0" width="3.109375" style="1"/>
    <col min="8066" max="8066" customWidth="0" width="3.109375" style="1"/>
    <col min="8067" max="8067" customWidth="0" width="3.109375" style="1"/>
    <col min="8068" max="8068" customWidth="0" width="3.109375" style="1"/>
    <col min="8069" max="8069" customWidth="0" width="3.109375" style="1"/>
    <col min="8070" max="8070" customWidth="0" width="3.109375" style="1"/>
    <col min="8071" max="8071" customWidth="0" width="3.109375" style="1"/>
    <col min="8072" max="8072" customWidth="0" width="3.109375" style="1"/>
    <col min="8073" max="8073" customWidth="0" width="3.109375" style="1"/>
    <col min="8074" max="8074" customWidth="0" width="3.109375" style="1"/>
    <col min="8075" max="8075" customWidth="0" width="3.109375" style="1"/>
    <col min="8076" max="8076" customWidth="0" width="3.109375" style="1"/>
    <col min="8077" max="8077" customWidth="0" width="3.109375" style="1"/>
    <col min="8078" max="8078" customWidth="0" width="3.109375" style="1"/>
    <col min="8079" max="8079" customWidth="0" width="3.109375" style="1"/>
    <col min="8080" max="8080" customWidth="0" width="3.109375" style="1"/>
    <col min="8081" max="8081" customWidth="0" width="3.109375" style="1"/>
    <col min="8082" max="8082" customWidth="0" width="3.109375" style="1"/>
    <col min="8083" max="8083" customWidth="0" width="3.109375" style="1"/>
    <col min="8084" max="8084" customWidth="0" width="3.109375" style="1"/>
    <col min="8085" max="8085" customWidth="0" width="3.109375" style="1"/>
    <col min="8086" max="8086" customWidth="0" width="3.109375" style="1"/>
    <col min="8087" max="8087" customWidth="0" width="3.109375" style="1"/>
    <col min="8088" max="8088" customWidth="0" width="3.109375" style="1"/>
    <col min="8089" max="8089" customWidth="0" width="3.109375" style="1"/>
    <col min="8090" max="8090" customWidth="0" width="3.109375" style="1"/>
    <col min="8091" max="8091" customWidth="0" width="3.109375" style="1"/>
    <col min="8092" max="8092" customWidth="0" width="3.109375" style="1"/>
    <col min="8093" max="8093" customWidth="0" width="3.109375" style="1"/>
    <col min="8094" max="8094" customWidth="0" width="3.109375" style="1"/>
    <col min="8095" max="8095" customWidth="0" width="3.109375" style="1"/>
    <col min="8096" max="8096" customWidth="0" width="3.109375" style="1"/>
    <col min="8097" max="8097" customWidth="0" width="3.109375" style="1"/>
    <col min="8098" max="8098" customWidth="0" width="3.109375" style="1"/>
    <col min="8099" max="8099" customWidth="0" width="3.109375" style="1"/>
    <col min="8100" max="8100" customWidth="0" width="3.109375" style="1"/>
    <col min="8101" max="8101" customWidth="0" width="3.109375" style="1"/>
    <col min="8102" max="8102" customWidth="0" width="3.109375" style="1"/>
    <col min="8103" max="8103" customWidth="0" width="3.109375" style="1"/>
    <col min="8104" max="8104" customWidth="0" width="3.109375" style="1"/>
    <col min="8105" max="8105" customWidth="0" width="3.109375" style="1"/>
    <col min="8106" max="8106" customWidth="0" width="3.109375" style="1"/>
    <col min="8107" max="8107" customWidth="0" width="3.109375" style="1"/>
    <col min="8108" max="8108" customWidth="0" width="3.109375" style="1"/>
    <col min="8109" max="8109" customWidth="0" width="3.109375" style="1"/>
    <col min="8110" max="8110" customWidth="0" width="3.109375" style="1"/>
    <col min="8111" max="8111" customWidth="0" width="3.109375" style="1"/>
    <col min="8112" max="8112" customWidth="0" width="3.109375" style="1"/>
    <col min="8113" max="8113" customWidth="0" width="3.109375" style="1"/>
    <col min="8114" max="8114" customWidth="0" width="3.109375" style="1"/>
    <col min="8115" max="8115" customWidth="0" width="3.109375" style="1"/>
    <col min="8116" max="8116" customWidth="0" width="3.109375" style="1"/>
    <col min="8117" max="8117" customWidth="0" width="3.109375" style="1"/>
    <col min="8118" max="8118" customWidth="0" width="3.109375" style="1"/>
    <col min="8119" max="8119" customWidth="0" width="3.109375" style="1"/>
    <col min="8120" max="8120" customWidth="0" width="3.109375" style="1"/>
    <col min="8121" max="8121" customWidth="0" width="3.109375" style="1"/>
    <col min="8122" max="8122" customWidth="0" width="3.109375" style="1"/>
    <col min="8123" max="8123" customWidth="0" width="3.109375" style="1"/>
    <col min="8124" max="8124" customWidth="0" width="3.109375" style="1"/>
    <col min="8125" max="8125" customWidth="0" width="3.109375" style="1"/>
    <col min="8126" max="8126" customWidth="0" width="3.109375" style="1"/>
    <col min="8127" max="8127" customWidth="0" width="3.109375" style="1"/>
    <col min="8128" max="8128" customWidth="0" width="3.109375" style="1"/>
    <col min="8129" max="8129" customWidth="0" width="3.109375" style="1"/>
    <col min="8130" max="8130" customWidth="0" width="3.109375" style="1"/>
    <col min="8131" max="8131" customWidth="0" width="3.109375" style="1"/>
    <col min="8132" max="8132" customWidth="0" width="3.109375" style="1"/>
    <col min="8133" max="8133" customWidth="0" width="3.109375" style="1"/>
    <col min="8134" max="8134" customWidth="0" width="3.109375" style="1"/>
    <col min="8135" max="8135" customWidth="0" width="3.109375" style="1"/>
    <col min="8136" max="8136" customWidth="0" width="3.109375" style="1"/>
    <col min="8137" max="8137" customWidth="0" width="3.109375" style="1"/>
    <col min="8138" max="8138" customWidth="0" width="3.109375" style="1"/>
    <col min="8139" max="8139" customWidth="0" width="3.109375" style="1"/>
    <col min="8140" max="8140" customWidth="0" width="3.109375" style="1"/>
    <col min="8141" max="8141" customWidth="0" width="3.109375" style="1"/>
    <col min="8142" max="8142" customWidth="0" width="3.109375" style="1"/>
    <col min="8143" max="8143" customWidth="0" width="3.109375" style="1"/>
    <col min="8144" max="8144" customWidth="0" width="3.109375" style="1"/>
    <col min="8145" max="8145" customWidth="0" width="3.109375" style="1"/>
    <col min="8146" max="8146" customWidth="0" width="3.109375" style="1"/>
    <col min="8147" max="8147" customWidth="0" width="3.109375" style="1"/>
    <col min="8148" max="8148" customWidth="0" width="3.109375" style="1"/>
    <col min="8149" max="8149" customWidth="0" width="3.109375" style="1"/>
    <col min="8150" max="8150" customWidth="0" width="3.109375" style="1"/>
    <col min="8151" max="8151" customWidth="0" width="3.109375" style="1"/>
    <col min="8152" max="8152" customWidth="0" width="3.109375" style="1"/>
    <col min="8153" max="8153" customWidth="0" width="3.109375" style="1"/>
    <col min="8154" max="8154" customWidth="0" width="3.109375" style="1"/>
    <col min="8155" max="8155" customWidth="0" width="3.109375" style="1"/>
    <col min="8156" max="8156" customWidth="0" width="3.109375" style="1"/>
    <col min="8157" max="8157" customWidth="0" width="3.109375" style="1"/>
    <col min="8158" max="8158" customWidth="0" width="3.109375" style="1"/>
    <col min="8159" max="8159" customWidth="0" width="3.109375" style="1"/>
    <col min="8160" max="8160" customWidth="0" width="3.109375" style="1"/>
    <col min="8161" max="8161" customWidth="0" width="3.109375" style="1"/>
    <col min="8162" max="8162" customWidth="0" width="3.109375" style="1"/>
    <col min="8163" max="8163" customWidth="0" width="3.109375" style="1"/>
    <col min="8164" max="8164" customWidth="0" width="3.109375" style="1"/>
    <col min="8165" max="8165" customWidth="0" width="3.109375" style="1"/>
    <col min="8166" max="8166" customWidth="0" width="3.109375" style="1"/>
    <col min="8167" max="8167" customWidth="0" width="3.109375" style="1"/>
    <col min="8168" max="8168" customWidth="0" width="3.109375" style="1"/>
    <col min="8169" max="8169" customWidth="0" width="3.109375" style="1"/>
    <col min="8170" max="8170" customWidth="0" width="3.109375" style="1"/>
    <col min="8171" max="8171" customWidth="0" width="3.109375" style="1"/>
    <col min="8172" max="8172" customWidth="0" width="3.109375" style="1"/>
    <col min="8173" max="8173" customWidth="0" width="3.109375" style="1"/>
    <col min="8174" max="8174" customWidth="0" width="3.109375" style="1"/>
    <col min="8175" max="8175" customWidth="0" width="3.109375" style="1"/>
    <col min="8176" max="8176" customWidth="0" width="3.109375" style="1"/>
    <col min="8177" max="8177" customWidth="0" width="3.109375" style="1"/>
    <col min="8178" max="8178" customWidth="0" width="3.109375" style="1"/>
    <col min="8179" max="8179" customWidth="0" width="3.109375" style="1"/>
    <col min="8180" max="8180" customWidth="0" width="3.109375" style="1"/>
    <col min="8181" max="8181" customWidth="0" width="3.109375" style="1"/>
    <col min="8182" max="8182" customWidth="0" width="3.109375" style="1"/>
    <col min="8183" max="8183" customWidth="0" width="3.109375" style="1"/>
    <col min="8184" max="8184" customWidth="0" width="3.109375" style="1"/>
    <col min="8185" max="8185" customWidth="0" width="3.109375" style="1"/>
    <col min="8186" max="8186" customWidth="0" width="3.109375" style="1"/>
    <col min="8187" max="8187" customWidth="0" width="3.109375" style="1"/>
    <col min="8188" max="8188" customWidth="0" width="3.109375" style="1"/>
    <col min="8189" max="8189" customWidth="0" width="3.109375" style="1"/>
    <col min="8190" max="8190" customWidth="0" width="3.109375" style="1"/>
    <col min="8191" max="8191" customWidth="0" width="3.109375" style="1"/>
    <col min="8192" max="8192" customWidth="0" width="3.109375" style="1"/>
    <col min="8193" max="8193" customWidth="0" width="3.109375" style="1"/>
    <col min="8194" max="8194" customWidth="0" width="3.109375" style="1"/>
    <col min="8195" max="8195" customWidth="0" width="3.109375" style="1"/>
    <col min="8196" max="8196" customWidth="0" width="3.109375" style="1"/>
    <col min="8197" max="8197" customWidth="0" width="3.109375" style="1"/>
    <col min="8198" max="8198" customWidth="0" width="3.109375" style="1"/>
    <col min="8199" max="8199" customWidth="0" width="3.109375" style="1"/>
    <col min="8200" max="8200" customWidth="0" width="3.109375" style="1"/>
    <col min="8201" max="8201" customWidth="0" width="3.109375" style="1"/>
    <col min="8202" max="8202" customWidth="0" width="3.109375" style="1"/>
    <col min="8203" max="8203" customWidth="0" width="3.109375" style="1"/>
    <col min="8204" max="8204" customWidth="0" width="3.109375" style="1"/>
    <col min="8205" max="8205" customWidth="0" width="3.109375" style="1"/>
    <col min="8206" max="8206" customWidth="0" width="3.109375" style="1"/>
    <col min="8207" max="8207" customWidth="0" width="3.109375" style="1"/>
    <col min="8208" max="8208" customWidth="0" width="3.109375" style="1"/>
    <col min="8209" max="8209" customWidth="0" width="3.109375" style="1"/>
    <col min="8210" max="8210" customWidth="0" width="3.109375" style="1"/>
    <col min="8211" max="8211" customWidth="0" width="3.109375" style="1"/>
    <col min="8212" max="8212" customWidth="0" width="3.109375" style="1"/>
    <col min="8213" max="8213" customWidth="0" width="3.109375" style="1"/>
    <col min="8214" max="8214" customWidth="0" width="3.109375" style="1"/>
    <col min="8215" max="8215" customWidth="0" width="3.109375" style="1"/>
    <col min="8216" max="8216" customWidth="0" width="3.109375" style="1"/>
    <col min="8217" max="8217" customWidth="0" width="3.109375" style="1"/>
    <col min="8218" max="8218" customWidth="0" width="3.109375" style="1"/>
    <col min="8219" max="8219" customWidth="0" width="3.109375" style="1"/>
    <col min="8220" max="8220" customWidth="0" width="3.109375" style="1"/>
    <col min="8221" max="8221" customWidth="0" width="3.109375" style="1"/>
    <col min="8222" max="8222" customWidth="0" width="3.109375" style="1"/>
    <col min="8223" max="8223" customWidth="0" width="3.109375" style="1"/>
    <col min="8224" max="8224" customWidth="0" width="3.109375" style="1"/>
    <col min="8225" max="8225" customWidth="0" width="3.109375" style="1"/>
    <col min="8226" max="8226" customWidth="0" width="3.109375" style="1"/>
    <col min="8227" max="8227" customWidth="0" width="3.109375" style="1"/>
    <col min="8228" max="8228" customWidth="0" width="3.109375" style="1"/>
    <col min="8229" max="8229" customWidth="0" width="3.109375" style="1"/>
    <col min="8230" max="8230" customWidth="0" width="3.109375" style="1"/>
    <col min="8231" max="8231" customWidth="0" width="3.109375" style="1"/>
    <col min="8232" max="8232" customWidth="0" width="3.109375" style="1"/>
    <col min="8233" max="8233" customWidth="0" width="3.109375" style="1"/>
    <col min="8234" max="8234" customWidth="0" width="3.109375" style="1"/>
    <col min="8235" max="8235" customWidth="0" width="3.109375" style="1"/>
    <col min="8236" max="8236" customWidth="0" width="3.109375" style="1"/>
    <col min="8237" max="8237" customWidth="0" width="3.109375" style="1"/>
    <col min="8238" max="8238" customWidth="0" width="3.109375" style="1"/>
    <col min="8239" max="8239" customWidth="0" width="3.109375" style="1"/>
    <col min="8240" max="8240" customWidth="0" width="3.109375" style="1"/>
    <col min="8241" max="8241" customWidth="0" width="3.109375" style="1"/>
    <col min="8242" max="8242" customWidth="0" width="3.109375" style="1"/>
    <col min="8243" max="8243" customWidth="0" width="3.109375" style="1"/>
    <col min="8244" max="8244" customWidth="0" width="3.109375" style="1"/>
    <col min="8245" max="8245" customWidth="0" width="3.109375" style="1"/>
    <col min="8246" max="8246" customWidth="0" width="3.109375" style="1"/>
    <col min="8247" max="8247" customWidth="0" width="3.109375" style="1"/>
    <col min="8248" max="8248" customWidth="0" width="3.109375" style="1"/>
    <col min="8249" max="8249" customWidth="0" width="3.109375" style="1"/>
    <col min="8250" max="8250" customWidth="0" width="3.109375" style="1"/>
    <col min="8251" max="8251" customWidth="0" width="3.109375" style="1"/>
    <col min="8252" max="8252" customWidth="0" width="3.109375" style="1"/>
    <col min="8253" max="8253" customWidth="0" width="3.109375" style="1"/>
    <col min="8254" max="8254" customWidth="0" width="3.109375" style="1"/>
    <col min="8255" max="8255" customWidth="0" width="3.109375" style="1"/>
    <col min="8256" max="8256" customWidth="0" width="3.109375" style="1"/>
    <col min="8257" max="8257" customWidth="0" width="3.109375" style="1"/>
    <col min="8258" max="8258" customWidth="0" width="3.109375" style="1"/>
    <col min="8259" max="8259" customWidth="0" width="3.109375" style="1"/>
    <col min="8260" max="8260" customWidth="0" width="3.109375" style="1"/>
    <col min="8261" max="8261" customWidth="0" width="3.109375" style="1"/>
    <col min="8262" max="8262" customWidth="0" width="3.109375" style="1"/>
    <col min="8263" max="8263" customWidth="0" width="3.109375" style="1"/>
    <col min="8264" max="8264" customWidth="0" width="3.109375" style="1"/>
    <col min="8265" max="8265" customWidth="0" width="3.109375" style="1"/>
    <col min="8266" max="8266" customWidth="0" width="3.109375" style="1"/>
    <col min="8267" max="8267" customWidth="0" width="3.109375" style="1"/>
    <col min="8268" max="8268" customWidth="0" width="3.109375" style="1"/>
    <col min="8269" max="8269" customWidth="0" width="3.109375" style="1"/>
    <col min="8270" max="8270" customWidth="0" width="3.109375" style="1"/>
    <col min="8271" max="8271" customWidth="0" width="3.109375" style="1"/>
    <col min="8272" max="8272" customWidth="0" width="3.109375" style="1"/>
    <col min="8273" max="8273" customWidth="0" width="3.109375" style="1"/>
    <col min="8274" max="8274" customWidth="0" width="3.109375" style="1"/>
    <col min="8275" max="8275" customWidth="0" width="3.109375" style="1"/>
    <col min="8276" max="8276" customWidth="0" width="3.109375" style="1"/>
    <col min="8277" max="8277" customWidth="0" width="3.109375" style="1"/>
    <col min="8278" max="8278" customWidth="0" width="3.109375" style="1"/>
    <col min="8279" max="8279" customWidth="0" width="3.109375" style="1"/>
    <col min="8280" max="8280" customWidth="0" width="3.109375" style="1"/>
    <col min="8281" max="8281" customWidth="0" width="3.109375" style="1"/>
    <col min="8282" max="8282" customWidth="0" width="3.109375" style="1"/>
    <col min="8283" max="8283" customWidth="0" width="3.109375" style="1"/>
    <col min="8284" max="8284" customWidth="0" width="3.109375" style="1"/>
    <col min="8285" max="8285" customWidth="0" width="3.109375" style="1"/>
    <col min="8286" max="8286" customWidth="0" width="3.109375" style="1"/>
    <col min="8287" max="8287" customWidth="0" width="3.109375" style="1"/>
    <col min="8288" max="8288" customWidth="0" width="3.109375" style="1"/>
    <col min="8289" max="8289" customWidth="0" width="3.109375" style="1"/>
    <col min="8290" max="8290" customWidth="0" width="3.109375" style="1"/>
    <col min="8291" max="8291" customWidth="0" width="3.109375" style="1"/>
    <col min="8292" max="8292" customWidth="0" width="3.109375" style="1"/>
    <col min="8293" max="8293" customWidth="0" width="3.109375" style="1"/>
    <col min="8294" max="8294" customWidth="0" width="3.109375" style="1"/>
    <col min="8295" max="8295" customWidth="0" width="3.109375" style="1"/>
    <col min="8296" max="8296" customWidth="0" width="3.109375" style="1"/>
    <col min="8297" max="8297" customWidth="0" width="3.109375" style="1"/>
    <col min="8298" max="8298" customWidth="0" width="3.109375" style="1"/>
    <col min="8299" max="8299" customWidth="0" width="3.109375" style="1"/>
    <col min="8300" max="8300" customWidth="0" width="3.109375" style="1"/>
    <col min="8301" max="8301" customWidth="0" width="3.109375" style="1"/>
    <col min="8302" max="8302" customWidth="0" width="3.109375" style="1"/>
    <col min="8303" max="8303" customWidth="0" width="3.109375" style="1"/>
    <col min="8304" max="8304" customWidth="0" width="3.109375" style="1"/>
    <col min="8305" max="8305" customWidth="0" width="3.109375" style="1"/>
    <col min="8306" max="8306" customWidth="0" width="3.109375" style="1"/>
    <col min="8307" max="8307" customWidth="0" width="3.109375" style="1"/>
    <col min="8308" max="8308" customWidth="0" width="3.109375" style="1"/>
    <col min="8309" max="8309" customWidth="0" width="3.109375" style="1"/>
    <col min="8310" max="8310" customWidth="0" width="3.109375" style="1"/>
    <col min="8311" max="8311" customWidth="0" width="3.109375" style="1"/>
    <col min="8312" max="8312" customWidth="0" width="3.109375" style="1"/>
    <col min="8313" max="8313" customWidth="0" width="3.109375" style="1"/>
    <col min="8314" max="8314" customWidth="0" width="3.109375" style="1"/>
    <col min="8315" max="8315" customWidth="0" width="3.109375" style="1"/>
    <col min="8316" max="8316" customWidth="0" width="3.109375" style="1"/>
    <col min="8317" max="8317" customWidth="0" width="3.109375" style="1"/>
    <col min="8318" max="8318" customWidth="0" width="3.109375" style="1"/>
    <col min="8319" max="8319" customWidth="0" width="3.109375" style="1"/>
    <col min="8320" max="8320" customWidth="0" width="3.109375" style="1"/>
    <col min="8321" max="8321" customWidth="0" width="3.109375" style="1"/>
    <col min="8322" max="8322" customWidth="0" width="3.109375" style="1"/>
    <col min="8323" max="8323" customWidth="0" width="3.109375" style="1"/>
    <col min="8324" max="8324" customWidth="0" width="3.109375" style="1"/>
    <col min="8325" max="8325" customWidth="0" width="3.109375" style="1"/>
    <col min="8326" max="8326" customWidth="0" width="3.109375" style="1"/>
    <col min="8327" max="8327" customWidth="0" width="3.109375" style="1"/>
    <col min="8328" max="8328" customWidth="0" width="3.109375" style="1"/>
    <col min="8329" max="8329" customWidth="0" width="3.109375" style="1"/>
    <col min="8330" max="8330" customWidth="0" width="3.109375" style="1"/>
    <col min="8331" max="8331" customWidth="0" width="3.109375" style="1"/>
    <col min="8332" max="8332" customWidth="0" width="3.109375" style="1"/>
    <col min="8333" max="8333" customWidth="0" width="3.109375" style="1"/>
    <col min="8334" max="8334" customWidth="0" width="3.109375" style="1"/>
    <col min="8335" max="8335" customWidth="0" width="3.109375" style="1"/>
    <col min="8336" max="8336" customWidth="0" width="3.109375" style="1"/>
    <col min="8337" max="8337" customWidth="0" width="3.109375" style="1"/>
    <col min="8338" max="8338" customWidth="0" width="3.109375" style="1"/>
    <col min="8339" max="8339" customWidth="0" width="3.109375" style="1"/>
    <col min="8340" max="8340" customWidth="0" width="3.109375" style="1"/>
    <col min="8341" max="8341" customWidth="0" width="3.109375" style="1"/>
    <col min="8342" max="8342" customWidth="0" width="3.109375" style="1"/>
    <col min="8343" max="8343" customWidth="0" width="3.109375" style="1"/>
    <col min="8344" max="8344" customWidth="0" width="3.109375" style="1"/>
    <col min="8345" max="8345" customWidth="0" width="3.109375" style="1"/>
    <col min="8346" max="8346" customWidth="0" width="3.109375" style="1"/>
    <col min="8347" max="8347" customWidth="0" width="3.109375" style="1"/>
    <col min="8348" max="8348" customWidth="0" width="3.109375" style="1"/>
    <col min="8349" max="8349" customWidth="0" width="3.109375" style="1"/>
    <col min="8350" max="8350" customWidth="0" width="3.109375" style="1"/>
    <col min="8351" max="8351" customWidth="0" width="3.109375" style="1"/>
    <col min="8352" max="8352" customWidth="0" width="3.109375" style="1"/>
    <col min="8353" max="8353" customWidth="0" width="3.109375" style="1"/>
    <col min="8354" max="8354" customWidth="0" width="3.109375" style="1"/>
    <col min="8355" max="8355" customWidth="0" width="3.109375" style="1"/>
    <col min="8356" max="8356" customWidth="0" width="3.109375" style="1"/>
    <col min="8357" max="8357" customWidth="0" width="3.109375" style="1"/>
    <col min="8358" max="8358" customWidth="0" width="3.109375" style="1"/>
    <col min="8359" max="8359" customWidth="0" width="3.109375" style="1"/>
    <col min="8360" max="8360" customWidth="0" width="3.109375" style="1"/>
    <col min="8361" max="8361" customWidth="0" width="3.109375" style="1"/>
    <col min="8362" max="8362" customWidth="0" width="3.109375" style="1"/>
    <col min="8363" max="8363" customWidth="0" width="3.109375" style="1"/>
    <col min="8364" max="8364" customWidth="0" width="3.109375" style="1"/>
    <col min="8365" max="8365" customWidth="0" width="3.109375" style="1"/>
    <col min="8366" max="8366" customWidth="0" width="3.109375" style="1"/>
    <col min="8367" max="8367" customWidth="0" width="3.109375" style="1"/>
    <col min="8368" max="8368" customWidth="0" width="3.109375" style="1"/>
    <col min="8369" max="8369" customWidth="0" width="3.109375" style="1"/>
    <col min="8370" max="8370" customWidth="0" width="3.109375" style="1"/>
    <col min="8371" max="8371" customWidth="0" width="3.109375" style="1"/>
    <col min="8372" max="8372" customWidth="0" width="3.109375" style="1"/>
    <col min="8373" max="8373" customWidth="0" width="3.109375" style="1"/>
    <col min="8374" max="8374" customWidth="0" width="3.109375" style="1"/>
    <col min="8375" max="8375" customWidth="0" width="3.109375" style="1"/>
    <col min="8376" max="8376" customWidth="0" width="3.109375" style="1"/>
    <col min="8377" max="8377" customWidth="0" width="3.109375" style="1"/>
    <col min="8378" max="8378" customWidth="0" width="3.109375" style="1"/>
    <col min="8379" max="8379" customWidth="0" width="3.109375" style="1"/>
    <col min="8380" max="8380" customWidth="0" width="3.109375" style="1"/>
    <col min="8381" max="8381" customWidth="0" width="3.109375" style="1"/>
    <col min="8382" max="8382" customWidth="0" width="3.109375" style="1"/>
    <col min="8383" max="8383" customWidth="0" width="3.109375" style="1"/>
    <col min="8384" max="8384" customWidth="0" width="3.109375" style="1"/>
    <col min="8385" max="8385" customWidth="0" width="3.109375" style="1"/>
    <col min="8386" max="8386" customWidth="0" width="3.109375" style="1"/>
    <col min="8387" max="8387" customWidth="0" width="3.109375" style="1"/>
    <col min="8388" max="8388" customWidth="0" width="3.109375" style="1"/>
    <col min="8389" max="8389" customWidth="0" width="3.109375" style="1"/>
    <col min="8390" max="8390" customWidth="0" width="3.109375" style="1"/>
    <col min="8391" max="8391" customWidth="0" width="3.109375" style="1"/>
    <col min="8392" max="8392" customWidth="0" width="3.109375" style="1"/>
    <col min="8393" max="8393" customWidth="0" width="3.109375" style="1"/>
    <col min="8394" max="8394" customWidth="0" width="3.109375" style="1"/>
    <col min="8395" max="8395" customWidth="0" width="3.109375" style="1"/>
    <col min="8396" max="8396" customWidth="0" width="3.109375" style="1"/>
    <col min="8397" max="8397" customWidth="0" width="3.109375" style="1"/>
    <col min="8398" max="8398" customWidth="0" width="3.109375" style="1"/>
    <col min="8399" max="8399" customWidth="0" width="3.109375" style="1"/>
    <col min="8400" max="8400" customWidth="0" width="3.109375" style="1"/>
    <col min="8401" max="8401" customWidth="0" width="3.109375" style="1"/>
    <col min="8402" max="8402" customWidth="0" width="3.109375" style="1"/>
    <col min="8403" max="8403" customWidth="0" width="3.109375" style="1"/>
    <col min="8404" max="8404" customWidth="0" width="3.109375" style="1"/>
    <col min="8405" max="8405" customWidth="0" width="3.109375" style="1"/>
    <col min="8406" max="8406" customWidth="0" width="3.109375" style="1"/>
    <col min="8407" max="8407" customWidth="0" width="3.109375" style="1"/>
    <col min="8408" max="8408" customWidth="0" width="3.109375" style="1"/>
    <col min="8409" max="8409" customWidth="0" width="3.109375" style="1"/>
    <col min="8410" max="8410" customWidth="0" width="3.109375" style="1"/>
    <col min="8411" max="8411" customWidth="0" width="3.109375" style="1"/>
    <col min="8412" max="8412" customWidth="0" width="3.109375" style="1"/>
    <col min="8413" max="8413" customWidth="0" width="3.109375" style="1"/>
    <col min="8414" max="8414" customWidth="0" width="3.109375" style="1"/>
    <col min="8415" max="8415" customWidth="0" width="3.109375" style="1"/>
    <col min="8416" max="8416" customWidth="0" width="3.109375" style="1"/>
    <col min="8417" max="8417" customWidth="0" width="3.109375" style="1"/>
    <col min="8418" max="8418" customWidth="0" width="3.109375" style="1"/>
    <col min="8419" max="8419" customWidth="0" width="3.109375" style="1"/>
    <col min="8420" max="8420" customWidth="0" width="3.109375" style="1"/>
    <col min="8421" max="8421" customWidth="0" width="3.109375" style="1"/>
    <col min="8422" max="8422" customWidth="0" width="3.109375" style="1"/>
    <col min="8423" max="8423" customWidth="0" width="3.109375" style="1"/>
    <col min="8424" max="8424" customWidth="0" width="3.109375" style="1"/>
    <col min="8425" max="8425" customWidth="0" width="3.109375" style="1"/>
    <col min="8426" max="8426" customWidth="0" width="3.109375" style="1"/>
    <col min="8427" max="8427" customWidth="0" width="3.109375" style="1"/>
    <col min="8428" max="8428" customWidth="0" width="3.109375" style="1"/>
    <col min="8429" max="8429" customWidth="0" width="3.109375" style="1"/>
    <col min="8430" max="8430" customWidth="0" width="3.109375" style="1"/>
    <col min="8431" max="8431" customWidth="0" width="3.109375" style="1"/>
    <col min="8432" max="8432" customWidth="0" width="3.109375" style="1"/>
    <col min="8433" max="8433" customWidth="0" width="3.109375" style="1"/>
    <col min="8434" max="8434" customWidth="0" width="3.109375" style="1"/>
    <col min="8435" max="8435" customWidth="0" width="3.109375" style="1"/>
    <col min="8436" max="8436" customWidth="0" width="3.109375" style="1"/>
    <col min="8437" max="8437" customWidth="0" width="3.109375" style="1"/>
    <col min="8438" max="8438" customWidth="0" width="3.109375" style="1"/>
    <col min="8439" max="8439" customWidth="0" width="3.109375" style="1"/>
    <col min="8440" max="8440" customWidth="0" width="3.109375" style="1"/>
    <col min="8441" max="8441" customWidth="0" width="3.109375" style="1"/>
    <col min="8442" max="8442" customWidth="0" width="3.109375" style="1"/>
    <col min="8443" max="8443" customWidth="0" width="3.109375" style="1"/>
    <col min="8444" max="8444" customWidth="0" width="3.109375" style="1"/>
    <col min="8445" max="8445" customWidth="0" width="3.109375" style="1"/>
    <col min="8446" max="8446" customWidth="0" width="3.109375" style="1"/>
    <col min="8447" max="8447" customWidth="0" width="3.109375" style="1"/>
    <col min="8448" max="8448" customWidth="0" width="3.109375" style="1"/>
    <col min="8449" max="8449" customWidth="0" width="3.109375" style="1"/>
    <col min="8450" max="8450" customWidth="0" width="3.109375" style="1"/>
    <col min="8451" max="8451" customWidth="0" width="3.109375" style="1"/>
    <col min="8452" max="8452" customWidth="0" width="3.109375" style="1"/>
    <col min="8453" max="8453" customWidth="0" width="3.109375" style="1"/>
    <col min="8454" max="8454" customWidth="0" width="3.109375" style="1"/>
    <col min="8455" max="8455" customWidth="0" width="3.109375" style="1"/>
    <col min="8456" max="8456" customWidth="0" width="3.109375" style="1"/>
    <col min="8457" max="8457" customWidth="0" width="3.109375" style="1"/>
    <col min="8458" max="8458" customWidth="0" width="3.109375" style="1"/>
    <col min="8459" max="8459" customWidth="0" width="3.109375" style="1"/>
    <col min="8460" max="8460" customWidth="0" width="3.109375" style="1"/>
    <col min="8461" max="8461" customWidth="0" width="3.109375" style="1"/>
    <col min="8462" max="8462" customWidth="0" width="3.109375" style="1"/>
    <col min="8463" max="8463" customWidth="0" width="3.109375" style="1"/>
    <col min="8464" max="8464" customWidth="0" width="3.109375" style="1"/>
    <col min="8465" max="8465" customWidth="0" width="3.109375" style="1"/>
    <col min="8466" max="8466" customWidth="0" width="3.109375" style="1"/>
    <col min="8467" max="8467" customWidth="0" width="3.109375" style="1"/>
    <col min="8468" max="8468" customWidth="0" width="3.109375" style="1"/>
    <col min="8469" max="8469" customWidth="0" width="3.109375" style="1"/>
    <col min="8470" max="8470" customWidth="0" width="3.109375" style="1"/>
    <col min="8471" max="8471" customWidth="0" width="3.109375" style="1"/>
    <col min="8472" max="8472" customWidth="0" width="3.109375" style="1"/>
    <col min="8473" max="8473" customWidth="0" width="3.109375" style="1"/>
    <col min="8474" max="8474" customWidth="0" width="3.109375" style="1"/>
    <col min="8475" max="8475" customWidth="0" width="3.109375" style="1"/>
    <col min="8476" max="8476" customWidth="0" width="3.109375" style="1"/>
    <col min="8477" max="8477" customWidth="0" width="3.109375" style="1"/>
    <col min="8478" max="8478" customWidth="0" width="3.109375" style="1"/>
    <col min="8479" max="8479" customWidth="0" width="3.109375" style="1"/>
    <col min="8480" max="8480" customWidth="0" width="3.109375" style="1"/>
    <col min="8481" max="8481" customWidth="0" width="3.109375" style="1"/>
    <col min="8482" max="8482" customWidth="0" width="3.109375" style="1"/>
    <col min="8483" max="8483" customWidth="0" width="3.109375" style="1"/>
    <col min="8484" max="8484" customWidth="0" width="3.109375" style="1"/>
    <col min="8485" max="8485" customWidth="0" width="3.109375" style="1"/>
    <col min="8486" max="8486" customWidth="0" width="3.109375" style="1"/>
    <col min="8487" max="8487" customWidth="0" width="3.109375" style="1"/>
    <col min="8488" max="8488" customWidth="0" width="3.109375" style="1"/>
    <col min="8489" max="8489" customWidth="0" width="3.109375" style="1"/>
    <col min="8490" max="8490" customWidth="0" width="3.109375" style="1"/>
    <col min="8491" max="8491" customWidth="0" width="3.109375" style="1"/>
    <col min="8492" max="8492" customWidth="0" width="3.109375" style="1"/>
    <col min="8493" max="8493" customWidth="0" width="3.109375" style="1"/>
    <col min="8494" max="8494" customWidth="0" width="3.109375" style="1"/>
    <col min="8495" max="8495" customWidth="0" width="3.109375" style="1"/>
    <col min="8496" max="8496" customWidth="0" width="3.109375" style="1"/>
    <col min="8497" max="8497" customWidth="0" width="3.109375" style="1"/>
    <col min="8498" max="8498" customWidth="0" width="3.109375" style="1"/>
    <col min="8499" max="8499" customWidth="0" width="3.109375" style="1"/>
    <col min="8500" max="8500" customWidth="0" width="3.109375" style="1"/>
    <col min="8501" max="8501" customWidth="0" width="3.109375" style="1"/>
    <col min="8502" max="8502" customWidth="0" width="3.109375" style="1"/>
    <col min="8503" max="8503" customWidth="0" width="3.109375" style="1"/>
    <col min="8504" max="8504" customWidth="0" width="3.109375" style="1"/>
    <col min="8505" max="8505" customWidth="0" width="3.109375" style="1"/>
    <col min="8506" max="8506" customWidth="0" width="3.109375" style="1"/>
    <col min="8507" max="8507" customWidth="0" width="3.109375" style="1"/>
    <col min="8508" max="8508" customWidth="0" width="3.109375" style="1"/>
    <col min="8509" max="8509" customWidth="0" width="3.109375" style="1"/>
    <col min="8510" max="8510" customWidth="0" width="3.109375" style="1"/>
    <col min="8511" max="8511" customWidth="0" width="3.109375" style="1"/>
    <col min="8512" max="8512" customWidth="0" width="3.109375" style="1"/>
    <col min="8513" max="8513" customWidth="0" width="3.109375" style="1"/>
    <col min="8514" max="8514" customWidth="0" width="3.109375" style="1"/>
    <col min="8515" max="8515" customWidth="0" width="3.109375" style="1"/>
    <col min="8516" max="8516" customWidth="0" width="3.109375" style="1"/>
    <col min="8517" max="8517" customWidth="0" width="3.109375" style="1"/>
    <col min="8518" max="8518" customWidth="0" width="3.109375" style="1"/>
    <col min="8519" max="8519" customWidth="0" width="3.109375" style="1"/>
    <col min="8520" max="8520" customWidth="0" width="3.109375" style="1"/>
    <col min="8521" max="8521" customWidth="0" width="3.109375" style="1"/>
    <col min="8522" max="8522" customWidth="0" width="3.109375" style="1"/>
    <col min="8523" max="8523" customWidth="0" width="3.109375" style="1"/>
    <col min="8524" max="8524" customWidth="0" width="3.109375" style="1"/>
    <col min="8525" max="8525" customWidth="0" width="3.109375" style="1"/>
    <col min="8526" max="8526" customWidth="0" width="3.109375" style="1"/>
    <col min="8527" max="8527" customWidth="0" width="3.109375" style="1"/>
    <col min="8528" max="8528" customWidth="0" width="3.109375" style="1"/>
    <col min="8529" max="8529" customWidth="0" width="3.109375" style="1"/>
    <col min="8530" max="8530" customWidth="0" width="3.109375" style="1"/>
    <col min="8531" max="8531" customWidth="0" width="3.109375" style="1"/>
    <col min="8532" max="8532" customWidth="0" width="3.109375" style="1"/>
    <col min="8533" max="8533" customWidth="0" width="3.109375" style="1"/>
    <col min="8534" max="8534" customWidth="0" width="3.109375" style="1"/>
    <col min="8535" max="8535" customWidth="0" width="3.109375" style="1"/>
    <col min="8536" max="8536" customWidth="0" width="3.109375" style="1"/>
    <col min="8537" max="8537" customWidth="0" width="3.109375" style="1"/>
    <col min="8538" max="8538" customWidth="0" width="3.109375" style="1"/>
    <col min="8539" max="8539" customWidth="0" width="3.109375" style="1"/>
    <col min="8540" max="8540" customWidth="0" width="3.109375" style="1"/>
    <col min="8541" max="8541" customWidth="0" width="3.109375" style="1"/>
    <col min="8542" max="8542" customWidth="0" width="3.109375" style="1"/>
    <col min="8543" max="8543" customWidth="0" width="3.109375" style="1"/>
    <col min="8544" max="8544" customWidth="0" width="3.109375" style="1"/>
    <col min="8545" max="8545" customWidth="0" width="3.109375" style="1"/>
    <col min="8546" max="8546" customWidth="0" width="3.109375" style="1"/>
    <col min="8547" max="8547" customWidth="0" width="3.109375" style="1"/>
    <col min="8548" max="8548" customWidth="0" width="3.109375" style="1"/>
    <col min="8549" max="8549" customWidth="0" width="3.109375" style="1"/>
    <col min="8550" max="8550" customWidth="0" width="3.109375" style="1"/>
    <col min="8551" max="8551" customWidth="0" width="3.109375" style="1"/>
    <col min="8552" max="8552" customWidth="0" width="3.109375" style="1"/>
    <col min="8553" max="8553" customWidth="0" width="3.109375" style="1"/>
    <col min="8554" max="8554" customWidth="0" width="3.109375" style="1"/>
    <col min="8555" max="8555" customWidth="0" width="3.109375" style="1"/>
    <col min="8556" max="8556" customWidth="0" width="3.109375" style="1"/>
    <col min="8557" max="8557" customWidth="0" width="3.109375" style="1"/>
    <col min="8558" max="8558" customWidth="0" width="3.109375" style="1"/>
    <col min="8559" max="8559" customWidth="0" width="3.109375" style="1"/>
    <col min="8560" max="8560" customWidth="0" width="3.109375" style="1"/>
    <col min="8561" max="8561" customWidth="0" width="3.109375" style="1"/>
    <col min="8562" max="8562" customWidth="0" width="3.109375" style="1"/>
    <col min="8563" max="8563" customWidth="0" width="3.109375" style="1"/>
    <col min="8564" max="8564" customWidth="0" width="3.109375" style="1"/>
    <col min="8565" max="8565" customWidth="0" width="3.109375" style="1"/>
    <col min="8566" max="8566" customWidth="0" width="3.109375" style="1"/>
    <col min="8567" max="8567" customWidth="0" width="3.109375" style="1"/>
    <col min="8568" max="8568" customWidth="0" width="3.109375" style="1"/>
    <col min="8569" max="8569" customWidth="0" width="3.109375" style="1"/>
    <col min="8570" max="8570" customWidth="0" width="3.109375" style="1"/>
    <col min="8571" max="8571" customWidth="0" width="3.109375" style="1"/>
    <col min="8572" max="8572" customWidth="0" width="3.109375" style="1"/>
    <col min="8573" max="8573" customWidth="0" width="3.109375" style="1"/>
    <col min="8574" max="8574" customWidth="0" width="3.109375" style="1"/>
    <col min="8575" max="8575" customWidth="0" width="3.109375" style="1"/>
    <col min="8576" max="8576" customWidth="0" width="3.109375" style="1"/>
    <col min="8577" max="8577" customWidth="0" width="3.109375" style="1"/>
    <col min="8578" max="8578" customWidth="0" width="3.109375" style="1"/>
    <col min="8579" max="8579" customWidth="0" width="3.109375" style="1"/>
    <col min="8580" max="8580" customWidth="0" width="3.109375" style="1"/>
    <col min="8581" max="8581" customWidth="0" width="3.109375" style="1"/>
    <col min="8582" max="8582" customWidth="0" width="3.109375" style="1"/>
    <col min="8583" max="8583" customWidth="0" width="3.109375" style="1"/>
    <col min="8584" max="8584" customWidth="0" width="3.109375" style="1"/>
    <col min="8585" max="8585" customWidth="0" width="3.109375" style="1"/>
    <col min="8586" max="8586" customWidth="0" width="3.109375" style="1"/>
    <col min="8587" max="8587" customWidth="0" width="3.109375" style="1"/>
    <col min="8588" max="8588" customWidth="0" width="3.109375" style="1"/>
    <col min="8589" max="8589" customWidth="0" width="3.109375" style="1"/>
    <col min="8590" max="8590" customWidth="0" width="3.109375" style="1"/>
    <col min="8591" max="8591" customWidth="0" width="3.109375" style="1"/>
    <col min="8592" max="8592" customWidth="0" width="3.109375" style="1"/>
    <col min="8593" max="8593" customWidth="0" width="3.109375" style="1"/>
    <col min="8594" max="8594" customWidth="0" width="3.109375" style="1"/>
    <col min="8595" max="8595" customWidth="0" width="3.109375" style="1"/>
    <col min="8596" max="8596" customWidth="0" width="3.109375" style="1"/>
    <col min="8597" max="8597" customWidth="0" width="3.109375" style="1"/>
    <col min="8598" max="8598" customWidth="0" width="3.109375" style="1"/>
    <col min="8599" max="8599" customWidth="0" width="3.109375" style="1"/>
    <col min="8600" max="8600" customWidth="0" width="3.109375" style="1"/>
    <col min="8601" max="8601" customWidth="0" width="3.109375" style="1"/>
    <col min="8602" max="8602" customWidth="0" width="3.109375" style="1"/>
    <col min="8603" max="8603" customWidth="0" width="3.109375" style="1"/>
    <col min="8604" max="8604" customWidth="0" width="3.109375" style="1"/>
    <col min="8605" max="8605" customWidth="0" width="3.109375" style="1"/>
    <col min="8606" max="8606" customWidth="0" width="3.109375" style="1"/>
    <col min="8607" max="8607" customWidth="0" width="3.109375" style="1"/>
    <col min="8608" max="8608" customWidth="0" width="3.109375" style="1"/>
    <col min="8609" max="8609" customWidth="0" width="3.109375" style="1"/>
    <col min="8610" max="8610" customWidth="0" width="3.109375" style="1"/>
    <col min="8611" max="8611" customWidth="0" width="3.109375" style="1"/>
    <col min="8612" max="8612" customWidth="0" width="3.109375" style="1"/>
    <col min="8613" max="8613" customWidth="0" width="3.109375" style="1"/>
    <col min="8614" max="8614" customWidth="0" width="3.109375" style="1"/>
    <col min="8615" max="8615" customWidth="0" width="3.109375" style="1"/>
    <col min="8616" max="8616" customWidth="0" width="3.109375" style="1"/>
    <col min="8617" max="8617" customWidth="0" width="3.109375" style="1"/>
    <col min="8618" max="8618" customWidth="0" width="3.109375" style="1"/>
    <col min="8619" max="8619" customWidth="0" width="3.109375" style="1"/>
    <col min="8620" max="8620" customWidth="0" width="3.109375" style="1"/>
    <col min="8621" max="8621" customWidth="0" width="3.109375" style="1"/>
    <col min="8622" max="8622" customWidth="0" width="3.109375" style="1"/>
    <col min="8623" max="8623" customWidth="0" width="3.109375" style="1"/>
    <col min="8624" max="8624" customWidth="0" width="3.109375" style="1"/>
    <col min="8625" max="8625" customWidth="0" width="3.109375" style="1"/>
    <col min="8626" max="8626" customWidth="0" width="3.109375" style="1"/>
    <col min="8627" max="8627" customWidth="0" width="3.109375" style="1"/>
    <col min="8628" max="8628" customWidth="0" width="3.109375" style="1"/>
    <col min="8629" max="8629" customWidth="0" width="3.109375" style="1"/>
    <col min="8630" max="8630" customWidth="0" width="3.109375" style="1"/>
    <col min="8631" max="8631" customWidth="0" width="3.109375" style="1"/>
    <col min="8632" max="8632" customWidth="0" width="3.109375" style="1"/>
    <col min="8633" max="8633" customWidth="0" width="3.109375" style="1"/>
    <col min="8634" max="8634" customWidth="0" width="3.109375" style="1"/>
    <col min="8635" max="8635" customWidth="0" width="3.109375" style="1"/>
    <col min="8636" max="8636" customWidth="0" width="3.109375" style="1"/>
    <col min="8637" max="8637" customWidth="0" width="3.109375" style="1"/>
    <col min="8638" max="8638" customWidth="0" width="3.109375" style="1"/>
    <col min="8639" max="8639" customWidth="0" width="3.109375" style="1"/>
    <col min="8640" max="8640" customWidth="0" width="3.109375" style="1"/>
    <col min="8641" max="8641" customWidth="0" width="3.109375" style="1"/>
    <col min="8642" max="8642" customWidth="0" width="3.109375" style="1"/>
    <col min="8643" max="8643" customWidth="0" width="3.109375" style="1"/>
    <col min="8644" max="8644" customWidth="0" width="3.109375" style="1"/>
    <col min="8645" max="8645" customWidth="0" width="3.109375" style="1"/>
    <col min="8646" max="8646" customWidth="0" width="3.109375" style="1"/>
    <col min="8647" max="8647" customWidth="0" width="3.109375" style="1"/>
    <col min="8648" max="8648" customWidth="0" width="3.109375" style="1"/>
    <col min="8649" max="8649" customWidth="0" width="3.109375" style="1"/>
    <col min="8650" max="8650" customWidth="0" width="3.109375" style="1"/>
    <col min="8651" max="8651" customWidth="0" width="3.109375" style="1"/>
    <col min="8652" max="8652" customWidth="0" width="3.109375" style="1"/>
    <col min="8653" max="8653" customWidth="0" width="3.109375" style="1"/>
    <col min="8654" max="8654" customWidth="0" width="3.109375" style="1"/>
    <col min="8655" max="8655" customWidth="0" width="3.109375" style="1"/>
    <col min="8656" max="8656" customWidth="0" width="3.109375" style="1"/>
    <col min="8657" max="8657" customWidth="0" width="3.109375" style="1"/>
    <col min="8658" max="8658" customWidth="0" width="3.109375" style="1"/>
    <col min="8659" max="8659" customWidth="0" width="3.109375" style="1"/>
    <col min="8660" max="8660" customWidth="0" width="3.109375" style="1"/>
    <col min="8661" max="8661" customWidth="0" width="3.109375" style="1"/>
    <col min="8662" max="8662" customWidth="0" width="3.109375" style="1"/>
    <col min="8663" max="8663" customWidth="0" width="3.109375" style="1"/>
    <col min="8664" max="8664" customWidth="0" width="3.109375" style="1"/>
    <col min="8665" max="8665" customWidth="0" width="3.109375" style="1"/>
    <col min="8666" max="8666" customWidth="0" width="3.109375" style="1"/>
    <col min="8667" max="8667" customWidth="0" width="3.109375" style="1"/>
    <col min="8668" max="8668" customWidth="0" width="3.109375" style="1"/>
    <col min="8669" max="8669" customWidth="0" width="3.109375" style="1"/>
    <col min="8670" max="8670" customWidth="0" width="3.109375" style="1"/>
    <col min="8671" max="8671" customWidth="0" width="3.109375" style="1"/>
    <col min="8672" max="8672" customWidth="0" width="3.109375" style="1"/>
    <col min="8673" max="8673" customWidth="0" width="3.109375" style="1"/>
    <col min="8674" max="8674" customWidth="0" width="3.109375" style="1"/>
    <col min="8675" max="8675" customWidth="0" width="3.109375" style="1"/>
    <col min="8676" max="8676" customWidth="0" width="3.109375" style="1"/>
    <col min="8677" max="8677" customWidth="0" width="3.109375" style="1"/>
    <col min="8678" max="8678" customWidth="0" width="3.109375" style="1"/>
    <col min="8679" max="8679" customWidth="0" width="3.109375" style="1"/>
    <col min="8680" max="8680" customWidth="0" width="3.109375" style="1"/>
    <col min="8681" max="8681" customWidth="0" width="3.109375" style="1"/>
    <col min="8682" max="8682" customWidth="0" width="3.109375" style="1"/>
    <col min="8683" max="8683" customWidth="0" width="3.109375" style="1"/>
    <col min="8684" max="8684" customWidth="0" width="3.109375" style="1"/>
    <col min="8685" max="8685" customWidth="0" width="3.109375" style="1"/>
    <col min="8686" max="8686" customWidth="0" width="3.109375" style="1"/>
    <col min="8687" max="8687" customWidth="0" width="3.109375" style="1"/>
    <col min="8688" max="8688" customWidth="0" width="3.109375" style="1"/>
    <col min="8689" max="8689" customWidth="0" width="3.109375" style="1"/>
    <col min="8690" max="8690" customWidth="0" width="3.109375" style="1"/>
    <col min="8691" max="8691" customWidth="0" width="3.109375" style="1"/>
    <col min="8692" max="8692" customWidth="0" width="3.109375" style="1"/>
    <col min="8693" max="8693" customWidth="0" width="3.109375" style="1"/>
    <col min="8694" max="8694" customWidth="0" width="3.109375" style="1"/>
    <col min="8695" max="8695" customWidth="0" width="3.109375" style="1"/>
    <col min="8696" max="8696" customWidth="0" width="3.109375" style="1"/>
    <col min="8697" max="8697" customWidth="0" width="3.109375" style="1"/>
    <col min="8698" max="8698" customWidth="0" width="3.109375" style="1"/>
    <col min="8699" max="8699" customWidth="0" width="3.109375" style="1"/>
    <col min="8700" max="8700" customWidth="0" width="3.109375" style="1"/>
    <col min="8701" max="8701" customWidth="0" width="3.109375" style="1"/>
    <col min="8702" max="8702" customWidth="0" width="3.109375" style="1"/>
    <col min="8703" max="8703" customWidth="0" width="3.109375" style="1"/>
    <col min="8704" max="8704" customWidth="0" width="3.109375" style="1"/>
    <col min="8705" max="8705" customWidth="0" width="3.109375" style="1"/>
    <col min="8706" max="8706" customWidth="0" width="3.109375" style="1"/>
    <col min="8707" max="8707" customWidth="0" width="3.109375" style="1"/>
    <col min="8708" max="8708" customWidth="0" width="3.109375" style="1"/>
    <col min="8709" max="8709" customWidth="0" width="3.109375" style="1"/>
    <col min="8710" max="8710" customWidth="0" width="3.109375" style="1"/>
    <col min="8711" max="8711" customWidth="0" width="3.109375" style="1"/>
    <col min="8712" max="8712" customWidth="0" width="3.109375" style="1"/>
    <col min="8713" max="8713" customWidth="0" width="3.109375" style="1"/>
    <col min="8714" max="8714" customWidth="0" width="3.109375" style="1"/>
    <col min="8715" max="8715" customWidth="0" width="3.109375" style="1"/>
    <col min="8716" max="8716" customWidth="0" width="3.109375" style="1"/>
    <col min="8717" max="8717" customWidth="0" width="3.109375" style="1"/>
    <col min="8718" max="8718" customWidth="0" width="3.109375" style="1"/>
    <col min="8719" max="8719" customWidth="0" width="3.109375" style="1"/>
    <col min="8720" max="8720" customWidth="0" width="3.109375" style="1"/>
    <col min="8721" max="8721" customWidth="0" width="3.109375" style="1"/>
    <col min="8722" max="8722" customWidth="0" width="3.109375" style="1"/>
    <col min="8723" max="8723" customWidth="0" width="3.109375" style="1"/>
    <col min="8724" max="8724" customWidth="0" width="3.109375" style="1"/>
    <col min="8725" max="8725" customWidth="0" width="3.109375" style="1"/>
    <col min="8726" max="8726" customWidth="0" width="3.109375" style="1"/>
    <col min="8727" max="8727" customWidth="0" width="3.109375" style="1"/>
    <col min="8728" max="8728" customWidth="0" width="3.109375" style="1"/>
    <col min="8729" max="8729" customWidth="0" width="3.109375" style="1"/>
    <col min="8730" max="8730" customWidth="0" width="3.109375" style="1"/>
    <col min="8731" max="8731" customWidth="0" width="3.109375" style="1"/>
    <col min="8732" max="8732" customWidth="0" width="3.109375" style="1"/>
    <col min="8733" max="8733" customWidth="0" width="3.109375" style="1"/>
    <col min="8734" max="8734" customWidth="0" width="3.109375" style="1"/>
    <col min="8735" max="8735" customWidth="0" width="3.109375" style="1"/>
    <col min="8736" max="8736" customWidth="0" width="3.109375" style="1"/>
    <col min="8737" max="8737" customWidth="0" width="3.109375" style="1"/>
    <col min="8738" max="8738" customWidth="0" width="3.109375" style="1"/>
    <col min="8739" max="8739" customWidth="0" width="3.109375" style="1"/>
    <col min="8740" max="8740" customWidth="0" width="3.109375" style="1"/>
    <col min="8741" max="8741" customWidth="0" width="3.109375" style="1"/>
    <col min="8742" max="8742" customWidth="0" width="3.109375" style="1"/>
    <col min="8743" max="8743" customWidth="0" width="3.109375" style="1"/>
    <col min="8744" max="8744" customWidth="0" width="3.109375" style="1"/>
    <col min="8745" max="8745" customWidth="0" width="3.109375" style="1"/>
    <col min="8746" max="8746" customWidth="0" width="3.109375" style="1"/>
    <col min="8747" max="8747" customWidth="0" width="3.109375" style="1"/>
    <col min="8748" max="8748" customWidth="0" width="3.109375" style="1"/>
    <col min="8749" max="8749" customWidth="0" width="3.109375" style="1"/>
    <col min="8750" max="8750" customWidth="0" width="3.109375" style="1"/>
    <col min="8751" max="8751" customWidth="0" width="3.109375" style="1"/>
    <col min="8752" max="8752" customWidth="0" width="3.109375" style="1"/>
    <col min="8753" max="8753" customWidth="0" width="3.109375" style="1"/>
    <col min="8754" max="8754" customWidth="0" width="3.109375" style="1"/>
    <col min="8755" max="8755" customWidth="0" width="3.109375" style="1"/>
    <col min="8756" max="8756" customWidth="0" width="3.109375" style="1"/>
    <col min="8757" max="8757" customWidth="0" width="3.109375" style="1"/>
    <col min="8758" max="8758" customWidth="0" width="3.109375" style="1"/>
    <col min="8759" max="8759" customWidth="0" width="3.109375" style="1"/>
    <col min="8760" max="8760" customWidth="0" width="3.109375" style="1"/>
    <col min="8761" max="8761" customWidth="0" width="3.109375" style="1"/>
    <col min="8762" max="8762" customWidth="0" width="3.109375" style="1"/>
    <col min="8763" max="8763" customWidth="0" width="3.109375" style="1"/>
    <col min="8764" max="8764" customWidth="0" width="3.109375" style="1"/>
    <col min="8765" max="8765" customWidth="0" width="3.109375" style="1"/>
    <col min="8766" max="8766" customWidth="0" width="3.109375" style="1"/>
    <col min="8767" max="8767" customWidth="0" width="3.109375" style="1"/>
    <col min="8768" max="8768" customWidth="0" width="3.109375" style="1"/>
    <col min="8769" max="8769" customWidth="0" width="3.109375" style="1"/>
    <col min="8770" max="8770" customWidth="0" width="3.109375" style="1"/>
    <col min="8771" max="8771" customWidth="0" width="3.109375" style="1"/>
    <col min="8772" max="8772" customWidth="0" width="3.109375" style="1"/>
    <col min="8773" max="8773" customWidth="0" width="3.109375" style="1"/>
    <col min="8774" max="8774" customWidth="0" width="3.109375" style="1"/>
    <col min="8775" max="8775" customWidth="0" width="3.109375" style="1"/>
    <col min="8776" max="8776" customWidth="0" width="3.109375" style="1"/>
    <col min="8777" max="8777" customWidth="0" width="3.109375" style="1"/>
    <col min="8778" max="8778" customWidth="0" width="3.109375" style="1"/>
    <col min="8779" max="8779" customWidth="0" width="3.109375" style="1"/>
    <col min="8780" max="8780" customWidth="0" width="3.109375" style="1"/>
    <col min="8781" max="8781" customWidth="0" width="3.109375" style="1"/>
    <col min="8782" max="8782" customWidth="0" width="3.109375" style="1"/>
    <col min="8783" max="8783" customWidth="0" width="3.109375" style="1"/>
    <col min="8784" max="8784" customWidth="0" width="3.109375" style="1"/>
    <col min="8785" max="8785" customWidth="0" width="3.109375" style="1"/>
    <col min="8786" max="8786" customWidth="0" width="3.109375" style="1"/>
    <col min="8787" max="8787" customWidth="0" width="3.109375" style="1"/>
    <col min="8788" max="8788" customWidth="0" width="3.109375" style="1"/>
    <col min="8789" max="8789" customWidth="0" width="3.109375" style="1"/>
    <col min="8790" max="8790" customWidth="0" width="3.109375" style="1"/>
    <col min="8791" max="8791" customWidth="0" width="3.109375" style="1"/>
    <col min="8792" max="8792" customWidth="0" width="3.109375" style="1"/>
    <col min="8793" max="8793" customWidth="0" width="3.109375" style="1"/>
    <col min="8794" max="8794" customWidth="0" width="3.109375" style="1"/>
    <col min="8795" max="8795" customWidth="0" width="3.109375" style="1"/>
    <col min="8796" max="8796" customWidth="0" width="3.109375" style="1"/>
    <col min="8797" max="8797" customWidth="0" width="3.109375" style="1"/>
    <col min="8798" max="8798" customWidth="0" width="3.109375" style="1"/>
    <col min="8799" max="8799" customWidth="0" width="3.109375" style="1"/>
    <col min="8800" max="8800" customWidth="0" width="3.109375" style="1"/>
    <col min="8801" max="8801" customWidth="0" width="3.109375" style="1"/>
    <col min="8802" max="8802" customWidth="0" width="3.109375" style="1"/>
    <col min="8803" max="8803" customWidth="0" width="3.109375" style="1"/>
    <col min="8804" max="8804" customWidth="0" width="3.109375" style="1"/>
    <col min="8805" max="8805" customWidth="0" width="3.109375" style="1"/>
    <col min="8806" max="8806" customWidth="0" width="3.109375" style="1"/>
    <col min="8807" max="8807" customWidth="0" width="3.109375" style="1"/>
    <col min="8808" max="8808" customWidth="0" width="3.109375" style="1"/>
    <col min="8809" max="8809" customWidth="0" width="3.109375" style="1"/>
    <col min="8810" max="8810" customWidth="0" width="3.109375" style="1"/>
    <col min="8811" max="8811" customWidth="0" width="3.109375" style="1"/>
    <col min="8812" max="8812" customWidth="0" width="3.109375" style="1"/>
    <col min="8813" max="8813" customWidth="0" width="3.109375" style="1"/>
    <col min="8814" max="8814" customWidth="0" width="3.109375" style="1"/>
    <col min="8815" max="8815" customWidth="0" width="3.109375" style="1"/>
    <col min="8816" max="8816" customWidth="0" width="3.109375" style="1"/>
    <col min="8817" max="8817" customWidth="0" width="3.109375" style="1"/>
    <col min="8818" max="8818" customWidth="0" width="3.109375" style="1"/>
    <col min="8819" max="8819" customWidth="0" width="3.109375" style="1"/>
    <col min="8820" max="8820" customWidth="0" width="3.109375" style="1"/>
    <col min="8821" max="8821" customWidth="0" width="3.109375" style="1"/>
    <col min="8822" max="8822" customWidth="0" width="3.109375" style="1"/>
    <col min="8823" max="8823" customWidth="0" width="3.109375" style="1"/>
    <col min="8824" max="8824" customWidth="0" width="3.109375" style="1"/>
    <col min="8825" max="8825" customWidth="0" width="3.109375" style="1"/>
    <col min="8826" max="8826" customWidth="0" width="3.109375" style="1"/>
    <col min="8827" max="8827" customWidth="0" width="3.109375" style="1"/>
    <col min="8828" max="8828" customWidth="0" width="3.109375" style="1"/>
    <col min="8829" max="8829" customWidth="0" width="3.109375" style="1"/>
    <col min="8830" max="8830" customWidth="0" width="3.109375" style="1"/>
    <col min="8831" max="8831" customWidth="0" width="3.109375" style="1"/>
    <col min="8832" max="8832" customWidth="0" width="3.109375" style="1"/>
    <col min="8833" max="8833" customWidth="0" width="3.109375" style="1"/>
    <col min="8834" max="8834" customWidth="0" width="3.109375" style="1"/>
    <col min="8835" max="8835" customWidth="0" width="3.109375" style="1"/>
    <col min="8836" max="8836" customWidth="0" width="3.109375" style="1"/>
    <col min="8837" max="8837" customWidth="0" width="3.109375" style="1"/>
    <col min="8838" max="8838" customWidth="0" width="3.109375" style="1"/>
    <col min="8839" max="8839" customWidth="0" width="3.109375" style="1"/>
    <col min="8840" max="8840" customWidth="0" width="3.109375" style="1"/>
    <col min="8841" max="8841" customWidth="0" width="3.109375" style="1"/>
    <col min="8842" max="8842" customWidth="0" width="3.109375" style="1"/>
    <col min="8843" max="8843" customWidth="0" width="3.109375" style="1"/>
    <col min="8844" max="8844" customWidth="0" width="3.109375" style="1"/>
    <col min="8845" max="8845" customWidth="0" width="3.109375" style="1"/>
    <col min="8846" max="8846" customWidth="0" width="3.109375" style="1"/>
    <col min="8847" max="8847" customWidth="0" width="3.109375" style="1"/>
    <col min="8848" max="8848" customWidth="0" width="3.109375" style="1"/>
    <col min="8849" max="8849" customWidth="0" width="3.109375" style="1"/>
    <col min="8850" max="8850" customWidth="0" width="3.109375" style="1"/>
    <col min="8851" max="8851" customWidth="0" width="3.109375" style="1"/>
    <col min="8852" max="8852" customWidth="0" width="3.109375" style="1"/>
    <col min="8853" max="8853" customWidth="0" width="3.109375" style="1"/>
    <col min="8854" max="8854" customWidth="0" width="3.109375" style="1"/>
    <col min="8855" max="8855" customWidth="0" width="3.109375" style="1"/>
    <col min="8856" max="8856" customWidth="0" width="3.109375" style="1"/>
    <col min="8857" max="8857" customWidth="0" width="3.109375" style="1"/>
    <col min="8858" max="8858" customWidth="0" width="3.109375" style="1"/>
    <col min="8859" max="8859" customWidth="0" width="3.109375" style="1"/>
    <col min="8860" max="8860" customWidth="0" width="3.109375" style="1"/>
    <col min="8861" max="8861" customWidth="0" width="3.109375" style="1"/>
    <col min="8862" max="8862" customWidth="0" width="3.109375" style="1"/>
    <col min="8863" max="8863" customWidth="0" width="3.109375" style="1"/>
    <col min="8864" max="8864" customWidth="0" width="3.109375" style="1"/>
    <col min="8865" max="8865" customWidth="0" width="3.109375" style="1"/>
    <col min="8866" max="8866" customWidth="0" width="3.109375" style="1"/>
    <col min="8867" max="8867" customWidth="0" width="3.109375" style="1"/>
    <col min="8868" max="8868" customWidth="0" width="3.109375" style="1"/>
    <col min="8869" max="8869" customWidth="0" width="3.109375" style="1"/>
    <col min="8870" max="8870" customWidth="0" width="3.109375" style="1"/>
    <col min="8871" max="8871" customWidth="0" width="3.109375" style="1"/>
    <col min="8872" max="8872" customWidth="0" width="3.109375" style="1"/>
    <col min="8873" max="8873" customWidth="0" width="3.109375" style="1"/>
    <col min="8874" max="8874" customWidth="0" width="3.109375" style="1"/>
    <col min="8875" max="8875" customWidth="0" width="3.109375" style="1"/>
    <col min="8876" max="8876" customWidth="0" width="3.109375" style="1"/>
    <col min="8877" max="8877" customWidth="0" width="3.109375" style="1"/>
    <col min="8878" max="8878" customWidth="0" width="3.109375" style="1"/>
    <col min="8879" max="8879" customWidth="0" width="3.109375" style="1"/>
    <col min="8880" max="8880" customWidth="0" width="3.109375" style="1"/>
    <col min="8881" max="8881" customWidth="0" width="3.109375" style="1"/>
    <col min="8882" max="8882" customWidth="0" width="3.109375" style="1"/>
    <col min="8883" max="8883" customWidth="0" width="3.109375" style="1"/>
    <col min="8884" max="8884" customWidth="0" width="3.109375" style="1"/>
    <col min="8885" max="8885" customWidth="0" width="3.109375" style="1"/>
    <col min="8886" max="8886" customWidth="0" width="3.109375" style="1"/>
    <col min="8887" max="8887" customWidth="0" width="3.109375" style="1"/>
    <col min="8888" max="8888" customWidth="0" width="3.109375" style="1"/>
    <col min="8889" max="8889" customWidth="0" width="3.109375" style="1"/>
    <col min="8890" max="8890" customWidth="0" width="3.109375" style="1"/>
    <col min="8891" max="8891" customWidth="0" width="3.109375" style="1"/>
    <col min="8892" max="8892" customWidth="0" width="3.109375" style="1"/>
    <col min="8893" max="8893" customWidth="0" width="3.109375" style="1"/>
    <col min="8894" max="8894" customWidth="0" width="3.109375" style="1"/>
    <col min="8895" max="8895" customWidth="0" width="3.109375" style="1"/>
    <col min="8896" max="8896" customWidth="0" width="3.109375" style="1"/>
    <col min="8897" max="8897" customWidth="0" width="3.109375" style="1"/>
    <col min="8898" max="8898" customWidth="0" width="3.109375" style="1"/>
    <col min="8899" max="8899" customWidth="0" width="3.109375" style="1"/>
    <col min="8900" max="8900" customWidth="0" width="3.109375" style="1"/>
    <col min="8901" max="8901" customWidth="0" width="3.109375" style="1"/>
    <col min="8902" max="8902" customWidth="0" width="3.109375" style="1"/>
    <col min="8903" max="8903" customWidth="0" width="3.109375" style="1"/>
    <col min="8904" max="8904" customWidth="0" width="3.109375" style="1"/>
    <col min="8905" max="8905" customWidth="0" width="3.109375" style="1"/>
    <col min="8906" max="8906" customWidth="0" width="3.109375" style="1"/>
    <col min="8907" max="8907" customWidth="0" width="3.109375" style="1"/>
    <col min="8908" max="8908" customWidth="0" width="3.109375" style="1"/>
    <col min="8909" max="8909" customWidth="0" width="3.109375" style="1"/>
    <col min="8910" max="8910" customWidth="0" width="3.109375" style="1"/>
    <col min="8911" max="8911" customWidth="0" width="3.109375" style="1"/>
    <col min="8912" max="8912" customWidth="0" width="3.109375" style="1"/>
    <col min="8913" max="8913" customWidth="0" width="3.109375" style="1"/>
    <col min="8914" max="8914" customWidth="0" width="3.109375" style="1"/>
    <col min="8915" max="8915" customWidth="0" width="3.109375" style="1"/>
    <col min="8916" max="8916" customWidth="0" width="3.109375" style="1"/>
    <col min="8917" max="8917" customWidth="0" width="3.109375" style="1"/>
    <col min="8918" max="8918" customWidth="0" width="3.109375" style="1"/>
    <col min="8919" max="8919" customWidth="0" width="3.109375" style="1"/>
    <col min="8920" max="8920" customWidth="0" width="3.109375" style="1"/>
    <col min="8921" max="8921" customWidth="0" width="3.109375" style="1"/>
    <col min="8922" max="8922" customWidth="0" width="3.109375" style="1"/>
    <col min="8923" max="8923" customWidth="0" width="3.109375" style="1"/>
    <col min="8924" max="8924" customWidth="0" width="3.109375" style="1"/>
    <col min="8925" max="8925" customWidth="0" width="3.109375" style="1"/>
    <col min="8926" max="8926" customWidth="0" width="3.109375" style="1"/>
    <col min="8927" max="8927" customWidth="0" width="3.109375" style="1"/>
    <col min="8928" max="8928" customWidth="0" width="3.109375" style="1"/>
    <col min="8929" max="8929" customWidth="0" width="3.109375" style="1"/>
    <col min="8930" max="8930" customWidth="0" width="3.109375" style="1"/>
    <col min="8931" max="8931" customWidth="0" width="3.109375" style="1"/>
    <col min="8932" max="8932" customWidth="0" width="3.109375" style="1"/>
    <col min="8933" max="8933" customWidth="0" width="3.109375" style="1"/>
    <col min="8934" max="8934" customWidth="0" width="3.109375" style="1"/>
    <col min="8935" max="8935" customWidth="0" width="3.109375" style="1"/>
    <col min="8936" max="8936" customWidth="0" width="3.109375" style="1"/>
    <col min="8937" max="8937" customWidth="0" width="3.109375" style="1"/>
    <col min="8938" max="8938" customWidth="0" width="3.109375" style="1"/>
    <col min="8939" max="8939" customWidth="0" width="3.109375" style="1"/>
    <col min="8940" max="8940" customWidth="0" width="3.109375" style="1"/>
    <col min="8941" max="8941" customWidth="0" width="3.109375" style="1"/>
    <col min="8942" max="8942" customWidth="0" width="3.109375" style="1"/>
    <col min="8943" max="8943" customWidth="0" width="3.109375" style="1"/>
    <col min="8944" max="8944" customWidth="0" width="3.109375" style="1"/>
    <col min="8945" max="8945" customWidth="0" width="3.109375" style="1"/>
    <col min="8946" max="8946" customWidth="0" width="3.109375" style="1"/>
    <col min="8947" max="8947" customWidth="0" width="3.109375" style="1"/>
    <col min="8948" max="8948" customWidth="0" width="3.109375" style="1"/>
    <col min="8949" max="8949" customWidth="0" width="3.109375" style="1"/>
    <col min="8950" max="8950" customWidth="0" width="3.109375" style="1"/>
    <col min="8951" max="8951" customWidth="0" width="3.109375" style="1"/>
    <col min="8952" max="8952" customWidth="0" width="3.109375" style="1"/>
    <col min="8953" max="8953" customWidth="0" width="3.109375" style="1"/>
    <col min="8954" max="8954" customWidth="0" width="3.109375" style="1"/>
    <col min="8955" max="8955" customWidth="0" width="3.109375" style="1"/>
    <col min="8956" max="8956" customWidth="0" width="3.109375" style="1"/>
    <col min="8957" max="8957" customWidth="0" width="3.109375" style="1"/>
    <col min="8958" max="8958" customWidth="0" width="3.109375" style="1"/>
    <col min="8959" max="8959" customWidth="0" width="3.109375" style="1"/>
    <col min="8960" max="8960" customWidth="0" width="3.109375" style="1"/>
    <col min="8961" max="8961" customWidth="0" width="3.109375" style="1"/>
    <col min="8962" max="8962" customWidth="0" width="3.109375" style="1"/>
    <col min="8963" max="8963" customWidth="0" width="3.109375" style="1"/>
    <col min="8964" max="8964" customWidth="0" width="3.109375" style="1"/>
    <col min="8965" max="8965" customWidth="0" width="3.109375" style="1"/>
    <col min="8966" max="8966" customWidth="0" width="3.109375" style="1"/>
    <col min="8967" max="8967" customWidth="0" width="3.109375" style="1"/>
    <col min="8968" max="8968" customWidth="0" width="3.109375" style="1"/>
    <col min="8969" max="8969" customWidth="0" width="3.109375" style="1"/>
    <col min="8970" max="8970" customWidth="0" width="3.109375" style="1"/>
    <col min="8971" max="8971" customWidth="0" width="3.109375" style="1"/>
    <col min="8972" max="8972" customWidth="0" width="3.109375" style="1"/>
    <col min="8973" max="8973" customWidth="0" width="3.109375" style="1"/>
    <col min="8974" max="8974" customWidth="0" width="3.109375" style="1"/>
    <col min="8975" max="8975" customWidth="0" width="3.109375" style="1"/>
    <col min="8976" max="8976" customWidth="0" width="3.109375" style="1"/>
    <col min="8977" max="8977" customWidth="0" width="3.109375" style="1"/>
    <col min="8978" max="8978" customWidth="0" width="3.109375" style="1"/>
    <col min="8979" max="8979" customWidth="0" width="3.109375" style="1"/>
    <col min="8980" max="8980" customWidth="0" width="3.109375" style="1"/>
    <col min="8981" max="8981" customWidth="0" width="3.109375" style="1"/>
    <col min="8982" max="8982" customWidth="0" width="3.109375" style="1"/>
    <col min="8983" max="8983" customWidth="0" width="3.109375" style="1"/>
    <col min="8984" max="8984" customWidth="0" width="3.109375" style="1"/>
    <col min="8985" max="8985" customWidth="0" width="3.109375" style="1"/>
    <col min="8986" max="8986" customWidth="0" width="3.109375" style="1"/>
    <col min="8987" max="8987" customWidth="0" width="3.109375" style="1"/>
    <col min="8988" max="8988" customWidth="0" width="3.109375" style="1"/>
    <col min="8989" max="8989" customWidth="0" width="3.109375" style="1"/>
    <col min="8990" max="8990" customWidth="0" width="3.109375" style="1"/>
    <col min="8991" max="8991" customWidth="0" width="3.109375" style="1"/>
    <col min="8992" max="8992" customWidth="0" width="3.109375" style="1"/>
    <col min="8993" max="8993" customWidth="0" width="3.109375" style="1"/>
    <col min="8994" max="8994" customWidth="0" width="3.109375" style="1"/>
    <col min="8995" max="8995" customWidth="0" width="3.109375" style="1"/>
    <col min="8996" max="8996" customWidth="0" width="3.109375" style="1"/>
    <col min="8997" max="8997" customWidth="0" width="3.109375" style="1"/>
    <col min="8998" max="8998" customWidth="0" width="3.109375" style="1"/>
    <col min="8999" max="8999" customWidth="0" width="3.109375" style="1"/>
    <col min="9000" max="9000" customWidth="0" width="3.109375" style="1"/>
    <col min="9001" max="9001" customWidth="0" width="3.109375" style="1"/>
    <col min="9002" max="9002" customWidth="0" width="3.109375" style="1"/>
    <col min="9003" max="9003" customWidth="0" width="3.109375" style="1"/>
    <col min="9004" max="9004" customWidth="0" width="3.109375" style="1"/>
    <col min="9005" max="9005" customWidth="0" width="3.109375" style="1"/>
    <col min="9006" max="9006" customWidth="0" width="3.109375" style="1"/>
    <col min="9007" max="9007" customWidth="0" width="3.109375" style="1"/>
    <col min="9008" max="9008" customWidth="0" width="3.109375" style="1"/>
    <col min="9009" max="9009" customWidth="0" width="3.109375" style="1"/>
    <col min="9010" max="9010" customWidth="0" width="3.109375" style="1"/>
    <col min="9011" max="9011" customWidth="0" width="3.109375" style="1"/>
    <col min="9012" max="9012" customWidth="0" width="3.109375" style="1"/>
    <col min="9013" max="9013" customWidth="0" width="3.109375" style="1"/>
    <col min="9014" max="9014" customWidth="0" width="3.109375" style="1"/>
    <col min="9015" max="9015" customWidth="0" width="3.109375" style="1"/>
    <col min="9016" max="9016" customWidth="0" width="3.109375" style="1"/>
    <col min="9017" max="9017" customWidth="0" width="3.109375" style="1"/>
    <col min="9018" max="9018" customWidth="0" width="3.109375" style="1"/>
    <col min="9019" max="9019" customWidth="0" width="3.109375" style="1"/>
    <col min="9020" max="9020" customWidth="0" width="3.109375" style="1"/>
    <col min="9021" max="9021" customWidth="0" width="3.109375" style="1"/>
    <col min="9022" max="9022" customWidth="0" width="3.109375" style="1"/>
    <col min="9023" max="9023" customWidth="0" width="3.109375" style="1"/>
    <col min="9024" max="9024" customWidth="0" width="3.109375" style="1"/>
    <col min="9025" max="9025" customWidth="0" width="3.109375" style="1"/>
    <col min="9026" max="9026" customWidth="0" width="3.109375" style="1"/>
    <col min="9027" max="9027" customWidth="0" width="3.109375" style="1"/>
    <col min="9028" max="9028" customWidth="0" width="3.109375" style="1"/>
    <col min="9029" max="9029" customWidth="0" width="3.109375" style="1"/>
    <col min="9030" max="9030" customWidth="0" width="3.109375" style="1"/>
    <col min="9031" max="9031" customWidth="0" width="3.109375" style="1"/>
    <col min="9032" max="9032" customWidth="0" width="3.109375" style="1"/>
    <col min="9033" max="9033" customWidth="0" width="3.109375" style="1"/>
    <col min="9034" max="9034" customWidth="0" width="3.109375" style="1"/>
    <col min="9035" max="9035" customWidth="0" width="3.109375" style="1"/>
    <col min="9036" max="9036" customWidth="0" width="3.109375" style="1"/>
    <col min="9037" max="9037" customWidth="0" width="3.109375" style="1"/>
    <col min="9038" max="9038" customWidth="0" width="3.109375" style="1"/>
    <col min="9039" max="9039" customWidth="0" width="3.109375" style="1"/>
    <col min="9040" max="9040" customWidth="0" width="3.109375" style="1"/>
    <col min="9041" max="9041" customWidth="0" width="3.109375" style="1"/>
    <col min="9042" max="9042" customWidth="0" width="3.109375" style="1"/>
    <col min="9043" max="9043" customWidth="0" width="3.109375" style="1"/>
    <col min="9044" max="9044" customWidth="0" width="3.109375" style="1"/>
    <col min="9045" max="9045" customWidth="0" width="3.109375" style="1"/>
    <col min="9046" max="9046" customWidth="0" width="3.109375" style="1"/>
    <col min="9047" max="9047" customWidth="0" width="3.109375" style="1"/>
    <col min="9048" max="9048" customWidth="0" width="3.109375" style="1"/>
    <col min="9049" max="9049" customWidth="0" width="3.109375" style="1"/>
    <col min="9050" max="9050" customWidth="0" width="3.109375" style="1"/>
    <col min="9051" max="9051" customWidth="0" width="3.109375" style="1"/>
    <col min="9052" max="9052" customWidth="0" width="3.109375" style="1"/>
    <col min="9053" max="9053" customWidth="0" width="3.109375" style="1"/>
    <col min="9054" max="9054" customWidth="0" width="3.109375" style="1"/>
    <col min="9055" max="9055" customWidth="0" width="3.109375" style="1"/>
    <col min="9056" max="9056" customWidth="0" width="3.109375" style="1"/>
    <col min="9057" max="9057" customWidth="0" width="3.109375" style="1"/>
    <col min="9058" max="9058" customWidth="0" width="3.109375" style="1"/>
    <col min="9059" max="9059" customWidth="0" width="3.109375" style="1"/>
    <col min="9060" max="9060" customWidth="0" width="3.109375" style="1"/>
    <col min="9061" max="9061" customWidth="0" width="3.109375" style="1"/>
    <col min="9062" max="9062" customWidth="0" width="3.109375" style="1"/>
    <col min="9063" max="9063" customWidth="0" width="3.109375" style="1"/>
    <col min="9064" max="9064" customWidth="0" width="3.109375" style="1"/>
    <col min="9065" max="9065" customWidth="0" width="3.109375" style="1"/>
    <col min="9066" max="9066" customWidth="0" width="3.109375" style="1"/>
    <col min="9067" max="9067" customWidth="0" width="3.109375" style="1"/>
    <col min="9068" max="9068" customWidth="0" width="3.109375" style="1"/>
    <col min="9069" max="9069" customWidth="0" width="3.109375" style="1"/>
    <col min="9070" max="9070" customWidth="0" width="3.109375" style="1"/>
    <col min="9071" max="9071" customWidth="0" width="3.109375" style="1"/>
    <col min="9072" max="9072" customWidth="0" width="3.109375" style="1"/>
    <col min="9073" max="9073" customWidth="0" width="3.109375" style="1"/>
    <col min="9074" max="9074" customWidth="0" width="3.109375" style="1"/>
    <col min="9075" max="9075" customWidth="0" width="3.109375" style="1"/>
    <col min="9076" max="9076" customWidth="0" width="3.109375" style="1"/>
    <col min="9077" max="9077" customWidth="0" width="3.109375" style="1"/>
    <col min="9078" max="9078" customWidth="0" width="3.109375" style="1"/>
    <col min="9079" max="9079" customWidth="0" width="3.109375" style="1"/>
    <col min="9080" max="9080" customWidth="0" width="3.109375" style="1"/>
    <col min="9081" max="9081" customWidth="0" width="3.109375" style="1"/>
    <col min="9082" max="9082" customWidth="0" width="3.109375" style="1"/>
    <col min="9083" max="9083" customWidth="0" width="3.109375" style="1"/>
    <col min="9084" max="9084" customWidth="0" width="3.109375" style="1"/>
    <col min="9085" max="9085" customWidth="0" width="3.109375" style="1"/>
    <col min="9086" max="9086" customWidth="0" width="3.109375" style="1"/>
    <col min="9087" max="9087" customWidth="0" width="3.109375" style="1"/>
    <col min="9088" max="9088" customWidth="0" width="3.109375" style="1"/>
    <col min="9089" max="9089" customWidth="0" width="3.109375" style="1"/>
    <col min="9090" max="9090" customWidth="0" width="3.109375" style="1"/>
    <col min="9091" max="9091" customWidth="0" width="3.109375" style="1"/>
    <col min="9092" max="9092" customWidth="0" width="3.109375" style="1"/>
    <col min="9093" max="9093" customWidth="0" width="3.109375" style="1"/>
    <col min="9094" max="9094" customWidth="0" width="3.109375" style="1"/>
    <col min="9095" max="9095" customWidth="0" width="3.109375" style="1"/>
    <col min="9096" max="9096" customWidth="0" width="3.109375" style="1"/>
    <col min="9097" max="9097" customWidth="0" width="3.109375" style="1"/>
    <col min="9098" max="9098" customWidth="0" width="3.109375" style="1"/>
    <col min="9099" max="9099" customWidth="0" width="3.109375" style="1"/>
    <col min="9100" max="9100" customWidth="0" width="3.109375" style="1"/>
    <col min="9101" max="9101" customWidth="0" width="3.109375" style="1"/>
    <col min="9102" max="9102" customWidth="0" width="3.109375" style="1"/>
    <col min="9103" max="9103" customWidth="0" width="3.109375" style="1"/>
    <col min="9104" max="9104" customWidth="0" width="3.109375" style="1"/>
    <col min="9105" max="9105" customWidth="0" width="3.109375" style="1"/>
    <col min="9106" max="9106" customWidth="0" width="3.109375" style="1"/>
    <col min="9107" max="9107" customWidth="0" width="3.109375" style="1"/>
    <col min="9108" max="9108" customWidth="0" width="3.109375" style="1"/>
    <col min="9109" max="9109" customWidth="0" width="3.109375" style="1"/>
    <col min="9110" max="9110" customWidth="0" width="3.109375" style="1"/>
    <col min="9111" max="9111" customWidth="0" width="3.109375" style="1"/>
    <col min="9112" max="9112" customWidth="0" width="3.109375" style="1"/>
    <col min="9113" max="9113" customWidth="0" width="3.109375" style="1"/>
    <col min="9114" max="9114" customWidth="0" width="3.109375" style="1"/>
    <col min="9115" max="9115" customWidth="0" width="3.109375" style="1"/>
    <col min="9116" max="9116" customWidth="0" width="3.109375" style="1"/>
    <col min="9117" max="9117" customWidth="0" width="3.109375" style="1"/>
    <col min="9118" max="9118" customWidth="0" width="3.109375" style="1"/>
    <col min="9119" max="9119" customWidth="0" width="3.109375" style="1"/>
    <col min="9120" max="9120" customWidth="0" width="3.109375" style="1"/>
    <col min="9121" max="9121" customWidth="0" width="3.109375" style="1"/>
    <col min="9122" max="9122" customWidth="0" width="3.109375" style="1"/>
    <col min="9123" max="9123" customWidth="0" width="3.109375" style="1"/>
    <col min="9124" max="9124" customWidth="0" width="3.109375" style="1"/>
    <col min="9125" max="9125" customWidth="0" width="3.109375" style="1"/>
    <col min="9126" max="9126" customWidth="0" width="3.109375" style="1"/>
    <col min="9127" max="9127" customWidth="0" width="3.109375" style="1"/>
    <col min="9128" max="9128" customWidth="0" width="3.109375" style="1"/>
    <col min="9129" max="9129" customWidth="0" width="3.109375" style="1"/>
    <col min="9130" max="9130" customWidth="0" width="3.109375" style="1"/>
    <col min="9131" max="9131" customWidth="0" width="3.109375" style="1"/>
    <col min="9132" max="9132" customWidth="0" width="3.109375" style="1"/>
    <col min="9133" max="9133" customWidth="0" width="3.109375" style="1"/>
    <col min="9134" max="9134" customWidth="0" width="3.109375" style="1"/>
    <col min="9135" max="9135" customWidth="0" width="3.109375" style="1"/>
    <col min="9136" max="9136" customWidth="0" width="3.109375" style="1"/>
    <col min="9137" max="9137" customWidth="0" width="3.109375" style="1"/>
    <col min="9138" max="9138" customWidth="0" width="3.109375" style="1"/>
    <col min="9139" max="9139" customWidth="0" width="3.109375" style="1"/>
    <col min="9140" max="9140" customWidth="0" width="3.109375" style="1"/>
    <col min="9141" max="9141" customWidth="0" width="3.109375" style="1"/>
    <col min="9142" max="9142" customWidth="0" width="3.109375" style="1"/>
    <col min="9143" max="9143" customWidth="0" width="3.109375" style="1"/>
    <col min="9144" max="9144" customWidth="0" width="3.109375" style="1"/>
    <col min="9145" max="9145" customWidth="0" width="3.109375" style="1"/>
    <col min="9146" max="9146" customWidth="0" width="3.109375" style="1"/>
    <col min="9147" max="9147" customWidth="0" width="3.109375" style="1"/>
    <col min="9148" max="9148" customWidth="0" width="3.109375" style="1"/>
    <col min="9149" max="9149" customWidth="0" width="3.109375" style="1"/>
    <col min="9150" max="9150" customWidth="0" width="3.109375" style="1"/>
    <col min="9151" max="9151" customWidth="0" width="3.109375" style="1"/>
    <col min="9152" max="9152" customWidth="0" width="3.109375" style="1"/>
    <col min="9153" max="9153" customWidth="0" width="3.109375" style="1"/>
    <col min="9154" max="9154" customWidth="0" width="3.109375" style="1"/>
    <col min="9155" max="9155" customWidth="0" width="3.109375" style="1"/>
    <col min="9156" max="9156" customWidth="0" width="3.109375" style="1"/>
    <col min="9157" max="9157" customWidth="0" width="3.109375" style="1"/>
    <col min="9158" max="9158" customWidth="0" width="3.109375" style="1"/>
    <col min="9159" max="9159" customWidth="0" width="3.109375" style="1"/>
    <col min="9160" max="9160" customWidth="0" width="3.109375" style="1"/>
    <col min="9161" max="9161" customWidth="0" width="3.109375" style="1"/>
    <col min="9162" max="9162" customWidth="0" width="3.109375" style="1"/>
    <col min="9163" max="9163" customWidth="0" width="3.109375" style="1"/>
    <col min="9164" max="9164" customWidth="0" width="3.109375" style="1"/>
    <col min="9165" max="9165" customWidth="0" width="3.109375" style="1"/>
    <col min="9166" max="9166" customWidth="0" width="3.109375" style="1"/>
    <col min="9167" max="9167" customWidth="0" width="3.109375" style="1"/>
    <col min="9168" max="9168" customWidth="0" width="3.109375" style="1"/>
    <col min="9169" max="9169" customWidth="0" width="3.109375" style="1"/>
    <col min="9170" max="9170" customWidth="0" width="3.109375" style="1"/>
    <col min="9171" max="9171" customWidth="0" width="3.109375" style="1"/>
    <col min="9172" max="9172" customWidth="0" width="3.109375" style="1"/>
    <col min="9173" max="9173" customWidth="0" width="3.109375" style="1"/>
    <col min="9174" max="9174" customWidth="0" width="3.109375" style="1"/>
    <col min="9175" max="9175" customWidth="0" width="3.109375" style="1"/>
    <col min="9176" max="9176" customWidth="0" width="3.109375" style="1"/>
    <col min="9177" max="9177" customWidth="0" width="3.109375" style="1"/>
    <col min="9178" max="9178" customWidth="0" width="3.109375" style="1"/>
    <col min="9179" max="9179" customWidth="0" width="3.109375" style="1"/>
    <col min="9180" max="9180" customWidth="0" width="3.109375" style="1"/>
    <col min="9181" max="9181" customWidth="0" width="3.109375" style="1"/>
    <col min="9182" max="9182" customWidth="0" width="3.109375" style="1"/>
    <col min="9183" max="9183" customWidth="0" width="3.109375" style="1"/>
    <col min="9184" max="9184" customWidth="0" width="3.109375" style="1"/>
    <col min="9185" max="9185" customWidth="0" width="3.109375" style="1"/>
    <col min="9186" max="9186" customWidth="0" width="3.109375" style="1"/>
    <col min="9187" max="9187" customWidth="0" width="3.109375" style="1"/>
    <col min="9188" max="9188" customWidth="0" width="3.109375" style="1"/>
    <col min="9189" max="9189" customWidth="0" width="3.109375" style="1"/>
    <col min="9190" max="9190" customWidth="0" width="3.109375" style="1"/>
    <col min="9191" max="9191" customWidth="0" width="3.109375" style="1"/>
    <col min="9192" max="9192" customWidth="0" width="3.109375" style="1"/>
    <col min="9193" max="9193" customWidth="0" width="3.109375" style="1"/>
    <col min="9194" max="9194" customWidth="0" width="3.109375" style="1"/>
    <col min="9195" max="9195" customWidth="0" width="3.109375" style="1"/>
    <col min="9196" max="9196" customWidth="0" width="3.109375" style="1"/>
    <col min="9197" max="9197" customWidth="0" width="3.109375" style="1"/>
    <col min="9198" max="9198" customWidth="0" width="3.109375" style="1"/>
    <col min="9199" max="9199" customWidth="0" width="3.109375" style="1"/>
    <col min="9200" max="9200" customWidth="0" width="3.109375" style="1"/>
    <col min="9201" max="9201" customWidth="0" width="3.109375" style="1"/>
    <col min="9202" max="9202" customWidth="0" width="3.109375" style="1"/>
    <col min="9203" max="9203" customWidth="0" width="3.109375" style="1"/>
    <col min="9204" max="9204" customWidth="0" width="3.109375" style="1"/>
    <col min="9205" max="9205" customWidth="0" width="3.109375" style="1"/>
    <col min="9206" max="9206" customWidth="0" width="3.109375" style="1"/>
    <col min="9207" max="9207" customWidth="0" width="3.109375" style="1"/>
    <col min="9208" max="9208" customWidth="0" width="3.109375" style="1"/>
    <col min="9209" max="9209" customWidth="0" width="3.109375" style="1"/>
    <col min="9210" max="9210" customWidth="0" width="3.109375" style="1"/>
    <col min="9211" max="9211" customWidth="0" width="3.109375" style="1"/>
    <col min="9212" max="9212" customWidth="0" width="3.109375" style="1"/>
    <col min="9213" max="9213" customWidth="0" width="3.109375" style="1"/>
    <col min="9214" max="9214" customWidth="0" width="3.109375" style="1"/>
    <col min="9215" max="9215" customWidth="0" width="3.109375" style="1"/>
    <col min="9216" max="9216" customWidth="0" width="3.109375" style="1"/>
    <col min="9217" max="9217" customWidth="0" width="3.109375" style="1"/>
    <col min="9218" max="9218" customWidth="0" width="3.109375" style="1"/>
    <col min="9219" max="9219" customWidth="0" width="3.109375" style="1"/>
    <col min="9220" max="9220" customWidth="0" width="3.109375" style="1"/>
    <col min="9221" max="9221" customWidth="0" width="3.109375" style="1"/>
    <col min="9222" max="9222" customWidth="0" width="3.109375" style="1"/>
    <col min="9223" max="9223" customWidth="0" width="3.109375" style="1"/>
    <col min="9224" max="9224" customWidth="0" width="3.109375" style="1"/>
    <col min="9225" max="9225" customWidth="0" width="3.109375" style="1"/>
    <col min="9226" max="9226" customWidth="0" width="3.109375" style="1"/>
    <col min="9227" max="9227" customWidth="0" width="3.109375" style="1"/>
    <col min="9228" max="9228" customWidth="0" width="3.109375" style="1"/>
    <col min="9229" max="9229" customWidth="0" width="3.109375" style="1"/>
    <col min="9230" max="9230" customWidth="0" width="3.109375" style="1"/>
    <col min="9231" max="9231" customWidth="0" width="3.109375" style="1"/>
    <col min="9232" max="9232" customWidth="0" width="3.109375" style="1"/>
    <col min="9233" max="9233" customWidth="0" width="3.109375" style="1"/>
    <col min="9234" max="9234" customWidth="0" width="3.109375" style="1"/>
    <col min="9235" max="9235" customWidth="0" width="3.109375" style="1"/>
    <col min="9236" max="9236" customWidth="0" width="3.109375" style="1"/>
    <col min="9237" max="9237" customWidth="0" width="3.109375" style="1"/>
    <col min="9238" max="9238" customWidth="0" width="3.109375" style="1"/>
    <col min="9239" max="9239" customWidth="0" width="3.109375" style="1"/>
    <col min="9240" max="9240" customWidth="0" width="3.109375" style="1"/>
    <col min="9241" max="9241" customWidth="0" width="3.109375" style="1"/>
    <col min="9242" max="9242" customWidth="0" width="3.109375" style="1"/>
    <col min="9243" max="9243" customWidth="0" width="3.109375" style="1"/>
    <col min="9244" max="9244" customWidth="0" width="3.109375" style="1"/>
    <col min="9245" max="9245" customWidth="0" width="3.109375" style="1"/>
    <col min="9246" max="9246" customWidth="0" width="3.109375" style="1"/>
    <col min="9247" max="9247" customWidth="0" width="3.109375" style="1"/>
    <col min="9248" max="9248" customWidth="0" width="3.109375" style="1"/>
    <col min="9249" max="9249" customWidth="0" width="3.109375" style="1"/>
    <col min="9250" max="9250" customWidth="0" width="3.109375" style="1"/>
    <col min="9251" max="9251" customWidth="0" width="3.109375" style="1"/>
    <col min="9252" max="9252" customWidth="0" width="3.109375" style="1"/>
    <col min="9253" max="9253" customWidth="0" width="3.109375" style="1"/>
    <col min="9254" max="9254" customWidth="0" width="3.109375" style="1"/>
    <col min="9255" max="9255" customWidth="0" width="3.109375" style="1"/>
    <col min="9256" max="9256" customWidth="0" width="3.109375" style="1"/>
    <col min="9257" max="9257" customWidth="0" width="3.109375" style="1"/>
    <col min="9258" max="9258" customWidth="0" width="3.109375" style="1"/>
    <col min="9259" max="9259" customWidth="0" width="3.109375" style="1"/>
    <col min="9260" max="9260" customWidth="0" width="3.109375" style="1"/>
    <col min="9261" max="9261" customWidth="0" width="3.109375" style="1"/>
    <col min="9262" max="9262" customWidth="0" width="3.109375" style="1"/>
    <col min="9263" max="9263" customWidth="0" width="3.109375" style="1"/>
    <col min="9264" max="9264" customWidth="0" width="3.109375" style="1"/>
    <col min="9265" max="9265" customWidth="0" width="3.109375" style="1"/>
    <col min="9266" max="9266" customWidth="0" width="3.109375" style="1"/>
    <col min="9267" max="9267" customWidth="0" width="3.109375" style="1"/>
    <col min="9268" max="9268" customWidth="0" width="3.109375" style="1"/>
    <col min="9269" max="9269" customWidth="0" width="3.109375" style="1"/>
    <col min="9270" max="9270" customWidth="0" width="3.109375" style="1"/>
    <col min="9271" max="9271" customWidth="0" width="3.109375" style="1"/>
    <col min="9272" max="9272" customWidth="0" width="3.109375" style="1"/>
    <col min="9273" max="9273" customWidth="0" width="3.109375" style="1"/>
    <col min="9274" max="9274" customWidth="0" width="3.109375" style="1"/>
    <col min="9275" max="9275" customWidth="0" width="3.109375" style="1"/>
    <col min="9276" max="9276" customWidth="0" width="3.109375" style="1"/>
    <col min="9277" max="9277" customWidth="0" width="3.109375" style="1"/>
    <col min="9278" max="9278" customWidth="0" width="3.109375" style="1"/>
    <col min="9279" max="9279" customWidth="0" width="3.109375" style="1"/>
    <col min="9280" max="9280" customWidth="0" width="3.109375" style="1"/>
    <col min="9281" max="9281" customWidth="0" width="3.109375" style="1"/>
    <col min="9282" max="9282" customWidth="0" width="3.109375" style="1"/>
    <col min="9283" max="9283" customWidth="0" width="3.109375" style="1"/>
    <col min="9284" max="9284" customWidth="0" width="3.109375" style="1"/>
    <col min="9285" max="9285" customWidth="0" width="3.109375" style="1"/>
    <col min="9286" max="9286" customWidth="0" width="3.109375" style="1"/>
    <col min="9287" max="9287" customWidth="0" width="3.109375" style="1"/>
    <col min="9288" max="9288" customWidth="0" width="3.109375" style="1"/>
    <col min="9289" max="9289" customWidth="0" width="3.109375" style="1"/>
    <col min="9290" max="9290" customWidth="0" width="3.109375" style="1"/>
    <col min="9291" max="9291" customWidth="0" width="3.109375" style="1"/>
    <col min="9292" max="9292" customWidth="0" width="3.109375" style="1"/>
    <col min="9293" max="9293" customWidth="0" width="3.109375" style="1"/>
    <col min="9294" max="9294" customWidth="0" width="3.109375" style="1"/>
    <col min="9295" max="9295" customWidth="0" width="3.109375" style="1"/>
    <col min="9296" max="9296" customWidth="0" width="3.109375" style="1"/>
    <col min="9297" max="9297" customWidth="0" width="3.109375" style="1"/>
    <col min="9298" max="9298" customWidth="0" width="3.109375" style="1"/>
    <col min="9299" max="9299" customWidth="0" width="3.109375" style="1"/>
    <col min="9300" max="9300" customWidth="0" width="3.109375" style="1"/>
    <col min="9301" max="9301" customWidth="0" width="3.109375" style="1"/>
    <col min="9302" max="9302" customWidth="0" width="3.109375" style="1"/>
    <col min="9303" max="9303" customWidth="0" width="3.109375" style="1"/>
    <col min="9304" max="9304" customWidth="0" width="3.109375" style="1"/>
    <col min="9305" max="9305" customWidth="0" width="3.109375" style="1"/>
    <col min="9306" max="9306" customWidth="0" width="3.109375" style="1"/>
    <col min="9307" max="9307" customWidth="0" width="3.109375" style="1"/>
    <col min="9308" max="9308" customWidth="0" width="3.109375" style="1"/>
    <col min="9309" max="9309" customWidth="0" width="3.109375" style="1"/>
    <col min="9310" max="9310" customWidth="0" width="3.109375" style="1"/>
    <col min="9311" max="9311" customWidth="0" width="3.109375" style="1"/>
    <col min="9312" max="9312" customWidth="0" width="3.109375" style="1"/>
    <col min="9313" max="9313" customWidth="0" width="3.109375" style="1"/>
    <col min="9314" max="9314" customWidth="0" width="3.109375" style="1"/>
    <col min="9315" max="9315" customWidth="0" width="3.109375" style="1"/>
    <col min="9316" max="9316" customWidth="0" width="3.109375" style="1"/>
    <col min="9317" max="9317" customWidth="0" width="3.109375" style="1"/>
    <col min="9318" max="9318" customWidth="0" width="3.109375" style="1"/>
    <col min="9319" max="9319" customWidth="0" width="3.109375" style="1"/>
    <col min="9320" max="9320" customWidth="0" width="3.109375" style="1"/>
    <col min="9321" max="9321" customWidth="0" width="3.109375" style="1"/>
    <col min="9322" max="9322" customWidth="0" width="3.109375" style="1"/>
    <col min="9323" max="9323" customWidth="0" width="3.109375" style="1"/>
    <col min="9324" max="9324" customWidth="0" width="3.109375" style="1"/>
    <col min="9325" max="9325" customWidth="0" width="3.109375" style="1"/>
    <col min="9326" max="9326" customWidth="0" width="3.109375" style="1"/>
    <col min="9327" max="9327" customWidth="0" width="3.109375" style="1"/>
    <col min="9328" max="9328" customWidth="0" width="3.109375" style="1"/>
    <col min="9329" max="9329" customWidth="0" width="3.109375" style="1"/>
    <col min="9330" max="9330" customWidth="0" width="3.109375" style="1"/>
    <col min="9331" max="9331" customWidth="0" width="3.109375" style="1"/>
    <col min="9332" max="9332" customWidth="0" width="3.109375" style="1"/>
    <col min="9333" max="9333" customWidth="0" width="3.109375" style="1"/>
    <col min="9334" max="9334" customWidth="0" width="3.109375" style="1"/>
    <col min="9335" max="9335" customWidth="0" width="3.109375" style="1"/>
    <col min="9336" max="9336" customWidth="0" width="3.109375" style="1"/>
    <col min="9337" max="9337" customWidth="0" width="3.109375" style="1"/>
    <col min="9338" max="9338" customWidth="0" width="3.109375" style="1"/>
    <col min="9339" max="9339" customWidth="0" width="3.109375" style="1"/>
    <col min="9340" max="9340" customWidth="0" width="3.109375" style="1"/>
    <col min="9341" max="9341" customWidth="0" width="3.109375" style="1"/>
    <col min="9342" max="9342" customWidth="0" width="3.109375" style="1"/>
    <col min="9343" max="9343" customWidth="0" width="3.109375" style="1"/>
    <col min="9344" max="9344" customWidth="0" width="3.109375" style="1"/>
    <col min="9345" max="9345" customWidth="0" width="3.109375" style="1"/>
    <col min="9346" max="9346" customWidth="0" width="3.109375" style="1"/>
    <col min="9347" max="9347" customWidth="0" width="3.109375" style="1"/>
    <col min="9348" max="9348" customWidth="0" width="3.109375" style="1"/>
    <col min="9349" max="9349" customWidth="0" width="3.109375" style="1"/>
    <col min="9350" max="9350" customWidth="0" width="3.109375" style="1"/>
    <col min="9351" max="9351" customWidth="0" width="3.109375" style="1"/>
    <col min="9352" max="9352" customWidth="0" width="3.109375" style="1"/>
    <col min="9353" max="9353" customWidth="0" width="3.109375" style="1"/>
    <col min="9354" max="9354" customWidth="0" width="3.109375" style="1"/>
    <col min="9355" max="9355" customWidth="0" width="3.109375" style="1"/>
    <col min="9356" max="9356" customWidth="0" width="3.109375" style="1"/>
    <col min="9357" max="9357" customWidth="0" width="3.109375" style="1"/>
    <col min="9358" max="9358" customWidth="0" width="3.109375" style="1"/>
    <col min="9359" max="9359" customWidth="0" width="3.109375" style="1"/>
    <col min="9360" max="9360" customWidth="0" width="3.109375" style="1"/>
    <col min="9361" max="9361" customWidth="0" width="3.109375" style="1"/>
    <col min="9362" max="9362" customWidth="0" width="3.109375" style="1"/>
    <col min="9363" max="9363" customWidth="0" width="3.109375" style="1"/>
    <col min="9364" max="9364" customWidth="0" width="3.109375" style="1"/>
    <col min="9365" max="9365" customWidth="0" width="3.109375" style="1"/>
    <col min="9366" max="9366" customWidth="0" width="3.109375" style="1"/>
    <col min="9367" max="9367" customWidth="0" width="3.109375" style="1"/>
    <col min="9368" max="9368" customWidth="0" width="3.109375" style="1"/>
    <col min="9369" max="9369" customWidth="0" width="3.109375" style="1"/>
    <col min="9370" max="9370" customWidth="0" width="3.109375" style="1"/>
    <col min="9371" max="9371" customWidth="0" width="3.109375" style="1"/>
    <col min="9372" max="9372" customWidth="0" width="3.109375" style="1"/>
    <col min="9373" max="9373" customWidth="0" width="3.109375" style="1"/>
    <col min="9374" max="9374" customWidth="0" width="3.109375" style="1"/>
    <col min="9375" max="9375" customWidth="0" width="3.109375" style="1"/>
    <col min="9376" max="9376" customWidth="0" width="3.109375" style="1"/>
    <col min="9377" max="9377" customWidth="0" width="3.109375" style="1"/>
    <col min="9378" max="9378" customWidth="0" width="3.109375" style="1"/>
    <col min="9379" max="9379" customWidth="0" width="3.109375" style="1"/>
    <col min="9380" max="9380" customWidth="0" width="3.109375" style="1"/>
    <col min="9381" max="9381" customWidth="0" width="3.109375" style="1"/>
    <col min="9382" max="9382" customWidth="0" width="3.109375" style="1"/>
    <col min="9383" max="9383" customWidth="0" width="3.109375" style="1"/>
    <col min="9384" max="9384" customWidth="0" width="3.109375" style="1"/>
    <col min="9385" max="9385" customWidth="0" width="3.109375" style="1"/>
    <col min="9386" max="9386" customWidth="0" width="3.109375" style="1"/>
    <col min="9387" max="9387" customWidth="0" width="3.109375" style="1"/>
    <col min="9388" max="9388" customWidth="0" width="3.109375" style="1"/>
    <col min="9389" max="9389" customWidth="0" width="3.109375" style="1"/>
    <col min="9390" max="9390" customWidth="0" width="3.109375" style="1"/>
    <col min="9391" max="9391" customWidth="0" width="3.109375" style="1"/>
    <col min="9392" max="9392" customWidth="0" width="3.109375" style="1"/>
    <col min="9393" max="9393" customWidth="0" width="3.109375" style="1"/>
    <col min="9394" max="9394" customWidth="0" width="3.109375" style="1"/>
    <col min="9395" max="9395" customWidth="0" width="3.109375" style="1"/>
    <col min="9396" max="9396" customWidth="0" width="3.109375" style="1"/>
    <col min="9397" max="9397" customWidth="0" width="3.109375" style="1"/>
    <col min="9398" max="9398" customWidth="0" width="3.109375" style="1"/>
    <col min="9399" max="9399" customWidth="0" width="3.109375" style="1"/>
    <col min="9400" max="9400" customWidth="0" width="3.109375" style="1"/>
    <col min="9401" max="9401" customWidth="0" width="3.109375" style="1"/>
    <col min="9402" max="9402" customWidth="0" width="3.109375" style="1"/>
    <col min="9403" max="9403" customWidth="0" width="3.109375" style="1"/>
    <col min="9404" max="9404" customWidth="0" width="3.109375" style="1"/>
    <col min="9405" max="9405" customWidth="0" width="3.109375" style="1"/>
    <col min="9406" max="9406" customWidth="0" width="3.109375" style="1"/>
    <col min="9407" max="9407" customWidth="0" width="3.109375" style="1"/>
    <col min="9408" max="9408" customWidth="0" width="3.109375" style="1"/>
    <col min="9409" max="9409" customWidth="0" width="3.109375" style="1"/>
    <col min="9410" max="9410" customWidth="0" width="3.109375" style="1"/>
    <col min="9411" max="9411" customWidth="0" width="3.109375" style="1"/>
    <col min="9412" max="9412" customWidth="0" width="3.109375" style="1"/>
    <col min="9413" max="9413" customWidth="0" width="3.109375" style="1"/>
    <col min="9414" max="9414" customWidth="0" width="3.109375" style="1"/>
    <col min="9415" max="9415" customWidth="0" width="3.109375" style="1"/>
    <col min="9416" max="9416" customWidth="0" width="3.109375" style="1"/>
    <col min="9417" max="9417" customWidth="0" width="3.109375" style="1"/>
    <col min="9418" max="9418" customWidth="0" width="3.109375" style="1"/>
    <col min="9419" max="9419" customWidth="0" width="3.109375" style="1"/>
    <col min="9420" max="9420" customWidth="0" width="3.109375" style="1"/>
    <col min="9421" max="9421" customWidth="0" width="3.109375" style="1"/>
    <col min="9422" max="9422" customWidth="0" width="3.109375" style="1"/>
    <col min="9423" max="9423" customWidth="0" width="3.109375" style="1"/>
    <col min="9424" max="9424" customWidth="0" width="3.109375" style="1"/>
    <col min="9425" max="9425" customWidth="0" width="3.109375" style="1"/>
    <col min="9426" max="9426" customWidth="0" width="3.109375" style="1"/>
    <col min="9427" max="9427" customWidth="0" width="3.109375" style="1"/>
    <col min="9428" max="9428" customWidth="0" width="3.109375" style="1"/>
    <col min="9429" max="9429" customWidth="0" width="3.109375" style="1"/>
    <col min="9430" max="9430" customWidth="0" width="3.109375" style="1"/>
    <col min="9431" max="9431" customWidth="0" width="3.109375" style="1"/>
    <col min="9432" max="9432" customWidth="0" width="3.109375" style="1"/>
    <col min="9433" max="9433" customWidth="0" width="3.109375" style="1"/>
    <col min="9434" max="9434" customWidth="0" width="3.109375" style="1"/>
    <col min="9435" max="9435" customWidth="0" width="3.109375" style="1"/>
    <col min="9436" max="9436" customWidth="0" width="3.109375" style="1"/>
    <col min="9437" max="9437" customWidth="0" width="3.109375" style="1"/>
    <col min="9438" max="9438" customWidth="0" width="3.109375" style="1"/>
    <col min="9439" max="9439" customWidth="0" width="3.109375" style="1"/>
    <col min="9440" max="9440" customWidth="0" width="3.109375" style="1"/>
    <col min="9441" max="9441" customWidth="0" width="3.109375" style="1"/>
    <col min="9442" max="9442" customWidth="0" width="3.109375" style="1"/>
    <col min="9443" max="9443" customWidth="0" width="3.109375" style="1"/>
    <col min="9444" max="9444" customWidth="0" width="3.109375" style="1"/>
    <col min="9445" max="9445" customWidth="0" width="3.109375" style="1"/>
    <col min="9446" max="9446" customWidth="0" width="3.109375" style="1"/>
    <col min="9447" max="9447" customWidth="0" width="3.109375" style="1"/>
    <col min="9448" max="9448" customWidth="0" width="3.109375" style="1"/>
    <col min="9449" max="9449" customWidth="0" width="3.109375" style="1"/>
    <col min="9450" max="9450" customWidth="0" width="3.109375" style="1"/>
    <col min="9451" max="9451" customWidth="0" width="3.109375" style="1"/>
    <col min="9452" max="9452" customWidth="0" width="3.109375" style="1"/>
    <col min="9453" max="9453" customWidth="0" width="3.109375" style="1"/>
    <col min="9454" max="9454" customWidth="0" width="3.109375" style="1"/>
    <col min="9455" max="9455" customWidth="0" width="3.109375" style="1"/>
    <col min="9456" max="9456" customWidth="0" width="3.109375" style="1"/>
    <col min="9457" max="9457" customWidth="0" width="3.109375" style="1"/>
    <col min="9458" max="9458" customWidth="0" width="3.109375" style="1"/>
    <col min="9459" max="9459" customWidth="0" width="3.109375" style="1"/>
    <col min="9460" max="9460" customWidth="0" width="3.109375" style="1"/>
    <col min="9461" max="9461" customWidth="0" width="3.109375" style="1"/>
    <col min="9462" max="9462" customWidth="0" width="3.109375" style="1"/>
    <col min="9463" max="9463" customWidth="0" width="3.109375" style="1"/>
    <col min="9464" max="9464" customWidth="0" width="3.109375" style="1"/>
    <col min="9465" max="9465" customWidth="0" width="3.109375" style="1"/>
    <col min="9466" max="9466" customWidth="0" width="3.109375" style="1"/>
    <col min="9467" max="9467" customWidth="0" width="3.109375" style="1"/>
    <col min="9468" max="9468" customWidth="0" width="3.109375" style="1"/>
    <col min="9469" max="9469" customWidth="0" width="3.109375" style="1"/>
    <col min="9470" max="9470" customWidth="0" width="3.109375" style="1"/>
    <col min="9471" max="9471" customWidth="0" width="3.109375" style="1"/>
    <col min="9472" max="9472" customWidth="0" width="3.109375" style="1"/>
    <col min="9473" max="9473" customWidth="0" width="3.109375" style="1"/>
    <col min="9474" max="9474" customWidth="0" width="3.109375" style="1"/>
    <col min="9475" max="9475" customWidth="0" width="3.109375" style="1"/>
    <col min="9476" max="9476" customWidth="0" width="3.109375" style="1"/>
    <col min="9477" max="9477" customWidth="0" width="3.109375" style="1"/>
    <col min="9478" max="9478" customWidth="0" width="3.109375" style="1"/>
    <col min="9479" max="9479" customWidth="0" width="3.109375" style="1"/>
    <col min="9480" max="9480" customWidth="0" width="3.109375" style="1"/>
    <col min="9481" max="9481" customWidth="0" width="3.109375" style="1"/>
    <col min="9482" max="9482" customWidth="0" width="3.109375" style="1"/>
    <col min="9483" max="9483" customWidth="0" width="3.109375" style="1"/>
    <col min="9484" max="9484" customWidth="0" width="3.109375" style="1"/>
    <col min="9485" max="9485" customWidth="0" width="3.109375" style="1"/>
    <col min="9486" max="9486" customWidth="0" width="3.109375" style="1"/>
    <col min="9487" max="9487" customWidth="0" width="3.109375" style="1"/>
    <col min="9488" max="9488" customWidth="0" width="3.109375" style="1"/>
    <col min="9489" max="9489" customWidth="0" width="3.109375" style="1"/>
    <col min="9490" max="9490" customWidth="0" width="3.109375" style="1"/>
    <col min="9491" max="9491" customWidth="0" width="3.109375" style="1"/>
    <col min="9492" max="9492" customWidth="0" width="3.109375" style="1"/>
    <col min="9493" max="9493" customWidth="0" width="3.109375" style="1"/>
    <col min="9494" max="9494" customWidth="0" width="3.109375" style="1"/>
    <col min="9495" max="9495" customWidth="0" width="3.109375" style="1"/>
    <col min="9496" max="9496" customWidth="0" width="3.109375" style="1"/>
    <col min="9497" max="9497" customWidth="0" width="3.109375" style="1"/>
    <col min="9498" max="9498" customWidth="0" width="3.109375" style="1"/>
    <col min="9499" max="9499" customWidth="0" width="3.109375" style="1"/>
    <col min="9500" max="9500" customWidth="0" width="3.109375" style="1"/>
    <col min="9501" max="9501" customWidth="0" width="3.109375" style="1"/>
    <col min="9502" max="9502" customWidth="0" width="3.109375" style="1"/>
    <col min="9503" max="9503" customWidth="0" width="3.109375" style="1"/>
    <col min="9504" max="9504" customWidth="0" width="3.109375" style="1"/>
    <col min="9505" max="9505" customWidth="0" width="3.109375" style="1"/>
    <col min="9506" max="9506" customWidth="0" width="3.109375" style="1"/>
    <col min="9507" max="9507" customWidth="0" width="3.109375" style="1"/>
    <col min="9508" max="9508" customWidth="0" width="3.109375" style="1"/>
    <col min="9509" max="9509" customWidth="0" width="3.109375" style="1"/>
    <col min="9510" max="9510" customWidth="0" width="3.109375" style="1"/>
    <col min="9511" max="9511" customWidth="0" width="3.109375" style="1"/>
    <col min="9512" max="9512" customWidth="0" width="3.109375" style="1"/>
    <col min="9513" max="9513" customWidth="0" width="3.109375" style="1"/>
    <col min="9514" max="9514" customWidth="0" width="3.109375" style="1"/>
    <col min="9515" max="9515" customWidth="0" width="3.109375" style="1"/>
    <col min="9516" max="9516" customWidth="0" width="3.109375" style="1"/>
    <col min="9517" max="9517" customWidth="0" width="3.109375" style="1"/>
    <col min="9518" max="9518" customWidth="0" width="3.109375" style="1"/>
    <col min="9519" max="9519" customWidth="0" width="3.109375" style="1"/>
    <col min="9520" max="9520" customWidth="0" width="3.109375" style="1"/>
    <col min="9521" max="9521" customWidth="0" width="3.109375" style="1"/>
    <col min="9522" max="9522" customWidth="0" width="3.109375" style="1"/>
    <col min="9523" max="9523" customWidth="0" width="3.109375" style="1"/>
    <col min="9524" max="9524" customWidth="0" width="3.109375" style="1"/>
    <col min="9525" max="9525" customWidth="0" width="3.109375" style="1"/>
    <col min="9526" max="9526" customWidth="0" width="3.109375" style="1"/>
    <col min="9527" max="9527" customWidth="0" width="3.109375" style="1"/>
    <col min="9528" max="9528" customWidth="0" width="3.109375" style="1"/>
    <col min="9529" max="9529" customWidth="0" width="3.109375" style="1"/>
    <col min="9530" max="9530" customWidth="0" width="3.109375" style="1"/>
    <col min="9531" max="9531" customWidth="0" width="3.109375" style="1"/>
    <col min="9532" max="9532" customWidth="0" width="3.109375" style="1"/>
    <col min="9533" max="9533" customWidth="0" width="3.109375" style="1"/>
    <col min="9534" max="9534" customWidth="0" width="3.109375" style="1"/>
    <col min="9535" max="9535" customWidth="0" width="3.109375" style="1"/>
    <col min="9536" max="9536" customWidth="0" width="3.109375" style="1"/>
    <col min="9537" max="9537" customWidth="0" width="3.109375" style="1"/>
    <col min="9538" max="9538" customWidth="0" width="3.109375" style="1"/>
    <col min="9539" max="9539" customWidth="0" width="3.109375" style="1"/>
    <col min="9540" max="9540" customWidth="0" width="3.109375" style="1"/>
    <col min="9541" max="9541" customWidth="0" width="3.109375" style="1"/>
    <col min="9542" max="9542" customWidth="0" width="3.109375" style="1"/>
    <col min="9543" max="9543" customWidth="0" width="3.109375" style="1"/>
    <col min="9544" max="9544" customWidth="0" width="3.109375" style="1"/>
    <col min="9545" max="9545" customWidth="0" width="3.109375" style="1"/>
    <col min="9546" max="9546" customWidth="0" width="3.109375" style="1"/>
    <col min="9547" max="9547" customWidth="0" width="3.109375" style="1"/>
    <col min="9548" max="9548" customWidth="0" width="3.109375" style="1"/>
    <col min="9549" max="9549" customWidth="0" width="3.109375" style="1"/>
    <col min="9550" max="9550" customWidth="0" width="3.109375" style="1"/>
    <col min="9551" max="9551" customWidth="0" width="3.109375" style="1"/>
    <col min="9552" max="9552" customWidth="0" width="3.109375" style="1"/>
    <col min="9553" max="9553" customWidth="0" width="3.109375" style="1"/>
    <col min="9554" max="9554" customWidth="0" width="3.109375" style="1"/>
    <col min="9555" max="9555" customWidth="0" width="3.109375" style="1"/>
    <col min="9556" max="9556" customWidth="0" width="3.109375" style="1"/>
    <col min="9557" max="9557" customWidth="0" width="3.109375" style="1"/>
    <col min="9558" max="9558" customWidth="0" width="3.109375" style="1"/>
    <col min="9559" max="9559" customWidth="0" width="3.109375" style="1"/>
    <col min="9560" max="9560" customWidth="0" width="3.109375" style="1"/>
    <col min="9561" max="9561" customWidth="0" width="3.109375" style="1"/>
    <col min="9562" max="9562" customWidth="0" width="3.109375" style="1"/>
    <col min="9563" max="9563" customWidth="0" width="3.109375" style="1"/>
    <col min="9564" max="9564" customWidth="0" width="3.109375" style="1"/>
    <col min="9565" max="9565" customWidth="0" width="3.109375" style="1"/>
    <col min="9566" max="9566" customWidth="0" width="3.109375" style="1"/>
    <col min="9567" max="9567" customWidth="0" width="3.109375" style="1"/>
    <col min="9568" max="9568" customWidth="0" width="3.109375" style="1"/>
    <col min="9569" max="9569" customWidth="0" width="3.109375" style="1"/>
    <col min="9570" max="9570" customWidth="0" width="3.109375" style="1"/>
    <col min="9571" max="9571" customWidth="0" width="3.109375" style="1"/>
    <col min="9572" max="9572" customWidth="0" width="3.109375" style="1"/>
    <col min="9573" max="9573" customWidth="0" width="3.109375" style="1"/>
    <col min="9574" max="9574" customWidth="0" width="3.109375" style="1"/>
    <col min="9575" max="9575" customWidth="0" width="3.109375" style="1"/>
    <col min="9576" max="9576" customWidth="0" width="3.109375" style="1"/>
    <col min="9577" max="9577" customWidth="0" width="3.109375" style="1"/>
    <col min="9578" max="9578" customWidth="0" width="3.109375" style="1"/>
    <col min="9579" max="9579" customWidth="0" width="3.109375" style="1"/>
    <col min="9580" max="9580" customWidth="0" width="3.109375" style="1"/>
    <col min="9581" max="9581" customWidth="0" width="3.109375" style="1"/>
    <col min="9582" max="9582" customWidth="0" width="3.109375" style="1"/>
    <col min="9583" max="9583" customWidth="0" width="3.109375" style="1"/>
    <col min="9584" max="9584" customWidth="0" width="3.109375" style="1"/>
    <col min="9585" max="9585" customWidth="0" width="3.109375" style="1"/>
    <col min="9586" max="9586" customWidth="0" width="3.109375" style="1"/>
    <col min="9587" max="9587" customWidth="0" width="3.109375" style="1"/>
    <col min="9588" max="9588" customWidth="0" width="3.109375" style="1"/>
    <col min="9589" max="9589" customWidth="0" width="3.109375" style="1"/>
    <col min="9590" max="9590" customWidth="0" width="3.109375" style="1"/>
    <col min="9591" max="9591" customWidth="0" width="3.109375" style="1"/>
    <col min="9592" max="9592" customWidth="0" width="3.109375" style="1"/>
    <col min="9593" max="9593" customWidth="0" width="3.109375" style="1"/>
    <col min="9594" max="9594" customWidth="0" width="3.109375" style="1"/>
    <col min="9595" max="9595" customWidth="0" width="3.109375" style="1"/>
    <col min="9596" max="9596" customWidth="0" width="3.109375" style="1"/>
    <col min="9597" max="9597" customWidth="0" width="3.109375" style="1"/>
    <col min="9598" max="9598" customWidth="0" width="3.109375" style="1"/>
    <col min="9599" max="9599" customWidth="0" width="3.109375" style="1"/>
    <col min="9600" max="9600" customWidth="0" width="3.109375" style="1"/>
    <col min="9601" max="9601" customWidth="0" width="3.109375" style="1"/>
    <col min="9602" max="9602" customWidth="0" width="3.109375" style="1"/>
    <col min="9603" max="9603" customWidth="0" width="3.109375" style="1"/>
    <col min="9604" max="9604" customWidth="0" width="3.109375" style="1"/>
    <col min="9605" max="9605" customWidth="0" width="3.109375" style="1"/>
    <col min="9606" max="9606" customWidth="0" width="3.109375" style="1"/>
    <col min="9607" max="9607" customWidth="0" width="3.109375" style="1"/>
    <col min="9608" max="9608" customWidth="0" width="3.109375" style="1"/>
    <col min="9609" max="9609" customWidth="0" width="3.109375" style="1"/>
    <col min="9610" max="9610" customWidth="0" width="3.109375" style="1"/>
    <col min="9611" max="9611" customWidth="0" width="3.109375" style="1"/>
    <col min="9612" max="9612" customWidth="0" width="3.109375" style="1"/>
    <col min="9613" max="9613" customWidth="0" width="3.109375" style="1"/>
    <col min="9614" max="9614" customWidth="0" width="3.109375" style="1"/>
    <col min="9615" max="9615" customWidth="0" width="3.109375" style="1"/>
    <col min="9616" max="9616" customWidth="0" width="3.109375" style="1"/>
    <col min="9617" max="9617" customWidth="0" width="3.109375" style="1"/>
    <col min="9618" max="9618" customWidth="0" width="3.109375" style="1"/>
    <col min="9619" max="9619" customWidth="0" width="3.109375" style="1"/>
    <col min="9620" max="9620" customWidth="0" width="3.109375" style="1"/>
    <col min="9621" max="9621" customWidth="0" width="3.109375" style="1"/>
    <col min="9622" max="9622" customWidth="0" width="3.109375" style="1"/>
    <col min="9623" max="9623" customWidth="0" width="3.109375" style="1"/>
    <col min="9624" max="9624" customWidth="0" width="3.109375" style="1"/>
    <col min="9625" max="9625" customWidth="0" width="3.109375" style="1"/>
    <col min="9626" max="9626" customWidth="0" width="3.109375" style="1"/>
    <col min="9627" max="9627" customWidth="0" width="3.109375" style="1"/>
    <col min="9628" max="9628" customWidth="0" width="3.109375" style="1"/>
    <col min="9629" max="9629" customWidth="0" width="3.109375" style="1"/>
    <col min="9630" max="9630" customWidth="0" width="3.109375" style="1"/>
    <col min="9631" max="9631" customWidth="0" width="3.109375" style="1"/>
    <col min="9632" max="9632" customWidth="0" width="3.109375" style="1"/>
    <col min="9633" max="9633" customWidth="0" width="3.109375" style="1"/>
    <col min="9634" max="9634" customWidth="0" width="3.109375" style="1"/>
    <col min="9635" max="9635" customWidth="0" width="3.109375" style="1"/>
    <col min="9636" max="9636" customWidth="0" width="3.109375" style="1"/>
    <col min="9637" max="9637" customWidth="0" width="3.109375" style="1"/>
    <col min="9638" max="9638" customWidth="0" width="3.109375" style="1"/>
    <col min="9639" max="9639" customWidth="0" width="3.109375" style="1"/>
    <col min="9640" max="9640" customWidth="0" width="3.109375" style="1"/>
    <col min="9641" max="9641" customWidth="0" width="3.109375" style="1"/>
    <col min="9642" max="9642" customWidth="0" width="3.109375" style="1"/>
    <col min="9643" max="9643" customWidth="0" width="3.109375" style="1"/>
    <col min="9644" max="9644" customWidth="0" width="3.109375" style="1"/>
    <col min="9645" max="9645" customWidth="0" width="3.109375" style="1"/>
    <col min="9646" max="9646" customWidth="0" width="3.109375" style="1"/>
    <col min="9647" max="9647" customWidth="0" width="3.109375" style="1"/>
    <col min="9648" max="9648" customWidth="0" width="3.109375" style="1"/>
    <col min="9649" max="9649" customWidth="0" width="3.109375" style="1"/>
    <col min="9650" max="9650" customWidth="0" width="3.109375" style="1"/>
    <col min="9651" max="9651" customWidth="0" width="3.109375" style="1"/>
    <col min="9652" max="9652" customWidth="0" width="3.109375" style="1"/>
    <col min="9653" max="9653" customWidth="0" width="3.109375" style="1"/>
    <col min="9654" max="9654" customWidth="0" width="3.109375" style="1"/>
    <col min="9655" max="9655" customWidth="0" width="3.109375" style="1"/>
    <col min="9656" max="9656" customWidth="0" width="3.109375" style="1"/>
    <col min="9657" max="9657" customWidth="0" width="3.109375" style="1"/>
    <col min="9658" max="9658" customWidth="0" width="3.109375" style="1"/>
    <col min="9659" max="9659" customWidth="0" width="3.109375" style="1"/>
    <col min="9660" max="9660" customWidth="0" width="3.109375" style="1"/>
    <col min="9661" max="9661" customWidth="0" width="3.109375" style="1"/>
    <col min="9662" max="9662" customWidth="0" width="3.109375" style="1"/>
    <col min="9663" max="9663" customWidth="0" width="3.109375" style="1"/>
    <col min="9664" max="9664" customWidth="0" width="3.109375" style="1"/>
    <col min="9665" max="9665" customWidth="0" width="3.109375" style="1"/>
    <col min="9666" max="9666" customWidth="0" width="3.109375" style="1"/>
    <col min="9667" max="9667" customWidth="0" width="3.109375" style="1"/>
    <col min="9668" max="9668" customWidth="0" width="3.109375" style="1"/>
    <col min="9669" max="9669" customWidth="0" width="3.109375" style="1"/>
    <col min="9670" max="9670" customWidth="0" width="3.109375" style="1"/>
    <col min="9671" max="9671" customWidth="0" width="3.109375" style="1"/>
    <col min="9672" max="9672" customWidth="0" width="3.109375" style="1"/>
    <col min="9673" max="9673" customWidth="0" width="3.109375" style="1"/>
    <col min="9674" max="9674" customWidth="0" width="3.109375" style="1"/>
    <col min="9675" max="9675" customWidth="0" width="3.109375" style="1"/>
    <col min="9676" max="9676" customWidth="0" width="3.109375" style="1"/>
    <col min="9677" max="9677" customWidth="0" width="3.109375" style="1"/>
    <col min="9678" max="9678" customWidth="0" width="3.109375" style="1"/>
    <col min="9679" max="9679" customWidth="0" width="3.109375" style="1"/>
    <col min="9680" max="9680" customWidth="0" width="3.109375" style="1"/>
    <col min="9681" max="9681" customWidth="0" width="3.109375" style="1"/>
    <col min="9682" max="9682" customWidth="0" width="3.109375" style="1"/>
    <col min="9683" max="9683" customWidth="0" width="3.109375" style="1"/>
    <col min="9684" max="9684" customWidth="0" width="3.109375" style="1"/>
    <col min="9685" max="9685" customWidth="0" width="3.109375" style="1"/>
    <col min="9686" max="9686" customWidth="0" width="3.109375" style="1"/>
    <col min="9687" max="9687" customWidth="0" width="3.109375" style="1"/>
    <col min="9688" max="9688" customWidth="0" width="3.109375" style="1"/>
    <col min="9689" max="9689" customWidth="0" width="3.109375" style="1"/>
    <col min="9690" max="9690" customWidth="0" width="3.109375" style="1"/>
    <col min="9691" max="9691" customWidth="0" width="3.109375" style="1"/>
    <col min="9692" max="9692" customWidth="0" width="3.109375" style="1"/>
    <col min="9693" max="9693" customWidth="0" width="3.109375" style="1"/>
    <col min="9694" max="9694" customWidth="0" width="3.109375" style="1"/>
    <col min="9695" max="9695" customWidth="0" width="3.109375" style="1"/>
    <col min="9696" max="9696" customWidth="0" width="3.109375" style="1"/>
    <col min="9697" max="9697" customWidth="0" width="3.109375" style="1"/>
    <col min="9698" max="9698" customWidth="0" width="3.109375" style="1"/>
    <col min="9699" max="9699" customWidth="0" width="3.109375" style="1"/>
    <col min="9700" max="9700" customWidth="0" width="3.109375" style="1"/>
    <col min="9701" max="9701" customWidth="0" width="3.109375" style="1"/>
    <col min="9702" max="9702" customWidth="0" width="3.109375" style="1"/>
    <col min="9703" max="9703" customWidth="0" width="3.109375" style="1"/>
    <col min="9704" max="9704" customWidth="0" width="3.109375" style="1"/>
    <col min="9705" max="9705" customWidth="0" width="3.109375" style="1"/>
    <col min="9706" max="9706" customWidth="0" width="3.109375" style="1"/>
    <col min="9707" max="9707" customWidth="0" width="3.109375" style="1"/>
    <col min="9708" max="9708" customWidth="0" width="3.109375" style="1"/>
    <col min="9709" max="9709" customWidth="0" width="3.109375" style="1"/>
    <col min="9710" max="9710" customWidth="0" width="3.109375" style="1"/>
    <col min="9711" max="9711" customWidth="0" width="3.109375" style="1"/>
    <col min="9712" max="9712" customWidth="0" width="3.109375" style="1"/>
    <col min="9713" max="9713" customWidth="0" width="3.109375" style="1"/>
    <col min="9714" max="9714" customWidth="0" width="3.109375" style="1"/>
    <col min="9715" max="9715" customWidth="0" width="3.109375" style="1"/>
    <col min="9716" max="9716" customWidth="0" width="3.109375" style="1"/>
    <col min="9717" max="9717" customWidth="0" width="3.109375" style="1"/>
    <col min="9718" max="9718" customWidth="0" width="3.109375" style="1"/>
    <col min="9719" max="9719" customWidth="0" width="3.109375" style="1"/>
    <col min="9720" max="9720" customWidth="0" width="3.109375" style="1"/>
    <col min="9721" max="9721" customWidth="0" width="3.109375" style="1"/>
    <col min="9722" max="9722" customWidth="0" width="3.109375" style="1"/>
    <col min="9723" max="9723" customWidth="0" width="3.109375" style="1"/>
    <col min="9724" max="9724" customWidth="0" width="3.109375" style="1"/>
    <col min="9725" max="9725" customWidth="0" width="3.109375" style="1"/>
    <col min="9726" max="9726" customWidth="0" width="3.109375" style="1"/>
    <col min="9727" max="9727" customWidth="0" width="3.109375" style="1"/>
    <col min="9728" max="9728" customWidth="0" width="3.109375" style="1"/>
    <col min="9729" max="9729" customWidth="0" width="3.109375" style="1"/>
    <col min="9730" max="9730" customWidth="0" width="3.109375" style="1"/>
    <col min="9731" max="9731" customWidth="0" width="3.109375" style="1"/>
    <col min="9732" max="9732" customWidth="0" width="3.109375" style="1"/>
    <col min="9733" max="9733" customWidth="0" width="3.109375" style="1"/>
    <col min="9734" max="9734" customWidth="0" width="3.109375" style="1"/>
    <col min="9735" max="9735" customWidth="0" width="3.109375" style="1"/>
    <col min="9736" max="9736" customWidth="0" width="3.109375" style="1"/>
    <col min="9737" max="9737" customWidth="0" width="3.109375" style="1"/>
    <col min="9738" max="9738" customWidth="0" width="3.109375" style="1"/>
    <col min="9739" max="9739" customWidth="0" width="3.109375" style="1"/>
    <col min="9740" max="9740" customWidth="0" width="3.109375" style="1"/>
    <col min="9741" max="9741" customWidth="0" width="3.109375" style="1"/>
    <col min="9742" max="9742" customWidth="0" width="3.109375" style="1"/>
    <col min="9743" max="9743" customWidth="0" width="3.109375" style="1"/>
    <col min="9744" max="9744" customWidth="0" width="3.109375" style="1"/>
    <col min="9745" max="9745" customWidth="0" width="3.109375" style="1"/>
    <col min="9746" max="9746" customWidth="0" width="3.109375" style="1"/>
    <col min="9747" max="9747" customWidth="0" width="3.109375" style="1"/>
    <col min="9748" max="9748" customWidth="0" width="3.109375" style="1"/>
    <col min="9749" max="9749" customWidth="0" width="3.109375" style="1"/>
    <col min="9750" max="9750" customWidth="0" width="3.109375" style="1"/>
    <col min="9751" max="9751" customWidth="0" width="3.109375" style="1"/>
    <col min="9752" max="9752" customWidth="0" width="3.109375" style="1"/>
    <col min="9753" max="9753" customWidth="0" width="3.109375" style="1"/>
    <col min="9754" max="9754" customWidth="0" width="3.109375" style="1"/>
    <col min="9755" max="9755" customWidth="0" width="3.109375" style="1"/>
    <col min="9756" max="9756" customWidth="0" width="3.109375" style="1"/>
    <col min="9757" max="9757" customWidth="0" width="3.109375" style="1"/>
    <col min="9758" max="9758" customWidth="0" width="3.109375" style="1"/>
    <col min="9759" max="9759" customWidth="0" width="3.109375" style="1"/>
    <col min="9760" max="9760" customWidth="0" width="3.109375" style="1"/>
    <col min="9761" max="9761" customWidth="0" width="3.109375" style="1"/>
    <col min="9762" max="9762" customWidth="0" width="3.109375" style="1"/>
    <col min="9763" max="9763" customWidth="0" width="3.109375" style="1"/>
    <col min="9764" max="9764" customWidth="0" width="3.109375" style="1"/>
    <col min="9765" max="9765" customWidth="0" width="3.109375" style="1"/>
    <col min="9766" max="9766" customWidth="0" width="3.109375" style="1"/>
    <col min="9767" max="9767" customWidth="0" width="3.109375" style="1"/>
    <col min="9768" max="9768" customWidth="0" width="3.109375" style="1"/>
    <col min="9769" max="9769" customWidth="0" width="3.109375" style="1"/>
    <col min="9770" max="9770" customWidth="0" width="3.109375" style="1"/>
    <col min="9771" max="9771" customWidth="0" width="3.109375" style="1"/>
    <col min="9772" max="9772" customWidth="0" width="3.109375" style="1"/>
    <col min="9773" max="9773" customWidth="0" width="3.109375" style="1"/>
    <col min="9774" max="9774" customWidth="0" width="3.109375" style="1"/>
    <col min="9775" max="9775" customWidth="0" width="3.109375" style="1"/>
    <col min="9776" max="9776" customWidth="0" width="3.109375" style="1"/>
    <col min="9777" max="9777" customWidth="0" width="3.109375" style="1"/>
    <col min="9778" max="9778" customWidth="0" width="3.109375" style="1"/>
    <col min="9779" max="9779" customWidth="0" width="3.109375" style="1"/>
    <col min="9780" max="9780" customWidth="0" width="3.109375" style="1"/>
    <col min="9781" max="9781" customWidth="0" width="3.109375" style="1"/>
    <col min="9782" max="9782" customWidth="0" width="3.109375" style="1"/>
    <col min="9783" max="9783" customWidth="0" width="3.109375" style="1"/>
    <col min="9784" max="9784" customWidth="0" width="3.109375" style="1"/>
    <col min="9785" max="9785" customWidth="0" width="3.109375" style="1"/>
    <col min="9786" max="9786" customWidth="0" width="3.109375" style="1"/>
    <col min="9787" max="9787" customWidth="0" width="3.109375" style="1"/>
    <col min="9788" max="9788" customWidth="0" width="3.109375" style="1"/>
    <col min="9789" max="9789" customWidth="0" width="3.109375" style="1"/>
    <col min="9790" max="9790" customWidth="0" width="3.109375" style="1"/>
    <col min="9791" max="9791" customWidth="0" width="3.109375" style="1"/>
    <col min="9792" max="9792" customWidth="0" width="3.109375" style="1"/>
    <col min="9793" max="9793" customWidth="0" width="3.109375" style="1"/>
    <col min="9794" max="9794" customWidth="0" width="3.109375" style="1"/>
    <col min="9795" max="9795" customWidth="0" width="3.109375" style="1"/>
    <col min="9796" max="9796" customWidth="0" width="3.109375" style="1"/>
    <col min="9797" max="9797" customWidth="0" width="3.109375" style="1"/>
    <col min="9798" max="9798" customWidth="0" width="3.109375" style="1"/>
    <col min="9799" max="9799" customWidth="0" width="3.109375" style="1"/>
    <col min="9800" max="9800" customWidth="0" width="3.109375" style="1"/>
    <col min="9801" max="9801" customWidth="0" width="3.109375" style="1"/>
    <col min="9802" max="9802" customWidth="0" width="3.109375" style="1"/>
    <col min="9803" max="9803" customWidth="0" width="3.109375" style="1"/>
    <col min="9804" max="9804" customWidth="0" width="3.109375" style="1"/>
    <col min="9805" max="9805" customWidth="0" width="3.109375" style="1"/>
    <col min="9806" max="9806" customWidth="0" width="3.109375" style="1"/>
    <col min="9807" max="9807" customWidth="0" width="3.109375" style="1"/>
    <col min="9808" max="9808" customWidth="0" width="3.109375" style="1"/>
    <col min="9809" max="9809" customWidth="0" width="3.109375" style="1"/>
    <col min="9810" max="9810" customWidth="0" width="3.109375" style="1"/>
    <col min="9811" max="9811" customWidth="0" width="3.109375" style="1"/>
    <col min="9812" max="9812" customWidth="0" width="3.109375" style="1"/>
    <col min="9813" max="9813" customWidth="0" width="3.109375" style="1"/>
    <col min="9814" max="9814" customWidth="0" width="3.109375" style="1"/>
    <col min="9815" max="9815" customWidth="0" width="3.109375" style="1"/>
    <col min="9816" max="9816" customWidth="0" width="3.109375" style="1"/>
    <col min="9817" max="9817" customWidth="0" width="3.109375" style="1"/>
    <col min="9818" max="9818" customWidth="0" width="3.109375" style="1"/>
    <col min="9819" max="9819" customWidth="0" width="3.109375" style="1"/>
    <col min="9820" max="9820" customWidth="0" width="3.109375" style="1"/>
    <col min="9821" max="9821" customWidth="0" width="3.109375" style="1"/>
    <col min="9822" max="9822" customWidth="0" width="3.109375" style="1"/>
    <col min="9823" max="9823" customWidth="0" width="3.109375" style="1"/>
    <col min="9824" max="9824" customWidth="0" width="3.109375" style="1"/>
    <col min="9825" max="9825" customWidth="0" width="3.109375" style="1"/>
    <col min="9826" max="9826" customWidth="0" width="3.109375" style="1"/>
    <col min="9827" max="9827" customWidth="0" width="3.109375" style="1"/>
    <col min="9828" max="9828" customWidth="0" width="3.109375" style="1"/>
    <col min="9829" max="9829" customWidth="0" width="3.109375" style="1"/>
    <col min="9830" max="9830" customWidth="0" width="3.109375" style="1"/>
    <col min="9831" max="9831" customWidth="0" width="3.109375" style="1"/>
    <col min="9832" max="9832" customWidth="0" width="3.109375" style="1"/>
    <col min="9833" max="9833" customWidth="0" width="3.109375" style="1"/>
    <col min="9834" max="9834" customWidth="0" width="3.109375" style="1"/>
    <col min="9835" max="9835" customWidth="0" width="3.109375" style="1"/>
    <col min="9836" max="9836" customWidth="0" width="3.109375" style="1"/>
    <col min="9837" max="9837" customWidth="0" width="3.109375" style="1"/>
    <col min="9838" max="9838" customWidth="0" width="3.109375" style="1"/>
    <col min="9839" max="9839" customWidth="0" width="3.109375" style="1"/>
    <col min="9840" max="9840" customWidth="0" width="3.109375" style="1"/>
    <col min="9841" max="9841" customWidth="0" width="3.109375" style="1"/>
    <col min="9842" max="9842" customWidth="0" width="3.109375" style="1"/>
    <col min="9843" max="9843" customWidth="0" width="3.109375" style="1"/>
    <col min="9844" max="9844" customWidth="0" width="3.109375" style="1"/>
    <col min="9845" max="9845" customWidth="0" width="3.109375" style="1"/>
    <col min="9846" max="9846" customWidth="0" width="3.109375" style="1"/>
    <col min="9847" max="9847" customWidth="0" width="3.109375" style="1"/>
    <col min="9848" max="9848" customWidth="0" width="3.109375" style="1"/>
    <col min="9849" max="9849" customWidth="0" width="3.109375" style="1"/>
    <col min="9850" max="9850" customWidth="0" width="3.109375" style="1"/>
    <col min="9851" max="9851" customWidth="0" width="3.109375" style="1"/>
    <col min="9852" max="9852" customWidth="0" width="3.109375" style="1"/>
    <col min="9853" max="9853" customWidth="0" width="3.109375" style="1"/>
    <col min="9854" max="9854" customWidth="0" width="3.109375" style="1"/>
    <col min="9855" max="9855" customWidth="0" width="3.109375" style="1"/>
    <col min="9856" max="9856" customWidth="0" width="3.109375" style="1"/>
    <col min="9857" max="9857" customWidth="0" width="3.109375" style="1"/>
    <col min="9858" max="9858" customWidth="0" width="3.109375" style="1"/>
    <col min="9859" max="9859" customWidth="0" width="3.109375" style="1"/>
    <col min="9860" max="9860" customWidth="0" width="3.109375" style="1"/>
    <col min="9861" max="9861" customWidth="0" width="3.109375" style="1"/>
    <col min="9862" max="9862" customWidth="0" width="3.109375" style="1"/>
    <col min="9863" max="9863" customWidth="0" width="3.109375" style="1"/>
    <col min="9864" max="9864" customWidth="0" width="3.109375" style="1"/>
    <col min="9865" max="9865" customWidth="0" width="3.109375" style="1"/>
    <col min="9866" max="9866" customWidth="0" width="3.109375" style="1"/>
    <col min="9867" max="9867" customWidth="0" width="3.109375" style="1"/>
    <col min="9868" max="9868" customWidth="0" width="3.109375" style="1"/>
    <col min="9869" max="9869" customWidth="0" width="3.109375" style="1"/>
    <col min="9870" max="9870" customWidth="0" width="3.109375" style="1"/>
    <col min="9871" max="9871" customWidth="0" width="3.109375" style="1"/>
    <col min="9872" max="9872" customWidth="0" width="3.109375" style="1"/>
    <col min="9873" max="9873" customWidth="0" width="3.109375" style="1"/>
    <col min="9874" max="9874" customWidth="0" width="3.109375" style="1"/>
    <col min="9875" max="9875" customWidth="0" width="3.109375" style="1"/>
    <col min="9876" max="9876" customWidth="0" width="3.109375" style="1"/>
    <col min="9877" max="9877" customWidth="0" width="3.109375" style="1"/>
    <col min="9878" max="9878" customWidth="0" width="3.109375" style="1"/>
    <col min="9879" max="9879" customWidth="0" width="3.109375" style="1"/>
    <col min="9880" max="9880" customWidth="0" width="3.109375" style="1"/>
    <col min="9881" max="9881" customWidth="0" width="3.109375" style="1"/>
    <col min="9882" max="9882" customWidth="0" width="3.109375" style="1"/>
    <col min="9883" max="9883" customWidth="0" width="3.109375" style="1"/>
    <col min="9884" max="9884" customWidth="0" width="3.109375" style="1"/>
    <col min="9885" max="9885" customWidth="0" width="3.109375" style="1"/>
    <col min="9886" max="9886" customWidth="0" width="3.109375" style="1"/>
    <col min="9887" max="9887" customWidth="0" width="3.109375" style="1"/>
    <col min="9888" max="9888" customWidth="0" width="3.109375" style="1"/>
    <col min="9889" max="9889" customWidth="0" width="3.109375" style="1"/>
    <col min="9890" max="9890" customWidth="0" width="3.109375" style="1"/>
    <col min="9891" max="9891" customWidth="0" width="3.109375" style="1"/>
    <col min="9892" max="9892" customWidth="0" width="3.109375" style="1"/>
    <col min="9893" max="9893" customWidth="0" width="3.109375" style="1"/>
    <col min="9894" max="9894" customWidth="0" width="3.109375" style="1"/>
    <col min="9895" max="9895" customWidth="0" width="3.109375" style="1"/>
    <col min="9896" max="9896" customWidth="0" width="3.109375" style="1"/>
    <col min="9897" max="9897" customWidth="0" width="3.109375" style="1"/>
    <col min="9898" max="9898" customWidth="0" width="3.109375" style="1"/>
    <col min="9899" max="9899" customWidth="0" width="3.109375" style="1"/>
    <col min="9900" max="9900" customWidth="0" width="3.109375" style="1"/>
    <col min="9901" max="9901" customWidth="0" width="3.109375" style="1"/>
    <col min="9902" max="9902" customWidth="0" width="3.109375" style="1"/>
    <col min="9903" max="9903" customWidth="0" width="3.109375" style="1"/>
    <col min="9904" max="9904" customWidth="0" width="3.109375" style="1"/>
    <col min="9905" max="9905" customWidth="0" width="3.109375" style="1"/>
    <col min="9906" max="9906" customWidth="0" width="3.109375" style="1"/>
    <col min="9907" max="9907" customWidth="0" width="3.109375" style="1"/>
    <col min="9908" max="9908" customWidth="0" width="3.109375" style="1"/>
    <col min="9909" max="9909" customWidth="0" width="3.109375" style="1"/>
    <col min="9910" max="9910" customWidth="0" width="3.109375" style="1"/>
    <col min="9911" max="9911" customWidth="0" width="3.109375" style="1"/>
    <col min="9912" max="9912" customWidth="0" width="3.109375" style="1"/>
    <col min="9913" max="9913" customWidth="0" width="3.109375" style="1"/>
    <col min="9914" max="9914" customWidth="0" width="3.109375" style="1"/>
    <col min="9915" max="9915" customWidth="0" width="3.109375" style="1"/>
    <col min="9916" max="9916" customWidth="0" width="3.109375" style="1"/>
    <col min="9917" max="9917" customWidth="0" width="3.109375" style="1"/>
    <col min="9918" max="9918" customWidth="0" width="3.109375" style="1"/>
    <col min="9919" max="9919" customWidth="0" width="3.109375" style="1"/>
    <col min="9920" max="9920" customWidth="0" width="3.109375" style="1"/>
    <col min="9921" max="9921" customWidth="0" width="3.109375" style="1"/>
    <col min="9922" max="9922" customWidth="0" width="3.109375" style="1"/>
    <col min="9923" max="9923" customWidth="0" width="3.109375" style="1"/>
    <col min="9924" max="9924" customWidth="0" width="3.109375" style="1"/>
    <col min="9925" max="9925" customWidth="0" width="3.109375" style="1"/>
    <col min="9926" max="9926" customWidth="0" width="3.109375" style="1"/>
    <col min="9927" max="9927" customWidth="0" width="3.109375" style="1"/>
    <col min="9928" max="9928" customWidth="0" width="3.109375" style="1"/>
    <col min="9929" max="9929" customWidth="0" width="3.109375" style="1"/>
    <col min="9930" max="9930" customWidth="0" width="3.109375" style="1"/>
    <col min="9931" max="9931" customWidth="0" width="3.109375" style="1"/>
    <col min="9932" max="9932" customWidth="0" width="3.109375" style="1"/>
    <col min="9933" max="9933" customWidth="0" width="3.109375" style="1"/>
    <col min="9934" max="9934" customWidth="0" width="3.109375" style="1"/>
    <col min="9935" max="9935" customWidth="0" width="3.109375" style="1"/>
    <col min="9936" max="9936" customWidth="0" width="3.109375" style="1"/>
    <col min="9937" max="9937" customWidth="0" width="3.109375" style="1"/>
    <col min="9938" max="9938" customWidth="0" width="3.109375" style="1"/>
    <col min="9939" max="9939" customWidth="0" width="3.109375" style="1"/>
    <col min="9940" max="9940" customWidth="0" width="3.109375" style="1"/>
    <col min="9941" max="9941" customWidth="0" width="3.109375" style="1"/>
    <col min="9942" max="9942" customWidth="0" width="3.109375" style="1"/>
    <col min="9943" max="9943" customWidth="0" width="3.109375" style="1"/>
    <col min="9944" max="9944" customWidth="0" width="3.109375" style="1"/>
    <col min="9945" max="9945" customWidth="0" width="3.109375" style="1"/>
    <col min="9946" max="9946" customWidth="0" width="3.109375" style="1"/>
    <col min="9947" max="9947" customWidth="0" width="3.109375" style="1"/>
    <col min="9948" max="9948" customWidth="0" width="3.109375" style="1"/>
    <col min="9949" max="9949" customWidth="0" width="3.109375" style="1"/>
    <col min="9950" max="9950" customWidth="0" width="3.109375" style="1"/>
    <col min="9951" max="9951" customWidth="0" width="3.109375" style="1"/>
    <col min="9952" max="9952" customWidth="0" width="3.109375" style="1"/>
    <col min="9953" max="9953" customWidth="0" width="3.109375" style="1"/>
    <col min="9954" max="9954" customWidth="0" width="3.109375" style="1"/>
    <col min="9955" max="9955" customWidth="0" width="3.109375" style="1"/>
    <col min="9956" max="9956" customWidth="0" width="3.109375" style="1"/>
    <col min="9957" max="9957" customWidth="0" width="3.109375" style="1"/>
    <col min="9958" max="9958" customWidth="0" width="3.109375" style="1"/>
    <col min="9959" max="9959" customWidth="0" width="3.109375" style="1"/>
    <col min="9960" max="9960" customWidth="0" width="3.109375" style="1"/>
    <col min="9961" max="9961" customWidth="0" width="3.109375" style="1"/>
    <col min="9962" max="9962" customWidth="0" width="3.109375" style="1"/>
    <col min="9963" max="9963" customWidth="0" width="3.109375" style="1"/>
    <col min="9964" max="9964" customWidth="0" width="3.109375" style="1"/>
    <col min="9965" max="9965" customWidth="0" width="3.109375" style="1"/>
    <col min="9966" max="9966" customWidth="0" width="3.109375" style="1"/>
    <col min="9967" max="9967" customWidth="0" width="3.109375" style="1"/>
    <col min="9968" max="9968" customWidth="0" width="3.109375" style="1"/>
    <col min="9969" max="9969" customWidth="0" width="3.109375" style="1"/>
    <col min="9970" max="9970" customWidth="0" width="3.109375" style="1"/>
    <col min="9971" max="9971" customWidth="0" width="3.109375" style="1"/>
    <col min="9972" max="9972" customWidth="0" width="3.109375" style="1"/>
    <col min="9973" max="9973" customWidth="0" width="3.109375" style="1"/>
    <col min="9974" max="9974" customWidth="0" width="3.109375" style="1"/>
    <col min="9975" max="9975" customWidth="0" width="3.109375" style="1"/>
    <col min="9976" max="9976" customWidth="0" width="3.109375" style="1"/>
    <col min="9977" max="9977" customWidth="0" width="3.109375" style="1"/>
    <col min="9978" max="9978" customWidth="0" width="3.109375" style="1"/>
    <col min="9979" max="9979" customWidth="0" width="3.109375" style="1"/>
    <col min="9980" max="9980" customWidth="0" width="3.109375" style="1"/>
    <col min="9981" max="9981" customWidth="0" width="3.109375" style="1"/>
    <col min="9982" max="9982" customWidth="0" width="3.109375" style="1"/>
    <col min="9983" max="9983" customWidth="0" width="3.109375" style="1"/>
    <col min="9984" max="9984" customWidth="0" width="3.109375" style="1"/>
    <col min="9985" max="9985" customWidth="0" width="3.109375" style="1"/>
    <col min="9986" max="9986" customWidth="0" width="3.109375" style="1"/>
    <col min="9987" max="9987" customWidth="0" width="3.109375" style="1"/>
    <col min="9988" max="9988" customWidth="0" width="3.109375" style="1"/>
    <col min="9989" max="9989" customWidth="0" width="3.109375" style="1"/>
    <col min="9990" max="9990" customWidth="0" width="3.109375" style="1"/>
    <col min="9991" max="9991" customWidth="0" width="3.109375" style="1"/>
    <col min="9992" max="9992" customWidth="0" width="3.109375" style="1"/>
    <col min="9993" max="9993" customWidth="0" width="3.109375" style="1"/>
    <col min="9994" max="9994" customWidth="0" width="3.109375" style="1"/>
    <col min="9995" max="9995" customWidth="0" width="3.109375" style="1"/>
    <col min="9996" max="9996" customWidth="0" width="3.109375" style="1"/>
    <col min="9997" max="9997" customWidth="0" width="3.109375" style="1"/>
    <col min="9998" max="9998" customWidth="0" width="3.109375" style="1"/>
    <col min="9999" max="9999" customWidth="0" width="3.109375" style="1"/>
    <col min="10000" max="10000" customWidth="0" width="3.109375" style="1"/>
    <col min="10001" max="10001" customWidth="0" width="3.109375" style="1"/>
    <col min="10002" max="10002" customWidth="0" width="3.109375" style="1"/>
    <col min="10003" max="10003" customWidth="0" width="3.109375" style="1"/>
    <col min="10004" max="10004" customWidth="0" width="3.109375" style="1"/>
    <col min="10005" max="10005" customWidth="0" width="3.109375" style="1"/>
    <col min="10006" max="10006" customWidth="0" width="3.109375" style="1"/>
    <col min="10007" max="10007" customWidth="0" width="3.109375" style="1"/>
    <col min="10008" max="10008" customWidth="0" width="3.109375" style="1"/>
    <col min="10009" max="10009" customWidth="0" width="3.109375" style="1"/>
    <col min="10010" max="10010" customWidth="0" width="3.109375" style="1"/>
    <col min="10011" max="10011" customWidth="0" width="3.109375" style="1"/>
    <col min="10012" max="10012" customWidth="0" width="3.109375" style="1"/>
    <col min="10013" max="10013" customWidth="0" width="3.109375" style="1"/>
    <col min="10014" max="10014" customWidth="0" width="3.109375" style="1"/>
    <col min="10015" max="10015" customWidth="0" width="3.109375" style="1"/>
    <col min="10016" max="10016" customWidth="0" width="3.109375" style="1"/>
    <col min="10017" max="10017" customWidth="0" width="3.109375" style="1"/>
    <col min="10018" max="10018" customWidth="0" width="3.109375" style="1"/>
    <col min="10019" max="10019" customWidth="0" width="3.109375" style="1"/>
    <col min="10020" max="10020" customWidth="0" width="3.109375" style="1"/>
    <col min="10021" max="10021" customWidth="0" width="3.109375" style="1"/>
    <col min="10022" max="10022" customWidth="0" width="3.109375" style="1"/>
    <col min="10023" max="10023" customWidth="0" width="3.109375" style="1"/>
    <col min="10024" max="10024" customWidth="0" width="3.109375" style="1"/>
    <col min="10025" max="10025" customWidth="0" width="3.109375" style="1"/>
    <col min="10026" max="10026" customWidth="0" width="3.109375" style="1"/>
    <col min="10027" max="10027" customWidth="0" width="3.109375" style="1"/>
    <col min="10028" max="10028" customWidth="0" width="3.109375" style="1"/>
    <col min="10029" max="10029" customWidth="0" width="3.109375" style="1"/>
    <col min="10030" max="10030" customWidth="0" width="3.109375" style="1"/>
    <col min="10031" max="10031" customWidth="0" width="3.109375" style="1"/>
    <col min="10032" max="10032" customWidth="0" width="3.109375" style="1"/>
    <col min="10033" max="10033" customWidth="0" width="3.109375" style="1"/>
    <col min="10034" max="10034" customWidth="0" width="3.109375" style="1"/>
    <col min="10035" max="10035" customWidth="0" width="3.109375" style="1"/>
    <col min="10036" max="10036" customWidth="0" width="3.109375" style="1"/>
    <col min="10037" max="10037" customWidth="0" width="3.109375" style="1"/>
    <col min="10038" max="10038" customWidth="0" width="3.109375" style="1"/>
    <col min="10039" max="10039" customWidth="0" width="3.109375" style="1"/>
    <col min="10040" max="10040" customWidth="0" width="3.109375" style="1"/>
    <col min="10041" max="10041" customWidth="0" width="3.109375" style="1"/>
    <col min="10042" max="10042" customWidth="0" width="3.109375" style="1"/>
    <col min="10043" max="10043" customWidth="0" width="3.109375" style="1"/>
    <col min="10044" max="10044" customWidth="0" width="3.109375" style="1"/>
    <col min="10045" max="10045" customWidth="0" width="3.109375" style="1"/>
    <col min="10046" max="10046" customWidth="0" width="3.109375" style="1"/>
    <col min="10047" max="10047" customWidth="0" width="3.109375" style="1"/>
    <col min="10048" max="10048" customWidth="0" width="3.109375" style="1"/>
    <col min="10049" max="10049" customWidth="0" width="3.109375" style="1"/>
    <col min="10050" max="10050" customWidth="0" width="3.109375" style="1"/>
    <col min="10051" max="10051" customWidth="0" width="3.109375" style="1"/>
    <col min="10052" max="10052" customWidth="0" width="3.109375" style="1"/>
    <col min="10053" max="10053" customWidth="0" width="3.109375" style="1"/>
    <col min="10054" max="10054" customWidth="0" width="3.109375" style="1"/>
    <col min="10055" max="10055" customWidth="0" width="3.109375" style="1"/>
    <col min="10056" max="10056" customWidth="0" width="3.109375" style="1"/>
    <col min="10057" max="10057" customWidth="0" width="3.109375" style="1"/>
    <col min="10058" max="10058" customWidth="0" width="3.109375" style="1"/>
    <col min="10059" max="10059" customWidth="0" width="3.109375" style="1"/>
    <col min="10060" max="10060" customWidth="0" width="3.109375" style="1"/>
    <col min="10061" max="10061" customWidth="0" width="3.109375" style="1"/>
    <col min="10062" max="10062" customWidth="0" width="3.109375" style="1"/>
    <col min="10063" max="10063" customWidth="0" width="3.109375" style="1"/>
    <col min="10064" max="10064" customWidth="0" width="3.109375" style="1"/>
    <col min="10065" max="10065" customWidth="0" width="3.109375" style="1"/>
    <col min="10066" max="10066" customWidth="0" width="3.109375" style="1"/>
    <col min="10067" max="10067" customWidth="0" width="3.109375" style="1"/>
    <col min="10068" max="10068" customWidth="0" width="3.109375" style="1"/>
    <col min="10069" max="10069" customWidth="0" width="3.109375" style="1"/>
    <col min="10070" max="10070" customWidth="0" width="3.109375" style="1"/>
    <col min="10071" max="10071" customWidth="0" width="3.109375" style="1"/>
    <col min="10072" max="10072" customWidth="0" width="3.109375" style="1"/>
    <col min="10073" max="10073" customWidth="0" width="3.109375" style="1"/>
    <col min="10074" max="10074" customWidth="0" width="3.109375" style="1"/>
    <col min="10075" max="10075" customWidth="0" width="3.109375" style="1"/>
    <col min="10076" max="10076" customWidth="0" width="3.109375" style="1"/>
    <col min="10077" max="10077" customWidth="0" width="3.109375" style="1"/>
    <col min="10078" max="10078" customWidth="0" width="3.109375" style="1"/>
    <col min="10079" max="10079" customWidth="0" width="3.109375" style="1"/>
    <col min="10080" max="10080" customWidth="0" width="3.109375" style="1"/>
    <col min="10081" max="10081" customWidth="0" width="3.109375" style="1"/>
    <col min="10082" max="10082" customWidth="0" width="3.109375" style="1"/>
    <col min="10083" max="10083" customWidth="0" width="3.109375" style="1"/>
    <col min="10084" max="10084" customWidth="0" width="3.109375" style="1"/>
    <col min="10085" max="10085" customWidth="0" width="3.109375" style="1"/>
    <col min="10086" max="10086" customWidth="0" width="3.109375" style="1"/>
    <col min="10087" max="10087" customWidth="0" width="3.109375" style="1"/>
    <col min="10088" max="10088" customWidth="0" width="3.109375" style="1"/>
    <col min="10089" max="10089" customWidth="0" width="3.109375" style="1"/>
    <col min="10090" max="10090" customWidth="0" width="3.109375" style="1"/>
    <col min="10091" max="10091" customWidth="0" width="3.109375" style="1"/>
    <col min="10092" max="10092" customWidth="0" width="3.109375" style="1"/>
    <col min="10093" max="10093" customWidth="0" width="3.109375" style="1"/>
    <col min="10094" max="10094" customWidth="0" width="3.109375" style="1"/>
    <col min="10095" max="10095" customWidth="0" width="3.109375" style="1"/>
    <col min="10096" max="10096" customWidth="0" width="3.109375" style="1"/>
    <col min="10097" max="10097" customWidth="0" width="3.109375" style="1"/>
    <col min="10098" max="10098" customWidth="0" width="3.109375" style="1"/>
    <col min="10099" max="10099" customWidth="0" width="3.109375" style="1"/>
    <col min="10100" max="10100" customWidth="0" width="3.109375" style="1"/>
    <col min="10101" max="10101" customWidth="0" width="3.109375" style="1"/>
    <col min="10102" max="10102" customWidth="0" width="3.109375" style="1"/>
    <col min="10103" max="10103" customWidth="0" width="3.109375" style="1"/>
    <col min="10104" max="10104" customWidth="0" width="3.109375" style="1"/>
    <col min="10105" max="10105" customWidth="0" width="3.109375" style="1"/>
    <col min="10106" max="10106" customWidth="0" width="3.109375" style="1"/>
    <col min="10107" max="10107" customWidth="0" width="3.109375" style="1"/>
    <col min="10108" max="10108" customWidth="0" width="3.109375" style="1"/>
    <col min="10109" max="10109" customWidth="0" width="3.109375" style="1"/>
    <col min="10110" max="10110" customWidth="0" width="3.109375" style="1"/>
    <col min="10111" max="10111" customWidth="0" width="3.109375" style="1"/>
    <col min="10112" max="10112" customWidth="0" width="3.109375" style="1"/>
    <col min="10113" max="10113" customWidth="0" width="3.109375" style="1"/>
    <col min="10114" max="10114" customWidth="0" width="3.109375" style="1"/>
    <col min="10115" max="10115" customWidth="0" width="3.109375" style="1"/>
    <col min="10116" max="10116" customWidth="0" width="3.109375" style="1"/>
    <col min="10117" max="10117" customWidth="0" width="3.109375" style="1"/>
    <col min="10118" max="10118" customWidth="0" width="3.109375" style="1"/>
    <col min="10119" max="10119" customWidth="0" width="3.109375" style="1"/>
    <col min="10120" max="10120" customWidth="0" width="3.109375" style="1"/>
    <col min="10121" max="10121" customWidth="0" width="3.109375" style="1"/>
    <col min="10122" max="10122" customWidth="0" width="3.109375" style="1"/>
    <col min="10123" max="10123" customWidth="0" width="3.109375" style="1"/>
    <col min="10124" max="10124" customWidth="0" width="3.109375" style="1"/>
    <col min="10125" max="10125" customWidth="0" width="3.109375" style="1"/>
    <col min="10126" max="10126" customWidth="0" width="3.109375" style="1"/>
    <col min="10127" max="10127" customWidth="0" width="3.109375" style="1"/>
    <col min="10128" max="10128" customWidth="0" width="3.109375" style="1"/>
    <col min="10129" max="10129" customWidth="0" width="3.109375" style="1"/>
    <col min="10130" max="10130" customWidth="0" width="3.109375" style="1"/>
    <col min="10131" max="10131" customWidth="0" width="3.109375" style="1"/>
    <col min="10132" max="10132" customWidth="0" width="3.109375" style="1"/>
    <col min="10133" max="10133" customWidth="0" width="3.109375" style="1"/>
    <col min="10134" max="10134" customWidth="0" width="3.109375" style="1"/>
    <col min="10135" max="10135" customWidth="0" width="3.109375" style="1"/>
    <col min="10136" max="10136" customWidth="0" width="3.109375" style="1"/>
    <col min="10137" max="10137" customWidth="0" width="3.109375" style="1"/>
    <col min="10138" max="10138" customWidth="0" width="3.109375" style="1"/>
    <col min="10139" max="10139" customWidth="0" width="3.109375" style="1"/>
    <col min="10140" max="10140" customWidth="0" width="3.109375" style="1"/>
    <col min="10141" max="10141" customWidth="0" width="3.109375" style="1"/>
    <col min="10142" max="10142" customWidth="0" width="3.109375" style="1"/>
    <col min="10143" max="10143" customWidth="0" width="3.109375" style="1"/>
    <col min="10144" max="10144" customWidth="0" width="3.109375" style="1"/>
    <col min="10145" max="10145" customWidth="0" width="3.109375" style="1"/>
    <col min="10146" max="10146" customWidth="0" width="3.109375" style="1"/>
    <col min="10147" max="10147" customWidth="0" width="3.109375" style="1"/>
    <col min="10148" max="10148" customWidth="0" width="3.109375" style="1"/>
    <col min="10149" max="10149" customWidth="0" width="3.109375" style="1"/>
    <col min="10150" max="10150" customWidth="0" width="3.109375" style="1"/>
    <col min="10151" max="10151" customWidth="0" width="3.109375" style="1"/>
    <col min="10152" max="10152" customWidth="0" width="3.109375" style="1"/>
    <col min="10153" max="10153" customWidth="0" width="3.109375" style="1"/>
    <col min="10154" max="10154" customWidth="0" width="3.109375" style="1"/>
    <col min="10155" max="10155" customWidth="0" width="3.109375" style="1"/>
    <col min="10156" max="10156" customWidth="0" width="3.109375" style="1"/>
    <col min="10157" max="10157" customWidth="0" width="3.109375" style="1"/>
    <col min="10158" max="10158" customWidth="0" width="3.109375" style="1"/>
    <col min="10159" max="10159" customWidth="0" width="3.109375" style="1"/>
    <col min="10160" max="10160" customWidth="0" width="3.109375" style="1"/>
    <col min="10161" max="10161" customWidth="0" width="3.109375" style="1"/>
    <col min="10162" max="10162" customWidth="0" width="3.109375" style="1"/>
    <col min="10163" max="10163" customWidth="0" width="3.109375" style="1"/>
    <col min="10164" max="10164" customWidth="0" width="3.109375" style="1"/>
    <col min="10165" max="10165" customWidth="0" width="3.109375" style="1"/>
    <col min="10166" max="10166" customWidth="0" width="3.109375" style="1"/>
    <col min="10167" max="10167" customWidth="0" width="3.109375" style="1"/>
    <col min="10168" max="10168" customWidth="0" width="3.109375" style="1"/>
    <col min="10169" max="10169" customWidth="0" width="3.109375" style="1"/>
    <col min="10170" max="10170" customWidth="0" width="3.109375" style="1"/>
    <col min="10171" max="10171" customWidth="0" width="3.109375" style="1"/>
    <col min="10172" max="10172" customWidth="0" width="3.109375" style="1"/>
    <col min="10173" max="10173" customWidth="0" width="3.109375" style="1"/>
    <col min="10174" max="10174" customWidth="0" width="3.109375" style="1"/>
    <col min="10175" max="10175" customWidth="0" width="3.109375" style="1"/>
    <col min="10176" max="10176" customWidth="0" width="3.109375" style="1"/>
    <col min="10177" max="10177" customWidth="0" width="3.109375" style="1"/>
    <col min="10178" max="10178" customWidth="0" width="3.109375" style="1"/>
    <col min="10179" max="10179" customWidth="0" width="3.109375" style="1"/>
    <col min="10180" max="10180" customWidth="0" width="3.109375" style="1"/>
    <col min="10181" max="10181" customWidth="0" width="3.109375" style="1"/>
    <col min="10182" max="10182" customWidth="0" width="3.109375" style="1"/>
    <col min="10183" max="10183" customWidth="0" width="3.109375" style="1"/>
    <col min="10184" max="10184" customWidth="0" width="3.109375" style="1"/>
    <col min="10185" max="10185" customWidth="0" width="3.109375" style="1"/>
    <col min="10186" max="10186" customWidth="0" width="3.109375" style="1"/>
    <col min="10187" max="10187" customWidth="0" width="3.109375" style="1"/>
    <col min="10188" max="10188" customWidth="0" width="3.109375" style="1"/>
    <col min="10189" max="10189" customWidth="0" width="3.109375" style="1"/>
    <col min="10190" max="10190" customWidth="0" width="3.109375" style="1"/>
    <col min="10191" max="10191" customWidth="0" width="3.109375" style="1"/>
    <col min="10192" max="10192" customWidth="0" width="3.109375" style="1"/>
    <col min="10193" max="10193" customWidth="0" width="3.109375" style="1"/>
    <col min="10194" max="10194" customWidth="0" width="3.109375" style="1"/>
    <col min="10195" max="10195" customWidth="0" width="3.109375" style="1"/>
    <col min="10196" max="10196" customWidth="0" width="3.109375" style="1"/>
    <col min="10197" max="10197" customWidth="0" width="3.109375" style="1"/>
    <col min="10198" max="10198" customWidth="0" width="3.109375" style="1"/>
    <col min="10199" max="10199" customWidth="0" width="3.109375" style="1"/>
    <col min="10200" max="10200" customWidth="0" width="3.109375" style="1"/>
    <col min="10201" max="10201" customWidth="0" width="3.109375" style="1"/>
    <col min="10202" max="10202" customWidth="0" width="3.109375" style="1"/>
    <col min="10203" max="10203" customWidth="0" width="3.109375" style="1"/>
    <col min="10204" max="10204" customWidth="0" width="3.109375" style="1"/>
    <col min="10205" max="10205" customWidth="0" width="3.109375" style="1"/>
    <col min="10206" max="10206" customWidth="0" width="3.109375" style="1"/>
    <col min="10207" max="10207" customWidth="0" width="3.109375" style="1"/>
    <col min="10208" max="10208" customWidth="0" width="3.109375" style="1"/>
    <col min="10209" max="10209" customWidth="0" width="3.109375" style="1"/>
    <col min="10210" max="10210" customWidth="0" width="3.109375" style="1"/>
    <col min="10211" max="10211" customWidth="0" width="3.109375" style="1"/>
    <col min="10212" max="10212" customWidth="0" width="3.109375" style="1"/>
    <col min="10213" max="10213" customWidth="0" width="3.109375" style="1"/>
    <col min="10214" max="10214" customWidth="0" width="3.109375" style="1"/>
    <col min="10215" max="10215" customWidth="0" width="3.109375" style="1"/>
    <col min="10216" max="10216" customWidth="0" width="3.109375" style="1"/>
    <col min="10217" max="10217" customWidth="0" width="3.109375" style="1"/>
    <col min="10218" max="10218" customWidth="0" width="3.109375" style="1"/>
    <col min="10219" max="10219" customWidth="0" width="3.109375" style="1"/>
    <col min="10220" max="10220" customWidth="0" width="3.109375" style="1"/>
    <col min="10221" max="10221" customWidth="0" width="3.109375" style="1"/>
    <col min="10222" max="10222" customWidth="0" width="3.109375" style="1"/>
    <col min="10223" max="10223" customWidth="0" width="3.109375" style="1"/>
    <col min="10224" max="10224" customWidth="0" width="3.109375" style="1"/>
    <col min="10225" max="10225" customWidth="0" width="3.109375" style="1"/>
    <col min="10226" max="10226" customWidth="0" width="3.109375" style="1"/>
    <col min="10227" max="10227" customWidth="0" width="3.109375" style="1"/>
    <col min="10228" max="10228" customWidth="0" width="3.109375" style="1"/>
    <col min="10229" max="10229" customWidth="0" width="3.109375" style="1"/>
    <col min="10230" max="10230" customWidth="0" width="3.109375" style="1"/>
    <col min="10231" max="10231" customWidth="0" width="3.109375" style="1"/>
    <col min="10232" max="10232" customWidth="0" width="3.109375" style="1"/>
    <col min="10233" max="10233" customWidth="0" width="3.109375" style="1"/>
    <col min="10234" max="10234" customWidth="0" width="3.109375" style="1"/>
    <col min="10235" max="10235" customWidth="0" width="3.109375" style="1"/>
    <col min="10236" max="10236" customWidth="0" width="3.109375" style="1"/>
    <col min="10237" max="10237" customWidth="0" width="3.109375" style="1"/>
    <col min="10238" max="10238" customWidth="0" width="3.109375" style="1"/>
    <col min="10239" max="10239" customWidth="0" width="3.109375" style="1"/>
    <col min="10240" max="10240" customWidth="0" width="3.109375" style="1"/>
    <col min="10241" max="10241" customWidth="0" width="3.109375" style="1"/>
    <col min="10242" max="10242" customWidth="0" width="3.109375" style="1"/>
    <col min="10243" max="10243" customWidth="0" width="3.109375" style="1"/>
    <col min="10244" max="10244" customWidth="0" width="3.109375" style="1"/>
    <col min="10245" max="10245" customWidth="0" width="3.109375" style="1"/>
    <col min="10246" max="10246" customWidth="0" width="3.109375" style="1"/>
    <col min="10247" max="10247" customWidth="0" width="3.109375" style="1"/>
    <col min="10248" max="10248" customWidth="0" width="3.109375" style="1"/>
    <col min="10249" max="10249" customWidth="0" width="3.109375" style="1"/>
    <col min="10250" max="10250" customWidth="0" width="3.109375" style="1"/>
    <col min="10251" max="10251" customWidth="0" width="3.109375" style="1"/>
    <col min="10252" max="10252" customWidth="0" width="3.109375" style="1"/>
    <col min="10253" max="10253" customWidth="0" width="3.109375" style="1"/>
    <col min="10254" max="10254" customWidth="0" width="3.109375" style="1"/>
    <col min="10255" max="10255" customWidth="0" width="3.109375" style="1"/>
    <col min="10256" max="10256" customWidth="0" width="3.109375" style="1"/>
    <col min="10257" max="10257" customWidth="0" width="3.109375" style="1"/>
    <col min="10258" max="10258" customWidth="0" width="3.109375" style="1"/>
    <col min="10259" max="10259" customWidth="0" width="3.109375" style="1"/>
    <col min="10260" max="10260" customWidth="0" width="3.109375" style="1"/>
    <col min="10261" max="10261" customWidth="0" width="3.109375" style="1"/>
    <col min="10262" max="10262" customWidth="0" width="3.109375" style="1"/>
    <col min="10263" max="10263" customWidth="0" width="3.109375" style="1"/>
    <col min="10264" max="10264" customWidth="0" width="3.109375" style="1"/>
    <col min="10265" max="10265" customWidth="0" width="3.109375" style="1"/>
    <col min="10266" max="10266" customWidth="0" width="3.109375" style="1"/>
    <col min="10267" max="10267" customWidth="0" width="3.109375" style="1"/>
    <col min="10268" max="10268" customWidth="0" width="3.109375" style="1"/>
    <col min="10269" max="10269" customWidth="0" width="3.109375" style="1"/>
    <col min="10270" max="10270" customWidth="0" width="3.109375" style="1"/>
    <col min="10271" max="10271" customWidth="0" width="3.109375" style="1"/>
    <col min="10272" max="10272" customWidth="0" width="3.109375" style="1"/>
    <col min="10273" max="10273" customWidth="0" width="3.109375" style="1"/>
    <col min="10274" max="10274" customWidth="0" width="3.109375" style="1"/>
    <col min="10275" max="10275" customWidth="0" width="3.109375" style="1"/>
    <col min="10276" max="10276" customWidth="0" width="3.109375" style="1"/>
    <col min="10277" max="10277" customWidth="0" width="3.109375" style="1"/>
    <col min="10278" max="10278" customWidth="0" width="3.109375" style="1"/>
    <col min="10279" max="10279" customWidth="0" width="3.109375" style="1"/>
    <col min="10280" max="10280" customWidth="0" width="3.109375" style="1"/>
    <col min="10281" max="10281" customWidth="0" width="3.109375" style="1"/>
    <col min="10282" max="10282" customWidth="0" width="3.109375" style="1"/>
    <col min="10283" max="10283" customWidth="0" width="3.109375" style="1"/>
    <col min="10284" max="10284" customWidth="0" width="3.109375" style="1"/>
    <col min="10285" max="10285" customWidth="0" width="3.109375" style="1"/>
    <col min="10286" max="10286" customWidth="0" width="3.109375" style="1"/>
    <col min="10287" max="10287" customWidth="0" width="3.109375" style="1"/>
    <col min="10288" max="10288" customWidth="0" width="3.109375" style="1"/>
    <col min="10289" max="10289" customWidth="0" width="3.109375" style="1"/>
    <col min="10290" max="10290" customWidth="0" width="3.109375" style="1"/>
    <col min="10291" max="10291" customWidth="0" width="3.109375" style="1"/>
    <col min="10292" max="10292" customWidth="0" width="3.109375" style="1"/>
    <col min="10293" max="10293" customWidth="0" width="3.109375" style="1"/>
    <col min="10294" max="10294" customWidth="0" width="3.109375" style="1"/>
    <col min="10295" max="10295" customWidth="0" width="3.109375" style="1"/>
    <col min="10296" max="10296" customWidth="0" width="3.109375" style="1"/>
    <col min="10297" max="10297" customWidth="0" width="3.109375" style="1"/>
    <col min="10298" max="10298" customWidth="0" width="3.109375" style="1"/>
    <col min="10299" max="10299" customWidth="0" width="3.109375" style="1"/>
    <col min="10300" max="10300" customWidth="0" width="3.109375" style="1"/>
    <col min="10301" max="10301" customWidth="0" width="3.109375" style="1"/>
    <col min="10302" max="10302" customWidth="0" width="3.109375" style="1"/>
    <col min="10303" max="10303" customWidth="0" width="3.109375" style="1"/>
    <col min="10304" max="10304" customWidth="0" width="3.109375" style="1"/>
    <col min="10305" max="10305" customWidth="0" width="3.109375" style="1"/>
    <col min="10306" max="10306" customWidth="0" width="3.109375" style="1"/>
    <col min="10307" max="10307" customWidth="0" width="3.109375" style="1"/>
    <col min="10308" max="10308" customWidth="0" width="3.109375" style="1"/>
    <col min="10309" max="10309" customWidth="0" width="3.109375" style="1"/>
    <col min="10310" max="10310" customWidth="0" width="3.109375" style="1"/>
    <col min="10311" max="10311" customWidth="0" width="3.109375" style="1"/>
    <col min="10312" max="10312" customWidth="0" width="3.109375" style="1"/>
    <col min="10313" max="10313" customWidth="0" width="3.109375" style="1"/>
    <col min="10314" max="10314" customWidth="0" width="3.109375" style="1"/>
    <col min="10315" max="10315" customWidth="0" width="3.109375" style="1"/>
    <col min="10316" max="10316" customWidth="0" width="3.109375" style="1"/>
    <col min="10317" max="10317" customWidth="0" width="3.109375" style="1"/>
    <col min="10318" max="10318" customWidth="0" width="3.109375" style="1"/>
    <col min="10319" max="10319" customWidth="0" width="3.109375" style="1"/>
    <col min="10320" max="10320" customWidth="0" width="3.109375" style="1"/>
    <col min="10321" max="10321" customWidth="0" width="3.109375" style="1"/>
    <col min="10322" max="10322" customWidth="0" width="3.109375" style="1"/>
    <col min="10323" max="10323" customWidth="0" width="3.109375" style="1"/>
    <col min="10324" max="10324" customWidth="0" width="3.109375" style="1"/>
    <col min="10325" max="10325" customWidth="0" width="3.109375" style="1"/>
    <col min="10326" max="10326" customWidth="0" width="3.109375" style="1"/>
    <col min="10327" max="10327" customWidth="0" width="3.109375" style="1"/>
    <col min="10328" max="10328" customWidth="0" width="3.109375" style="1"/>
    <col min="10329" max="10329" customWidth="0" width="3.109375" style="1"/>
    <col min="10330" max="10330" customWidth="0" width="3.109375" style="1"/>
    <col min="10331" max="10331" customWidth="0" width="3.109375" style="1"/>
    <col min="10332" max="10332" customWidth="0" width="3.109375" style="1"/>
    <col min="10333" max="10333" customWidth="0" width="3.109375" style="1"/>
    <col min="10334" max="10334" customWidth="0" width="3.109375" style="1"/>
    <col min="10335" max="10335" customWidth="0" width="3.109375" style="1"/>
    <col min="10336" max="10336" customWidth="0" width="3.109375" style="1"/>
    <col min="10337" max="10337" customWidth="0" width="3.109375" style="1"/>
    <col min="10338" max="10338" customWidth="0" width="3.109375" style="1"/>
    <col min="10339" max="10339" customWidth="0" width="3.109375" style="1"/>
    <col min="10340" max="10340" customWidth="0" width="3.109375" style="1"/>
    <col min="10341" max="10341" customWidth="0" width="3.109375" style="1"/>
    <col min="10342" max="10342" customWidth="0" width="3.109375" style="1"/>
    <col min="10343" max="10343" customWidth="0" width="3.109375" style="1"/>
    <col min="10344" max="10344" customWidth="0" width="3.109375" style="1"/>
    <col min="10345" max="10345" customWidth="0" width="3.109375" style="1"/>
    <col min="10346" max="10346" customWidth="0" width="3.109375" style="1"/>
    <col min="10347" max="10347" customWidth="0" width="3.109375" style="1"/>
    <col min="10348" max="10348" customWidth="0" width="3.109375" style="1"/>
    <col min="10349" max="10349" customWidth="0" width="3.109375" style="1"/>
    <col min="10350" max="10350" customWidth="0" width="3.109375" style="1"/>
    <col min="10351" max="10351" customWidth="0" width="3.109375" style="1"/>
    <col min="10352" max="10352" customWidth="0" width="3.109375" style="1"/>
    <col min="10353" max="10353" customWidth="0" width="3.109375" style="1"/>
    <col min="10354" max="10354" customWidth="0" width="3.109375" style="1"/>
    <col min="10355" max="10355" customWidth="0" width="3.109375" style="1"/>
    <col min="10356" max="10356" customWidth="0" width="3.109375" style="1"/>
    <col min="10357" max="10357" customWidth="0" width="3.109375" style="1"/>
    <col min="10358" max="10358" customWidth="0" width="3.109375" style="1"/>
    <col min="10359" max="10359" customWidth="0" width="3.109375" style="1"/>
    <col min="10360" max="10360" customWidth="0" width="3.109375" style="1"/>
    <col min="10361" max="10361" customWidth="0" width="3.109375" style="1"/>
    <col min="10362" max="10362" customWidth="0" width="3.109375" style="1"/>
    <col min="10363" max="10363" customWidth="0" width="3.109375" style="1"/>
    <col min="10364" max="10364" customWidth="0" width="3.109375" style="1"/>
    <col min="10365" max="10365" customWidth="0" width="3.109375" style="1"/>
    <col min="10366" max="10366" customWidth="0" width="3.109375" style="1"/>
    <col min="10367" max="10367" customWidth="0" width="3.109375" style="1"/>
    <col min="10368" max="10368" customWidth="0" width="3.109375" style="1"/>
    <col min="10369" max="10369" customWidth="0" width="3.109375" style="1"/>
    <col min="10370" max="10370" customWidth="0" width="3.109375" style="1"/>
    <col min="10371" max="10371" customWidth="0" width="3.109375" style="1"/>
    <col min="10372" max="10372" customWidth="0" width="3.109375" style="1"/>
    <col min="10373" max="10373" customWidth="0" width="3.109375" style="1"/>
    <col min="10374" max="10374" customWidth="0" width="3.109375" style="1"/>
    <col min="10375" max="10375" customWidth="0" width="3.109375" style="1"/>
    <col min="10376" max="10376" customWidth="0" width="3.109375" style="1"/>
    <col min="10377" max="10377" customWidth="0" width="3.109375" style="1"/>
    <col min="10378" max="10378" customWidth="0" width="3.109375" style="1"/>
    <col min="10379" max="10379" customWidth="0" width="3.109375" style="1"/>
    <col min="10380" max="10380" customWidth="0" width="3.109375" style="1"/>
    <col min="10381" max="10381" customWidth="0" width="3.109375" style="1"/>
    <col min="10382" max="10382" customWidth="0" width="3.109375" style="1"/>
    <col min="10383" max="10383" customWidth="0" width="3.109375" style="1"/>
    <col min="10384" max="10384" customWidth="0" width="3.109375" style="1"/>
    <col min="10385" max="10385" customWidth="0" width="3.109375" style="1"/>
    <col min="10386" max="10386" customWidth="0" width="3.109375" style="1"/>
    <col min="10387" max="10387" customWidth="0" width="3.109375" style="1"/>
    <col min="10388" max="10388" customWidth="0" width="3.109375" style="1"/>
    <col min="10389" max="10389" customWidth="0" width="3.109375" style="1"/>
    <col min="10390" max="10390" customWidth="0" width="3.109375" style="1"/>
    <col min="10391" max="10391" customWidth="0" width="3.109375" style="1"/>
    <col min="10392" max="10392" customWidth="0" width="3.109375" style="1"/>
    <col min="10393" max="10393" customWidth="0" width="3.109375" style="1"/>
    <col min="10394" max="10394" customWidth="0" width="3.109375" style="1"/>
    <col min="10395" max="10395" customWidth="0" width="3.109375" style="1"/>
    <col min="10396" max="10396" customWidth="0" width="3.109375" style="1"/>
    <col min="10397" max="10397" customWidth="0" width="3.109375" style="1"/>
    <col min="10398" max="10398" customWidth="0" width="3.109375" style="1"/>
    <col min="10399" max="10399" customWidth="0" width="3.109375" style="1"/>
    <col min="10400" max="10400" customWidth="0" width="3.109375" style="1"/>
    <col min="10401" max="10401" customWidth="0" width="3.109375" style="1"/>
    <col min="10402" max="10402" customWidth="0" width="3.109375" style="1"/>
    <col min="10403" max="10403" customWidth="0" width="3.109375" style="1"/>
    <col min="10404" max="10404" customWidth="0" width="3.109375" style="1"/>
    <col min="10405" max="10405" customWidth="0" width="3.109375" style="1"/>
    <col min="10406" max="10406" customWidth="0" width="3.109375" style="1"/>
    <col min="10407" max="10407" customWidth="0" width="3.109375" style="1"/>
    <col min="10408" max="10408" customWidth="0" width="3.109375" style="1"/>
    <col min="10409" max="10409" customWidth="0" width="3.109375" style="1"/>
    <col min="10410" max="10410" customWidth="0" width="3.109375" style="1"/>
    <col min="10411" max="10411" customWidth="0" width="3.109375" style="1"/>
    <col min="10412" max="10412" customWidth="0" width="3.109375" style="1"/>
    <col min="10413" max="10413" customWidth="0" width="3.109375" style="1"/>
    <col min="10414" max="10414" customWidth="0" width="3.109375" style="1"/>
    <col min="10415" max="10415" customWidth="0" width="3.109375" style="1"/>
    <col min="10416" max="10416" customWidth="0" width="3.109375" style="1"/>
    <col min="10417" max="10417" customWidth="0" width="3.109375" style="1"/>
    <col min="10418" max="10418" customWidth="0" width="3.109375" style="1"/>
    <col min="10419" max="10419" customWidth="0" width="3.109375" style="1"/>
    <col min="10420" max="10420" customWidth="0" width="3.109375" style="1"/>
    <col min="10421" max="10421" customWidth="0" width="3.109375" style="1"/>
    <col min="10422" max="10422" customWidth="0" width="3.109375" style="1"/>
    <col min="10423" max="10423" customWidth="0" width="3.109375" style="1"/>
    <col min="10424" max="10424" customWidth="0" width="3.109375" style="1"/>
    <col min="10425" max="10425" customWidth="0" width="3.109375" style="1"/>
    <col min="10426" max="10426" customWidth="0" width="3.109375" style="1"/>
    <col min="10427" max="10427" customWidth="0" width="3.109375" style="1"/>
    <col min="10428" max="10428" customWidth="0" width="3.109375" style="1"/>
    <col min="10429" max="10429" customWidth="0" width="3.109375" style="1"/>
    <col min="10430" max="10430" customWidth="0" width="3.109375" style="1"/>
    <col min="10431" max="10431" customWidth="0" width="3.109375" style="1"/>
    <col min="10432" max="10432" customWidth="0" width="3.109375" style="1"/>
    <col min="10433" max="10433" customWidth="0" width="3.109375" style="1"/>
    <col min="10434" max="10434" customWidth="0" width="3.109375" style="1"/>
    <col min="10435" max="10435" customWidth="0" width="3.109375" style="1"/>
    <col min="10436" max="10436" customWidth="0" width="3.109375" style="1"/>
    <col min="10437" max="10437" customWidth="0" width="3.109375" style="1"/>
    <col min="10438" max="10438" customWidth="0" width="3.109375" style="1"/>
    <col min="10439" max="10439" customWidth="0" width="3.109375" style="1"/>
    <col min="10440" max="10440" customWidth="0" width="3.109375" style="1"/>
    <col min="10441" max="10441" customWidth="0" width="3.109375" style="1"/>
    <col min="10442" max="10442" customWidth="0" width="3.109375" style="1"/>
    <col min="10443" max="10443" customWidth="0" width="3.109375" style="1"/>
    <col min="10444" max="10444" customWidth="0" width="3.109375" style="1"/>
    <col min="10445" max="10445" customWidth="0" width="3.109375" style="1"/>
    <col min="10446" max="10446" customWidth="0" width="3.109375" style="1"/>
    <col min="10447" max="10447" customWidth="0" width="3.109375" style="1"/>
    <col min="10448" max="10448" customWidth="0" width="3.109375" style="1"/>
    <col min="10449" max="10449" customWidth="0" width="3.109375" style="1"/>
    <col min="10450" max="10450" customWidth="0" width="3.109375" style="1"/>
    <col min="10451" max="10451" customWidth="0" width="3.109375" style="1"/>
    <col min="10452" max="10452" customWidth="0" width="3.109375" style="1"/>
    <col min="10453" max="10453" customWidth="0" width="3.109375" style="1"/>
    <col min="10454" max="10454" customWidth="0" width="3.109375" style="1"/>
    <col min="10455" max="10455" customWidth="0" width="3.109375" style="1"/>
    <col min="10456" max="10456" customWidth="0" width="3.109375" style="1"/>
    <col min="10457" max="10457" customWidth="0" width="3.109375" style="1"/>
    <col min="10458" max="10458" customWidth="0" width="3.109375" style="1"/>
    <col min="10459" max="10459" customWidth="0" width="3.109375" style="1"/>
    <col min="10460" max="10460" customWidth="0" width="3.109375" style="1"/>
    <col min="10461" max="10461" customWidth="0" width="3.109375" style="1"/>
    <col min="10462" max="10462" customWidth="0" width="3.109375" style="1"/>
    <col min="10463" max="10463" customWidth="0" width="3.109375" style="1"/>
    <col min="10464" max="10464" customWidth="0" width="3.109375" style="1"/>
    <col min="10465" max="10465" customWidth="0" width="3.109375" style="1"/>
    <col min="10466" max="10466" customWidth="0" width="3.109375" style="1"/>
    <col min="10467" max="10467" customWidth="0" width="3.109375" style="1"/>
    <col min="10468" max="10468" customWidth="0" width="3.109375" style="1"/>
    <col min="10469" max="10469" customWidth="0" width="3.109375" style="1"/>
    <col min="10470" max="10470" customWidth="0" width="3.109375" style="1"/>
    <col min="10471" max="10471" customWidth="0" width="3.109375" style="1"/>
    <col min="10472" max="10472" customWidth="0" width="3.109375" style="1"/>
    <col min="10473" max="10473" customWidth="0" width="3.109375" style="1"/>
    <col min="10474" max="10474" customWidth="0" width="3.109375" style="1"/>
    <col min="10475" max="10475" customWidth="0" width="3.109375" style="1"/>
    <col min="10476" max="10476" customWidth="0" width="3.109375" style="1"/>
    <col min="10477" max="10477" customWidth="0" width="3.109375" style="1"/>
    <col min="10478" max="10478" customWidth="0" width="3.109375" style="1"/>
    <col min="10479" max="10479" customWidth="0" width="3.109375" style="1"/>
    <col min="10480" max="10480" customWidth="0" width="3.109375" style="1"/>
    <col min="10481" max="10481" customWidth="0" width="3.109375" style="1"/>
    <col min="10482" max="10482" customWidth="0" width="3.109375" style="1"/>
    <col min="10483" max="10483" customWidth="0" width="3.109375" style="1"/>
    <col min="10484" max="10484" customWidth="0" width="3.109375" style="1"/>
    <col min="10485" max="10485" customWidth="0" width="3.109375" style="1"/>
    <col min="10486" max="10486" customWidth="0" width="3.109375" style="1"/>
    <col min="10487" max="10487" customWidth="0" width="3.109375" style="1"/>
    <col min="10488" max="10488" customWidth="0" width="3.109375" style="1"/>
    <col min="10489" max="10489" customWidth="0" width="3.109375" style="1"/>
    <col min="10490" max="10490" customWidth="0" width="3.109375" style="1"/>
    <col min="10491" max="10491" customWidth="0" width="3.109375" style="1"/>
    <col min="10492" max="10492" customWidth="0" width="3.109375" style="1"/>
    <col min="10493" max="10493" customWidth="0" width="3.109375" style="1"/>
    <col min="10494" max="10494" customWidth="0" width="3.109375" style="1"/>
    <col min="10495" max="10495" customWidth="0" width="3.109375" style="1"/>
    <col min="10496" max="10496" customWidth="0" width="3.109375" style="1"/>
    <col min="10497" max="10497" customWidth="0" width="3.109375" style="1"/>
    <col min="10498" max="10498" customWidth="0" width="3.109375" style="1"/>
    <col min="10499" max="10499" customWidth="0" width="3.109375" style="1"/>
    <col min="10500" max="10500" customWidth="0" width="3.109375" style="1"/>
    <col min="10501" max="10501" customWidth="0" width="3.109375" style="1"/>
    <col min="10502" max="10502" customWidth="0" width="3.109375" style="1"/>
    <col min="10503" max="10503" customWidth="0" width="3.109375" style="1"/>
    <col min="10504" max="10504" customWidth="0" width="3.109375" style="1"/>
    <col min="10505" max="10505" customWidth="0" width="3.109375" style="1"/>
    <col min="10506" max="10506" customWidth="0" width="3.109375" style="1"/>
    <col min="10507" max="10507" customWidth="0" width="3.109375" style="1"/>
    <col min="10508" max="10508" customWidth="0" width="3.109375" style="1"/>
    <col min="10509" max="10509" customWidth="0" width="3.109375" style="1"/>
    <col min="10510" max="10510" customWidth="0" width="3.109375" style="1"/>
    <col min="10511" max="10511" customWidth="0" width="3.109375" style="1"/>
    <col min="10512" max="10512" customWidth="0" width="3.109375" style="1"/>
    <col min="10513" max="10513" customWidth="0" width="3.109375" style="1"/>
    <col min="10514" max="10514" customWidth="0" width="3.109375" style="1"/>
    <col min="10515" max="10515" customWidth="0" width="3.109375" style="1"/>
    <col min="10516" max="10516" customWidth="0" width="3.109375" style="1"/>
    <col min="10517" max="10517" customWidth="0" width="3.109375" style="1"/>
    <col min="10518" max="10518" customWidth="0" width="3.109375" style="1"/>
    <col min="10519" max="10519" customWidth="0" width="3.109375" style="1"/>
    <col min="10520" max="10520" customWidth="0" width="3.109375" style="1"/>
    <col min="10521" max="10521" customWidth="0" width="3.109375" style="1"/>
    <col min="10522" max="10522" customWidth="0" width="3.109375" style="1"/>
    <col min="10523" max="10523" customWidth="0" width="3.109375" style="1"/>
    <col min="10524" max="10524" customWidth="0" width="3.109375" style="1"/>
    <col min="10525" max="10525" customWidth="0" width="3.109375" style="1"/>
    <col min="10526" max="10526" customWidth="0" width="3.109375" style="1"/>
    <col min="10527" max="10527" customWidth="0" width="3.109375" style="1"/>
    <col min="10528" max="10528" customWidth="0" width="3.109375" style="1"/>
    <col min="10529" max="10529" customWidth="0" width="3.109375" style="1"/>
    <col min="10530" max="10530" customWidth="0" width="3.109375" style="1"/>
    <col min="10531" max="10531" customWidth="0" width="3.109375" style="1"/>
    <col min="10532" max="10532" customWidth="0" width="3.109375" style="1"/>
    <col min="10533" max="10533" customWidth="0" width="3.109375" style="1"/>
    <col min="10534" max="10534" customWidth="0" width="3.109375" style="1"/>
    <col min="10535" max="10535" customWidth="0" width="3.109375" style="1"/>
    <col min="10536" max="10536" customWidth="0" width="3.109375" style="1"/>
    <col min="10537" max="10537" customWidth="0" width="3.109375" style="1"/>
    <col min="10538" max="10538" customWidth="0" width="3.109375" style="1"/>
    <col min="10539" max="10539" customWidth="0" width="3.109375" style="1"/>
    <col min="10540" max="10540" customWidth="0" width="3.109375" style="1"/>
    <col min="10541" max="10541" customWidth="0" width="3.109375" style="1"/>
    <col min="10542" max="10542" customWidth="0" width="3.109375" style="1"/>
    <col min="10543" max="10543" customWidth="0" width="3.109375" style="1"/>
    <col min="10544" max="10544" customWidth="0" width="3.109375" style="1"/>
    <col min="10545" max="10545" customWidth="0" width="3.109375" style="1"/>
    <col min="10546" max="10546" customWidth="0" width="3.109375" style="1"/>
    <col min="10547" max="10547" customWidth="0" width="3.109375" style="1"/>
    <col min="10548" max="10548" customWidth="0" width="3.109375" style="1"/>
    <col min="10549" max="10549" customWidth="0" width="3.109375" style="1"/>
    <col min="10550" max="10550" customWidth="0" width="3.109375" style="1"/>
    <col min="10551" max="10551" customWidth="0" width="3.109375" style="1"/>
    <col min="10552" max="10552" customWidth="0" width="3.109375" style="1"/>
    <col min="10553" max="10553" customWidth="0" width="3.109375" style="1"/>
    <col min="10554" max="10554" customWidth="0" width="3.109375" style="1"/>
    <col min="10555" max="10555" customWidth="0" width="3.109375" style="1"/>
    <col min="10556" max="10556" customWidth="0" width="3.109375" style="1"/>
    <col min="10557" max="10557" customWidth="0" width="3.109375" style="1"/>
    <col min="10558" max="10558" customWidth="0" width="3.109375" style="1"/>
    <col min="10559" max="10559" customWidth="0" width="3.109375" style="1"/>
    <col min="10560" max="10560" customWidth="0" width="3.109375" style="1"/>
    <col min="10561" max="10561" customWidth="0" width="3.109375" style="1"/>
    <col min="10562" max="10562" customWidth="0" width="3.109375" style="1"/>
    <col min="10563" max="10563" customWidth="0" width="3.109375" style="1"/>
    <col min="10564" max="10564" customWidth="0" width="3.109375" style="1"/>
    <col min="10565" max="10565" customWidth="0" width="3.109375" style="1"/>
    <col min="10566" max="10566" customWidth="0" width="3.109375" style="1"/>
    <col min="10567" max="10567" customWidth="0" width="3.109375" style="1"/>
    <col min="10568" max="10568" customWidth="0" width="3.109375" style="1"/>
    <col min="10569" max="10569" customWidth="0" width="3.109375" style="1"/>
    <col min="10570" max="10570" customWidth="0" width="3.109375" style="1"/>
    <col min="10571" max="10571" customWidth="0" width="3.109375" style="1"/>
    <col min="10572" max="10572" customWidth="0" width="3.109375" style="1"/>
    <col min="10573" max="10573" customWidth="0" width="3.109375" style="1"/>
    <col min="10574" max="10574" customWidth="0" width="3.109375" style="1"/>
    <col min="10575" max="10575" customWidth="0" width="3.109375" style="1"/>
    <col min="10576" max="10576" customWidth="0" width="3.109375" style="1"/>
    <col min="10577" max="10577" customWidth="0" width="3.109375" style="1"/>
    <col min="10578" max="10578" customWidth="0" width="3.109375" style="1"/>
    <col min="10579" max="10579" customWidth="0" width="3.109375" style="1"/>
    <col min="10580" max="10580" customWidth="0" width="3.109375" style="1"/>
    <col min="10581" max="10581" customWidth="0" width="3.109375" style="1"/>
    <col min="10582" max="10582" customWidth="0" width="3.109375" style="1"/>
    <col min="10583" max="10583" customWidth="0" width="3.109375" style="1"/>
    <col min="10584" max="10584" customWidth="0" width="3.109375" style="1"/>
    <col min="10585" max="10585" customWidth="0" width="3.109375" style="1"/>
    <col min="10586" max="10586" customWidth="0" width="3.109375" style="1"/>
    <col min="10587" max="10587" customWidth="0" width="3.109375" style="1"/>
    <col min="10588" max="10588" customWidth="0" width="3.109375" style="1"/>
    <col min="10589" max="10589" customWidth="0" width="3.109375" style="1"/>
    <col min="10590" max="10590" customWidth="0" width="3.109375" style="1"/>
    <col min="10591" max="10591" customWidth="0" width="3.109375" style="1"/>
    <col min="10592" max="10592" customWidth="0" width="3.109375" style="1"/>
    <col min="10593" max="10593" customWidth="0" width="3.109375" style="1"/>
    <col min="10594" max="10594" customWidth="0" width="3.109375" style="1"/>
    <col min="10595" max="10595" customWidth="0" width="3.109375" style="1"/>
    <col min="10596" max="10596" customWidth="0" width="3.109375" style="1"/>
    <col min="10597" max="10597" customWidth="0" width="3.109375" style="1"/>
    <col min="10598" max="10598" customWidth="0" width="3.109375" style="1"/>
    <col min="10599" max="10599" customWidth="0" width="3.109375" style="1"/>
    <col min="10600" max="10600" customWidth="0" width="3.109375" style="1"/>
    <col min="10601" max="10601" customWidth="0" width="3.109375" style="1"/>
    <col min="10602" max="10602" customWidth="0" width="3.109375" style="1"/>
    <col min="10603" max="10603" customWidth="0" width="3.109375" style="1"/>
    <col min="10604" max="10604" customWidth="0" width="3.109375" style="1"/>
    <col min="10605" max="10605" customWidth="0" width="3.109375" style="1"/>
    <col min="10606" max="10606" customWidth="0" width="3.109375" style="1"/>
    <col min="10607" max="10607" customWidth="0" width="3.109375" style="1"/>
    <col min="10608" max="10608" customWidth="0" width="3.109375" style="1"/>
    <col min="10609" max="10609" customWidth="0" width="3.109375" style="1"/>
    <col min="10610" max="10610" customWidth="0" width="3.109375" style="1"/>
    <col min="10611" max="10611" customWidth="0" width="3.109375" style="1"/>
    <col min="10612" max="10612" customWidth="0" width="3.109375" style="1"/>
    <col min="10613" max="10613" customWidth="0" width="3.109375" style="1"/>
    <col min="10614" max="10614" customWidth="0" width="3.109375" style="1"/>
    <col min="10615" max="10615" customWidth="0" width="3.109375" style="1"/>
    <col min="10616" max="10616" customWidth="0" width="3.109375" style="1"/>
    <col min="10617" max="10617" customWidth="0" width="3.109375" style="1"/>
    <col min="10618" max="10618" customWidth="0" width="3.109375" style="1"/>
    <col min="10619" max="10619" customWidth="0" width="3.109375" style="1"/>
    <col min="10620" max="10620" customWidth="0" width="3.109375" style="1"/>
    <col min="10621" max="10621" customWidth="0" width="3.109375" style="1"/>
    <col min="10622" max="10622" customWidth="0" width="3.109375" style="1"/>
    <col min="10623" max="10623" customWidth="0" width="3.109375" style="1"/>
    <col min="10624" max="10624" customWidth="0" width="3.109375" style="1"/>
    <col min="10625" max="10625" customWidth="0" width="3.109375" style="1"/>
    <col min="10626" max="10626" customWidth="0" width="3.109375" style="1"/>
    <col min="10627" max="10627" customWidth="0" width="3.109375" style="1"/>
    <col min="10628" max="10628" customWidth="0" width="3.109375" style="1"/>
    <col min="10629" max="10629" customWidth="0" width="3.109375" style="1"/>
    <col min="10630" max="10630" customWidth="0" width="3.109375" style="1"/>
    <col min="10631" max="10631" customWidth="0" width="3.109375" style="1"/>
    <col min="10632" max="10632" customWidth="0" width="3.109375" style="1"/>
    <col min="10633" max="10633" customWidth="0" width="3.109375" style="1"/>
    <col min="10634" max="10634" customWidth="0" width="3.109375" style="1"/>
    <col min="10635" max="10635" customWidth="0" width="3.109375" style="1"/>
    <col min="10636" max="10636" customWidth="0" width="3.109375" style="1"/>
    <col min="10637" max="10637" customWidth="0" width="3.109375" style="1"/>
    <col min="10638" max="10638" customWidth="0" width="3.109375" style="1"/>
    <col min="10639" max="10639" customWidth="0" width="3.109375" style="1"/>
    <col min="10640" max="10640" customWidth="0" width="3.109375" style="1"/>
    <col min="10641" max="10641" customWidth="0" width="3.109375" style="1"/>
    <col min="10642" max="10642" customWidth="0" width="3.109375" style="1"/>
    <col min="10643" max="10643" customWidth="0" width="3.109375" style="1"/>
    <col min="10644" max="10644" customWidth="0" width="3.109375" style="1"/>
    <col min="10645" max="10645" customWidth="0" width="3.109375" style="1"/>
    <col min="10646" max="10646" customWidth="0" width="3.109375" style="1"/>
    <col min="10647" max="10647" customWidth="0" width="3.109375" style="1"/>
    <col min="10648" max="10648" customWidth="0" width="3.109375" style="1"/>
    <col min="10649" max="10649" customWidth="0" width="3.109375" style="1"/>
    <col min="10650" max="10650" customWidth="0" width="3.109375" style="1"/>
    <col min="10651" max="10651" customWidth="0" width="3.109375" style="1"/>
    <col min="10652" max="10652" customWidth="0" width="3.109375" style="1"/>
    <col min="10653" max="10653" customWidth="0" width="3.109375" style="1"/>
    <col min="10654" max="10654" customWidth="0" width="3.109375" style="1"/>
    <col min="10655" max="10655" customWidth="0" width="3.109375" style="1"/>
    <col min="10656" max="10656" customWidth="0" width="3.109375" style="1"/>
    <col min="10657" max="10657" customWidth="0" width="3.109375" style="1"/>
    <col min="10658" max="10658" customWidth="0" width="3.109375" style="1"/>
    <col min="10659" max="10659" customWidth="0" width="3.109375" style="1"/>
    <col min="10660" max="10660" customWidth="0" width="3.109375" style="1"/>
    <col min="10661" max="10661" customWidth="0" width="3.109375" style="1"/>
    <col min="10662" max="10662" customWidth="0" width="3.109375" style="1"/>
    <col min="10663" max="10663" customWidth="0" width="3.109375" style="1"/>
    <col min="10664" max="10664" customWidth="0" width="3.109375" style="1"/>
    <col min="10665" max="10665" customWidth="0" width="3.109375" style="1"/>
    <col min="10666" max="10666" customWidth="0" width="3.109375" style="1"/>
    <col min="10667" max="10667" customWidth="0" width="3.109375" style="1"/>
    <col min="10668" max="10668" customWidth="0" width="3.109375" style="1"/>
    <col min="10669" max="10669" customWidth="0" width="3.109375" style="1"/>
    <col min="10670" max="10670" customWidth="0" width="3.109375" style="1"/>
    <col min="10671" max="10671" customWidth="0" width="3.109375" style="1"/>
    <col min="10672" max="10672" customWidth="0" width="3.109375" style="1"/>
    <col min="10673" max="10673" customWidth="0" width="3.109375" style="1"/>
    <col min="10674" max="10674" customWidth="0" width="3.109375" style="1"/>
    <col min="10675" max="10675" customWidth="0" width="3.109375" style="1"/>
    <col min="10676" max="10676" customWidth="0" width="3.109375" style="1"/>
    <col min="10677" max="10677" customWidth="0" width="3.109375" style="1"/>
    <col min="10678" max="10678" customWidth="0" width="3.109375" style="1"/>
    <col min="10679" max="10679" customWidth="0" width="3.109375" style="1"/>
    <col min="10680" max="10680" customWidth="0" width="3.109375" style="1"/>
    <col min="10681" max="10681" customWidth="0" width="3.109375" style="1"/>
    <col min="10682" max="10682" customWidth="0" width="3.109375" style="1"/>
    <col min="10683" max="10683" customWidth="0" width="3.109375" style="1"/>
    <col min="10684" max="10684" customWidth="0" width="3.109375" style="1"/>
    <col min="10685" max="10685" customWidth="0" width="3.109375" style="1"/>
    <col min="10686" max="10686" customWidth="0" width="3.109375" style="1"/>
    <col min="10687" max="10687" customWidth="0" width="3.109375" style="1"/>
    <col min="10688" max="10688" customWidth="0" width="3.109375" style="1"/>
    <col min="10689" max="10689" customWidth="0" width="3.109375" style="1"/>
    <col min="10690" max="10690" customWidth="0" width="3.109375" style="1"/>
    <col min="10691" max="10691" customWidth="0" width="3.109375" style="1"/>
    <col min="10692" max="10692" customWidth="0" width="3.109375" style="1"/>
    <col min="10693" max="10693" customWidth="0" width="3.109375" style="1"/>
    <col min="10694" max="10694" customWidth="0" width="3.109375" style="1"/>
    <col min="10695" max="10695" customWidth="0" width="3.109375" style="1"/>
    <col min="10696" max="10696" customWidth="0" width="3.109375" style="1"/>
    <col min="10697" max="10697" customWidth="0" width="3.109375" style="1"/>
    <col min="10698" max="10698" customWidth="0" width="3.109375" style="1"/>
    <col min="10699" max="10699" customWidth="0" width="3.109375" style="1"/>
    <col min="10700" max="10700" customWidth="0" width="3.109375" style="1"/>
    <col min="10701" max="10701" customWidth="0" width="3.109375" style="1"/>
    <col min="10702" max="10702" customWidth="0" width="3.109375" style="1"/>
    <col min="10703" max="10703" customWidth="0" width="3.109375" style="1"/>
    <col min="10704" max="10704" customWidth="0" width="3.109375" style="1"/>
    <col min="10705" max="10705" customWidth="0" width="3.109375" style="1"/>
    <col min="10706" max="10706" customWidth="0" width="3.109375" style="1"/>
    <col min="10707" max="10707" customWidth="0" width="3.109375" style="1"/>
    <col min="10708" max="10708" customWidth="0" width="3.109375" style="1"/>
    <col min="10709" max="10709" customWidth="0" width="3.109375" style="1"/>
    <col min="10710" max="10710" customWidth="0" width="3.109375" style="1"/>
    <col min="10711" max="10711" customWidth="0" width="3.109375" style="1"/>
    <col min="10712" max="10712" customWidth="0" width="3.109375" style="1"/>
    <col min="10713" max="10713" customWidth="0" width="3.109375" style="1"/>
    <col min="10714" max="10714" customWidth="0" width="3.109375" style="1"/>
    <col min="10715" max="10715" customWidth="0" width="3.109375" style="1"/>
    <col min="10716" max="10716" customWidth="0" width="3.109375" style="1"/>
    <col min="10717" max="10717" customWidth="0" width="3.109375" style="1"/>
    <col min="10718" max="10718" customWidth="0" width="3.109375" style="1"/>
    <col min="10719" max="10719" customWidth="0" width="3.109375" style="1"/>
    <col min="10720" max="10720" customWidth="0" width="3.109375" style="1"/>
    <col min="10721" max="10721" customWidth="0" width="3.109375" style="1"/>
    <col min="10722" max="10722" customWidth="0" width="3.109375" style="1"/>
    <col min="10723" max="10723" customWidth="0" width="3.109375" style="1"/>
    <col min="10724" max="10724" customWidth="0" width="3.109375" style="1"/>
    <col min="10725" max="10725" customWidth="0" width="3.109375" style="1"/>
    <col min="10726" max="10726" customWidth="0" width="3.109375" style="1"/>
    <col min="10727" max="10727" customWidth="0" width="3.109375" style="1"/>
    <col min="10728" max="10728" customWidth="0" width="3.109375" style="1"/>
    <col min="10729" max="10729" customWidth="0" width="3.109375" style="1"/>
    <col min="10730" max="10730" customWidth="0" width="3.109375" style="1"/>
    <col min="10731" max="10731" customWidth="0" width="3.109375" style="1"/>
    <col min="10732" max="10732" customWidth="0" width="3.109375" style="1"/>
    <col min="10733" max="10733" customWidth="0" width="3.109375" style="1"/>
    <col min="10734" max="10734" customWidth="0" width="3.109375" style="1"/>
    <col min="10735" max="10735" customWidth="0" width="3.109375" style="1"/>
    <col min="10736" max="10736" customWidth="0" width="3.109375" style="1"/>
    <col min="10737" max="10737" customWidth="0" width="3.109375" style="1"/>
    <col min="10738" max="10738" customWidth="0" width="3.109375" style="1"/>
    <col min="10739" max="10739" customWidth="0" width="3.109375" style="1"/>
    <col min="10740" max="10740" customWidth="0" width="3.109375" style="1"/>
    <col min="10741" max="10741" customWidth="0" width="3.109375" style="1"/>
    <col min="10742" max="10742" customWidth="0" width="3.109375" style="1"/>
    <col min="10743" max="10743" customWidth="0" width="3.109375" style="1"/>
    <col min="10744" max="10744" customWidth="0" width="3.109375" style="1"/>
    <col min="10745" max="10745" customWidth="0" width="3.109375" style="1"/>
    <col min="10746" max="10746" customWidth="0" width="3.109375" style="1"/>
    <col min="10747" max="10747" customWidth="0" width="3.109375" style="1"/>
    <col min="10748" max="10748" customWidth="0" width="3.109375" style="1"/>
    <col min="10749" max="10749" customWidth="0" width="3.109375" style="1"/>
    <col min="10750" max="10750" customWidth="0" width="3.109375" style="1"/>
    <col min="10751" max="10751" customWidth="0" width="3.109375" style="1"/>
    <col min="10752" max="10752" customWidth="0" width="3.109375" style="1"/>
    <col min="10753" max="10753" customWidth="0" width="3.109375" style="1"/>
    <col min="10754" max="10754" customWidth="0" width="3.109375" style="1"/>
    <col min="10755" max="10755" customWidth="0" width="3.109375" style="1"/>
    <col min="10756" max="10756" customWidth="0" width="3.109375" style="1"/>
    <col min="10757" max="10757" customWidth="0" width="3.109375" style="1"/>
    <col min="10758" max="10758" customWidth="0" width="3.109375" style="1"/>
    <col min="10759" max="10759" customWidth="0" width="3.109375" style="1"/>
    <col min="10760" max="10760" customWidth="0" width="3.109375" style="1"/>
    <col min="10761" max="10761" customWidth="0" width="3.109375" style="1"/>
    <col min="10762" max="10762" customWidth="0" width="3.109375" style="1"/>
    <col min="10763" max="10763" customWidth="0" width="3.109375" style="1"/>
    <col min="10764" max="10764" customWidth="0" width="3.109375" style="1"/>
    <col min="10765" max="10765" customWidth="0" width="3.109375" style="1"/>
    <col min="10766" max="10766" customWidth="0" width="3.109375" style="1"/>
    <col min="10767" max="10767" customWidth="0" width="3.109375" style="1"/>
    <col min="10768" max="10768" customWidth="0" width="3.109375" style="1"/>
    <col min="10769" max="10769" customWidth="0" width="3.109375" style="1"/>
    <col min="10770" max="10770" customWidth="0" width="3.109375" style="1"/>
    <col min="10771" max="10771" customWidth="0" width="3.109375" style="1"/>
    <col min="10772" max="10772" customWidth="0" width="3.109375" style="1"/>
    <col min="10773" max="10773" customWidth="0" width="3.109375" style="1"/>
    <col min="10774" max="10774" customWidth="0" width="3.109375" style="1"/>
    <col min="10775" max="10775" customWidth="0" width="3.109375" style="1"/>
    <col min="10776" max="10776" customWidth="0" width="3.109375" style="1"/>
    <col min="10777" max="10777" customWidth="0" width="3.109375" style="1"/>
    <col min="10778" max="10778" customWidth="0" width="3.109375" style="1"/>
    <col min="10779" max="10779" customWidth="0" width="3.109375" style="1"/>
    <col min="10780" max="10780" customWidth="0" width="3.109375" style="1"/>
    <col min="10781" max="10781" customWidth="0" width="3.109375" style="1"/>
    <col min="10782" max="10782" customWidth="0" width="3.109375" style="1"/>
    <col min="10783" max="10783" customWidth="0" width="3.109375" style="1"/>
    <col min="10784" max="10784" customWidth="0" width="3.109375" style="1"/>
    <col min="10785" max="10785" customWidth="0" width="3.109375" style="1"/>
    <col min="10786" max="10786" customWidth="0" width="3.109375" style="1"/>
    <col min="10787" max="10787" customWidth="0" width="3.109375" style="1"/>
    <col min="10788" max="10788" customWidth="0" width="3.109375" style="1"/>
    <col min="10789" max="10789" customWidth="0" width="3.109375" style="1"/>
    <col min="10790" max="10790" customWidth="0" width="3.109375" style="1"/>
    <col min="10791" max="10791" customWidth="0" width="3.109375" style="1"/>
    <col min="10792" max="10792" customWidth="0" width="3.109375" style="1"/>
    <col min="10793" max="10793" customWidth="0" width="3.109375" style="1"/>
    <col min="10794" max="10794" customWidth="0" width="3.109375" style="1"/>
    <col min="10795" max="10795" customWidth="0" width="3.109375" style="1"/>
    <col min="10796" max="10796" customWidth="0" width="3.109375" style="1"/>
    <col min="10797" max="10797" customWidth="0" width="3.109375" style="1"/>
    <col min="10798" max="10798" customWidth="0" width="3.109375" style="1"/>
    <col min="10799" max="10799" customWidth="0" width="3.109375" style="1"/>
    <col min="10800" max="10800" customWidth="0" width="3.109375" style="1"/>
    <col min="10801" max="10801" customWidth="0" width="3.109375" style="1"/>
    <col min="10802" max="10802" customWidth="0" width="3.109375" style="1"/>
    <col min="10803" max="10803" customWidth="0" width="3.109375" style="1"/>
    <col min="10804" max="10804" customWidth="0" width="3.109375" style="1"/>
    <col min="10805" max="10805" customWidth="0" width="3.109375" style="1"/>
    <col min="10806" max="10806" customWidth="0" width="3.109375" style="1"/>
    <col min="10807" max="10807" customWidth="0" width="3.109375" style="1"/>
    <col min="10808" max="10808" customWidth="0" width="3.109375" style="1"/>
    <col min="10809" max="10809" customWidth="0" width="3.109375" style="1"/>
    <col min="10810" max="10810" customWidth="0" width="3.109375" style="1"/>
    <col min="10811" max="10811" customWidth="0" width="3.109375" style="1"/>
    <col min="10812" max="10812" customWidth="0" width="3.109375" style="1"/>
    <col min="10813" max="10813" customWidth="0" width="3.109375" style="1"/>
    <col min="10814" max="10814" customWidth="0" width="3.109375" style="1"/>
    <col min="10815" max="10815" customWidth="0" width="3.109375" style="1"/>
    <col min="10816" max="10816" customWidth="0" width="3.109375" style="1"/>
    <col min="10817" max="10817" customWidth="0" width="3.109375" style="1"/>
    <col min="10818" max="10818" customWidth="0" width="3.109375" style="1"/>
    <col min="10819" max="10819" customWidth="0" width="3.109375" style="1"/>
    <col min="10820" max="10820" customWidth="0" width="3.109375" style="1"/>
    <col min="10821" max="10821" customWidth="0" width="3.109375" style="1"/>
    <col min="10822" max="10822" customWidth="0" width="3.109375" style="1"/>
    <col min="10823" max="10823" customWidth="0" width="3.109375" style="1"/>
    <col min="10824" max="10824" customWidth="0" width="3.109375" style="1"/>
    <col min="10825" max="10825" customWidth="0" width="3.109375" style="1"/>
    <col min="10826" max="10826" customWidth="0" width="3.109375" style="1"/>
    <col min="10827" max="10827" customWidth="0" width="3.109375" style="1"/>
    <col min="10828" max="10828" customWidth="0" width="3.109375" style="1"/>
    <col min="10829" max="10829" customWidth="0" width="3.109375" style="1"/>
    <col min="10830" max="10830" customWidth="0" width="3.109375" style="1"/>
    <col min="10831" max="10831" customWidth="0" width="3.109375" style="1"/>
    <col min="10832" max="10832" customWidth="0" width="3.109375" style="1"/>
    <col min="10833" max="10833" customWidth="0" width="3.109375" style="1"/>
    <col min="10834" max="10834" customWidth="0" width="3.109375" style="1"/>
    <col min="10835" max="10835" customWidth="0" width="3.109375" style="1"/>
    <col min="10836" max="10836" customWidth="0" width="3.109375" style="1"/>
    <col min="10837" max="10837" customWidth="0" width="3.109375" style="1"/>
    <col min="10838" max="10838" customWidth="0" width="3.109375" style="1"/>
    <col min="10839" max="10839" customWidth="0" width="3.109375" style="1"/>
    <col min="10840" max="10840" customWidth="0" width="3.109375" style="1"/>
    <col min="10841" max="10841" customWidth="0" width="3.109375" style="1"/>
    <col min="10842" max="10842" customWidth="0" width="3.109375" style="1"/>
    <col min="10843" max="10843" customWidth="0" width="3.109375" style="1"/>
    <col min="10844" max="10844" customWidth="0" width="3.109375" style="1"/>
    <col min="10845" max="10845" customWidth="0" width="3.109375" style="1"/>
    <col min="10846" max="10846" customWidth="0" width="3.109375" style="1"/>
    <col min="10847" max="10847" customWidth="0" width="3.109375" style="1"/>
    <col min="10848" max="10848" customWidth="0" width="3.109375" style="1"/>
    <col min="10849" max="10849" customWidth="0" width="3.109375" style="1"/>
    <col min="10850" max="10850" customWidth="0" width="3.109375" style="1"/>
    <col min="10851" max="10851" customWidth="0" width="3.109375" style="1"/>
    <col min="10852" max="10852" customWidth="0" width="3.109375" style="1"/>
    <col min="10853" max="10853" customWidth="0" width="3.109375" style="1"/>
    <col min="10854" max="10854" customWidth="0" width="3.109375" style="1"/>
    <col min="10855" max="10855" customWidth="0" width="3.109375" style="1"/>
    <col min="10856" max="10856" customWidth="0" width="3.109375" style="1"/>
    <col min="10857" max="10857" customWidth="0" width="3.109375" style="1"/>
    <col min="10858" max="10858" customWidth="0" width="3.109375" style="1"/>
    <col min="10859" max="10859" customWidth="0" width="3.109375" style="1"/>
    <col min="10860" max="10860" customWidth="0" width="3.109375" style="1"/>
    <col min="10861" max="10861" customWidth="0" width="3.109375" style="1"/>
    <col min="10862" max="10862" customWidth="0" width="3.109375" style="1"/>
    <col min="10863" max="10863" customWidth="0" width="3.109375" style="1"/>
    <col min="10864" max="10864" customWidth="0" width="3.109375" style="1"/>
    <col min="10865" max="10865" customWidth="0" width="3.109375" style="1"/>
    <col min="10866" max="10866" customWidth="0" width="3.109375" style="1"/>
    <col min="10867" max="10867" customWidth="0" width="3.109375" style="1"/>
    <col min="10868" max="10868" customWidth="0" width="3.109375" style="1"/>
    <col min="10869" max="10869" customWidth="0" width="3.109375" style="1"/>
    <col min="10870" max="10870" customWidth="0" width="3.109375" style="1"/>
    <col min="10871" max="10871" customWidth="0" width="3.109375" style="1"/>
    <col min="10872" max="10872" customWidth="0" width="3.109375" style="1"/>
    <col min="10873" max="10873" customWidth="0" width="3.109375" style="1"/>
    <col min="10874" max="10874" customWidth="0" width="3.109375" style="1"/>
    <col min="10875" max="10875" customWidth="0" width="3.109375" style="1"/>
    <col min="10876" max="10876" customWidth="0" width="3.109375" style="1"/>
    <col min="10877" max="10877" customWidth="0" width="3.109375" style="1"/>
    <col min="10878" max="10878" customWidth="0" width="3.109375" style="1"/>
    <col min="10879" max="10879" customWidth="0" width="3.109375" style="1"/>
    <col min="10880" max="10880" customWidth="0" width="3.109375" style="1"/>
    <col min="10881" max="10881" customWidth="0" width="3.109375" style="1"/>
    <col min="10882" max="10882" customWidth="0" width="3.109375" style="1"/>
    <col min="10883" max="10883" customWidth="0" width="3.109375" style="1"/>
    <col min="10884" max="10884" customWidth="0" width="3.109375" style="1"/>
    <col min="10885" max="10885" customWidth="0" width="3.109375" style="1"/>
    <col min="10886" max="10886" customWidth="0" width="3.109375" style="1"/>
    <col min="10887" max="10887" customWidth="0" width="3.109375" style="1"/>
    <col min="10888" max="10888" customWidth="0" width="3.109375" style="1"/>
    <col min="10889" max="10889" customWidth="0" width="3.109375" style="1"/>
    <col min="10890" max="10890" customWidth="0" width="3.109375" style="1"/>
    <col min="10891" max="10891" customWidth="0" width="3.109375" style="1"/>
    <col min="10892" max="10892" customWidth="0" width="3.109375" style="1"/>
    <col min="10893" max="10893" customWidth="0" width="3.109375" style="1"/>
    <col min="10894" max="10894" customWidth="0" width="3.109375" style="1"/>
    <col min="10895" max="10895" customWidth="0" width="3.109375" style="1"/>
    <col min="10896" max="10896" customWidth="0" width="3.109375" style="1"/>
    <col min="10897" max="10897" customWidth="0" width="3.109375" style="1"/>
    <col min="10898" max="10898" customWidth="0" width="3.109375" style="1"/>
    <col min="10899" max="10899" customWidth="0" width="3.109375" style="1"/>
    <col min="10900" max="10900" customWidth="0" width="3.109375" style="1"/>
    <col min="10901" max="10901" customWidth="0" width="3.109375" style="1"/>
    <col min="10902" max="10902" customWidth="0" width="3.109375" style="1"/>
    <col min="10903" max="10903" customWidth="0" width="3.109375" style="1"/>
    <col min="10904" max="10904" customWidth="0" width="3.109375" style="1"/>
    <col min="10905" max="10905" customWidth="0" width="3.109375" style="1"/>
    <col min="10906" max="10906" customWidth="0" width="3.109375" style="1"/>
    <col min="10907" max="10907" customWidth="0" width="3.109375" style="1"/>
    <col min="10908" max="10908" customWidth="0" width="3.109375" style="1"/>
    <col min="10909" max="10909" customWidth="0" width="3.109375" style="1"/>
    <col min="10910" max="10910" customWidth="0" width="3.109375" style="1"/>
    <col min="10911" max="10911" customWidth="0" width="3.109375" style="1"/>
    <col min="10912" max="10912" customWidth="0" width="3.109375" style="1"/>
    <col min="10913" max="10913" customWidth="0" width="3.109375" style="1"/>
    <col min="10914" max="10914" customWidth="0" width="3.109375" style="1"/>
    <col min="10915" max="10915" customWidth="0" width="3.109375" style="1"/>
    <col min="10916" max="10916" customWidth="0" width="3.109375" style="1"/>
    <col min="10917" max="10917" customWidth="0" width="3.109375" style="1"/>
    <col min="10918" max="10918" customWidth="0" width="3.109375" style="1"/>
    <col min="10919" max="10919" customWidth="0" width="3.109375" style="1"/>
    <col min="10920" max="10920" customWidth="0" width="3.109375" style="1"/>
    <col min="10921" max="10921" customWidth="0" width="3.109375" style="1"/>
    <col min="10922" max="10922" customWidth="0" width="3.109375" style="1"/>
    <col min="10923" max="10923" customWidth="0" width="3.109375" style="1"/>
    <col min="10924" max="10924" customWidth="0" width="3.109375" style="1"/>
    <col min="10925" max="10925" customWidth="0" width="3.109375" style="1"/>
    <col min="10926" max="10926" customWidth="0" width="3.109375" style="1"/>
    <col min="10927" max="10927" customWidth="0" width="3.109375" style="1"/>
    <col min="10928" max="10928" customWidth="0" width="3.109375" style="1"/>
    <col min="10929" max="10929" customWidth="0" width="3.109375" style="1"/>
    <col min="10930" max="10930" customWidth="0" width="3.109375" style="1"/>
    <col min="10931" max="10931" customWidth="0" width="3.109375" style="1"/>
    <col min="10932" max="10932" customWidth="0" width="3.109375" style="1"/>
    <col min="10933" max="10933" customWidth="0" width="3.109375" style="1"/>
    <col min="10934" max="10934" customWidth="0" width="3.109375" style="1"/>
    <col min="10935" max="10935" customWidth="0" width="3.109375" style="1"/>
    <col min="10936" max="10936" customWidth="0" width="3.109375" style="1"/>
    <col min="10937" max="10937" customWidth="0" width="3.109375" style="1"/>
    <col min="10938" max="10938" customWidth="0" width="3.109375" style="1"/>
    <col min="10939" max="10939" customWidth="0" width="3.109375" style="1"/>
    <col min="10940" max="10940" customWidth="0" width="3.109375" style="1"/>
    <col min="10941" max="10941" customWidth="0" width="3.109375" style="1"/>
    <col min="10942" max="10942" customWidth="0" width="3.109375" style="1"/>
    <col min="10943" max="10943" customWidth="0" width="3.109375" style="1"/>
    <col min="10944" max="10944" customWidth="0" width="3.109375" style="1"/>
    <col min="10945" max="10945" customWidth="0" width="3.109375" style="1"/>
    <col min="10946" max="10946" customWidth="0" width="3.109375" style="1"/>
    <col min="10947" max="10947" customWidth="0" width="3.109375" style="1"/>
    <col min="10948" max="10948" customWidth="0" width="3.109375" style="1"/>
    <col min="10949" max="10949" customWidth="0" width="3.109375" style="1"/>
    <col min="10950" max="10950" customWidth="0" width="3.109375" style="1"/>
    <col min="10951" max="10951" customWidth="0" width="3.109375" style="1"/>
    <col min="10952" max="10952" customWidth="0" width="3.109375" style="1"/>
    <col min="10953" max="10953" customWidth="0" width="3.109375" style="1"/>
    <col min="10954" max="10954" customWidth="0" width="3.109375" style="1"/>
    <col min="10955" max="10955" customWidth="0" width="3.109375" style="1"/>
    <col min="10956" max="10956" customWidth="0" width="3.109375" style="1"/>
    <col min="10957" max="10957" customWidth="0" width="3.109375" style="1"/>
    <col min="10958" max="10958" customWidth="0" width="3.109375" style="1"/>
    <col min="10959" max="10959" customWidth="0" width="3.109375" style="1"/>
    <col min="10960" max="10960" customWidth="0" width="3.109375" style="1"/>
    <col min="10961" max="10961" customWidth="0" width="3.109375" style="1"/>
    <col min="10962" max="10962" customWidth="0" width="3.109375" style="1"/>
    <col min="10963" max="10963" customWidth="0" width="3.109375" style="1"/>
    <col min="10964" max="10964" customWidth="0" width="3.109375" style="1"/>
    <col min="10965" max="10965" customWidth="0" width="3.109375" style="1"/>
    <col min="10966" max="10966" customWidth="0" width="3.109375" style="1"/>
    <col min="10967" max="10967" customWidth="0" width="3.109375" style="1"/>
    <col min="10968" max="10968" customWidth="0" width="3.109375" style="1"/>
    <col min="10969" max="10969" customWidth="0" width="3.109375" style="1"/>
    <col min="10970" max="10970" customWidth="0" width="3.109375" style="1"/>
    <col min="10971" max="10971" customWidth="0" width="3.109375" style="1"/>
    <col min="10972" max="10972" customWidth="0" width="3.109375" style="1"/>
    <col min="10973" max="10973" customWidth="0" width="3.109375" style="1"/>
    <col min="10974" max="10974" customWidth="0" width="3.109375" style="1"/>
    <col min="10975" max="10975" customWidth="0" width="3.109375" style="1"/>
    <col min="10976" max="10976" customWidth="0" width="3.109375" style="1"/>
    <col min="10977" max="10977" customWidth="0" width="3.109375" style="1"/>
    <col min="10978" max="10978" customWidth="0" width="3.109375" style="1"/>
    <col min="10979" max="10979" customWidth="0" width="3.109375" style="1"/>
    <col min="10980" max="10980" customWidth="0" width="3.109375" style="1"/>
    <col min="10981" max="10981" customWidth="0" width="3.109375" style="1"/>
    <col min="10982" max="10982" customWidth="0" width="3.109375" style="1"/>
    <col min="10983" max="10983" customWidth="0" width="3.109375" style="1"/>
    <col min="10984" max="10984" customWidth="0" width="3.109375" style="1"/>
    <col min="10985" max="10985" customWidth="0" width="3.109375" style="1"/>
    <col min="10986" max="10986" customWidth="0" width="3.109375" style="1"/>
    <col min="10987" max="10987" customWidth="0" width="3.109375" style="1"/>
    <col min="10988" max="10988" customWidth="0" width="3.109375" style="1"/>
    <col min="10989" max="10989" customWidth="0" width="3.109375" style="1"/>
    <col min="10990" max="10990" customWidth="0" width="3.109375" style="1"/>
    <col min="10991" max="10991" customWidth="0" width="3.109375" style="1"/>
    <col min="10992" max="10992" customWidth="0" width="3.109375" style="1"/>
    <col min="10993" max="10993" customWidth="0" width="3.109375" style="1"/>
    <col min="10994" max="10994" customWidth="0" width="3.109375" style="1"/>
    <col min="10995" max="10995" customWidth="0" width="3.109375" style="1"/>
    <col min="10996" max="10996" customWidth="0" width="3.109375" style="1"/>
    <col min="10997" max="10997" customWidth="0" width="3.109375" style="1"/>
    <col min="10998" max="10998" customWidth="0" width="3.109375" style="1"/>
    <col min="10999" max="10999" customWidth="0" width="3.109375" style="1"/>
    <col min="11000" max="11000" customWidth="0" width="3.109375" style="1"/>
    <col min="11001" max="11001" customWidth="0" width="3.109375" style="1"/>
    <col min="11002" max="11002" customWidth="0" width="3.109375" style="1"/>
    <col min="11003" max="11003" customWidth="0" width="3.109375" style="1"/>
    <col min="11004" max="11004" customWidth="0" width="3.109375" style="1"/>
    <col min="11005" max="11005" customWidth="0" width="3.109375" style="1"/>
    <col min="11006" max="11006" customWidth="0" width="3.109375" style="1"/>
    <col min="11007" max="11007" customWidth="0" width="3.109375" style="1"/>
    <col min="11008" max="11008" customWidth="0" width="3.109375" style="1"/>
    <col min="11009" max="11009" customWidth="0" width="3.109375" style="1"/>
    <col min="11010" max="11010" customWidth="0" width="3.109375" style="1"/>
    <col min="11011" max="11011" customWidth="0" width="3.109375" style="1"/>
    <col min="11012" max="11012" customWidth="0" width="3.109375" style="1"/>
    <col min="11013" max="11013" customWidth="0" width="3.109375" style="1"/>
    <col min="11014" max="11014" customWidth="0" width="3.109375" style="1"/>
    <col min="11015" max="11015" customWidth="0" width="3.109375" style="1"/>
    <col min="11016" max="11016" customWidth="0" width="3.109375" style="1"/>
    <col min="11017" max="11017" customWidth="0" width="3.109375" style="1"/>
    <col min="11018" max="11018" customWidth="0" width="3.109375" style="1"/>
    <col min="11019" max="11019" customWidth="0" width="3.109375" style="1"/>
    <col min="11020" max="11020" customWidth="0" width="3.109375" style="1"/>
    <col min="11021" max="11021" customWidth="0" width="3.109375" style="1"/>
    <col min="11022" max="11022" customWidth="0" width="3.109375" style="1"/>
    <col min="11023" max="11023" customWidth="0" width="3.109375" style="1"/>
    <col min="11024" max="11024" customWidth="0" width="3.109375" style="1"/>
    <col min="11025" max="11025" customWidth="0" width="3.109375" style="1"/>
    <col min="11026" max="11026" customWidth="0" width="3.109375" style="1"/>
    <col min="11027" max="11027" customWidth="0" width="3.109375" style="1"/>
    <col min="11028" max="11028" customWidth="0" width="3.109375" style="1"/>
    <col min="11029" max="11029" customWidth="0" width="3.109375" style="1"/>
    <col min="11030" max="11030" customWidth="0" width="3.109375" style="1"/>
    <col min="11031" max="11031" customWidth="0" width="3.109375" style="1"/>
    <col min="11032" max="11032" customWidth="0" width="3.109375" style="1"/>
    <col min="11033" max="11033" customWidth="0" width="3.109375" style="1"/>
    <col min="11034" max="11034" customWidth="0" width="3.109375" style="1"/>
    <col min="11035" max="11035" customWidth="0" width="3.109375" style="1"/>
    <col min="11036" max="11036" customWidth="0" width="3.109375" style="1"/>
    <col min="11037" max="11037" customWidth="0" width="3.109375" style="1"/>
    <col min="11038" max="11038" customWidth="0" width="3.109375" style="1"/>
    <col min="11039" max="11039" customWidth="0" width="3.109375" style="1"/>
    <col min="11040" max="11040" customWidth="0" width="3.109375" style="1"/>
    <col min="11041" max="11041" customWidth="0" width="3.109375" style="1"/>
    <col min="11042" max="11042" customWidth="0" width="3.109375" style="1"/>
    <col min="11043" max="11043" customWidth="0" width="3.109375" style="1"/>
    <col min="11044" max="11044" customWidth="0" width="3.109375" style="1"/>
    <col min="11045" max="11045" customWidth="0" width="3.109375" style="1"/>
    <col min="11046" max="11046" customWidth="0" width="3.109375" style="1"/>
    <col min="11047" max="11047" customWidth="0" width="3.109375" style="1"/>
    <col min="11048" max="11048" customWidth="0" width="3.109375" style="1"/>
    <col min="11049" max="11049" customWidth="0" width="3.109375" style="1"/>
    <col min="11050" max="11050" customWidth="0" width="3.109375" style="1"/>
    <col min="11051" max="11051" customWidth="0" width="3.109375" style="1"/>
    <col min="11052" max="11052" customWidth="0" width="3.109375" style="1"/>
    <col min="11053" max="11053" customWidth="0" width="3.109375" style="1"/>
    <col min="11054" max="11054" customWidth="0" width="3.109375" style="1"/>
    <col min="11055" max="11055" customWidth="0" width="3.109375" style="1"/>
    <col min="11056" max="11056" customWidth="0" width="3.109375" style="1"/>
    <col min="11057" max="11057" customWidth="0" width="3.109375" style="1"/>
    <col min="11058" max="11058" customWidth="0" width="3.109375" style="1"/>
    <col min="11059" max="11059" customWidth="0" width="3.109375" style="1"/>
    <col min="11060" max="11060" customWidth="0" width="3.109375" style="1"/>
    <col min="11061" max="11061" customWidth="0" width="3.109375" style="1"/>
    <col min="11062" max="11062" customWidth="0" width="3.109375" style="1"/>
    <col min="11063" max="11063" customWidth="0" width="3.109375" style="1"/>
    <col min="11064" max="11064" customWidth="0" width="3.109375" style="1"/>
    <col min="11065" max="11065" customWidth="0" width="3.109375" style="1"/>
    <col min="11066" max="11066" customWidth="0" width="3.109375" style="1"/>
    <col min="11067" max="11067" customWidth="0" width="3.109375" style="1"/>
    <col min="11068" max="11068" customWidth="0" width="3.109375" style="1"/>
    <col min="11069" max="11069" customWidth="0" width="3.109375" style="1"/>
    <col min="11070" max="11070" customWidth="0" width="3.109375" style="1"/>
    <col min="11071" max="11071" customWidth="0" width="3.109375" style="1"/>
    <col min="11072" max="11072" customWidth="0" width="3.109375" style="1"/>
    <col min="11073" max="11073" customWidth="0" width="3.109375" style="1"/>
    <col min="11074" max="11074" customWidth="0" width="3.109375" style="1"/>
    <col min="11075" max="11075" customWidth="0" width="3.109375" style="1"/>
    <col min="11076" max="11076" customWidth="0" width="3.109375" style="1"/>
    <col min="11077" max="11077" customWidth="0" width="3.109375" style="1"/>
    <col min="11078" max="11078" customWidth="0" width="3.109375" style="1"/>
    <col min="11079" max="11079" customWidth="0" width="3.109375" style="1"/>
    <col min="11080" max="11080" customWidth="0" width="3.109375" style="1"/>
    <col min="11081" max="11081" customWidth="0" width="3.109375" style="1"/>
    <col min="11082" max="11082" customWidth="0" width="3.109375" style="1"/>
    <col min="11083" max="11083" customWidth="0" width="3.109375" style="1"/>
    <col min="11084" max="11084" customWidth="0" width="3.109375" style="1"/>
    <col min="11085" max="11085" customWidth="0" width="3.109375" style="1"/>
    <col min="11086" max="11086" customWidth="0" width="3.109375" style="1"/>
    <col min="11087" max="11087" customWidth="0" width="3.109375" style="1"/>
    <col min="11088" max="11088" customWidth="0" width="3.109375" style="1"/>
    <col min="11089" max="11089" customWidth="0" width="3.109375" style="1"/>
    <col min="11090" max="11090" customWidth="0" width="3.109375" style="1"/>
    <col min="11091" max="11091" customWidth="0" width="3.109375" style="1"/>
    <col min="11092" max="11092" customWidth="0" width="3.109375" style="1"/>
    <col min="11093" max="11093" customWidth="0" width="3.109375" style="1"/>
    <col min="11094" max="11094" customWidth="0" width="3.109375" style="1"/>
    <col min="11095" max="11095" customWidth="0" width="3.109375" style="1"/>
    <col min="11096" max="11096" customWidth="0" width="3.109375" style="1"/>
    <col min="11097" max="11097" customWidth="0" width="3.109375" style="1"/>
    <col min="11098" max="11098" customWidth="0" width="3.109375" style="1"/>
    <col min="11099" max="11099" customWidth="0" width="3.109375" style="1"/>
    <col min="11100" max="11100" customWidth="0" width="3.109375" style="1"/>
    <col min="11101" max="11101" customWidth="0" width="3.109375" style="1"/>
    <col min="11102" max="11102" customWidth="0" width="3.109375" style="1"/>
    <col min="11103" max="11103" customWidth="0" width="3.109375" style="1"/>
    <col min="11104" max="11104" customWidth="0" width="3.109375" style="1"/>
    <col min="11105" max="11105" customWidth="0" width="3.109375" style="1"/>
    <col min="11106" max="11106" customWidth="0" width="3.109375" style="1"/>
    <col min="11107" max="11107" customWidth="0" width="3.109375" style="1"/>
    <col min="11108" max="11108" customWidth="0" width="3.109375" style="1"/>
    <col min="11109" max="11109" customWidth="0" width="3.109375" style="1"/>
    <col min="11110" max="11110" customWidth="0" width="3.109375" style="1"/>
    <col min="11111" max="11111" customWidth="0" width="3.109375" style="1"/>
    <col min="11112" max="11112" customWidth="0" width="3.109375" style="1"/>
    <col min="11113" max="11113" customWidth="0" width="3.109375" style="1"/>
    <col min="11114" max="11114" customWidth="0" width="3.109375" style="1"/>
    <col min="11115" max="11115" customWidth="0" width="3.109375" style="1"/>
    <col min="11116" max="11116" customWidth="0" width="3.109375" style="1"/>
    <col min="11117" max="11117" customWidth="0" width="3.109375" style="1"/>
    <col min="11118" max="11118" customWidth="0" width="3.109375" style="1"/>
    <col min="11119" max="11119" customWidth="0" width="3.109375" style="1"/>
    <col min="11120" max="11120" customWidth="0" width="3.109375" style="1"/>
    <col min="11121" max="11121" customWidth="0" width="3.109375" style="1"/>
    <col min="11122" max="11122" customWidth="0" width="3.109375" style="1"/>
    <col min="11123" max="11123" customWidth="0" width="3.109375" style="1"/>
    <col min="11124" max="11124" customWidth="0" width="3.109375" style="1"/>
    <col min="11125" max="11125" customWidth="0" width="3.109375" style="1"/>
    <col min="11126" max="11126" customWidth="0" width="3.109375" style="1"/>
    <col min="11127" max="11127" customWidth="0" width="3.109375" style="1"/>
    <col min="11128" max="11128" customWidth="0" width="3.109375" style="1"/>
    <col min="11129" max="11129" customWidth="0" width="3.109375" style="1"/>
    <col min="11130" max="11130" customWidth="0" width="3.109375" style="1"/>
    <col min="11131" max="11131" customWidth="0" width="3.109375" style="1"/>
    <col min="11132" max="11132" customWidth="0" width="3.109375" style="1"/>
    <col min="11133" max="11133" customWidth="0" width="3.109375" style="1"/>
    <col min="11134" max="11134" customWidth="0" width="3.109375" style="1"/>
    <col min="11135" max="11135" customWidth="0" width="3.109375" style="1"/>
    <col min="11136" max="11136" customWidth="0" width="3.109375" style="1"/>
    <col min="11137" max="11137" customWidth="0" width="3.109375" style="1"/>
    <col min="11138" max="11138" customWidth="0" width="3.109375" style="1"/>
    <col min="11139" max="11139" customWidth="0" width="3.109375" style="1"/>
    <col min="11140" max="11140" customWidth="0" width="3.109375" style="1"/>
    <col min="11141" max="11141" customWidth="0" width="3.109375" style="1"/>
    <col min="11142" max="11142" customWidth="0" width="3.109375" style="1"/>
    <col min="11143" max="11143" customWidth="0" width="3.109375" style="1"/>
    <col min="11144" max="11144" customWidth="0" width="3.109375" style="1"/>
    <col min="11145" max="11145" customWidth="0" width="3.109375" style="1"/>
    <col min="11146" max="11146" customWidth="0" width="3.109375" style="1"/>
    <col min="11147" max="11147" customWidth="0" width="3.109375" style="1"/>
    <col min="11148" max="11148" customWidth="0" width="3.109375" style="1"/>
    <col min="11149" max="11149" customWidth="0" width="3.109375" style="1"/>
    <col min="11150" max="11150" customWidth="0" width="3.109375" style="1"/>
    <col min="11151" max="11151" customWidth="0" width="3.109375" style="1"/>
    <col min="11152" max="11152" customWidth="0" width="3.109375" style="1"/>
    <col min="11153" max="11153" customWidth="0" width="3.109375" style="1"/>
    <col min="11154" max="11154" customWidth="0" width="3.109375" style="1"/>
    <col min="11155" max="11155" customWidth="0" width="3.109375" style="1"/>
    <col min="11156" max="11156" customWidth="0" width="3.109375" style="1"/>
    <col min="11157" max="11157" customWidth="0" width="3.109375" style="1"/>
    <col min="11158" max="11158" customWidth="0" width="3.109375" style="1"/>
    <col min="11159" max="11159" customWidth="0" width="3.109375" style="1"/>
    <col min="11160" max="11160" customWidth="0" width="3.109375" style="1"/>
    <col min="11161" max="11161" customWidth="0" width="3.109375" style="1"/>
    <col min="11162" max="11162" customWidth="0" width="3.109375" style="1"/>
    <col min="11163" max="11163" customWidth="0" width="3.109375" style="1"/>
    <col min="11164" max="11164" customWidth="0" width="3.109375" style="1"/>
    <col min="11165" max="11165" customWidth="0" width="3.109375" style="1"/>
    <col min="11166" max="11166" customWidth="0" width="3.109375" style="1"/>
    <col min="11167" max="11167" customWidth="0" width="3.109375" style="1"/>
    <col min="11168" max="11168" customWidth="0" width="3.109375" style="1"/>
    <col min="11169" max="11169" customWidth="0" width="3.109375" style="1"/>
    <col min="11170" max="11170" customWidth="0" width="3.109375" style="1"/>
    <col min="11171" max="11171" customWidth="0" width="3.109375" style="1"/>
    <col min="11172" max="11172" customWidth="0" width="3.109375" style="1"/>
    <col min="11173" max="11173" customWidth="0" width="3.109375" style="1"/>
    <col min="11174" max="11174" customWidth="0" width="3.109375" style="1"/>
    <col min="11175" max="11175" customWidth="0" width="3.109375" style="1"/>
    <col min="11176" max="11176" customWidth="0" width="3.109375" style="1"/>
    <col min="11177" max="11177" customWidth="0" width="3.109375" style="1"/>
    <col min="11178" max="11178" customWidth="0" width="3.109375" style="1"/>
    <col min="11179" max="11179" customWidth="0" width="3.109375" style="1"/>
    <col min="11180" max="11180" customWidth="0" width="3.109375" style="1"/>
    <col min="11181" max="11181" customWidth="0" width="3.109375" style="1"/>
    <col min="11182" max="11182" customWidth="0" width="3.109375" style="1"/>
    <col min="11183" max="11183" customWidth="0" width="3.109375" style="1"/>
    <col min="11184" max="11184" customWidth="0" width="3.109375" style="1"/>
    <col min="11185" max="11185" customWidth="0" width="3.109375" style="1"/>
    <col min="11186" max="11186" customWidth="0" width="3.109375" style="1"/>
    <col min="11187" max="11187" customWidth="0" width="3.109375" style="1"/>
    <col min="11188" max="11188" customWidth="0" width="3.109375" style="1"/>
    <col min="11189" max="11189" customWidth="0" width="3.109375" style="1"/>
    <col min="11190" max="11190" customWidth="0" width="3.109375" style="1"/>
    <col min="11191" max="11191" customWidth="0" width="3.109375" style="1"/>
    <col min="11192" max="11192" customWidth="0" width="3.109375" style="1"/>
    <col min="11193" max="11193" customWidth="0" width="3.109375" style="1"/>
    <col min="11194" max="11194" customWidth="0" width="3.109375" style="1"/>
    <col min="11195" max="11195" customWidth="0" width="3.109375" style="1"/>
    <col min="11196" max="11196" customWidth="0" width="3.109375" style="1"/>
    <col min="11197" max="11197" customWidth="0" width="3.109375" style="1"/>
    <col min="11198" max="11198" customWidth="0" width="3.109375" style="1"/>
    <col min="11199" max="11199" customWidth="0" width="3.109375" style="1"/>
    <col min="11200" max="11200" customWidth="0" width="3.109375" style="1"/>
    <col min="11201" max="11201" customWidth="0" width="3.109375" style="1"/>
    <col min="11202" max="11202" customWidth="0" width="3.109375" style="1"/>
    <col min="11203" max="11203" customWidth="0" width="3.109375" style="1"/>
    <col min="11204" max="11204" customWidth="0" width="3.109375" style="1"/>
    <col min="11205" max="11205" customWidth="0" width="3.109375" style="1"/>
    <col min="11206" max="11206" customWidth="0" width="3.109375" style="1"/>
    <col min="11207" max="11207" customWidth="0" width="3.109375" style="1"/>
    <col min="11208" max="11208" customWidth="0" width="3.109375" style="1"/>
    <col min="11209" max="11209" customWidth="0" width="3.109375" style="1"/>
    <col min="11210" max="11210" customWidth="0" width="3.109375" style="1"/>
    <col min="11211" max="11211" customWidth="0" width="3.109375" style="1"/>
    <col min="11212" max="11212" customWidth="0" width="3.109375" style="1"/>
    <col min="11213" max="11213" customWidth="0" width="3.109375" style="1"/>
    <col min="11214" max="11214" customWidth="0" width="3.109375" style="1"/>
    <col min="11215" max="11215" customWidth="0" width="3.109375" style="1"/>
    <col min="11216" max="11216" customWidth="0" width="3.109375" style="1"/>
    <col min="11217" max="11217" customWidth="0" width="3.109375" style="1"/>
    <col min="11218" max="11218" customWidth="0" width="3.109375" style="1"/>
    <col min="11219" max="11219" customWidth="0" width="3.109375" style="1"/>
    <col min="11220" max="11220" customWidth="0" width="3.109375" style="1"/>
    <col min="11221" max="11221" customWidth="0" width="3.109375" style="1"/>
    <col min="11222" max="11222" customWidth="0" width="3.109375" style="1"/>
    <col min="11223" max="11223" customWidth="0" width="3.109375" style="1"/>
    <col min="11224" max="11224" customWidth="0" width="3.109375" style="1"/>
    <col min="11225" max="11225" customWidth="0" width="3.109375" style="1"/>
    <col min="11226" max="11226" customWidth="0" width="3.109375" style="1"/>
    <col min="11227" max="11227" customWidth="0" width="3.109375" style="1"/>
    <col min="11228" max="11228" customWidth="0" width="3.109375" style="1"/>
    <col min="11229" max="11229" customWidth="0" width="3.109375" style="1"/>
    <col min="11230" max="11230" customWidth="0" width="3.109375" style="1"/>
    <col min="11231" max="11231" customWidth="0" width="3.109375" style="1"/>
    <col min="11232" max="11232" customWidth="0" width="3.109375" style="1"/>
    <col min="11233" max="11233" customWidth="0" width="3.109375" style="1"/>
    <col min="11234" max="11234" customWidth="0" width="3.109375" style="1"/>
    <col min="11235" max="11235" customWidth="0" width="3.109375" style="1"/>
    <col min="11236" max="11236" customWidth="0" width="3.109375" style="1"/>
    <col min="11237" max="11237" customWidth="0" width="3.109375" style="1"/>
    <col min="11238" max="11238" customWidth="0" width="3.109375" style="1"/>
    <col min="11239" max="11239" customWidth="0" width="3.109375" style="1"/>
    <col min="11240" max="11240" customWidth="0" width="3.109375" style="1"/>
    <col min="11241" max="11241" customWidth="0" width="3.109375" style="1"/>
    <col min="11242" max="11242" customWidth="0" width="3.109375" style="1"/>
    <col min="11243" max="11243" customWidth="0" width="3.109375" style="1"/>
    <col min="11244" max="11244" customWidth="0" width="3.109375" style="1"/>
    <col min="11245" max="11245" customWidth="0" width="3.109375" style="1"/>
    <col min="11246" max="11246" customWidth="0" width="3.109375" style="1"/>
    <col min="11247" max="11247" customWidth="0" width="3.109375" style="1"/>
    <col min="11248" max="11248" customWidth="0" width="3.109375" style="1"/>
    <col min="11249" max="11249" customWidth="0" width="3.109375" style="1"/>
    <col min="11250" max="11250" customWidth="0" width="3.109375" style="1"/>
    <col min="11251" max="11251" customWidth="0" width="3.109375" style="1"/>
    <col min="11252" max="11252" customWidth="0" width="3.109375" style="1"/>
    <col min="11253" max="11253" customWidth="0" width="3.109375" style="1"/>
    <col min="11254" max="11254" customWidth="0" width="3.109375" style="1"/>
    <col min="11255" max="11255" customWidth="0" width="3.109375" style="1"/>
    <col min="11256" max="11256" customWidth="0" width="3.109375" style="1"/>
    <col min="11257" max="11257" customWidth="0" width="3.109375" style="1"/>
    <col min="11258" max="11258" customWidth="0" width="3.109375" style="1"/>
    <col min="11259" max="11259" customWidth="0" width="3.109375" style="1"/>
    <col min="11260" max="11260" customWidth="0" width="3.109375" style="1"/>
    <col min="11261" max="11261" customWidth="0" width="3.109375" style="1"/>
    <col min="11262" max="11262" customWidth="0" width="3.109375" style="1"/>
    <col min="11263" max="11263" customWidth="0" width="3.109375" style="1"/>
    <col min="11264" max="11264" customWidth="0" width="3.109375" style="1"/>
    <col min="11265" max="11265" customWidth="0" width="3.109375" style="1"/>
    <col min="11266" max="11266" customWidth="0" width="3.109375" style="1"/>
    <col min="11267" max="11267" customWidth="0" width="3.109375" style="1"/>
    <col min="11268" max="11268" customWidth="0" width="3.109375" style="1"/>
    <col min="11269" max="11269" customWidth="0" width="3.109375" style="1"/>
    <col min="11270" max="11270" customWidth="0" width="3.109375" style="1"/>
    <col min="11271" max="11271" customWidth="0" width="3.109375" style="1"/>
    <col min="11272" max="11272" customWidth="0" width="3.109375" style="1"/>
    <col min="11273" max="11273" customWidth="0" width="3.109375" style="1"/>
    <col min="11274" max="11274" customWidth="0" width="3.109375" style="1"/>
    <col min="11275" max="11275" customWidth="0" width="3.109375" style="1"/>
    <col min="11276" max="11276" customWidth="0" width="3.109375" style="1"/>
    <col min="11277" max="11277" customWidth="0" width="3.109375" style="1"/>
    <col min="11278" max="11278" customWidth="0" width="3.109375" style="1"/>
    <col min="11279" max="11279" customWidth="0" width="3.109375" style="1"/>
    <col min="11280" max="11280" customWidth="0" width="3.109375" style="1"/>
    <col min="11281" max="11281" customWidth="0" width="3.109375" style="1"/>
    <col min="11282" max="11282" customWidth="0" width="3.109375" style="1"/>
    <col min="11283" max="11283" customWidth="0" width="3.109375" style="1"/>
    <col min="11284" max="11284" customWidth="0" width="3.109375" style="1"/>
    <col min="11285" max="11285" customWidth="0" width="3.109375" style="1"/>
    <col min="11286" max="11286" customWidth="0" width="3.109375" style="1"/>
    <col min="11287" max="11287" customWidth="0" width="3.109375" style="1"/>
    <col min="11288" max="11288" customWidth="0" width="3.109375" style="1"/>
    <col min="11289" max="11289" customWidth="0" width="3.109375" style="1"/>
    <col min="11290" max="11290" customWidth="0" width="3.109375" style="1"/>
    <col min="11291" max="11291" customWidth="0" width="3.109375" style="1"/>
    <col min="11292" max="11292" customWidth="0" width="3.109375" style="1"/>
    <col min="11293" max="11293" customWidth="0" width="3.109375" style="1"/>
    <col min="11294" max="11294" customWidth="0" width="3.109375" style="1"/>
    <col min="11295" max="11295" customWidth="0" width="3.109375" style="1"/>
    <col min="11296" max="11296" customWidth="0" width="3.109375" style="1"/>
    <col min="11297" max="11297" customWidth="0" width="3.109375" style="1"/>
    <col min="11298" max="11298" customWidth="0" width="3.109375" style="1"/>
    <col min="11299" max="11299" customWidth="0" width="3.109375" style="1"/>
    <col min="11300" max="11300" customWidth="0" width="3.109375" style="1"/>
    <col min="11301" max="11301" customWidth="0" width="3.109375" style="1"/>
    <col min="11302" max="11302" customWidth="0" width="3.109375" style="1"/>
    <col min="11303" max="11303" customWidth="0" width="3.109375" style="1"/>
    <col min="11304" max="11304" customWidth="0" width="3.109375" style="1"/>
    <col min="11305" max="11305" customWidth="0" width="3.109375" style="1"/>
    <col min="11306" max="11306" customWidth="0" width="3.109375" style="1"/>
    <col min="11307" max="11307" customWidth="0" width="3.109375" style="1"/>
    <col min="11308" max="11308" customWidth="0" width="3.109375" style="1"/>
    <col min="11309" max="11309" customWidth="0" width="3.109375" style="1"/>
    <col min="11310" max="11310" customWidth="0" width="3.109375" style="1"/>
    <col min="11311" max="11311" customWidth="0" width="3.109375" style="1"/>
    <col min="11312" max="11312" customWidth="0" width="3.109375" style="1"/>
    <col min="11313" max="11313" customWidth="0" width="3.109375" style="1"/>
    <col min="11314" max="11314" customWidth="0" width="3.109375" style="1"/>
    <col min="11315" max="11315" customWidth="0" width="3.109375" style="1"/>
    <col min="11316" max="11316" customWidth="0" width="3.109375" style="1"/>
    <col min="11317" max="11317" customWidth="0" width="3.109375" style="1"/>
    <col min="11318" max="11318" customWidth="0" width="3.109375" style="1"/>
    <col min="11319" max="11319" customWidth="0" width="3.109375" style="1"/>
    <col min="11320" max="11320" customWidth="0" width="3.109375" style="1"/>
    <col min="11321" max="11321" customWidth="0" width="3.109375" style="1"/>
    <col min="11322" max="11322" customWidth="0" width="3.109375" style="1"/>
    <col min="11323" max="11323" customWidth="0" width="3.109375" style="1"/>
    <col min="11324" max="11324" customWidth="0" width="3.109375" style="1"/>
    <col min="11325" max="11325" customWidth="0" width="3.109375" style="1"/>
    <col min="11326" max="11326" customWidth="0" width="3.109375" style="1"/>
    <col min="11327" max="11327" customWidth="0" width="3.109375" style="1"/>
    <col min="11328" max="11328" customWidth="0" width="3.109375" style="1"/>
    <col min="11329" max="11329" customWidth="0" width="3.109375" style="1"/>
    <col min="11330" max="11330" customWidth="0" width="3.109375" style="1"/>
    <col min="11331" max="11331" customWidth="0" width="3.109375" style="1"/>
    <col min="11332" max="11332" customWidth="0" width="3.109375" style="1"/>
    <col min="11333" max="11333" customWidth="0" width="3.109375" style="1"/>
    <col min="11334" max="11334" customWidth="0" width="3.109375" style="1"/>
    <col min="11335" max="11335" customWidth="0" width="3.109375" style="1"/>
    <col min="11336" max="11336" customWidth="0" width="3.109375" style="1"/>
    <col min="11337" max="11337" customWidth="0" width="3.109375" style="1"/>
    <col min="11338" max="11338" customWidth="0" width="3.109375" style="1"/>
    <col min="11339" max="11339" customWidth="0" width="3.109375" style="1"/>
    <col min="11340" max="11340" customWidth="0" width="3.109375" style="1"/>
    <col min="11341" max="11341" customWidth="0" width="3.109375" style="1"/>
    <col min="11342" max="11342" customWidth="0" width="3.109375" style="1"/>
    <col min="11343" max="11343" customWidth="0" width="3.109375" style="1"/>
    <col min="11344" max="11344" customWidth="0" width="3.109375" style="1"/>
    <col min="11345" max="11345" customWidth="0" width="3.109375" style="1"/>
    <col min="11346" max="11346" customWidth="0" width="3.109375" style="1"/>
    <col min="11347" max="11347" customWidth="0" width="3.109375" style="1"/>
    <col min="11348" max="11348" customWidth="0" width="3.109375" style="1"/>
    <col min="11349" max="11349" customWidth="0" width="3.109375" style="1"/>
    <col min="11350" max="11350" customWidth="0" width="3.109375" style="1"/>
    <col min="11351" max="11351" customWidth="0" width="3.109375" style="1"/>
    <col min="11352" max="11352" customWidth="0" width="3.109375" style="1"/>
    <col min="11353" max="11353" customWidth="0" width="3.109375" style="1"/>
    <col min="11354" max="11354" customWidth="0" width="3.109375" style="1"/>
    <col min="11355" max="11355" customWidth="0" width="3.109375" style="1"/>
    <col min="11356" max="11356" customWidth="0" width="3.109375" style="1"/>
    <col min="11357" max="11357" customWidth="0" width="3.109375" style="1"/>
    <col min="11358" max="11358" customWidth="0" width="3.109375" style="1"/>
    <col min="11359" max="11359" customWidth="0" width="3.109375" style="1"/>
    <col min="11360" max="11360" customWidth="0" width="3.109375" style="1"/>
    <col min="11361" max="11361" customWidth="0" width="3.109375" style="1"/>
    <col min="11362" max="11362" customWidth="0" width="3.109375" style="1"/>
    <col min="11363" max="11363" customWidth="0" width="3.109375" style="1"/>
    <col min="11364" max="11364" customWidth="0" width="3.109375" style="1"/>
    <col min="11365" max="11365" customWidth="0" width="3.109375" style="1"/>
    <col min="11366" max="11366" customWidth="0" width="3.109375" style="1"/>
    <col min="11367" max="11367" customWidth="0" width="3.109375" style="1"/>
    <col min="11368" max="11368" customWidth="0" width="3.109375" style="1"/>
    <col min="11369" max="11369" customWidth="0" width="3.109375" style="1"/>
    <col min="11370" max="11370" customWidth="0" width="3.109375" style="1"/>
    <col min="11371" max="11371" customWidth="0" width="3.109375" style="1"/>
    <col min="11372" max="11372" customWidth="0" width="3.109375" style="1"/>
    <col min="11373" max="11373" customWidth="0" width="3.109375" style="1"/>
    <col min="11374" max="11374" customWidth="0" width="3.109375" style="1"/>
    <col min="11375" max="11375" customWidth="0" width="3.109375" style="1"/>
    <col min="11376" max="11376" customWidth="0" width="3.109375" style="1"/>
    <col min="11377" max="11377" customWidth="0" width="3.109375" style="1"/>
    <col min="11378" max="11378" customWidth="0" width="3.109375" style="1"/>
    <col min="11379" max="11379" customWidth="0" width="3.109375" style="1"/>
    <col min="11380" max="11380" customWidth="0" width="3.109375" style="1"/>
    <col min="11381" max="11381" customWidth="0" width="3.109375" style="1"/>
    <col min="11382" max="11382" customWidth="0" width="3.109375" style="1"/>
    <col min="11383" max="11383" customWidth="0" width="3.109375" style="1"/>
    <col min="11384" max="11384" customWidth="0" width="3.109375" style="1"/>
    <col min="11385" max="11385" customWidth="0" width="3.109375" style="1"/>
    <col min="11386" max="11386" customWidth="0" width="3.109375" style="1"/>
    <col min="11387" max="11387" customWidth="0" width="3.109375" style="1"/>
    <col min="11388" max="11388" customWidth="0" width="3.109375" style="1"/>
    <col min="11389" max="11389" customWidth="0" width="3.109375" style="1"/>
    <col min="11390" max="11390" customWidth="0" width="3.109375" style="1"/>
    <col min="11391" max="11391" customWidth="0" width="3.109375" style="1"/>
    <col min="11392" max="11392" customWidth="0" width="3.109375" style="1"/>
    <col min="11393" max="11393" customWidth="0" width="3.109375" style="1"/>
    <col min="11394" max="11394" customWidth="0" width="3.109375" style="1"/>
    <col min="11395" max="11395" customWidth="0" width="3.109375" style="1"/>
    <col min="11396" max="11396" customWidth="0" width="3.109375" style="1"/>
    <col min="11397" max="11397" customWidth="0" width="3.109375" style="1"/>
    <col min="11398" max="11398" customWidth="0" width="3.109375" style="1"/>
    <col min="11399" max="11399" customWidth="0" width="3.109375" style="1"/>
    <col min="11400" max="11400" customWidth="0" width="3.109375" style="1"/>
    <col min="11401" max="11401" customWidth="0" width="3.109375" style="1"/>
    <col min="11402" max="11402" customWidth="0" width="3.109375" style="1"/>
    <col min="11403" max="11403" customWidth="0" width="3.109375" style="1"/>
    <col min="11404" max="11404" customWidth="0" width="3.109375" style="1"/>
    <col min="11405" max="11405" customWidth="0" width="3.109375" style="1"/>
    <col min="11406" max="11406" customWidth="0" width="3.109375" style="1"/>
    <col min="11407" max="11407" customWidth="0" width="3.109375" style="1"/>
    <col min="11408" max="11408" customWidth="0" width="3.109375" style="1"/>
    <col min="11409" max="11409" customWidth="0" width="3.109375" style="1"/>
    <col min="11410" max="11410" customWidth="0" width="3.109375" style="1"/>
    <col min="11411" max="11411" customWidth="0" width="3.109375" style="1"/>
    <col min="11412" max="11412" customWidth="0" width="3.109375" style="1"/>
    <col min="11413" max="11413" customWidth="0" width="3.109375" style="1"/>
    <col min="11414" max="11414" customWidth="0" width="3.109375" style="1"/>
    <col min="11415" max="11415" customWidth="0" width="3.109375" style="1"/>
    <col min="11416" max="11416" customWidth="0" width="3.109375" style="1"/>
    <col min="11417" max="11417" customWidth="0" width="3.109375" style="1"/>
    <col min="11418" max="11418" customWidth="0" width="3.109375" style="1"/>
    <col min="11419" max="11419" customWidth="0" width="3.109375" style="1"/>
    <col min="11420" max="11420" customWidth="0" width="3.109375" style="1"/>
    <col min="11421" max="11421" customWidth="0" width="3.109375" style="1"/>
    <col min="11422" max="11422" customWidth="0" width="3.109375" style="1"/>
    <col min="11423" max="11423" customWidth="0" width="3.109375" style="1"/>
    <col min="11424" max="11424" customWidth="0" width="3.109375" style="1"/>
    <col min="11425" max="11425" customWidth="0" width="3.109375" style="1"/>
    <col min="11426" max="11426" customWidth="0" width="3.109375" style="1"/>
    <col min="11427" max="11427" customWidth="0" width="3.109375" style="1"/>
    <col min="11428" max="11428" customWidth="0" width="3.109375" style="1"/>
    <col min="11429" max="11429" customWidth="0" width="3.109375" style="1"/>
    <col min="11430" max="11430" customWidth="0" width="3.109375" style="1"/>
    <col min="11431" max="11431" customWidth="0" width="3.109375" style="1"/>
    <col min="11432" max="11432" customWidth="0" width="3.109375" style="1"/>
    <col min="11433" max="11433" customWidth="0" width="3.109375" style="1"/>
    <col min="11434" max="11434" customWidth="0" width="3.109375" style="1"/>
    <col min="11435" max="11435" customWidth="0" width="3.109375" style="1"/>
    <col min="11436" max="11436" customWidth="0" width="3.109375" style="1"/>
    <col min="11437" max="11437" customWidth="0" width="3.109375" style="1"/>
    <col min="11438" max="11438" customWidth="0" width="3.109375" style="1"/>
    <col min="11439" max="11439" customWidth="0" width="3.109375" style="1"/>
    <col min="11440" max="11440" customWidth="0" width="3.109375" style="1"/>
    <col min="11441" max="11441" customWidth="0" width="3.109375" style="1"/>
    <col min="11442" max="11442" customWidth="0" width="3.109375" style="1"/>
    <col min="11443" max="11443" customWidth="0" width="3.109375" style="1"/>
    <col min="11444" max="11444" customWidth="0" width="3.109375" style="1"/>
    <col min="11445" max="11445" customWidth="0" width="3.109375" style="1"/>
    <col min="11446" max="11446" customWidth="0" width="3.109375" style="1"/>
    <col min="11447" max="11447" customWidth="0" width="3.109375" style="1"/>
    <col min="11448" max="11448" customWidth="0" width="3.109375" style="1"/>
    <col min="11449" max="11449" customWidth="0" width="3.109375" style="1"/>
    <col min="11450" max="11450" customWidth="0" width="3.109375" style="1"/>
    <col min="11451" max="11451" customWidth="0" width="3.109375" style="1"/>
    <col min="11452" max="11452" customWidth="0" width="3.109375" style="1"/>
    <col min="11453" max="11453" customWidth="0" width="3.109375" style="1"/>
    <col min="11454" max="11454" customWidth="0" width="3.109375" style="1"/>
    <col min="11455" max="11455" customWidth="0" width="3.109375" style="1"/>
    <col min="11456" max="11456" customWidth="0" width="3.109375" style="1"/>
    <col min="11457" max="11457" customWidth="0" width="3.109375" style="1"/>
    <col min="11458" max="11458" customWidth="0" width="3.109375" style="1"/>
    <col min="11459" max="11459" customWidth="0" width="3.109375" style="1"/>
    <col min="11460" max="11460" customWidth="0" width="3.109375" style="1"/>
    <col min="11461" max="11461" customWidth="0" width="3.109375" style="1"/>
    <col min="11462" max="11462" customWidth="0" width="3.109375" style="1"/>
    <col min="11463" max="11463" customWidth="0" width="3.109375" style="1"/>
    <col min="11464" max="11464" customWidth="0" width="3.109375" style="1"/>
    <col min="11465" max="11465" customWidth="0" width="3.109375" style="1"/>
    <col min="11466" max="11466" customWidth="0" width="3.109375" style="1"/>
    <col min="11467" max="11467" customWidth="0" width="3.109375" style="1"/>
    <col min="11468" max="11468" customWidth="0" width="3.109375" style="1"/>
    <col min="11469" max="11469" customWidth="0" width="3.109375" style="1"/>
    <col min="11470" max="11470" customWidth="0" width="3.109375" style="1"/>
    <col min="11471" max="11471" customWidth="0" width="3.109375" style="1"/>
    <col min="11472" max="11472" customWidth="0" width="3.109375" style="1"/>
    <col min="11473" max="11473" customWidth="0" width="3.109375" style="1"/>
    <col min="11474" max="11474" customWidth="0" width="3.109375" style="1"/>
    <col min="11475" max="11475" customWidth="0" width="3.109375" style="1"/>
    <col min="11476" max="11476" customWidth="0" width="3.109375" style="1"/>
    <col min="11477" max="11477" customWidth="0" width="3.109375" style="1"/>
    <col min="11478" max="11478" customWidth="0" width="3.109375" style="1"/>
    <col min="11479" max="11479" customWidth="0" width="3.109375" style="1"/>
    <col min="11480" max="11480" customWidth="0" width="3.109375" style="1"/>
    <col min="11481" max="11481" customWidth="0" width="3.109375" style="1"/>
    <col min="11482" max="11482" customWidth="0" width="3.109375" style="1"/>
    <col min="11483" max="11483" customWidth="0" width="3.109375" style="1"/>
    <col min="11484" max="11484" customWidth="0" width="3.109375" style="1"/>
    <col min="11485" max="11485" customWidth="0" width="3.109375" style="1"/>
    <col min="11486" max="11486" customWidth="0" width="3.109375" style="1"/>
    <col min="11487" max="11487" customWidth="0" width="3.109375" style="1"/>
    <col min="11488" max="11488" customWidth="0" width="3.109375" style="1"/>
    <col min="11489" max="11489" customWidth="0" width="3.109375" style="1"/>
    <col min="11490" max="11490" customWidth="0" width="3.109375" style="1"/>
    <col min="11491" max="11491" customWidth="0" width="3.109375" style="1"/>
    <col min="11492" max="11492" customWidth="0" width="3.109375" style="1"/>
    <col min="11493" max="11493" customWidth="0" width="3.109375" style="1"/>
    <col min="11494" max="11494" customWidth="0" width="3.109375" style="1"/>
    <col min="11495" max="11495" customWidth="0" width="3.109375" style="1"/>
    <col min="11496" max="11496" customWidth="0" width="3.109375" style="1"/>
    <col min="11497" max="11497" customWidth="0" width="3.109375" style="1"/>
    <col min="11498" max="11498" customWidth="0" width="3.109375" style="1"/>
    <col min="11499" max="11499" customWidth="0" width="3.109375" style="1"/>
    <col min="11500" max="11500" customWidth="0" width="3.109375" style="1"/>
    <col min="11501" max="11501" customWidth="0" width="3.109375" style="1"/>
    <col min="11502" max="11502" customWidth="0" width="3.109375" style="1"/>
    <col min="11503" max="11503" customWidth="0" width="3.109375" style="1"/>
    <col min="11504" max="11504" customWidth="0" width="3.109375" style="1"/>
    <col min="11505" max="11505" customWidth="0" width="3.109375" style="1"/>
    <col min="11506" max="11506" customWidth="0" width="3.109375" style="1"/>
    <col min="11507" max="11507" customWidth="0" width="3.109375" style="1"/>
    <col min="11508" max="11508" customWidth="0" width="3.109375" style="1"/>
    <col min="11509" max="11509" customWidth="0" width="3.109375" style="1"/>
    <col min="11510" max="11510" customWidth="0" width="3.109375" style="1"/>
    <col min="11511" max="11511" customWidth="0" width="3.109375" style="1"/>
    <col min="11512" max="11512" customWidth="0" width="3.109375" style="1"/>
    <col min="11513" max="11513" customWidth="0" width="3.109375" style="1"/>
    <col min="11514" max="11514" customWidth="0" width="3.109375" style="1"/>
    <col min="11515" max="11515" customWidth="0" width="3.109375" style="1"/>
    <col min="11516" max="11516" customWidth="0" width="3.109375" style="1"/>
    <col min="11517" max="11517" customWidth="0" width="3.109375" style="1"/>
    <col min="11518" max="11518" customWidth="0" width="3.109375" style="1"/>
    <col min="11519" max="11519" customWidth="0" width="3.109375" style="1"/>
    <col min="11520" max="11520" customWidth="0" width="3.109375" style="1"/>
    <col min="11521" max="11521" customWidth="0" width="3.109375" style="1"/>
    <col min="11522" max="11522" customWidth="0" width="3.109375" style="1"/>
    <col min="11523" max="11523" customWidth="0" width="3.109375" style="1"/>
    <col min="11524" max="11524" customWidth="0" width="3.109375" style="1"/>
    <col min="11525" max="11525" customWidth="0" width="3.109375" style="1"/>
    <col min="11526" max="11526" customWidth="0" width="3.109375" style="1"/>
    <col min="11527" max="11527" customWidth="0" width="3.109375" style="1"/>
    <col min="11528" max="11528" customWidth="0" width="3.109375" style="1"/>
    <col min="11529" max="11529" customWidth="0" width="3.109375" style="1"/>
    <col min="11530" max="11530" customWidth="0" width="3.109375" style="1"/>
    <col min="11531" max="11531" customWidth="0" width="3.109375" style="1"/>
    <col min="11532" max="11532" customWidth="0" width="3.109375" style="1"/>
    <col min="11533" max="11533" customWidth="0" width="3.109375" style="1"/>
    <col min="11534" max="11534" customWidth="0" width="3.109375" style="1"/>
    <col min="11535" max="11535" customWidth="0" width="3.109375" style="1"/>
    <col min="11536" max="11536" customWidth="0" width="3.109375" style="1"/>
    <col min="11537" max="11537" customWidth="0" width="3.109375" style="1"/>
    <col min="11538" max="11538" customWidth="0" width="3.109375" style="1"/>
    <col min="11539" max="11539" customWidth="0" width="3.109375" style="1"/>
    <col min="11540" max="11540" customWidth="0" width="3.109375" style="1"/>
    <col min="11541" max="11541" customWidth="0" width="3.109375" style="1"/>
    <col min="11542" max="11542" customWidth="0" width="3.109375" style="1"/>
    <col min="11543" max="11543" customWidth="0" width="3.109375" style="1"/>
    <col min="11544" max="11544" customWidth="0" width="3.109375" style="1"/>
    <col min="11545" max="11545" customWidth="0" width="3.109375" style="1"/>
    <col min="11546" max="11546" customWidth="0" width="3.109375" style="1"/>
    <col min="11547" max="11547" customWidth="0" width="3.109375" style="1"/>
    <col min="11548" max="11548" customWidth="0" width="3.109375" style="1"/>
    <col min="11549" max="11549" customWidth="0" width="3.109375" style="1"/>
    <col min="11550" max="11550" customWidth="0" width="3.109375" style="1"/>
    <col min="11551" max="11551" customWidth="0" width="3.109375" style="1"/>
    <col min="11552" max="11552" customWidth="0" width="3.109375" style="1"/>
    <col min="11553" max="11553" customWidth="0" width="3.109375" style="1"/>
    <col min="11554" max="11554" customWidth="0" width="3.109375" style="1"/>
    <col min="11555" max="11555" customWidth="0" width="3.109375" style="1"/>
    <col min="11556" max="11556" customWidth="0" width="3.109375" style="1"/>
    <col min="11557" max="11557" customWidth="0" width="3.109375" style="1"/>
    <col min="11558" max="11558" customWidth="0" width="3.109375" style="1"/>
    <col min="11559" max="11559" customWidth="0" width="3.109375" style="1"/>
    <col min="11560" max="11560" customWidth="0" width="3.109375" style="1"/>
    <col min="11561" max="11561" customWidth="0" width="3.109375" style="1"/>
    <col min="11562" max="11562" customWidth="0" width="3.109375" style="1"/>
    <col min="11563" max="11563" customWidth="0" width="3.109375" style="1"/>
    <col min="11564" max="11564" customWidth="0" width="3.109375" style="1"/>
    <col min="11565" max="11565" customWidth="0" width="3.109375" style="1"/>
    <col min="11566" max="11566" customWidth="0" width="3.109375" style="1"/>
    <col min="11567" max="11567" customWidth="0" width="3.109375" style="1"/>
    <col min="11568" max="11568" customWidth="0" width="3.109375" style="1"/>
    <col min="11569" max="11569" customWidth="0" width="3.109375" style="1"/>
    <col min="11570" max="11570" customWidth="0" width="3.109375" style="1"/>
    <col min="11571" max="11571" customWidth="0" width="3.109375" style="1"/>
    <col min="11572" max="11572" customWidth="0" width="3.109375" style="1"/>
    <col min="11573" max="11573" customWidth="0" width="3.109375" style="1"/>
    <col min="11574" max="11574" customWidth="0" width="3.109375" style="1"/>
    <col min="11575" max="11575" customWidth="0" width="3.109375" style="1"/>
    <col min="11576" max="11576" customWidth="0" width="3.109375" style="1"/>
    <col min="11577" max="11577" customWidth="0" width="3.109375" style="1"/>
    <col min="11578" max="11578" customWidth="0" width="3.109375" style="1"/>
    <col min="11579" max="11579" customWidth="0" width="3.109375" style="1"/>
    <col min="11580" max="11580" customWidth="0" width="3.109375" style="1"/>
    <col min="11581" max="11581" customWidth="0" width="3.109375" style="1"/>
    <col min="11582" max="11582" customWidth="0" width="3.109375" style="1"/>
    <col min="11583" max="11583" customWidth="0" width="3.109375" style="1"/>
    <col min="11584" max="11584" customWidth="0" width="3.109375" style="1"/>
    <col min="11585" max="11585" customWidth="0" width="3.109375" style="1"/>
    <col min="11586" max="11586" customWidth="0" width="3.109375" style="1"/>
    <col min="11587" max="11587" customWidth="0" width="3.109375" style="1"/>
    <col min="11588" max="11588" customWidth="0" width="3.109375" style="1"/>
    <col min="11589" max="11589" customWidth="0" width="3.109375" style="1"/>
    <col min="11590" max="11590" customWidth="0" width="3.109375" style="1"/>
    <col min="11591" max="11591" customWidth="0" width="3.109375" style="1"/>
    <col min="11592" max="11592" customWidth="0" width="3.109375" style="1"/>
    <col min="11593" max="11593" customWidth="0" width="3.109375" style="1"/>
    <col min="11594" max="11594" customWidth="0" width="3.109375" style="1"/>
    <col min="11595" max="11595" customWidth="0" width="3.109375" style="1"/>
    <col min="11596" max="11596" customWidth="0" width="3.109375" style="1"/>
    <col min="11597" max="11597" customWidth="0" width="3.109375" style="1"/>
    <col min="11598" max="11598" customWidth="0" width="3.109375" style="1"/>
    <col min="11599" max="11599" customWidth="0" width="3.109375" style="1"/>
    <col min="11600" max="11600" customWidth="0" width="3.109375" style="1"/>
    <col min="11601" max="11601" customWidth="0" width="3.109375" style="1"/>
    <col min="11602" max="11602" customWidth="0" width="3.109375" style="1"/>
    <col min="11603" max="11603" customWidth="0" width="3.109375" style="1"/>
    <col min="11604" max="11604" customWidth="0" width="3.109375" style="1"/>
    <col min="11605" max="11605" customWidth="0" width="3.109375" style="1"/>
    <col min="11606" max="11606" customWidth="0" width="3.109375" style="1"/>
    <col min="11607" max="11607" customWidth="0" width="3.109375" style="1"/>
    <col min="11608" max="11608" customWidth="0" width="3.109375" style="1"/>
    <col min="11609" max="11609" customWidth="0" width="3.109375" style="1"/>
    <col min="11610" max="11610" customWidth="0" width="3.109375" style="1"/>
    <col min="11611" max="11611" customWidth="0" width="3.109375" style="1"/>
    <col min="11612" max="11612" customWidth="0" width="3.109375" style="1"/>
    <col min="11613" max="11613" customWidth="0" width="3.109375" style="1"/>
    <col min="11614" max="11614" customWidth="0" width="3.109375" style="1"/>
    <col min="11615" max="11615" customWidth="0" width="3.109375" style="1"/>
    <col min="11616" max="11616" customWidth="0" width="3.109375" style="1"/>
    <col min="11617" max="11617" customWidth="0" width="3.109375" style="1"/>
    <col min="11618" max="11618" customWidth="0" width="3.109375" style="1"/>
    <col min="11619" max="11619" customWidth="0" width="3.109375" style="1"/>
    <col min="11620" max="11620" customWidth="0" width="3.109375" style="1"/>
    <col min="11621" max="11621" customWidth="0" width="3.109375" style="1"/>
    <col min="11622" max="11622" customWidth="0" width="3.109375" style="1"/>
    <col min="11623" max="11623" customWidth="0" width="3.109375" style="1"/>
    <col min="11624" max="11624" customWidth="0" width="3.109375" style="1"/>
    <col min="11625" max="11625" customWidth="0" width="3.109375" style="1"/>
    <col min="11626" max="11626" customWidth="0" width="3.109375" style="1"/>
    <col min="11627" max="11627" customWidth="0" width="3.109375" style="1"/>
    <col min="11628" max="11628" customWidth="0" width="3.109375" style="1"/>
    <col min="11629" max="11629" customWidth="0" width="3.109375" style="1"/>
    <col min="11630" max="11630" customWidth="0" width="3.109375" style="1"/>
    <col min="11631" max="11631" customWidth="0" width="3.109375" style="1"/>
    <col min="11632" max="11632" customWidth="0" width="3.109375" style="1"/>
    <col min="11633" max="11633" customWidth="0" width="3.109375" style="1"/>
    <col min="11634" max="11634" customWidth="0" width="3.109375" style="1"/>
    <col min="11635" max="11635" customWidth="0" width="3.109375" style="1"/>
    <col min="11636" max="11636" customWidth="0" width="3.109375" style="1"/>
    <col min="11637" max="11637" customWidth="0" width="3.109375" style="1"/>
    <col min="11638" max="11638" customWidth="0" width="3.109375" style="1"/>
    <col min="11639" max="11639" customWidth="0" width="3.109375" style="1"/>
    <col min="11640" max="11640" customWidth="0" width="3.109375" style="1"/>
    <col min="11641" max="11641" customWidth="0" width="3.109375" style="1"/>
    <col min="11642" max="11642" customWidth="0" width="3.109375" style="1"/>
    <col min="11643" max="11643" customWidth="0" width="3.109375" style="1"/>
    <col min="11644" max="11644" customWidth="0" width="3.109375" style="1"/>
    <col min="11645" max="11645" customWidth="0" width="3.109375" style="1"/>
    <col min="11646" max="11646" customWidth="0" width="3.109375" style="1"/>
    <col min="11647" max="11647" customWidth="0" width="3.109375" style="1"/>
    <col min="11648" max="11648" customWidth="0" width="3.109375" style="1"/>
    <col min="11649" max="11649" customWidth="0" width="3.109375" style="1"/>
    <col min="11650" max="11650" customWidth="0" width="3.109375" style="1"/>
    <col min="11651" max="11651" customWidth="0" width="3.109375" style="1"/>
    <col min="11652" max="11652" customWidth="0" width="3.109375" style="1"/>
    <col min="11653" max="11653" customWidth="0" width="3.109375" style="1"/>
    <col min="11654" max="11654" customWidth="0" width="3.109375" style="1"/>
    <col min="11655" max="11655" customWidth="0" width="3.109375" style="1"/>
    <col min="11656" max="11656" customWidth="0" width="3.109375" style="1"/>
    <col min="11657" max="11657" customWidth="0" width="3.109375" style="1"/>
    <col min="11658" max="11658" customWidth="0" width="3.109375" style="1"/>
    <col min="11659" max="11659" customWidth="0" width="3.109375" style="1"/>
    <col min="11660" max="11660" customWidth="0" width="3.109375" style="1"/>
    <col min="11661" max="11661" customWidth="0" width="3.109375" style="1"/>
    <col min="11662" max="11662" customWidth="0" width="3.109375" style="1"/>
    <col min="11663" max="11663" customWidth="0" width="3.109375" style="1"/>
    <col min="11664" max="11664" customWidth="0" width="3.109375" style="1"/>
    <col min="11665" max="11665" customWidth="0" width="3.109375" style="1"/>
    <col min="11666" max="11666" customWidth="0" width="3.109375" style="1"/>
    <col min="11667" max="11667" customWidth="0" width="3.109375" style="1"/>
    <col min="11668" max="11668" customWidth="0" width="3.109375" style="1"/>
    <col min="11669" max="11669" customWidth="0" width="3.109375" style="1"/>
    <col min="11670" max="11670" customWidth="0" width="3.109375" style="1"/>
    <col min="11671" max="11671" customWidth="0" width="3.109375" style="1"/>
    <col min="11672" max="11672" customWidth="0" width="3.109375" style="1"/>
    <col min="11673" max="11673" customWidth="0" width="3.109375" style="1"/>
    <col min="11674" max="11674" customWidth="0" width="3.109375" style="1"/>
    <col min="11675" max="11675" customWidth="0" width="3.109375" style="1"/>
    <col min="11676" max="11676" customWidth="0" width="3.109375" style="1"/>
    <col min="11677" max="11677" customWidth="0" width="3.109375" style="1"/>
    <col min="11678" max="11678" customWidth="0" width="3.109375" style="1"/>
    <col min="11679" max="11679" customWidth="0" width="3.109375" style="1"/>
    <col min="11680" max="11680" customWidth="0" width="3.109375" style="1"/>
    <col min="11681" max="11681" customWidth="0" width="3.109375" style="1"/>
    <col min="11682" max="11682" customWidth="0" width="3.109375" style="1"/>
    <col min="11683" max="11683" customWidth="0" width="3.109375" style="1"/>
    <col min="11684" max="11684" customWidth="0" width="3.109375" style="1"/>
    <col min="11685" max="11685" customWidth="0" width="3.109375" style="1"/>
    <col min="11686" max="11686" customWidth="0" width="3.109375" style="1"/>
    <col min="11687" max="11687" customWidth="0" width="3.109375" style="1"/>
    <col min="11688" max="11688" customWidth="0" width="3.109375" style="1"/>
    <col min="11689" max="11689" customWidth="0" width="3.109375" style="1"/>
    <col min="11690" max="11690" customWidth="0" width="3.109375" style="1"/>
    <col min="11691" max="11691" customWidth="0" width="3.109375" style="1"/>
    <col min="11692" max="11692" customWidth="0" width="3.109375" style="1"/>
    <col min="11693" max="11693" customWidth="0" width="3.109375" style="1"/>
    <col min="11694" max="11694" customWidth="0" width="3.109375" style="1"/>
    <col min="11695" max="11695" customWidth="0" width="3.109375" style="1"/>
    <col min="11696" max="11696" customWidth="0" width="3.109375" style="1"/>
    <col min="11697" max="11697" customWidth="0" width="3.109375" style="1"/>
    <col min="11698" max="11698" customWidth="0" width="3.109375" style="1"/>
    <col min="11699" max="11699" customWidth="0" width="3.109375" style="1"/>
    <col min="11700" max="11700" customWidth="0" width="3.109375" style="1"/>
    <col min="11701" max="11701" customWidth="0" width="3.109375" style="1"/>
    <col min="11702" max="11702" customWidth="0" width="3.109375" style="1"/>
    <col min="11703" max="11703" customWidth="0" width="3.109375" style="1"/>
    <col min="11704" max="11704" customWidth="0" width="3.109375" style="1"/>
    <col min="11705" max="11705" customWidth="0" width="3.109375" style="1"/>
    <col min="11706" max="11706" customWidth="0" width="3.109375" style="1"/>
    <col min="11707" max="11707" customWidth="0" width="3.109375" style="1"/>
    <col min="11708" max="11708" customWidth="0" width="3.109375" style="1"/>
    <col min="11709" max="11709" customWidth="0" width="3.109375" style="1"/>
    <col min="11710" max="11710" customWidth="0" width="3.109375" style="1"/>
    <col min="11711" max="11711" customWidth="0" width="3.109375" style="1"/>
    <col min="11712" max="11712" customWidth="0" width="3.109375" style="1"/>
    <col min="11713" max="11713" customWidth="0" width="3.109375" style="1"/>
    <col min="11714" max="11714" customWidth="0" width="3.109375" style="1"/>
    <col min="11715" max="11715" customWidth="0" width="3.109375" style="1"/>
    <col min="11716" max="11716" customWidth="0" width="3.109375" style="1"/>
    <col min="11717" max="11717" customWidth="0" width="3.109375" style="1"/>
    <col min="11718" max="11718" customWidth="0" width="3.109375" style="1"/>
    <col min="11719" max="11719" customWidth="0" width="3.109375" style="1"/>
    <col min="11720" max="11720" customWidth="0" width="3.109375" style="1"/>
    <col min="11721" max="11721" customWidth="0" width="3.109375" style="1"/>
    <col min="11722" max="11722" customWidth="0" width="3.109375" style="1"/>
    <col min="11723" max="11723" customWidth="0" width="3.109375" style="1"/>
    <col min="11724" max="11724" customWidth="0" width="3.109375" style="1"/>
    <col min="11725" max="11725" customWidth="0" width="3.109375" style="1"/>
    <col min="11726" max="11726" customWidth="0" width="3.109375" style="1"/>
    <col min="11727" max="11727" customWidth="0" width="3.109375" style="1"/>
    <col min="11728" max="11728" customWidth="0" width="3.109375" style="1"/>
    <col min="11729" max="11729" customWidth="0" width="3.109375" style="1"/>
    <col min="11730" max="11730" customWidth="0" width="3.109375" style="1"/>
    <col min="11731" max="11731" customWidth="0" width="3.109375" style="1"/>
    <col min="11732" max="11732" customWidth="0" width="3.109375" style="1"/>
    <col min="11733" max="11733" customWidth="0" width="3.109375" style="1"/>
    <col min="11734" max="11734" customWidth="0" width="3.109375" style="1"/>
    <col min="11735" max="11735" customWidth="0" width="3.109375" style="1"/>
    <col min="11736" max="11736" customWidth="0" width="3.109375" style="1"/>
    <col min="11737" max="11737" customWidth="0" width="3.109375" style="1"/>
    <col min="11738" max="11738" customWidth="0" width="3.109375" style="1"/>
    <col min="11739" max="11739" customWidth="0" width="3.109375" style="1"/>
    <col min="11740" max="11740" customWidth="0" width="3.109375" style="1"/>
    <col min="11741" max="11741" customWidth="0" width="3.109375" style="1"/>
    <col min="11742" max="11742" customWidth="0" width="3.109375" style="1"/>
    <col min="11743" max="11743" customWidth="0" width="3.109375" style="1"/>
    <col min="11744" max="11744" customWidth="0" width="3.109375" style="1"/>
    <col min="11745" max="11745" customWidth="0" width="3.109375" style="1"/>
    <col min="11746" max="11746" customWidth="0" width="3.109375" style="1"/>
    <col min="11747" max="11747" customWidth="0" width="3.109375" style="1"/>
    <col min="11748" max="11748" customWidth="0" width="3.109375" style="1"/>
    <col min="11749" max="11749" customWidth="0" width="3.109375" style="1"/>
    <col min="11750" max="11750" customWidth="0" width="3.109375" style="1"/>
    <col min="11751" max="11751" customWidth="0" width="3.109375" style="1"/>
    <col min="11752" max="11752" customWidth="0" width="3.109375" style="1"/>
    <col min="11753" max="11753" customWidth="0" width="3.109375" style="1"/>
    <col min="11754" max="11754" customWidth="0" width="3.109375" style="1"/>
    <col min="11755" max="11755" customWidth="0" width="3.109375" style="1"/>
    <col min="11756" max="11756" customWidth="0" width="3.109375" style="1"/>
    <col min="11757" max="11757" customWidth="0" width="3.109375" style="1"/>
    <col min="11758" max="11758" customWidth="0" width="3.109375" style="1"/>
    <col min="11759" max="11759" customWidth="0" width="3.109375" style="1"/>
    <col min="11760" max="11760" customWidth="0" width="3.109375" style="1"/>
    <col min="11761" max="11761" customWidth="0" width="3.109375" style="1"/>
    <col min="11762" max="11762" customWidth="0" width="3.109375" style="1"/>
    <col min="11763" max="11763" customWidth="0" width="3.109375" style="1"/>
    <col min="11764" max="11764" customWidth="0" width="3.109375" style="1"/>
    <col min="11765" max="11765" customWidth="0" width="3.109375" style="1"/>
    <col min="11766" max="11766" customWidth="0" width="3.109375" style="1"/>
    <col min="11767" max="11767" customWidth="0" width="3.109375" style="1"/>
    <col min="11768" max="11768" customWidth="0" width="3.109375" style="1"/>
    <col min="11769" max="11769" customWidth="0" width="3.109375" style="1"/>
    <col min="11770" max="11770" customWidth="0" width="3.109375" style="1"/>
    <col min="11771" max="11771" customWidth="0" width="3.109375" style="1"/>
    <col min="11772" max="11772" customWidth="0" width="3.109375" style="1"/>
    <col min="11773" max="11773" customWidth="0" width="3.109375" style="1"/>
    <col min="11774" max="11774" customWidth="0" width="3.109375" style="1"/>
    <col min="11775" max="11775" customWidth="0" width="3.109375" style="1"/>
    <col min="11776" max="11776" customWidth="0" width="3.109375" style="1"/>
    <col min="11777" max="11777" customWidth="0" width="3.109375" style="1"/>
    <col min="11778" max="11778" customWidth="0" width="3.109375" style="1"/>
    <col min="11779" max="11779" customWidth="0" width="3.109375" style="1"/>
    <col min="11780" max="11780" customWidth="0" width="3.109375" style="1"/>
    <col min="11781" max="11781" customWidth="0" width="3.109375" style="1"/>
    <col min="11782" max="11782" customWidth="0" width="3.109375" style="1"/>
    <col min="11783" max="11783" customWidth="0" width="3.109375" style="1"/>
    <col min="11784" max="11784" customWidth="0" width="3.109375" style="1"/>
    <col min="11785" max="11785" customWidth="0" width="3.109375" style="1"/>
    <col min="11786" max="11786" customWidth="0" width="3.109375" style="1"/>
    <col min="11787" max="11787" customWidth="0" width="3.109375" style="1"/>
    <col min="11788" max="11788" customWidth="0" width="3.109375" style="1"/>
    <col min="11789" max="11789" customWidth="0" width="3.109375" style="1"/>
    <col min="11790" max="11790" customWidth="0" width="3.109375" style="1"/>
    <col min="11791" max="11791" customWidth="0" width="3.109375" style="1"/>
    <col min="11792" max="11792" customWidth="0" width="3.109375" style="1"/>
    <col min="11793" max="11793" customWidth="0" width="3.109375" style="1"/>
    <col min="11794" max="11794" customWidth="0" width="3.109375" style="1"/>
    <col min="11795" max="11795" customWidth="0" width="3.109375" style="1"/>
    <col min="11796" max="11796" customWidth="0" width="3.109375" style="1"/>
    <col min="11797" max="11797" customWidth="0" width="3.109375" style="1"/>
    <col min="11798" max="11798" customWidth="0" width="3.109375" style="1"/>
    <col min="11799" max="11799" customWidth="0" width="3.109375" style="1"/>
    <col min="11800" max="11800" customWidth="0" width="3.109375" style="1"/>
    <col min="11801" max="11801" customWidth="0" width="3.109375" style="1"/>
    <col min="11802" max="11802" customWidth="0" width="3.109375" style="1"/>
    <col min="11803" max="11803" customWidth="0" width="3.109375" style="1"/>
    <col min="11804" max="11804" customWidth="0" width="3.109375" style="1"/>
    <col min="11805" max="11805" customWidth="0" width="3.109375" style="1"/>
    <col min="11806" max="11806" customWidth="0" width="3.109375" style="1"/>
    <col min="11807" max="11807" customWidth="0" width="3.109375" style="1"/>
    <col min="11808" max="11808" customWidth="0" width="3.109375" style="1"/>
    <col min="11809" max="11809" customWidth="0" width="3.109375" style="1"/>
    <col min="11810" max="11810" customWidth="0" width="3.109375" style="1"/>
    <col min="11811" max="11811" customWidth="0" width="3.109375" style="1"/>
    <col min="11812" max="11812" customWidth="0" width="3.109375" style="1"/>
    <col min="11813" max="11813" customWidth="0" width="3.109375" style="1"/>
    <col min="11814" max="11814" customWidth="0" width="3.109375" style="1"/>
    <col min="11815" max="11815" customWidth="0" width="3.109375" style="1"/>
    <col min="11816" max="11816" customWidth="0" width="3.109375" style="1"/>
    <col min="11817" max="11817" customWidth="0" width="3.109375" style="1"/>
    <col min="11818" max="11818" customWidth="0" width="3.109375" style="1"/>
    <col min="11819" max="11819" customWidth="0" width="3.109375" style="1"/>
    <col min="11820" max="11820" customWidth="0" width="3.109375" style="1"/>
    <col min="11821" max="11821" customWidth="0" width="3.109375" style="1"/>
    <col min="11822" max="11822" customWidth="0" width="3.109375" style="1"/>
    <col min="11823" max="11823" customWidth="0" width="3.109375" style="1"/>
    <col min="11824" max="11824" customWidth="0" width="3.109375" style="1"/>
    <col min="11825" max="11825" customWidth="0" width="3.109375" style="1"/>
    <col min="11826" max="11826" customWidth="0" width="3.109375" style="1"/>
    <col min="11827" max="11827" customWidth="0" width="3.109375" style="1"/>
    <col min="11828" max="11828" customWidth="0" width="3.109375" style="1"/>
    <col min="11829" max="11829" customWidth="0" width="3.109375" style="1"/>
    <col min="11830" max="11830" customWidth="0" width="3.109375" style="1"/>
    <col min="11831" max="11831" customWidth="0" width="3.109375" style="1"/>
    <col min="11832" max="11832" customWidth="0" width="3.109375" style="1"/>
    <col min="11833" max="11833" customWidth="0" width="3.109375" style="1"/>
    <col min="11834" max="11834" customWidth="0" width="3.109375" style="1"/>
    <col min="11835" max="11835" customWidth="0" width="3.109375" style="1"/>
    <col min="11836" max="11836" customWidth="0" width="3.109375" style="1"/>
    <col min="11837" max="11837" customWidth="0" width="3.109375" style="1"/>
    <col min="11838" max="11838" customWidth="0" width="3.109375" style="1"/>
    <col min="11839" max="11839" customWidth="0" width="3.109375" style="1"/>
    <col min="11840" max="11840" customWidth="0" width="3.109375" style="1"/>
    <col min="11841" max="11841" customWidth="0" width="3.109375" style="1"/>
    <col min="11842" max="11842" customWidth="0" width="3.109375" style="1"/>
    <col min="11843" max="11843" customWidth="0" width="3.109375" style="1"/>
    <col min="11844" max="11844" customWidth="0" width="3.109375" style="1"/>
    <col min="11845" max="11845" customWidth="0" width="3.109375" style="1"/>
    <col min="11846" max="11846" customWidth="0" width="3.109375" style="1"/>
    <col min="11847" max="11847" customWidth="0" width="3.109375" style="1"/>
    <col min="11848" max="11848" customWidth="0" width="3.109375" style="1"/>
    <col min="11849" max="11849" customWidth="0" width="3.109375" style="1"/>
    <col min="11850" max="11850" customWidth="0" width="3.109375" style="1"/>
    <col min="11851" max="11851" customWidth="0" width="3.109375" style="1"/>
    <col min="11852" max="11852" customWidth="0" width="3.109375" style="1"/>
    <col min="11853" max="11853" customWidth="0" width="3.109375" style="1"/>
    <col min="11854" max="11854" customWidth="0" width="3.109375" style="1"/>
    <col min="11855" max="11855" customWidth="0" width="3.109375" style="1"/>
    <col min="11856" max="11856" customWidth="0" width="3.109375" style="1"/>
    <col min="11857" max="11857" customWidth="0" width="3.109375" style="1"/>
    <col min="11858" max="11858" customWidth="0" width="3.109375" style="1"/>
    <col min="11859" max="11859" customWidth="0" width="3.109375" style="1"/>
    <col min="11860" max="11860" customWidth="0" width="3.109375" style="1"/>
    <col min="11861" max="11861" customWidth="0" width="3.109375" style="1"/>
    <col min="11862" max="11862" customWidth="0" width="3.109375" style="1"/>
    <col min="11863" max="11863" customWidth="0" width="3.109375" style="1"/>
    <col min="11864" max="11864" customWidth="0" width="3.109375" style="1"/>
    <col min="11865" max="11865" customWidth="0" width="3.109375" style="1"/>
    <col min="11866" max="11866" customWidth="0" width="3.109375" style="1"/>
    <col min="11867" max="11867" customWidth="0" width="3.109375" style="1"/>
    <col min="11868" max="11868" customWidth="0" width="3.109375" style="1"/>
    <col min="11869" max="11869" customWidth="0" width="3.109375" style="1"/>
    <col min="11870" max="11870" customWidth="0" width="3.109375" style="1"/>
    <col min="11871" max="11871" customWidth="0" width="3.109375" style="1"/>
    <col min="11872" max="11872" customWidth="0" width="3.109375" style="1"/>
    <col min="11873" max="11873" customWidth="0" width="3.109375" style="1"/>
    <col min="11874" max="11874" customWidth="0" width="3.109375" style="1"/>
    <col min="11875" max="11875" customWidth="0" width="3.109375" style="1"/>
    <col min="11876" max="11876" customWidth="0" width="3.109375" style="1"/>
    <col min="11877" max="11877" customWidth="0" width="3.109375" style="1"/>
    <col min="11878" max="11878" customWidth="0" width="3.109375" style="1"/>
    <col min="11879" max="11879" customWidth="0" width="3.109375" style="1"/>
    <col min="11880" max="11880" customWidth="0" width="3.109375" style="1"/>
    <col min="11881" max="11881" customWidth="0" width="3.109375" style="1"/>
    <col min="11882" max="11882" customWidth="0" width="3.109375" style="1"/>
    <col min="11883" max="11883" customWidth="0" width="3.109375" style="1"/>
    <col min="11884" max="11884" customWidth="0" width="3.109375" style="1"/>
    <col min="11885" max="11885" customWidth="0" width="3.109375" style="1"/>
    <col min="11886" max="11886" customWidth="0" width="3.109375" style="1"/>
    <col min="11887" max="11887" customWidth="0" width="3.109375" style="1"/>
    <col min="11888" max="11888" customWidth="0" width="3.109375" style="1"/>
    <col min="11889" max="11889" customWidth="0" width="3.109375" style="1"/>
    <col min="11890" max="11890" customWidth="0" width="3.109375" style="1"/>
    <col min="11891" max="11891" customWidth="0" width="3.109375" style="1"/>
    <col min="11892" max="11892" customWidth="0" width="3.109375" style="1"/>
    <col min="11893" max="11893" customWidth="0" width="3.109375" style="1"/>
    <col min="11894" max="11894" customWidth="0" width="3.109375" style="1"/>
    <col min="11895" max="11895" customWidth="0" width="3.109375" style="1"/>
    <col min="11896" max="11896" customWidth="0" width="3.109375" style="1"/>
    <col min="11897" max="11897" customWidth="0" width="3.109375" style="1"/>
    <col min="11898" max="11898" customWidth="0" width="3.109375" style="1"/>
    <col min="11899" max="11899" customWidth="0" width="3.109375" style="1"/>
    <col min="11900" max="11900" customWidth="0" width="3.109375" style="1"/>
    <col min="11901" max="11901" customWidth="0" width="3.109375" style="1"/>
    <col min="11902" max="11902" customWidth="0" width="3.109375" style="1"/>
    <col min="11903" max="11903" customWidth="0" width="3.109375" style="1"/>
    <col min="11904" max="11904" customWidth="0" width="3.109375" style="1"/>
    <col min="11905" max="11905" customWidth="0" width="3.109375" style="1"/>
    <col min="11906" max="11906" customWidth="0" width="3.109375" style="1"/>
    <col min="11907" max="11907" customWidth="0" width="3.109375" style="1"/>
    <col min="11908" max="11908" customWidth="0" width="3.109375" style="1"/>
    <col min="11909" max="11909" customWidth="0" width="3.109375" style="1"/>
    <col min="11910" max="11910" customWidth="0" width="3.109375" style="1"/>
    <col min="11911" max="11911" customWidth="0" width="3.109375" style="1"/>
    <col min="11912" max="11912" customWidth="0" width="3.109375" style="1"/>
    <col min="11913" max="11913" customWidth="0" width="3.109375" style="1"/>
    <col min="11914" max="11914" customWidth="0" width="3.109375" style="1"/>
    <col min="11915" max="11915" customWidth="0" width="3.109375" style="1"/>
    <col min="11916" max="11916" customWidth="0" width="3.109375" style="1"/>
    <col min="11917" max="11917" customWidth="0" width="3.109375" style="1"/>
    <col min="11918" max="11918" customWidth="0" width="3.109375" style="1"/>
    <col min="11919" max="11919" customWidth="0" width="3.109375" style="1"/>
    <col min="11920" max="11920" customWidth="0" width="3.109375" style="1"/>
    <col min="11921" max="11921" customWidth="0" width="3.109375" style="1"/>
    <col min="11922" max="11922" customWidth="0" width="3.109375" style="1"/>
    <col min="11923" max="11923" customWidth="0" width="3.109375" style="1"/>
    <col min="11924" max="11924" customWidth="0" width="3.109375" style="1"/>
    <col min="11925" max="11925" customWidth="0" width="3.109375" style="1"/>
    <col min="11926" max="11926" customWidth="0" width="3.109375" style="1"/>
    <col min="11927" max="11927" customWidth="0" width="3.109375" style="1"/>
    <col min="11928" max="11928" customWidth="0" width="3.109375" style="1"/>
    <col min="11929" max="11929" customWidth="0" width="3.109375" style="1"/>
    <col min="11930" max="11930" customWidth="0" width="3.109375" style="1"/>
    <col min="11931" max="11931" customWidth="0" width="3.109375" style="1"/>
    <col min="11932" max="11932" customWidth="0" width="3.109375" style="1"/>
    <col min="11933" max="11933" customWidth="0" width="3.109375" style="1"/>
    <col min="11934" max="11934" customWidth="0" width="3.109375" style="1"/>
    <col min="11935" max="11935" customWidth="0" width="3.109375" style="1"/>
    <col min="11936" max="11936" customWidth="0" width="3.109375" style="1"/>
    <col min="11937" max="11937" customWidth="0" width="3.109375" style="1"/>
    <col min="11938" max="11938" customWidth="0" width="3.109375" style="1"/>
    <col min="11939" max="11939" customWidth="0" width="3.109375" style="1"/>
    <col min="11940" max="11940" customWidth="0" width="3.109375" style="1"/>
    <col min="11941" max="11941" customWidth="0" width="3.109375" style="1"/>
    <col min="11942" max="11942" customWidth="0" width="3.109375" style="1"/>
    <col min="11943" max="11943" customWidth="0" width="3.109375" style="1"/>
    <col min="11944" max="11944" customWidth="0" width="3.109375" style="1"/>
    <col min="11945" max="11945" customWidth="0" width="3.109375" style="1"/>
    <col min="11946" max="11946" customWidth="0" width="3.109375" style="1"/>
    <col min="11947" max="11947" customWidth="0" width="3.109375" style="1"/>
    <col min="11948" max="11948" customWidth="0" width="3.109375" style="1"/>
    <col min="11949" max="11949" customWidth="0" width="3.109375" style="1"/>
    <col min="11950" max="11950" customWidth="0" width="3.109375" style="1"/>
    <col min="11951" max="11951" customWidth="0" width="3.109375" style="1"/>
    <col min="11952" max="11952" customWidth="0" width="3.109375" style="1"/>
    <col min="11953" max="11953" customWidth="0" width="3.109375" style="1"/>
    <col min="11954" max="11954" customWidth="0" width="3.109375" style="1"/>
    <col min="11955" max="11955" customWidth="0" width="3.109375" style="1"/>
    <col min="11956" max="11956" customWidth="0" width="3.109375" style="1"/>
    <col min="11957" max="11957" customWidth="0" width="3.109375" style="1"/>
    <col min="11958" max="11958" customWidth="0" width="3.109375" style="1"/>
    <col min="11959" max="11959" customWidth="0" width="3.109375" style="1"/>
    <col min="11960" max="11960" customWidth="0" width="3.109375" style="1"/>
    <col min="11961" max="11961" customWidth="0" width="3.109375" style="1"/>
    <col min="11962" max="11962" customWidth="0" width="3.109375" style="1"/>
    <col min="11963" max="11963" customWidth="0" width="3.109375" style="1"/>
    <col min="11964" max="11964" customWidth="0" width="3.109375" style="1"/>
    <col min="11965" max="11965" customWidth="0" width="3.109375" style="1"/>
    <col min="11966" max="11966" customWidth="0" width="3.109375" style="1"/>
    <col min="11967" max="11967" customWidth="0" width="3.109375" style="1"/>
    <col min="11968" max="11968" customWidth="0" width="3.109375" style="1"/>
    <col min="11969" max="11969" customWidth="0" width="3.109375" style="1"/>
    <col min="11970" max="11970" customWidth="0" width="3.109375" style="1"/>
    <col min="11971" max="11971" customWidth="0" width="3.109375" style="1"/>
    <col min="11972" max="11972" customWidth="0" width="3.109375" style="1"/>
    <col min="11973" max="11973" customWidth="0" width="3.109375" style="1"/>
    <col min="11974" max="11974" customWidth="0" width="3.109375" style="1"/>
    <col min="11975" max="11975" customWidth="0" width="3.109375" style="1"/>
    <col min="11976" max="11976" customWidth="0" width="3.109375" style="1"/>
    <col min="11977" max="11977" customWidth="0" width="3.109375" style="1"/>
    <col min="11978" max="11978" customWidth="0" width="3.109375" style="1"/>
    <col min="11979" max="11979" customWidth="0" width="3.109375" style="1"/>
    <col min="11980" max="11980" customWidth="0" width="3.109375" style="1"/>
    <col min="11981" max="11981" customWidth="0" width="3.109375" style="1"/>
    <col min="11982" max="11982" customWidth="0" width="3.109375" style="1"/>
    <col min="11983" max="11983" customWidth="0" width="3.109375" style="1"/>
    <col min="11984" max="11984" customWidth="0" width="3.109375" style="1"/>
    <col min="11985" max="11985" customWidth="0" width="3.109375" style="1"/>
    <col min="11986" max="11986" customWidth="0" width="3.109375" style="1"/>
    <col min="11987" max="11987" customWidth="0" width="3.109375" style="1"/>
    <col min="11988" max="11988" customWidth="0" width="3.109375" style="1"/>
    <col min="11989" max="11989" customWidth="0" width="3.109375" style="1"/>
    <col min="11990" max="11990" customWidth="0" width="3.109375" style="1"/>
    <col min="11991" max="11991" customWidth="0" width="3.109375" style="1"/>
    <col min="11992" max="11992" customWidth="0" width="3.109375" style="1"/>
    <col min="11993" max="11993" customWidth="0" width="3.109375" style="1"/>
    <col min="11994" max="11994" customWidth="0" width="3.109375" style="1"/>
    <col min="11995" max="11995" customWidth="0" width="3.109375" style="1"/>
    <col min="11996" max="11996" customWidth="0" width="3.109375" style="1"/>
    <col min="11997" max="11997" customWidth="0" width="3.109375" style="1"/>
    <col min="11998" max="11998" customWidth="0" width="3.109375" style="1"/>
    <col min="11999" max="11999" customWidth="0" width="3.109375" style="1"/>
    <col min="12000" max="12000" customWidth="0" width="3.109375" style="1"/>
    <col min="12001" max="12001" customWidth="0" width="3.109375" style="1"/>
    <col min="12002" max="12002" customWidth="0" width="3.109375" style="1"/>
    <col min="12003" max="12003" customWidth="0" width="3.109375" style="1"/>
    <col min="12004" max="12004" customWidth="0" width="3.109375" style="1"/>
    <col min="12005" max="12005" customWidth="0" width="3.109375" style="1"/>
    <col min="12006" max="12006" customWidth="0" width="3.109375" style="1"/>
    <col min="12007" max="12007" customWidth="0" width="3.109375" style="1"/>
    <col min="12008" max="12008" customWidth="0" width="3.109375" style="1"/>
    <col min="12009" max="12009" customWidth="0" width="3.109375" style="1"/>
    <col min="12010" max="12010" customWidth="0" width="3.109375" style="1"/>
    <col min="12011" max="12011" customWidth="0" width="3.109375" style="1"/>
    <col min="12012" max="12012" customWidth="0" width="3.109375" style="1"/>
    <col min="12013" max="12013" customWidth="0" width="3.109375" style="1"/>
    <col min="12014" max="12014" customWidth="0" width="3.109375" style="1"/>
    <col min="12015" max="12015" customWidth="0" width="3.109375" style="1"/>
    <col min="12016" max="12016" customWidth="0" width="3.109375" style="1"/>
    <col min="12017" max="12017" customWidth="0" width="3.109375" style="1"/>
    <col min="12018" max="12018" customWidth="0" width="3.109375" style="1"/>
    <col min="12019" max="12019" customWidth="0" width="3.109375" style="1"/>
    <col min="12020" max="12020" customWidth="0" width="3.109375" style="1"/>
    <col min="12021" max="12021" customWidth="0" width="3.109375" style="1"/>
    <col min="12022" max="12022" customWidth="0" width="3.109375" style="1"/>
    <col min="12023" max="12023" customWidth="0" width="3.109375" style="1"/>
    <col min="12024" max="12024" customWidth="0" width="3.109375" style="1"/>
    <col min="12025" max="12025" customWidth="0" width="3.109375" style="1"/>
    <col min="12026" max="12026" customWidth="0" width="3.109375" style="1"/>
    <col min="12027" max="12027" customWidth="0" width="3.109375" style="1"/>
    <col min="12028" max="12028" customWidth="0" width="3.109375" style="1"/>
    <col min="12029" max="12029" customWidth="0" width="3.109375" style="1"/>
    <col min="12030" max="12030" customWidth="0" width="3.109375" style="1"/>
    <col min="12031" max="12031" customWidth="0" width="3.109375" style="1"/>
    <col min="12032" max="12032" customWidth="0" width="3.109375" style="1"/>
    <col min="12033" max="12033" customWidth="0" width="3.109375" style="1"/>
    <col min="12034" max="12034" customWidth="0" width="3.109375" style="1"/>
    <col min="12035" max="12035" customWidth="0" width="3.109375" style="1"/>
    <col min="12036" max="12036" customWidth="0" width="3.109375" style="1"/>
    <col min="12037" max="12037" customWidth="0" width="3.109375" style="1"/>
    <col min="12038" max="12038" customWidth="0" width="3.109375" style="1"/>
    <col min="12039" max="12039" customWidth="0" width="3.109375" style="1"/>
    <col min="12040" max="12040" customWidth="0" width="3.109375" style="1"/>
    <col min="12041" max="12041" customWidth="0" width="3.109375" style="1"/>
    <col min="12042" max="12042" customWidth="0" width="3.109375" style="1"/>
    <col min="12043" max="12043" customWidth="0" width="3.109375" style="1"/>
    <col min="12044" max="12044" customWidth="0" width="3.109375" style="1"/>
    <col min="12045" max="12045" customWidth="0" width="3.109375" style="1"/>
    <col min="12046" max="12046" customWidth="0" width="3.109375" style="1"/>
    <col min="12047" max="12047" customWidth="0" width="3.109375" style="1"/>
    <col min="12048" max="12048" customWidth="0" width="3.109375" style="1"/>
    <col min="12049" max="12049" customWidth="0" width="3.109375" style="1"/>
    <col min="12050" max="12050" customWidth="0" width="3.109375" style="1"/>
    <col min="12051" max="12051" customWidth="0" width="3.109375" style="1"/>
    <col min="12052" max="12052" customWidth="0" width="3.109375" style="1"/>
    <col min="12053" max="12053" customWidth="0" width="3.109375" style="1"/>
    <col min="12054" max="12054" customWidth="0" width="3.109375" style="1"/>
    <col min="12055" max="12055" customWidth="0" width="3.109375" style="1"/>
    <col min="12056" max="12056" customWidth="0" width="3.109375" style="1"/>
    <col min="12057" max="12057" customWidth="0" width="3.109375" style="1"/>
    <col min="12058" max="12058" customWidth="0" width="3.109375" style="1"/>
    <col min="12059" max="12059" customWidth="0" width="3.109375" style="1"/>
    <col min="12060" max="12060" customWidth="0" width="3.109375" style="1"/>
    <col min="12061" max="12061" customWidth="0" width="3.109375" style="1"/>
    <col min="12062" max="12062" customWidth="0" width="3.109375" style="1"/>
    <col min="12063" max="12063" customWidth="0" width="3.109375" style="1"/>
    <col min="12064" max="12064" customWidth="0" width="3.109375" style="1"/>
    <col min="12065" max="12065" customWidth="0" width="3.109375" style="1"/>
    <col min="12066" max="12066" customWidth="0" width="3.109375" style="1"/>
    <col min="12067" max="12067" customWidth="0" width="3.109375" style="1"/>
    <col min="12068" max="12068" customWidth="0" width="3.109375" style="1"/>
    <col min="12069" max="12069" customWidth="0" width="3.109375" style="1"/>
    <col min="12070" max="12070" customWidth="0" width="3.109375" style="1"/>
    <col min="12071" max="12071" customWidth="0" width="3.109375" style="1"/>
    <col min="12072" max="12072" customWidth="0" width="3.109375" style="1"/>
    <col min="12073" max="12073" customWidth="0" width="3.109375" style="1"/>
    <col min="12074" max="12074" customWidth="0" width="3.109375" style="1"/>
    <col min="12075" max="12075" customWidth="0" width="3.109375" style="1"/>
    <col min="12076" max="12076" customWidth="0" width="3.109375" style="1"/>
    <col min="12077" max="12077" customWidth="0" width="3.109375" style="1"/>
    <col min="12078" max="12078" customWidth="0" width="3.109375" style="1"/>
    <col min="12079" max="12079" customWidth="0" width="3.109375" style="1"/>
    <col min="12080" max="12080" customWidth="0" width="3.109375" style="1"/>
    <col min="12081" max="12081" customWidth="0" width="3.109375" style="1"/>
    <col min="12082" max="12082" customWidth="0" width="3.109375" style="1"/>
    <col min="12083" max="12083" customWidth="0" width="3.109375" style="1"/>
    <col min="12084" max="12084" customWidth="0" width="3.109375" style="1"/>
    <col min="12085" max="12085" customWidth="0" width="3.109375" style="1"/>
    <col min="12086" max="12086" customWidth="0" width="3.109375" style="1"/>
    <col min="12087" max="12087" customWidth="0" width="3.109375" style="1"/>
    <col min="12088" max="12088" customWidth="0" width="3.109375" style="1"/>
    <col min="12089" max="12089" customWidth="0" width="3.109375" style="1"/>
    <col min="12090" max="12090" customWidth="0" width="3.109375" style="1"/>
    <col min="12091" max="12091" customWidth="0" width="3.109375" style="1"/>
    <col min="12092" max="12092" customWidth="0" width="3.109375" style="1"/>
    <col min="12093" max="12093" customWidth="0" width="3.109375" style="1"/>
    <col min="12094" max="12094" customWidth="0" width="3.109375" style="1"/>
    <col min="12095" max="12095" customWidth="0" width="3.109375" style="1"/>
    <col min="12096" max="12096" customWidth="0" width="3.109375" style="1"/>
    <col min="12097" max="12097" customWidth="0" width="3.109375" style="1"/>
    <col min="12098" max="12098" customWidth="0" width="3.109375" style="1"/>
    <col min="12099" max="12099" customWidth="0" width="3.109375" style="1"/>
    <col min="12100" max="12100" customWidth="0" width="3.109375" style="1"/>
    <col min="12101" max="12101" customWidth="0" width="3.109375" style="1"/>
    <col min="12102" max="12102" customWidth="0" width="3.109375" style="1"/>
    <col min="12103" max="12103" customWidth="0" width="3.109375" style="1"/>
    <col min="12104" max="12104" customWidth="0" width="3.109375" style="1"/>
    <col min="12105" max="12105" customWidth="0" width="3.109375" style="1"/>
    <col min="12106" max="12106" customWidth="0" width="3.109375" style="1"/>
    <col min="12107" max="12107" customWidth="0" width="3.109375" style="1"/>
    <col min="12108" max="12108" customWidth="0" width="3.109375" style="1"/>
    <col min="12109" max="12109" customWidth="0" width="3.109375" style="1"/>
    <col min="12110" max="12110" customWidth="0" width="3.109375" style="1"/>
    <col min="12111" max="12111" customWidth="0" width="3.109375" style="1"/>
    <col min="12112" max="12112" customWidth="0" width="3.109375" style="1"/>
    <col min="12113" max="12113" customWidth="0" width="3.109375" style="1"/>
    <col min="12114" max="12114" customWidth="0" width="3.109375" style="1"/>
    <col min="12115" max="12115" customWidth="0" width="3.109375" style="1"/>
    <col min="12116" max="12116" customWidth="0" width="3.109375" style="1"/>
    <col min="12117" max="12117" customWidth="0" width="3.109375" style="1"/>
    <col min="12118" max="12118" customWidth="0" width="3.109375" style="1"/>
    <col min="12119" max="12119" customWidth="0" width="3.109375" style="1"/>
    <col min="12120" max="12120" customWidth="0" width="3.109375" style="1"/>
    <col min="12121" max="12121" customWidth="0" width="3.109375" style="1"/>
    <col min="12122" max="12122" customWidth="0" width="3.109375" style="1"/>
    <col min="12123" max="12123" customWidth="0" width="3.109375" style="1"/>
    <col min="12124" max="12124" customWidth="0" width="3.109375" style="1"/>
    <col min="12125" max="12125" customWidth="0" width="3.109375" style="1"/>
    <col min="12126" max="12126" customWidth="0" width="3.109375" style="1"/>
    <col min="12127" max="12127" customWidth="0" width="3.109375" style="1"/>
    <col min="12128" max="12128" customWidth="0" width="3.109375" style="1"/>
    <col min="12129" max="12129" customWidth="0" width="3.109375" style="1"/>
    <col min="12130" max="12130" customWidth="0" width="3.109375" style="1"/>
    <col min="12131" max="12131" customWidth="0" width="3.109375" style="1"/>
    <col min="12132" max="12132" customWidth="0" width="3.109375" style="1"/>
    <col min="12133" max="12133" customWidth="0" width="3.109375" style="1"/>
    <col min="12134" max="12134" customWidth="0" width="3.109375" style="1"/>
    <col min="12135" max="12135" customWidth="0" width="3.109375" style="1"/>
    <col min="12136" max="12136" customWidth="0" width="3.109375" style="1"/>
    <col min="12137" max="12137" customWidth="0" width="3.109375" style="1"/>
    <col min="12138" max="12138" customWidth="0" width="3.109375" style="1"/>
    <col min="12139" max="12139" customWidth="0" width="3.109375" style="1"/>
    <col min="12140" max="12140" customWidth="0" width="3.109375" style="1"/>
    <col min="12141" max="12141" customWidth="0" width="3.109375" style="1"/>
    <col min="12142" max="12142" customWidth="0" width="3.109375" style="1"/>
    <col min="12143" max="12143" customWidth="0" width="3.109375" style="1"/>
    <col min="12144" max="12144" customWidth="0" width="3.109375" style="1"/>
    <col min="12145" max="12145" customWidth="0" width="3.109375" style="1"/>
    <col min="12146" max="12146" customWidth="0" width="3.109375" style="1"/>
    <col min="12147" max="12147" customWidth="0" width="3.109375" style="1"/>
    <col min="12148" max="12148" customWidth="0" width="3.109375" style="1"/>
    <col min="12149" max="12149" customWidth="0" width="3.109375" style="1"/>
    <col min="12150" max="12150" customWidth="0" width="3.109375" style="1"/>
    <col min="12151" max="12151" customWidth="0" width="3.109375" style="1"/>
    <col min="12152" max="12152" customWidth="0" width="3.109375" style="1"/>
    <col min="12153" max="12153" customWidth="0" width="3.109375" style="1"/>
    <col min="12154" max="12154" customWidth="0" width="3.109375" style="1"/>
    <col min="12155" max="12155" customWidth="0" width="3.109375" style="1"/>
    <col min="12156" max="12156" customWidth="0" width="3.109375" style="1"/>
    <col min="12157" max="12157" customWidth="0" width="3.109375" style="1"/>
    <col min="12158" max="12158" customWidth="0" width="3.109375" style="1"/>
    <col min="12159" max="12159" customWidth="0" width="3.109375" style="1"/>
    <col min="12160" max="12160" customWidth="0" width="3.109375" style="1"/>
    <col min="12161" max="12161" customWidth="0" width="3.109375" style="1"/>
    <col min="12162" max="12162" customWidth="0" width="3.109375" style="1"/>
    <col min="12163" max="12163" customWidth="0" width="3.109375" style="1"/>
    <col min="12164" max="12164" customWidth="0" width="3.109375" style="1"/>
    <col min="12165" max="12165" customWidth="0" width="3.109375" style="1"/>
    <col min="12166" max="12166" customWidth="0" width="3.109375" style="1"/>
    <col min="12167" max="12167" customWidth="0" width="3.109375" style="1"/>
    <col min="12168" max="12168" customWidth="0" width="3.109375" style="1"/>
    <col min="12169" max="12169" customWidth="0" width="3.109375" style="1"/>
    <col min="12170" max="12170" customWidth="0" width="3.109375" style="1"/>
    <col min="12171" max="12171" customWidth="0" width="3.109375" style="1"/>
    <col min="12172" max="12172" customWidth="0" width="3.109375" style="1"/>
    <col min="12173" max="12173" customWidth="0" width="3.109375" style="1"/>
    <col min="12174" max="12174" customWidth="0" width="3.109375" style="1"/>
    <col min="12175" max="12175" customWidth="0" width="3.109375" style="1"/>
    <col min="12176" max="12176" customWidth="0" width="3.109375" style="1"/>
    <col min="12177" max="12177" customWidth="0" width="3.109375" style="1"/>
    <col min="12178" max="12178" customWidth="0" width="3.109375" style="1"/>
    <col min="12179" max="12179" customWidth="0" width="3.109375" style="1"/>
    <col min="12180" max="12180" customWidth="0" width="3.109375" style="1"/>
    <col min="12181" max="12181" customWidth="0" width="3.109375" style="1"/>
    <col min="12182" max="12182" customWidth="0" width="3.109375" style="1"/>
    <col min="12183" max="12183" customWidth="0" width="3.109375" style="1"/>
    <col min="12184" max="12184" customWidth="0" width="3.109375" style="1"/>
    <col min="12185" max="12185" customWidth="0" width="3.109375" style="1"/>
    <col min="12186" max="12186" customWidth="0" width="3.109375" style="1"/>
    <col min="12187" max="12187" customWidth="0" width="3.109375" style="1"/>
    <col min="12188" max="12188" customWidth="0" width="3.109375" style="1"/>
    <col min="12189" max="12189" customWidth="0" width="3.109375" style="1"/>
    <col min="12190" max="12190" customWidth="0" width="3.109375" style="1"/>
    <col min="12191" max="12191" customWidth="0" width="3.109375" style="1"/>
    <col min="12192" max="12192" customWidth="0" width="3.109375" style="1"/>
    <col min="12193" max="12193" customWidth="0" width="3.109375" style="1"/>
    <col min="12194" max="12194" customWidth="0" width="3.109375" style="1"/>
    <col min="12195" max="12195" customWidth="0" width="3.109375" style="1"/>
    <col min="12196" max="12196" customWidth="0" width="3.109375" style="1"/>
    <col min="12197" max="12197" customWidth="0" width="3.109375" style="1"/>
    <col min="12198" max="12198" customWidth="0" width="3.109375" style="1"/>
    <col min="12199" max="12199" customWidth="0" width="3.109375" style="1"/>
    <col min="12200" max="12200" customWidth="0" width="3.109375" style="1"/>
    <col min="12201" max="12201" customWidth="0" width="3.109375" style="1"/>
    <col min="12202" max="12202" customWidth="0" width="3.109375" style="1"/>
    <col min="12203" max="12203" customWidth="0" width="3.109375" style="1"/>
    <col min="12204" max="12204" customWidth="0" width="3.109375" style="1"/>
    <col min="12205" max="12205" customWidth="0" width="3.109375" style="1"/>
    <col min="12206" max="12206" customWidth="0" width="3.109375" style="1"/>
    <col min="12207" max="12207" customWidth="0" width="3.109375" style="1"/>
    <col min="12208" max="12208" customWidth="0" width="3.109375" style="1"/>
    <col min="12209" max="12209" customWidth="0" width="3.109375" style="1"/>
    <col min="12210" max="12210" customWidth="0" width="3.109375" style="1"/>
    <col min="12211" max="12211" customWidth="0" width="3.109375" style="1"/>
    <col min="12212" max="12212" customWidth="0" width="3.109375" style="1"/>
    <col min="12213" max="12213" customWidth="0" width="3.109375" style="1"/>
    <col min="12214" max="12214" customWidth="0" width="3.109375" style="1"/>
    <col min="12215" max="12215" customWidth="0" width="3.109375" style="1"/>
    <col min="12216" max="12216" customWidth="0" width="3.109375" style="1"/>
    <col min="12217" max="12217" customWidth="0" width="3.109375" style="1"/>
    <col min="12218" max="12218" customWidth="0" width="3.109375" style="1"/>
    <col min="12219" max="12219" customWidth="0" width="3.109375" style="1"/>
    <col min="12220" max="12220" customWidth="0" width="3.109375" style="1"/>
    <col min="12221" max="12221" customWidth="0" width="3.109375" style="1"/>
    <col min="12222" max="12222" customWidth="0" width="3.109375" style="1"/>
    <col min="12223" max="12223" customWidth="0" width="3.109375" style="1"/>
    <col min="12224" max="12224" customWidth="0" width="3.109375" style="1"/>
    <col min="12225" max="12225" customWidth="0" width="3.109375" style="1"/>
    <col min="12226" max="12226" customWidth="0" width="3.109375" style="1"/>
    <col min="12227" max="12227" customWidth="0" width="3.109375" style="1"/>
    <col min="12228" max="12228" customWidth="0" width="3.109375" style="1"/>
    <col min="12229" max="12229" customWidth="0" width="3.109375" style="1"/>
    <col min="12230" max="12230" customWidth="0" width="3.109375" style="1"/>
    <col min="12231" max="12231" customWidth="0" width="3.109375" style="1"/>
    <col min="12232" max="12232" customWidth="0" width="3.109375" style="1"/>
    <col min="12233" max="12233" customWidth="0" width="3.109375" style="1"/>
    <col min="12234" max="12234" customWidth="0" width="3.109375" style="1"/>
    <col min="12235" max="12235" customWidth="0" width="3.109375" style="1"/>
    <col min="12236" max="12236" customWidth="0" width="3.109375" style="1"/>
    <col min="12237" max="12237" customWidth="0" width="3.109375" style="1"/>
    <col min="12238" max="12238" customWidth="0" width="3.109375" style="1"/>
    <col min="12239" max="12239" customWidth="0" width="3.109375" style="1"/>
    <col min="12240" max="12240" customWidth="0" width="3.109375" style="1"/>
    <col min="12241" max="12241" customWidth="0" width="3.109375" style="1"/>
    <col min="12242" max="12242" customWidth="0" width="3.109375" style="1"/>
    <col min="12243" max="12243" customWidth="0" width="3.109375" style="1"/>
    <col min="12244" max="12244" customWidth="0" width="3.109375" style="1"/>
    <col min="12245" max="12245" customWidth="0" width="3.109375" style="1"/>
    <col min="12246" max="12246" customWidth="0" width="3.109375" style="1"/>
    <col min="12247" max="12247" customWidth="0" width="3.109375" style="1"/>
    <col min="12248" max="12248" customWidth="0" width="3.109375" style="1"/>
    <col min="12249" max="12249" customWidth="0" width="3.109375" style="1"/>
    <col min="12250" max="12250" customWidth="0" width="3.109375" style="1"/>
    <col min="12251" max="12251" customWidth="0" width="3.109375" style="1"/>
    <col min="12252" max="12252" customWidth="0" width="3.109375" style="1"/>
    <col min="12253" max="12253" customWidth="0" width="3.109375" style="1"/>
    <col min="12254" max="12254" customWidth="0" width="3.109375" style="1"/>
    <col min="12255" max="12255" customWidth="0" width="3.109375" style="1"/>
    <col min="12256" max="12256" customWidth="0" width="3.109375" style="1"/>
    <col min="12257" max="12257" customWidth="0" width="3.109375" style="1"/>
    <col min="12258" max="12258" customWidth="0" width="3.109375" style="1"/>
    <col min="12259" max="12259" customWidth="0" width="3.109375" style="1"/>
    <col min="12260" max="12260" customWidth="0" width="3.109375" style="1"/>
    <col min="12261" max="12261" customWidth="0" width="3.109375" style="1"/>
    <col min="12262" max="12262" customWidth="0" width="3.109375" style="1"/>
    <col min="12263" max="12263" customWidth="0" width="3.109375" style="1"/>
    <col min="12264" max="12264" customWidth="0" width="3.109375" style="1"/>
    <col min="12265" max="12265" customWidth="0" width="3.109375" style="1"/>
    <col min="12266" max="12266" customWidth="0" width="3.109375" style="1"/>
    <col min="12267" max="12267" customWidth="0" width="3.109375" style="1"/>
    <col min="12268" max="12268" customWidth="0" width="3.109375" style="1"/>
    <col min="12269" max="12269" customWidth="0" width="3.109375" style="1"/>
    <col min="12270" max="12270" customWidth="0" width="3.109375" style="1"/>
    <col min="12271" max="12271" customWidth="0" width="3.109375" style="1"/>
    <col min="12272" max="12272" customWidth="0" width="3.109375" style="1"/>
    <col min="12273" max="12273" customWidth="0" width="3.109375" style="1"/>
    <col min="12274" max="12274" customWidth="0" width="3.109375" style="1"/>
    <col min="12275" max="12275" customWidth="0" width="3.109375" style="1"/>
    <col min="12276" max="12276" customWidth="0" width="3.109375" style="1"/>
    <col min="12277" max="12277" customWidth="0" width="3.109375" style="1"/>
    <col min="12278" max="12278" customWidth="0" width="3.109375" style="1"/>
    <col min="12279" max="12279" customWidth="0" width="3.109375" style="1"/>
    <col min="12280" max="12280" customWidth="0" width="3.109375" style="1"/>
    <col min="12281" max="12281" customWidth="0" width="3.109375" style="1"/>
    <col min="12282" max="12282" customWidth="0" width="3.109375" style="1"/>
    <col min="12283" max="12283" customWidth="0" width="3.109375" style="1"/>
    <col min="12284" max="12284" customWidth="0" width="3.109375" style="1"/>
    <col min="12285" max="12285" customWidth="0" width="3.109375" style="1"/>
    <col min="12286" max="12286" customWidth="0" width="3.109375" style="1"/>
    <col min="12287" max="12287" customWidth="0" width="3.109375" style="1"/>
    <col min="12288" max="12288" customWidth="0" width="3.109375" style="1"/>
    <col min="12289" max="12289" customWidth="0" width="3.109375" style="1"/>
    <col min="12290" max="12290" customWidth="0" width="3.109375" style="1"/>
    <col min="12291" max="12291" customWidth="0" width="3.109375" style="1"/>
    <col min="12292" max="12292" customWidth="0" width="3.109375" style="1"/>
    <col min="12293" max="12293" customWidth="0" width="3.109375" style="1"/>
    <col min="12294" max="12294" customWidth="0" width="3.109375" style="1"/>
    <col min="12295" max="12295" customWidth="0" width="3.109375" style="1"/>
    <col min="12296" max="12296" customWidth="0" width="3.109375" style="1"/>
    <col min="12297" max="12297" customWidth="0" width="3.109375" style="1"/>
    <col min="12298" max="12298" customWidth="0" width="3.109375" style="1"/>
    <col min="12299" max="12299" customWidth="0" width="3.109375" style="1"/>
    <col min="12300" max="12300" customWidth="0" width="3.109375" style="1"/>
    <col min="12301" max="12301" customWidth="0" width="3.109375" style="1"/>
    <col min="12302" max="12302" customWidth="0" width="3.109375" style="1"/>
    <col min="12303" max="12303" customWidth="0" width="3.109375" style="1"/>
    <col min="12304" max="12304" customWidth="0" width="3.109375" style="1"/>
    <col min="12305" max="12305" customWidth="0" width="3.109375" style="1"/>
    <col min="12306" max="12306" customWidth="0" width="3.109375" style="1"/>
    <col min="12307" max="12307" customWidth="0" width="3.109375" style="1"/>
    <col min="12308" max="12308" customWidth="0" width="3.109375" style="1"/>
    <col min="12309" max="12309" customWidth="0" width="3.109375" style="1"/>
    <col min="12310" max="12310" customWidth="0" width="3.109375" style="1"/>
    <col min="12311" max="12311" customWidth="0" width="3.109375" style="1"/>
    <col min="12312" max="12312" customWidth="0" width="3.109375" style="1"/>
    <col min="12313" max="12313" customWidth="0" width="3.109375" style="1"/>
    <col min="12314" max="12314" customWidth="0" width="3.109375" style="1"/>
    <col min="12315" max="12315" customWidth="0" width="3.109375" style="1"/>
    <col min="12316" max="12316" customWidth="0" width="3.109375" style="1"/>
    <col min="12317" max="12317" customWidth="0" width="3.109375" style="1"/>
    <col min="12318" max="12318" customWidth="0" width="3.109375" style="1"/>
    <col min="12319" max="12319" customWidth="0" width="3.109375" style="1"/>
    <col min="12320" max="12320" customWidth="0" width="3.109375" style="1"/>
    <col min="12321" max="12321" customWidth="0" width="3.109375" style="1"/>
    <col min="12322" max="12322" customWidth="0" width="3.109375" style="1"/>
    <col min="12323" max="12323" customWidth="0" width="3.109375" style="1"/>
    <col min="12324" max="12324" customWidth="0" width="3.109375" style="1"/>
    <col min="12325" max="12325" customWidth="0" width="3.109375" style="1"/>
    <col min="12326" max="12326" customWidth="0" width="3.109375" style="1"/>
    <col min="12327" max="12327" customWidth="0" width="3.109375" style="1"/>
    <col min="12328" max="12328" customWidth="0" width="3.109375" style="1"/>
    <col min="12329" max="12329" customWidth="0" width="3.109375" style="1"/>
    <col min="12330" max="12330" customWidth="0" width="3.109375" style="1"/>
    <col min="12331" max="12331" customWidth="0" width="3.109375" style="1"/>
    <col min="12332" max="12332" customWidth="0" width="3.109375" style="1"/>
    <col min="12333" max="12333" customWidth="0" width="3.109375" style="1"/>
    <col min="12334" max="12334" customWidth="0" width="3.109375" style="1"/>
    <col min="12335" max="12335" customWidth="0" width="3.109375" style="1"/>
    <col min="12336" max="12336" customWidth="0" width="3.109375" style="1"/>
    <col min="12337" max="12337" customWidth="0" width="3.109375" style="1"/>
    <col min="12338" max="12338" customWidth="0" width="3.109375" style="1"/>
    <col min="12339" max="12339" customWidth="0" width="3.109375" style="1"/>
    <col min="12340" max="12340" customWidth="0" width="3.109375" style="1"/>
    <col min="12341" max="12341" customWidth="0" width="3.109375" style="1"/>
    <col min="12342" max="12342" customWidth="0" width="3.109375" style="1"/>
    <col min="12343" max="12343" customWidth="0" width="3.109375" style="1"/>
    <col min="12344" max="12344" customWidth="0" width="3.109375" style="1"/>
    <col min="12345" max="12345" customWidth="0" width="3.109375" style="1"/>
    <col min="12346" max="12346" customWidth="0" width="3.109375" style="1"/>
    <col min="12347" max="12347" customWidth="0" width="3.109375" style="1"/>
    <col min="12348" max="12348" customWidth="0" width="3.109375" style="1"/>
    <col min="12349" max="12349" customWidth="0" width="3.109375" style="1"/>
    <col min="12350" max="12350" customWidth="0" width="3.109375" style="1"/>
    <col min="12351" max="12351" customWidth="0" width="3.109375" style="1"/>
    <col min="12352" max="12352" customWidth="0" width="3.109375" style="1"/>
    <col min="12353" max="12353" customWidth="0" width="3.109375" style="1"/>
    <col min="12354" max="12354" customWidth="0" width="3.109375" style="1"/>
    <col min="12355" max="12355" customWidth="0" width="3.109375" style="1"/>
    <col min="12356" max="12356" customWidth="0" width="3.109375" style="1"/>
    <col min="12357" max="12357" customWidth="0" width="3.109375" style="1"/>
    <col min="12358" max="12358" customWidth="0" width="3.109375" style="1"/>
    <col min="12359" max="12359" customWidth="0" width="3.109375" style="1"/>
    <col min="12360" max="12360" customWidth="0" width="3.109375" style="1"/>
    <col min="12361" max="12361" customWidth="0" width="3.109375" style="1"/>
    <col min="12362" max="12362" customWidth="0" width="3.109375" style="1"/>
    <col min="12363" max="12363" customWidth="0" width="3.109375" style="1"/>
    <col min="12364" max="12364" customWidth="0" width="3.109375" style="1"/>
    <col min="12365" max="12365" customWidth="0" width="3.109375" style="1"/>
    <col min="12366" max="12366" customWidth="0" width="3.109375" style="1"/>
    <col min="12367" max="12367" customWidth="0" width="3.109375" style="1"/>
    <col min="12368" max="12368" customWidth="0" width="3.109375" style="1"/>
    <col min="12369" max="12369" customWidth="0" width="3.109375" style="1"/>
    <col min="12370" max="12370" customWidth="0" width="3.109375" style="1"/>
    <col min="12371" max="12371" customWidth="0" width="3.109375" style="1"/>
    <col min="12372" max="12372" customWidth="0" width="3.109375" style="1"/>
    <col min="12373" max="12373" customWidth="0" width="3.109375" style="1"/>
    <col min="12374" max="12374" customWidth="0" width="3.109375" style="1"/>
    <col min="12375" max="12375" customWidth="0" width="3.109375" style="1"/>
    <col min="12376" max="12376" customWidth="0" width="3.109375" style="1"/>
    <col min="12377" max="12377" customWidth="0" width="3.109375" style="1"/>
    <col min="12378" max="12378" customWidth="0" width="3.109375" style="1"/>
    <col min="12379" max="12379" customWidth="0" width="3.109375" style="1"/>
    <col min="12380" max="12380" customWidth="0" width="3.109375" style="1"/>
    <col min="12381" max="12381" customWidth="0" width="3.109375" style="1"/>
    <col min="12382" max="12382" customWidth="0" width="3.109375" style="1"/>
    <col min="12383" max="12383" customWidth="0" width="3.109375" style="1"/>
    <col min="12384" max="12384" customWidth="0" width="3.109375" style="1"/>
    <col min="12385" max="12385" customWidth="0" width="3.109375" style="1"/>
    <col min="12386" max="12386" customWidth="0" width="3.109375" style="1"/>
    <col min="12387" max="12387" customWidth="0" width="3.109375" style="1"/>
    <col min="12388" max="12388" customWidth="0" width="3.109375" style="1"/>
    <col min="12389" max="12389" customWidth="0" width="3.109375" style="1"/>
    <col min="12390" max="12390" customWidth="0" width="3.109375" style="1"/>
    <col min="12391" max="12391" customWidth="0" width="3.109375" style="1"/>
    <col min="12392" max="12392" customWidth="0" width="3.109375" style="1"/>
    <col min="12393" max="12393" customWidth="0" width="3.109375" style="1"/>
    <col min="12394" max="12394" customWidth="0" width="3.109375" style="1"/>
    <col min="12395" max="12395" customWidth="0" width="3.109375" style="1"/>
    <col min="12396" max="12396" customWidth="0" width="3.109375" style="1"/>
    <col min="12397" max="12397" customWidth="0" width="3.109375" style="1"/>
    <col min="12398" max="12398" customWidth="0" width="3.109375" style="1"/>
    <col min="12399" max="12399" customWidth="0" width="3.109375" style="1"/>
    <col min="12400" max="12400" customWidth="0" width="3.109375" style="1"/>
    <col min="12401" max="12401" customWidth="0" width="3.109375" style="1"/>
    <col min="12402" max="12402" customWidth="0" width="3.109375" style="1"/>
    <col min="12403" max="12403" customWidth="0" width="3.109375" style="1"/>
    <col min="12404" max="12404" customWidth="0" width="3.109375" style="1"/>
    <col min="12405" max="12405" customWidth="0" width="3.109375" style="1"/>
    <col min="12406" max="12406" customWidth="0" width="3.109375" style="1"/>
    <col min="12407" max="12407" customWidth="0" width="3.109375" style="1"/>
    <col min="12408" max="12408" customWidth="0" width="3.109375" style="1"/>
    <col min="12409" max="12409" customWidth="0" width="3.109375" style="1"/>
    <col min="12410" max="12410" customWidth="0" width="3.109375" style="1"/>
    <col min="12411" max="12411" customWidth="0" width="3.109375" style="1"/>
    <col min="12412" max="12412" customWidth="0" width="3.109375" style="1"/>
    <col min="12413" max="12413" customWidth="0" width="3.109375" style="1"/>
    <col min="12414" max="12414" customWidth="0" width="3.109375" style="1"/>
    <col min="12415" max="12415" customWidth="0" width="3.109375" style="1"/>
    <col min="12416" max="12416" customWidth="0" width="3.109375" style="1"/>
    <col min="12417" max="12417" customWidth="0" width="3.109375" style="1"/>
    <col min="12418" max="12418" customWidth="0" width="3.109375" style="1"/>
    <col min="12419" max="12419" customWidth="0" width="3.109375" style="1"/>
    <col min="12420" max="12420" customWidth="0" width="3.109375" style="1"/>
    <col min="12421" max="12421" customWidth="0" width="3.109375" style="1"/>
    <col min="12422" max="12422" customWidth="0" width="3.109375" style="1"/>
    <col min="12423" max="12423" customWidth="0" width="3.109375" style="1"/>
    <col min="12424" max="12424" customWidth="0" width="3.109375" style="1"/>
    <col min="12425" max="12425" customWidth="0" width="3.109375" style="1"/>
    <col min="12426" max="12426" customWidth="0" width="3.109375" style="1"/>
    <col min="12427" max="12427" customWidth="0" width="3.109375" style="1"/>
    <col min="12428" max="12428" customWidth="0" width="3.109375" style="1"/>
    <col min="12429" max="12429" customWidth="0" width="3.109375" style="1"/>
    <col min="12430" max="12430" customWidth="0" width="3.109375" style="1"/>
    <col min="12431" max="12431" customWidth="0" width="3.109375" style="1"/>
    <col min="12432" max="12432" customWidth="0" width="3.109375" style="1"/>
    <col min="12433" max="12433" customWidth="0" width="3.109375" style="1"/>
    <col min="12434" max="12434" customWidth="0" width="3.109375" style="1"/>
    <col min="12435" max="12435" customWidth="0" width="3.109375" style="1"/>
    <col min="12436" max="12436" customWidth="0" width="3.109375" style="1"/>
    <col min="12437" max="12437" customWidth="0" width="3.109375" style="1"/>
    <col min="12438" max="12438" customWidth="0" width="3.109375" style="1"/>
    <col min="12439" max="12439" customWidth="0" width="3.109375" style="1"/>
    <col min="12440" max="12440" customWidth="0" width="3.109375" style="1"/>
    <col min="12441" max="12441" customWidth="0" width="3.109375" style="1"/>
    <col min="12442" max="12442" customWidth="0" width="3.109375" style="1"/>
    <col min="12443" max="12443" customWidth="0" width="3.109375" style="1"/>
    <col min="12444" max="12444" customWidth="0" width="3.109375" style="1"/>
    <col min="12445" max="12445" customWidth="0" width="3.109375" style="1"/>
    <col min="12446" max="12446" customWidth="0" width="3.109375" style="1"/>
    <col min="12447" max="12447" customWidth="0" width="3.109375" style="1"/>
    <col min="12448" max="12448" customWidth="0" width="3.109375" style="1"/>
    <col min="12449" max="12449" customWidth="0" width="3.109375" style="1"/>
    <col min="12450" max="12450" customWidth="0" width="3.109375" style="1"/>
    <col min="12451" max="12451" customWidth="0" width="3.109375" style="1"/>
    <col min="12452" max="12452" customWidth="0" width="3.109375" style="1"/>
    <col min="12453" max="12453" customWidth="0" width="3.109375" style="1"/>
    <col min="12454" max="12454" customWidth="0" width="3.109375" style="1"/>
    <col min="12455" max="12455" customWidth="0" width="3.109375" style="1"/>
    <col min="12456" max="12456" customWidth="0" width="3.109375" style="1"/>
    <col min="12457" max="12457" customWidth="0" width="3.109375" style="1"/>
    <col min="12458" max="12458" customWidth="0" width="3.109375" style="1"/>
    <col min="12459" max="12459" customWidth="0" width="3.109375" style="1"/>
    <col min="12460" max="12460" customWidth="0" width="3.109375" style="1"/>
    <col min="12461" max="12461" customWidth="0" width="3.109375" style="1"/>
    <col min="12462" max="12462" customWidth="0" width="3.109375" style="1"/>
    <col min="12463" max="12463" customWidth="0" width="3.109375" style="1"/>
    <col min="12464" max="12464" customWidth="0" width="3.109375" style="1"/>
    <col min="12465" max="12465" customWidth="0" width="3.109375" style="1"/>
    <col min="12466" max="12466" customWidth="0" width="3.109375" style="1"/>
    <col min="12467" max="12467" customWidth="0" width="3.109375" style="1"/>
    <col min="12468" max="12468" customWidth="0" width="3.109375" style="1"/>
    <col min="12469" max="12469" customWidth="0" width="3.109375" style="1"/>
    <col min="12470" max="12470" customWidth="0" width="3.109375" style="1"/>
    <col min="12471" max="12471" customWidth="0" width="3.109375" style="1"/>
    <col min="12472" max="12472" customWidth="0" width="3.109375" style="1"/>
    <col min="12473" max="12473" customWidth="0" width="3.109375" style="1"/>
    <col min="12474" max="12474" customWidth="0" width="3.109375" style="1"/>
    <col min="12475" max="12475" customWidth="0" width="3.109375" style="1"/>
    <col min="12476" max="12476" customWidth="0" width="3.109375" style="1"/>
    <col min="12477" max="12477" customWidth="0" width="3.109375" style="1"/>
    <col min="12478" max="12478" customWidth="0" width="3.109375" style="1"/>
    <col min="12479" max="12479" customWidth="0" width="3.109375" style="1"/>
    <col min="12480" max="12480" customWidth="0" width="3.109375" style="1"/>
    <col min="12481" max="12481" customWidth="0" width="3.109375" style="1"/>
    <col min="12482" max="12482" customWidth="0" width="3.109375" style="1"/>
    <col min="12483" max="12483" customWidth="0" width="3.109375" style="1"/>
    <col min="12484" max="12484" customWidth="0" width="3.109375" style="1"/>
    <col min="12485" max="12485" customWidth="0" width="3.109375" style="1"/>
    <col min="12486" max="12486" customWidth="0" width="3.109375" style="1"/>
    <col min="12487" max="12487" customWidth="0" width="3.109375" style="1"/>
    <col min="12488" max="12488" customWidth="0" width="3.109375" style="1"/>
    <col min="12489" max="12489" customWidth="0" width="3.109375" style="1"/>
    <col min="12490" max="12490" customWidth="0" width="3.109375" style="1"/>
    <col min="12491" max="12491" customWidth="0" width="3.109375" style="1"/>
    <col min="12492" max="12492" customWidth="0" width="3.109375" style="1"/>
    <col min="12493" max="12493" customWidth="0" width="3.109375" style="1"/>
    <col min="12494" max="12494" customWidth="0" width="3.109375" style="1"/>
    <col min="12495" max="12495" customWidth="0" width="3.109375" style="1"/>
    <col min="12496" max="12496" customWidth="0" width="3.109375" style="1"/>
    <col min="12497" max="12497" customWidth="0" width="3.109375" style="1"/>
    <col min="12498" max="12498" customWidth="0" width="3.109375" style="1"/>
    <col min="12499" max="12499" customWidth="0" width="3.109375" style="1"/>
    <col min="12500" max="12500" customWidth="0" width="3.109375" style="1"/>
    <col min="12501" max="12501" customWidth="0" width="3.109375" style="1"/>
    <col min="12502" max="12502" customWidth="0" width="3.109375" style="1"/>
    <col min="12503" max="12503" customWidth="0" width="3.109375" style="1"/>
    <col min="12504" max="12504" customWidth="0" width="3.109375" style="1"/>
    <col min="12505" max="12505" customWidth="0" width="3.109375" style="1"/>
    <col min="12506" max="12506" customWidth="0" width="3.109375" style="1"/>
    <col min="12507" max="12507" customWidth="0" width="3.109375" style="1"/>
    <col min="12508" max="12508" customWidth="0" width="3.109375" style="1"/>
    <col min="12509" max="12509" customWidth="0" width="3.109375" style="1"/>
    <col min="12510" max="12510" customWidth="0" width="3.109375" style="1"/>
    <col min="12511" max="12511" customWidth="0" width="3.109375" style="1"/>
    <col min="12512" max="12512" customWidth="0" width="3.109375" style="1"/>
    <col min="12513" max="12513" customWidth="0" width="3.109375" style="1"/>
    <col min="12514" max="12514" customWidth="0" width="3.109375" style="1"/>
    <col min="12515" max="12515" customWidth="0" width="3.109375" style="1"/>
    <col min="12516" max="12516" customWidth="0" width="3.109375" style="1"/>
    <col min="12517" max="12517" customWidth="0" width="3.109375" style="1"/>
    <col min="12518" max="12518" customWidth="0" width="3.109375" style="1"/>
    <col min="12519" max="12519" customWidth="0" width="3.109375" style="1"/>
    <col min="12520" max="12520" customWidth="0" width="3.109375" style="1"/>
    <col min="12521" max="12521" customWidth="0" width="3.109375" style="1"/>
    <col min="12522" max="12522" customWidth="0" width="3.109375" style="1"/>
    <col min="12523" max="12523" customWidth="0" width="3.109375" style="1"/>
    <col min="12524" max="12524" customWidth="0" width="3.109375" style="1"/>
    <col min="12525" max="12525" customWidth="0" width="3.109375" style="1"/>
    <col min="12526" max="12526" customWidth="0" width="3.109375" style="1"/>
    <col min="12527" max="12527" customWidth="0" width="3.109375" style="1"/>
    <col min="12528" max="12528" customWidth="0" width="3.109375" style="1"/>
    <col min="12529" max="12529" customWidth="0" width="3.109375" style="1"/>
    <col min="12530" max="12530" customWidth="0" width="3.109375" style="1"/>
    <col min="12531" max="12531" customWidth="0" width="3.109375" style="1"/>
    <col min="12532" max="12532" customWidth="0" width="3.109375" style="1"/>
    <col min="12533" max="12533" customWidth="0" width="3.109375" style="1"/>
    <col min="12534" max="12534" customWidth="0" width="3.109375" style="1"/>
    <col min="12535" max="12535" customWidth="0" width="3.109375" style="1"/>
    <col min="12536" max="12536" customWidth="0" width="3.109375" style="1"/>
    <col min="12537" max="12537" customWidth="0" width="3.109375" style="1"/>
    <col min="12538" max="12538" customWidth="0" width="3.109375" style="1"/>
    <col min="12539" max="12539" customWidth="0" width="3.109375" style="1"/>
    <col min="12540" max="12540" customWidth="0" width="3.109375" style="1"/>
    <col min="12541" max="12541" customWidth="0" width="3.109375" style="1"/>
    <col min="12542" max="12542" customWidth="0" width="3.109375" style="1"/>
    <col min="12543" max="12543" customWidth="0" width="3.109375" style="1"/>
    <col min="12544" max="12544" customWidth="0" width="3.109375" style="1"/>
    <col min="12545" max="12545" customWidth="0" width="3.109375" style="1"/>
    <col min="12546" max="12546" customWidth="0" width="3.109375" style="1"/>
    <col min="12547" max="12547" customWidth="0" width="3.109375" style="1"/>
    <col min="12548" max="12548" customWidth="0" width="3.109375" style="1"/>
    <col min="12549" max="12549" customWidth="0" width="3.109375" style="1"/>
    <col min="12550" max="12550" customWidth="0" width="3.109375" style="1"/>
    <col min="12551" max="12551" customWidth="0" width="3.109375" style="1"/>
    <col min="12552" max="12552" customWidth="0" width="3.109375" style="1"/>
    <col min="12553" max="12553" customWidth="0" width="3.109375" style="1"/>
    <col min="12554" max="12554" customWidth="0" width="3.109375" style="1"/>
    <col min="12555" max="12555" customWidth="0" width="3.109375" style="1"/>
    <col min="12556" max="12556" customWidth="0" width="3.109375" style="1"/>
    <col min="12557" max="12557" customWidth="0" width="3.109375" style="1"/>
    <col min="12558" max="12558" customWidth="0" width="3.109375" style="1"/>
    <col min="12559" max="12559" customWidth="0" width="3.109375" style="1"/>
    <col min="12560" max="12560" customWidth="0" width="3.109375" style="1"/>
    <col min="12561" max="12561" customWidth="0" width="3.109375" style="1"/>
    <col min="12562" max="12562" customWidth="0" width="3.109375" style="1"/>
    <col min="12563" max="12563" customWidth="0" width="3.109375" style="1"/>
    <col min="12564" max="12564" customWidth="0" width="3.109375" style="1"/>
    <col min="12565" max="12565" customWidth="0" width="3.109375" style="1"/>
    <col min="12566" max="12566" customWidth="0" width="3.109375" style="1"/>
    <col min="12567" max="12567" customWidth="0" width="3.109375" style="1"/>
    <col min="12568" max="12568" customWidth="0" width="3.109375" style="1"/>
    <col min="12569" max="12569" customWidth="0" width="3.109375" style="1"/>
    <col min="12570" max="12570" customWidth="0" width="3.109375" style="1"/>
    <col min="12571" max="12571" customWidth="0" width="3.109375" style="1"/>
    <col min="12572" max="12572" customWidth="0" width="3.109375" style="1"/>
    <col min="12573" max="12573" customWidth="0" width="3.109375" style="1"/>
    <col min="12574" max="12574" customWidth="0" width="3.109375" style="1"/>
    <col min="12575" max="12575" customWidth="0" width="3.109375" style="1"/>
    <col min="12576" max="12576" customWidth="0" width="3.109375" style="1"/>
    <col min="12577" max="12577" customWidth="0" width="3.109375" style="1"/>
    <col min="12578" max="12578" customWidth="0" width="3.109375" style="1"/>
    <col min="12579" max="12579" customWidth="0" width="3.109375" style="1"/>
    <col min="12580" max="12580" customWidth="0" width="3.109375" style="1"/>
    <col min="12581" max="12581" customWidth="0" width="3.109375" style="1"/>
    <col min="12582" max="12582" customWidth="0" width="3.109375" style="1"/>
    <col min="12583" max="12583" customWidth="0" width="3.109375" style="1"/>
    <col min="12584" max="12584" customWidth="0" width="3.109375" style="1"/>
    <col min="12585" max="12585" customWidth="0" width="3.109375" style="1"/>
    <col min="12586" max="12586" customWidth="0" width="3.109375" style="1"/>
    <col min="12587" max="12587" customWidth="0" width="3.109375" style="1"/>
    <col min="12588" max="12588" customWidth="0" width="3.109375" style="1"/>
    <col min="12589" max="12589" customWidth="0" width="3.109375" style="1"/>
    <col min="12590" max="12590" customWidth="0" width="3.109375" style="1"/>
    <col min="12591" max="12591" customWidth="0" width="3.109375" style="1"/>
    <col min="12592" max="12592" customWidth="0" width="3.109375" style="1"/>
    <col min="12593" max="12593" customWidth="0" width="3.109375" style="1"/>
    <col min="12594" max="12594" customWidth="0" width="3.109375" style="1"/>
    <col min="12595" max="12595" customWidth="0" width="3.109375" style="1"/>
    <col min="12596" max="12596" customWidth="0" width="3.109375" style="1"/>
    <col min="12597" max="12597" customWidth="0" width="3.109375" style="1"/>
    <col min="12598" max="12598" customWidth="0" width="3.109375" style="1"/>
    <col min="12599" max="12599" customWidth="0" width="3.109375" style="1"/>
    <col min="12600" max="12600" customWidth="0" width="3.109375" style="1"/>
    <col min="12601" max="12601" customWidth="0" width="3.109375" style="1"/>
    <col min="12602" max="12602" customWidth="0" width="3.109375" style="1"/>
    <col min="12603" max="12603" customWidth="0" width="3.109375" style="1"/>
    <col min="12604" max="12604" customWidth="0" width="3.109375" style="1"/>
    <col min="12605" max="12605" customWidth="0" width="3.109375" style="1"/>
    <col min="12606" max="12606" customWidth="0" width="3.109375" style="1"/>
    <col min="12607" max="12607" customWidth="0" width="3.109375" style="1"/>
    <col min="12608" max="12608" customWidth="0" width="3.109375" style="1"/>
    <col min="12609" max="12609" customWidth="0" width="3.109375" style="1"/>
    <col min="12610" max="12610" customWidth="0" width="3.109375" style="1"/>
    <col min="12611" max="12611" customWidth="0" width="3.109375" style="1"/>
    <col min="12612" max="12612" customWidth="0" width="3.109375" style="1"/>
    <col min="12613" max="12613" customWidth="0" width="3.109375" style="1"/>
    <col min="12614" max="12614" customWidth="0" width="3.109375" style="1"/>
    <col min="12615" max="12615" customWidth="0" width="3.109375" style="1"/>
    <col min="12616" max="12616" customWidth="0" width="3.109375" style="1"/>
    <col min="12617" max="12617" customWidth="0" width="3.109375" style="1"/>
    <col min="12618" max="12618" customWidth="0" width="3.109375" style="1"/>
    <col min="12619" max="12619" customWidth="0" width="3.109375" style="1"/>
    <col min="12620" max="12620" customWidth="0" width="3.109375" style="1"/>
    <col min="12621" max="12621" customWidth="0" width="3.109375" style="1"/>
    <col min="12622" max="12622" customWidth="0" width="3.109375" style="1"/>
    <col min="12623" max="12623" customWidth="0" width="3.109375" style="1"/>
    <col min="12624" max="12624" customWidth="0" width="3.109375" style="1"/>
    <col min="12625" max="12625" customWidth="0" width="3.109375" style="1"/>
    <col min="12626" max="12626" customWidth="0" width="3.109375" style="1"/>
    <col min="12627" max="12627" customWidth="0" width="3.109375" style="1"/>
    <col min="12628" max="12628" customWidth="0" width="3.109375" style="1"/>
    <col min="12629" max="12629" customWidth="0" width="3.109375" style="1"/>
    <col min="12630" max="12630" customWidth="0" width="3.109375" style="1"/>
    <col min="12631" max="12631" customWidth="0" width="3.109375" style="1"/>
    <col min="12632" max="12632" customWidth="0" width="3.109375" style="1"/>
    <col min="12633" max="12633" customWidth="0" width="3.109375" style="1"/>
    <col min="12634" max="12634" customWidth="0" width="3.109375" style="1"/>
    <col min="12635" max="12635" customWidth="0" width="3.109375" style="1"/>
    <col min="12636" max="12636" customWidth="0" width="3.109375" style="1"/>
    <col min="12637" max="12637" customWidth="0" width="3.109375" style="1"/>
    <col min="12638" max="12638" customWidth="0" width="3.109375" style="1"/>
    <col min="12639" max="12639" customWidth="0" width="3.109375" style="1"/>
    <col min="12640" max="12640" customWidth="0" width="3.109375" style="1"/>
    <col min="12641" max="12641" customWidth="0" width="3.109375" style="1"/>
    <col min="12642" max="12642" customWidth="0" width="3.109375" style="1"/>
    <col min="12643" max="12643" customWidth="0" width="3.109375" style="1"/>
    <col min="12644" max="12644" customWidth="0" width="3.109375" style="1"/>
    <col min="12645" max="12645" customWidth="0" width="3.109375" style="1"/>
    <col min="12646" max="12646" customWidth="0" width="3.109375" style="1"/>
    <col min="12647" max="12647" customWidth="0" width="3.109375" style="1"/>
    <col min="12648" max="12648" customWidth="0" width="3.109375" style="1"/>
    <col min="12649" max="12649" customWidth="0" width="3.109375" style="1"/>
    <col min="12650" max="12650" customWidth="0" width="3.109375" style="1"/>
    <col min="12651" max="12651" customWidth="0" width="3.109375" style="1"/>
    <col min="12652" max="12652" customWidth="0" width="3.109375" style="1"/>
    <col min="12653" max="12653" customWidth="0" width="3.109375" style="1"/>
    <col min="12654" max="12654" customWidth="0" width="3.109375" style="1"/>
    <col min="12655" max="12655" customWidth="0" width="3.109375" style="1"/>
    <col min="12656" max="12656" customWidth="0" width="3.109375" style="1"/>
    <col min="12657" max="12657" customWidth="0" width="3.109375" style="1"/>
    <col min="12658" max="12658" customWidth="0" width="3.109375" style="1"/>
    <col min="12659" max="12659" customWidth="0" width="3.109375" style="1"/>
    <col min="12660" max="12660" customWidth="0" width="3.109375" style="1"/>
    <col min="12661" max="12661" customWidth="0" width="3.109375" style="1"/>
    <col min="12662" max="12662" customWidth="0" width="3.109375" style="1"/>
    <col min="12663" max="12663" customWidth="0" width="3.109375" style="1"/>
    <col min="12664" max="12664" customWidth="0" width="3.109375" style="1"/>
    <col min="12665" max="12665" customWidth="0" width="3.109375" style="1"/>
    <col min="12666" max="12666" customWidth="0" width="3.109375" style="1"/>
    <col min="12667" max="12667" customWidth="0" width="3.109375" style="1"/>
    <col min="12668" max="12668" customWidth="0" width="3.109375" style="1"/>
    <col min="12669" max="12669" customWidth="0" width="3.109375" style="1"/>
    <col min="12670" max="12670" customWidth="0" width="3.109375" style="1"/>
    <col min="12671" max="12671" customWidth="0" width="3.109375" style="1"/>
    <col min="12672" max="12672" customWidth="0" width="3.109375" style="1"/>
    <col min="12673" max="12673" customWidth="0" width="3.109375" style="1"/>
    <col min="12674" max="12674" customWidth="0" width="3.109375" style="1"/>
    <col min="12675" max="12675" customWidth="0" width="3.109375" style="1"/>
    <col min="12676" max="12676" customWidth="0" width="3.109375" style="1"/>
    <col min="12677" max="12677" customWidth="0" width="3.109375" style="1"/>
    <col min="12678" max="12678" customWidth="0" width="3.109375" style="1"/>
    <col min="12679" max="12679" customWidth="0" width="3.109375" style="1"/>
    <col min="12680" max="12680" customWidth="0" width="3.109375" style="1"/>
    <col min="12681" max="12681" customWidth="0" width="3.109375" style="1"/>
    <col min="12682" max="12682" customWidth="0" width="3.109375" style="1"/>
    <col min="12683" max="12683" customWidth="0" width="3.109375" style="1"/>
    <col min="12684" max="12684" customWidth="0" width="3.109375" style="1"/>
    <col min="12685" max="12685" customWidth="0" width="3.109375" style="1"/>
    <col min="12686" max="12686" customWidth="0" width="3.109375" style="1"/>
    <col min="12687" max="12687" customWidth="0" width="3.109375" style="1"/>
    <col min="12688" max="12688" customWidth="0" width="3.109375" style="1"/>
    <col min="12689" max="12689" customWidth="0" width="3.109375" style="1"/>
    <col min="12690" max="12690" customWidth="0" width="3.109375" style="1"/>
    <col min="12691" max="12691" customWidth="0" width="3.109375" style="1"/>
    <col min="12692" max="12692" customWidth="0" width="3.109375" style="1"/>
    <col min="12693" max="12693" customWidth="0" width="3.109375" style="1"/>
    <col min="12694" max="12694" customWidth="0" width="3.109375" style="1"/>
    <col min="12695" max="12695" customWidth="0" width="3.109375" style="1"/>
    <col min="12696" max="12696" customWidth="0" width="3.109375" style="1"/>
    <col min="12697" max="12697" customWidth="0" width="3.109375" style="1"/>
    <col min="12698" max="12698" customWidth="0" width="3.109375" style="1"/>
    <col min="12699" max="12699" customWidth="0" width="3.109375" style="1"/>
    <col min="12700" max="12700" customWidth="0" width="3.109375" style="1"/>
    <col min="12701" max="12701" customWidth="0" width="3.109375" style="1"/>
    <col min="12702" max="12702" customWidth="0" width="3.109375" style="1"/>
    <col min="12703" max="12703" customWidth="0" width="3.109375" style="1"/>
    <col min="12704" max="12704" customWidth="0" width="3.109375" style="1"/>
    <col min="12705" max="12705" customWidth="0" width="3.109375" style="1"/>
    <col min="12706" max="12706" customWidth="0" width="3.109375" style="1"/>
    <col min="12707" max="12707" customWidth="0" width="3.109375" style="1"/>
    <col min="12708" max="12708" customWidth="0" width="3.109375" style="1"/>
    <col min="12709" max="12709" customWidth="0" width="3.109375" style="1"/>
    <col min="12710" max="12710" customWidth="0" width="3.109375" style="1"/>
    <col min="12711" max="12711" customWidth="0" width="3.109375" style="1"/>
    <col min="12712" max="12712" customWidth="0" width="3.109375" style="1"/>
    <col min="12713" max="12713" customWidth="0" width="3.109375" style="1"/>
    <col min="12714" max="12714" customWidth="0" width="3.109375" style="1"/>
    <col min="12715" max="12715" customWidth="0" width="3.109375" style="1"/>
    <col min="12716" max="12716" customWidth="0" width="3.109375" style="1"/>
    <col min="12717" max="12717" customWidth="0" width="3.109375" style="1"/>
    <col min="12718" max="12718" customWidth="0" width="3.109375" style="1"/>
    <col min="12719" max="12719" customWidth="0" width="3.109375" style="1"/>
    <col min="12720" max="12720" customWidth="0" width="3.109375" style="1"/>
    <col min="12721" max="12721" customWidth="0" width="3.109375" style="1"/>
    <col min="12722" max="12722" customWidth="0" width="3.109375" style="1"/>
    <col min="12723" max="12723" customWidth="0" width="3.109375" style="1"/>
    <col min="12724" max="12724" customWidth="0" width="3.109375" style="1"/>
    <col min="12725" max="12725" customWidth="0" width="3.109375" style="1"/>
    <col min="12726" max="12726" customWidth="0" width="3.109375" style="1"/>
    <col min="12727" max="12727" customWidth="0" width="3.109375" style="1"/>
    <col min="12728" max="12728" customWidth="0" width="3.109375" style="1"/>
    <col min="12729" max="12729" customWidth="0" width="3.109375" style="1"/>
    <col min="12730" max="12730" customWidth="0" width="3.109375" style="1"/>
    <col min="12731" max="12731" customWidth="0" width="3.109375" style="1"/>
    <col min="12732" max="12732" customWidth="0" width="3.109375" style="1"/>
    <col min="12733" max="12733" customWidth="0" width="3.109375" style="1"/>
    <col min="12734" max="12734" customWidth="0" width="3.109375" style="1"/>
    <col min="12735" max="12735" customWidth="0" width="3.109375" style="1"/>
    <col min="12736" max="12736" customWidth="0" width="3.109375" style="1"/>
    <col min="12737" max="12737" customWidth="0" width="3.109375" style="1"/>
    <col min="12738" max="12738" customWidth="0" width="3.109375" style="1"/>
    <col min="12739" max="12739" customWidth="0" width="3.109375" style="1"/>
    <col min="12740" max="12740" customWidth="0" width="3.109375" style="1"/>
    <col min="12741" max="12741" customWidth="0" width="3.109375" style="1"/>
    <col min="12742" max="12742" customWidth="0" width="3.109375" style="1"/>
    <col min="12743" max="12743" customWidth="0" width="3.109375" style="1"/>
    <col min="12744" max="12744" customWidth="0" width="3.109375" style="1"/>
    <col min="12745" max="12745" customWidth="0" width="3.109375" style="1"/>
    <col min="12746" max="12746" customWidth="0" width="3.109375" style="1"/>
    <col min="12747" max="12747" customWidth="0" width="3.109375" style="1"/>
    <col min="12748" max="12748" customWidth="0" width="3.109375" style="1"/>
    <col min="12749" max="12749" customWidth="0" width="3.109375" style="1"/>
    <col min="12750" max="12750" customWidth="0" width="3.109375" style="1"/>
    <col min="12751" max="12751" customWidth="0" width="3.109375" style="1"/>
    <col min="12752" max="12752" customWidth="0" width="3.109375" style="1"/>
    <col min="12753" max="12753" customWidth="0" width="3.109375" style="1"/>
    <col min="12754" max="12754" customWidth="0" width="3.109375" style="1"/>
    <col min="12755" max="12755" customWidth="0" width="3.109375" style="1"/>
    <col min="12756" max="12756" customWidth="0" width="3.109375" style="1"/>
    <col min="12757" max="12757" customWidth="0" width="3.109375" style="1"/>
    <col min="12758" max="12758" customWidth="0" width="3.109375" style="1"/>
    <col min="12759" max="12759" customWidth="0" width="3.109375" style="1"/>
    <col min="12760" max="12760" customWidth="0" width="3.109375" style="1"/>
    <col min="12761" max="12761" customWidth="0" width="3.109375" style="1"/>
    <col min="12762" max="12762" customWidth="0" width="3.109375" style="1"/>
    <col min="12763" max="12763" customWidth="0" width="3.109375" style="1"/>
    <col min="12764" max="12764" customWidth="0" width="3.109375" style="1"/>
    <col min="12765" max="12765" customWidth="0" width="3.109375" style="1"/>
    <col min="12766" max="12766" customWidth="0" width="3.109375" style="1"/>
    <col min="12767" max="12767" customWidth="0" width="3.109375" style="1"/>
    <col min="12768" max="12768" customWidth="0" width="3.109375" style="1"/>
    <col min="12769" max="12769" customWidth="0" width="3.109375" style="1"/>
    <col min="12770" max="12770" customWidth="0" width="3.109375" style="1"/>
    <col min="12771" max="12771" customWidth="0" width="3.109375" style="1"/>
    <col min="12772" max="12772" customWidth="0" width="3.109375" style="1"/>
    <col min="12773" max="12773" customWidth="0" width="3.109375" style="1"/>
    <col min="12774" max="12774" customWidth="0" width="3.109375" style="1"/>
    <col min="12775" max="12775" customWidth="0" width="3.109375" style="1"/>
    <col min="12776" max="12776" customWidth="0" width="3.109375" style="1"/>
    <col min="12777" max="12777" customWidth="0" width="3.109375" style="1"/>
    <col min="12778" max="12778" customWidth="0" width="3.109375" style="1"/>
    <col min="12779" max="12779" customWidth="0" width="3.109375" style="1"/>
    <col min="12780" max="12780" customWidth="0" width="3.109375" style="1"/>
    <col min="12781" max="12781" customWidth="0" width="3.109375" style="1"/>
    <col min="12782" max="12782" customWidth="0" width="3.109375" style="1"/>
    <col min="12783" max="12783" customWidth="0" width="3.109375" style="1"/>
    <col min="12784" max="12784" customWidth="0" width="3.109375" style="1"/>
    <col min="12785" max="12785" customWidth="0" width="3.109375" style="1"/>
    <col min="12786" max="12786" customWidth="0" width="3.109375" style="1"/>
    <col min="12787" max="12787" customWidth="0" width="3.109375" style="1"/>
    <col min="12788" max="12788" customWidth="0" width="3.109375" style="1"/>
    <col min="12789" max="12789" customWidth="0" width="3.109375" style="1"/>
    <col min="12790" max="12790" customWidth="0" width="3.109375" style="1"/>
    <col min="12791" max="12791" customWidth="0" width="3.109375" style="1"/>
    <col min="12792" max="12792" customWidth="0" width="3.109375" style="1"/>
    <col min="12793" max="12793" customWidth="0" width="3.109375" style="1"/>
    <col min="12794" max="12794" customWidth="0" width="3.109375" style="1"/>
    <col min="12795" max="12795" customWidth="0" width="3.109375" style="1"/>
    <col min="12796" max="12796" customWidth="0" width="3.109375" style="1"/>
    <col min="12797" max="12797" customWidth="0" width="3.109375" style="1"/>
    <col min="12798" max="12798" customWidth="0" width="3.109375" style="1"/>
    <col min="12799" max="12799" customWidth="0" width="3.109375" style="1"/>
    <col min="12800" max="12800" customWidth="0" width="3.109375" style="1"/>
    <col min="12801" max="12801" customWidth="0" width="3.109375" style="1"/>
    <col min="12802" max="12802" customWidth="0" width="3.109375" style="1"/>
    <col min="12803" max="12803" customWidth="0" width="3.109375" style="1"/>
    <col min="12804" max="12804" customWidth="0" width="3.109375" style="1"/>
    <col min="12805" max="12805" customWidth="0" width="3.109375" style="1"/>
    <col min="12806" max="12806" customWidth="0" width="3.109375" style="1"/>
    <col min="12807" max="12807" customWidth="0" width="3.109375" style="1"/>
    <col min="12808" max="12808" customWidth="0" width="3.109375" style="1"/>
    <col min="12809" max="12809" customWidth="0" width="3.109375" style="1"/>
    <col min="12810" max="12810" customWidth="0" width="3.109375" style="1"/>
    <col min="12811" max="12811" customWidth="0" width="3.109375" style="1"/>
    <col min="12812" max="12812" customWidth="0" width="3.109375" style="1"/>
    <col min="12813" max="12813" customWidth="0" width="3.109375" style="1"/>
    <col min="12814" max="12814" customWidth="0" width="3.109375" style="1"/>
    <col min="12815" max="12815" customWidth="0" width="3.109375" style="1"/>
    <col min="12816" max="12816" customWidth="0" width="3.109375" style="1"/>
    <col min="12817" max="12817" customWidth="0" width="3.109375" style="1"/>
    <col min="12818" max="12818" customWidth="0" width="3.109375" style="1"/>
    <col min="12819" max="12819" customWidth="0" width="3.109375" style="1"/>
    <col min="12820" max="12820" customWidth="0" width="3.109375" style="1"/>
    <col min="12821" max="12821" customWidth="0" width="3.109375" style="1"/>
    <col min="12822" max="12822" customWidth="0" width="3.109375" style="1"/>
    <col min="12823" max="12823" customWidth="0" width="3.109375" style="1"/>
    <col min="12824" max="12824" customWidth="0" width="3.109375" style="1"/>
    <col min="12825" max="12825" customWidth="0" width="3.109375" style="1"/>
    <col min="12826" max="12826" customWidth="0" width="3.109375" style="1"/>
    <col min="12827" max="12827" customWidth="0" width="3.109375" style="1"/>
    <col min="12828" max="12828" customWidth="0" width="3.109375" style="1"/>
    <col min="12829" max="12829" customWidth="0" width="3.109375" style="1"/>
    <col min="12830" max="12830" customWidth="0" width="3.109375" style="1"/>
    <col min="12831" max="12831" customWidth="0" width="3.109375" style="1"/>
    <col min="12832" max="12832" customWidth="0" width="3.109375" style="1"/>
    <col min="12833" max="12833" customWidth="0" width="3.109375" style="1"/>
    <col min="12834" max="12834" customWidth="0" width="3.109375" style="1"/>
    <col min="12835" max="12835" customWidth="0" width="3.109375" style="1"/>
    <col min="12836" max="12836" customWidth="0" width="3.109375" style="1"/>
    <col min="12837" max="12837" customWidth="0" width="3.109375" style="1"/>
    <col min="12838" max="12838" customWidth="0" width="3.109375" style="1"/>
    <col min="12839" max="12839" customWidth="0" width="3.109375" style="1"/>
    <col min="12840" max="12840" customWidth="0" width="3.109375" style="1"/>
    <col min="12841" max="12841" customWidth="0" width="3.109375" style="1"/>
    <col min="12842" max="12842" customWidth="0" width="3.109375" style="1"/>
    <col min="12843" max="12843" customWidth="0" width="3.109375" style="1"/>
    <col min="12844" max="12844" customWidth="0" width="3.109375" style="1"/>
    <col min="12845" max="12845" customWidth="0" width="3.109375" style="1"/>
    <col min="12846" max="12846" customWidth="0" width="3.109375" style="1"/>
    <col min="12847" max="12847" customWidth="0" width="3.109375" style="1"/>
    <col min="12848" max="12848" customWidth="0" width="3.109375" style="1"/>
    <col min="12849" max="12849" customWidth="0" width="3.109375" style="1"/>
    <col min="12850" max="12850" customWidth="0" width="3.109375" style="1"/>
    <col min="12851" max="12851" customWidth="0" width="3.109375" style="1"/>
    <col min="12852" max="12852" customWidth="0" width="3.109375" style="1"/>
    <col min="12853" max="12853" customWidth="0" width="3.109375" style="1"/>
    <col min="12854" max="12854" customWidth="0" width="3.109375" style="1"/>
    <col min="12855" max="12855" customWidth="0" width="3.109375" style="1"/>
    <col min="12856" max="12856" customWidth="0" width="3.109375" style="1"/>
    <col min="12857" max="12857" customWidth="0" width="3.109375" style="1"/>
    <col min="12858" max="12858" customWidth="0" width="3.109375" style="1"/>
    <col min="12859" max="12859" customWidth="0" width="3.109375" style="1"/>
    <col min="12860" max="12860" customWidth="0" width="3.109375" style="1"/>
    <col min="12861" max="12861" customWidth="0" width="3.109375" style="1"/>
    <col min="12862" max="12862" customWidth="0" width="3.109375" style="1"/>
    <col min="12863" max="12863" customWidth="0" width="3.109375" style="1"/>
    <col min="12864" max="12864" customWidth="0" width="3.109375" style="1"/>
    <col min="12865" max="12865" customWidth="0" width="3.109375" style="1"/>
    <col min="12866" max="12866" customWidth="0" width="3.109375" style="1"/>
    <col min="12867" max="12867" customWidth="0" width="3.109375" style="1"/>
    <col min="12868" max="12868" customWidth="0" width="3.109375" style="1"/>
    <col min="12869" max="12869" customWidth="0" width="3.109375" style="1"/>
    <col min="12870" max="12870" customWidth="0" width="3.109375" style="1"/>
    <col min="12871" max="12871" customWidth="0" width="3.109375" style="1"/>
    <col min="12872" max="12872" customWidth="0" width="3.109375" style="1"/>
    <col min="12873" max="12873" customWidth="0" width="3.109375" style="1"/>
    <col min="12874" max="12874" customWidth="0" width="3.109375" style="1"/>
    <col min="12875" max="12875" customWidth="0" width="3.109375" style="1"/>
    <col min="12876" max="12876" customWidth="0" width="3.109375" style="1"/>
    <col min="12877" max="12877" customWidth="0" width="3.109375" style="1"/>
    <col min="12878" max="12878" customWidth="0" width="3.109375" style="1"/>
    <col min="12879" max="12879" customWidth="0" width="3.109375" style="1"/>
    <col min="12880" max="12880" customWidth="0" width="3.109375" style="1"/>
    <col min="12881" max="12881" customWidth="0" width="3.109375" style="1"/>
    <col min="12882" max="12882" customWidth="0" width="3.109375" style="1"/>
    <col min="12883" max="12883" customWidth="0" width="3.109375" style="1"/>
    <col min="12884" max="12884" customWidth="0" width="3.109375" style="1"/>
    <col min="12885" max="12885" customWidth="0" width="3.109375" style="1"/>
    <col min="12886" max="12886" customWidth="0" width="3.109375" style="1"/>
    <col min="12887" max="12887" customWidth="0" width="3.109375" style="1"/>
    <col min="12888" max="12888" customWidth="0" width="3.109375" style="1"/>
    <col min="12889" max="12889" customWidth="0" width="3.109375" style="1"/>
    <col min="12890" max="12890" customWidth="0" width="3.109375" style="1"/>
    <col min="12891" max="12891" customWidth="0" width="3.109375" style="1"/>
    <col min="12892" max="12892" customWidth="0" width="3.109375" style="1"/>
    <col min="12893" max="12893" customWidth="0" width="3.109375" style="1"/>
    <col min="12894" max="12894" customWidth="0" width="3.109375" style="1"/>
    <col min="12895" max="12895" customWidth="0" width="3.109375" style="1"/>
    <col min="12896" max="12896" customWidth="0" width="3.109375" style="1"/>
    <col min="12897" max="12897" customWidth="0" width="3.109375" style="1"/>
    <col min="12898" max="12898" customWidth="0" width="3.109375" style="1"/>
    <col min="12899" max="12899" customWidth="0" width="3.109375" style="1"/>
    <col min="12900" max="12900" customWidth="0" width="3.109375" style="1"/>
    <col min="12901" max="12901" customWidth="0" width="3.109375" style="1"/>
    <col min="12902" max="12902" customWidth="0" width="3.109375" style="1"/>
    <col min="12903" max="12903" customWidth="0" width="3.109375" style="1"/>
    <col min="12904" max="12904" customWidth="0" width="3.109375" style="1"/>
    <col min="12905" max="12905" customWidth="0" width="3.109375" style="1"/>
    <col min="12906" max="12906" customWidth="0" width="3.109375" style="1"/>
    <col min="12907" max="12907" customWidth="0" width="3.109375" style="1"/>
    <col min="12908" max="12908" customWidth="0" width="3.109375" style="1"/>
    <col min="12909" max="12909" customWidth="0" width="3.109375" style="1"/>
    <col min="12910" max="12910" customWidth="0" width="3.109375" style="1"/>
    <col min="12911" max="12911" customWidth="0" width="3.109375" style="1"/>
    <col min="12912" max="12912" customWidth="0" width="3.109375" style="1"/>
    <col min="12913" max="12913" customWidth="0" width="3.109375" style="1"/>
    <col min="12914" max="12914" customWidth="0" width="3.109375" style="1"/>
    <col min="12915" max="12915" customWidth="0" width="3.109375" style="1"/>
    <col min="12916" max="12916" customWidth="0" width="3.109375" style="1"/>
    <col min="12917" max="12917" customWidth="0" width="3.109375" style="1"/>
    <col min="12918" max="12918" customWidth="0" width="3.109375" style="1"/>
    <col min="12919" max="12919" customWidth="0" width="3.109375" style="1"/>
    <col min="12920" max="12920" customWidth="0" width="3.109375" style="1"/>
    <col min="12921" max="12921" customWidth="0" width="3.109375" style="1"/>
    <col min="12922" max="12922" customWidth="0" width="3.109375" style="1"/>
    <col min="12923" max="12923" customWidth="0" width="3.109375" style="1"/>
    <col min="12924" max="12924" customWidth="0" width="3.109375" style="1"/>
    <col min="12925" max="12925" customWidth="0" width="3.109375" style="1"/>
    <col min="12926" max="12926" customWidth="0" width="3.109375" style="1"/>
    <col min="12927" max="12927" customWidth="0" width="3.109375" style="1"/>
    <col min="12928" max="12928" customWidth="0" width="3.109375" style="1"/>
    <col min="12929" max="12929" customWidth="0" width="3.109375" style="1"/>
    <col min="12930" max="12930" customWidth="0" width="3.109375" style="1"/>
    <col min="12931" max="12931" customWidth="0" width="3.109375" style="1"/>
    <col min="12932" max="12932" customWidth="0" width="3.109375" style="1"/>
    <col min="12933" max="12933" customWidth="0" width="3.109375" style="1"/>
    <col min="12934" max="12934" customWidth="0" width="3.109375" style="1"/>
    <col min="12935" max="12935" customWidth="0" width="3.109375" style="1"/>
    <col min="12936" max="12936" customWidth="0" width="3.109375" style="1"/>
    <col min="12937" max="12937" customWidth="0" width="3.109375" style="1"/>
    <col min="12938" max="12938" customWidth="0" width="3.109375" style="1"/>
    <col min="12939" max="12939" customWidth="0" width="3.109375" style="1"/>
    <col min="12940" max="12940" customWidth="0" width="3.109375" style="1"/>
    <col min="12941" max="12941" customWidth="0" width="3.109375" style="1"/>
    <col min="12942" max="12942" customWidth="0" width="3.109375" style="1"/>
    <col min="12943" max="12943" customWidth="0" width="3.109375" style="1"/>
    <col min="12944" max="12944" customWidth="0" width="3.109375" style="1"/>
    <col min="12945" max="12945" customWidth="0" width="3.109375" style="1"/>
    <col min="12946" max="12946" customWidth="0" width="3.109375" style="1"/>
    <col min="12947" max="12947" customWidth="0" width="3.109375" style="1"/>
    <col min="12948" max="12948" customWidth="0" width="3.109375" style="1"/>
    <col min="12949" max="12949" customWidth="0" width="3.109375" style="1"/>
    <col min="12950" max="12950" customWidth="0" width="3.109375" style="1"/>
    <col min="12951" max="12951" customWidth="0" width="3.109375" style="1"/>
    <col min="12952" max="12952" customWidth="0" width="3.109375" style="1"/>
    <col min="12953" max="12953" customWidth="0" width="3.109375" style="1"/>
    <col min="12954" max="12954" customWidth="0" width="3.109375" style="1"/>
    <col min="12955" max="12955" customWidth="0" width="3.109375" style="1"/>
    <col min="12956" max="12956" customWidth="0" width="3.109375" style="1"/>
    <col min="12957" max="12957" customWidth="0" width="3.109375" style="1"/>
    <col min="12958" max="12958" customWidth="0" width="3.109375" style="1"/>
    <col min="12959" max="12959" customWidth="0" width="3.109375" style="1"/>
    <col min="12960" max="12960" customWidth="0" width="3.109375" style="1"/>
    <col min="12961" max="12961" customWidth="0" width="3.109375" style="1"/>
    <col min="12962" max="12962" customWidth="0" width="3.109375" style="1"/>
    <col min="12963" max="12963" customWidth="0" width="3.109375" style="1"/>
    <col min="12964" max="12964" customWidth="0" width="3.109375" style="1"/>
    <col min="12965" max="12965" customWidth="0" width="3.109375" style="1"/>
    <col min="12966" max="12966" customWidth="0" width="3.109375" style="1"/>
    <col min="12967" max="12967" customWidth="0" width="3.109375" style="1"/>
    <col min="12968" max="12968" customWidth="0" width="3.109375" style="1"/>
    <col min="12969" max="12969" customWidth="0" width="3.109375" style="1"/>
    <col min="12970" max="12970" customWidth="0" width="3.109375" style="1"/>
    <col min="12971" max="12971" customWidth="0" width="3.109375" style="1"/>
    <col min="12972" max="12972" customWidth="0" width="3.109375" style="1"/>
    <col min="12973" max="12973" customWidth="0" width="3.109375" style="1"/>
    <col min="12974" max="12974" customWidth="0" width="3.109375" style="1"/>
    <col min="12975" max="12975" customWidth="0" width="3.109375" style="1"/>
    <col min="12976" max="12976" customWidth="0" width="3.109375" style="1"/>
    <col min="12977" max="12977" customWidth="0" width="3.109375" style="1"/>
    <col min="12978" max="12978" customWidth="0" width="3.109375" style="1"/>
    <col min="12979" max="12979" customWidth="0" width="3.109375" style="1"/>
    <col min="12980" max="12980" customWidth="0" width="3.109375" style="1"/>
    <col min="12981" max="12981" customWidth="0" width="3.109375" style="1"/>
    <col min="12982" max="12982" customWidth="0" width="3.109375" style="1"/>
    <col min="12983" max="12983" customWidth="0" width="3.109375" style="1"/>
    <col min="12984" max="12984" customWidth="0" width="3.109375" style="1"/>
    <col min="12985" max="12985" customWidth="0" width="3.109375" style="1"/>
    <col min="12986" max="12986" customWidth="0" width="3.109375" style="1"/>
    <col min="12987" max="12987" customWidth="0" width="3.109375" style="1"/>
    <col min="12988" max="12988" customWidth="0" width="3.109375" style="1"/>
    <col min="12989" max="12989" customWidth="0" width="3.109375" style="1"/>
    <col min="12990" max="12990" customWidth="0" width="3.109375" style="1"/>
    <col min="12991" max="12991" customWidth="0" width="3.109375" style="1"/>
    <col min="12992" max="12992" customWidth="0" width="3.109375" style="1"/>
    <col min="12993" max="12993" customWidth="0" width="3.109375" style="1"/>
    <col min="12994" max="12994" customWidth="0" width="3.109375" style="1"/>
    <col min="12995" max="12995" customWidth="0" width="3.109375" style="1"/>
    <col min="12996" max="12996" customWidth="0" width="3.109375" style="1"/>
    <col min="12997" max="12997" customWidth="0" width="3.109375" style="1"/>
    <col min="12998" max="12998" customWidth="0" width="3.109375" style="1"/>
    <col min="12999" max="12999" customWidth="0" width="3.109375" style="1"/>
    <col min="13000" max="13000" customWidth="0" width="3.109375" style="1"/>
    <col min="13001" max="13001" customWidth="0" width="3.109375" style="1"/>
    <col min="13002" max="13002" customWidth="0" width="3.109375" style="1"/>
    <col min="13003" max="13003" customWidth="0" width="3.109375" style="1"/>
    <col min="13004" max="13004" customWidth="0" width="3.109375" style="1"/>
    <col min="13005" max="13005" customWidth="0" width="3.109375" style="1"/>
    <col min="13006" max="13006" customWidth="0" width="3.109375" style="1"/>
    <col min="13007" max="13007" customWidth="0" width="3.109375" style="1"/>
    <col min="13008" max="13008" customWidth="0" width="3.109375" style="1"/>
    <col min="13009" max="13009" customWidth="0" width="3.109375" style="1"/>
    <col min="13010" max="13010" customWidth="0" width="3.109375" style="1"/>
    <col min="13011" max="13011" customWidth="0" width="3.109375" style="1"/>
    <col min="13012" max="13012" customWidth="0" width="3.109375" style="1"/>
    <col min="13013" max="13013" customWidth="0" width="3.109375" style="1"/>
    <col min="13014" max="13014" customWidth="0" width="3.109375" style="1"/>
    <col min="13015" max="13015" customWidth="0" width="3.109375" style="1"/>
    <col min="13016" max="13016" customWidth="0" width="3.109375" style="1"/>
    <col min="13017" max="13017" customWidth="0" width="3.109375" style="1"/>
    <col min="13018" max="13018" customWidth="0" width="3.109375" style="1"/>
    <col min="13019" max="13019" customWidth="0" width="3.109375" style="1"/>
    <col min="13020" max="13020" customWidth="0" width="3.109375" style="1"/>
    <col min="13021" max="13021" customWidth="0" width="3.109375" style="1"/>
    <col min="13022" max="13022" customWidth="0" width="3.109375" style="1"/>
    <col min="13023" max="13023" customWidth="0" width="3.109375" style="1"/>
    <col min="13024" max="13024" customWidth="0" width="3.109375" style="1"/>
    <col min="13025" max="13025" customWidth="0" width="3.109375" style="1"/>
    <col min="13026" max="13026" customWidth="0" width="3.109375" style="1"/>
    <col min="13027" max="13027" customWidth="0" width="3.109375" style="1"/>
    <col min="13028" max="13028" customWidth="0" width="3.109375" style="1"/>
    <col min="13029" max="13029" customWidth="0" width="3.109375" style="1"/>
    <col min="13030" max="13030" customWidth="0" width="3.109375" style="1"/>
    <col min="13031" max="13031" customWidth="0" width="3.109375" style="1"/>
    <col min="13032" max="13032" customWidth="0" width="3.109375" style="1"/>
    <col min="13033" max="13033" customWidth="0" width="3.109375" style="1"/>
    <col min="13034" max="13034" customWidth="0" width="3.109375" style="1"/>
    <col min="13035" max="13035" customWidth="0" width="3.109375" style="1"/>
    <col min="13036" max="13036" customWidth="0" width="3.109375" style="1"/>
    <col min="13037" max="13037" customWidth="0" width="3.109375" style="1"/>
    <col min="13038" max="13038" customWidth="0" width="3.109375" style="1"/>
    <col min="13039" max="13039" customWidth="0" width="3.109375" style="1"/>
    <col min="13040" max="13040" customWidth="0" width="3.109375" style="1"/>
    <col min="13041" max="13041" customWidth="0" width="3.109375" style="1"/>
    <col min="13042" max="13042" customWidth="0" width="3.109375" style="1"/>
    <col min="13043" max="13043" customWidth="0" width="3.109375" style="1"/>
    <col min="13044" max="13044" customWidth="0" width="3.109375" style="1"/>
    <col min="13045" max="13045" customWidth="0" width="3.109375" style="1"/>
    <col min="13046" max="13046" customWidth="0" width="3.109375" style="1"/>
    <col min="13047" max="13047" customWidth="0" width="3.109375" style="1"/>
    <col min="13048" max="13048" customWidth="0" width="3.109375" style="1"/>
    <col min="13049" max="13049" customWidth="0" width="3.109375" style="1"/>
    <col min="13050" max="13050" customWidth="0" width="3.109375" style="1"/>
    <col min="13051" max="13051" customWidth="0" width="3.109375" style="1"/>
    <col min="13052" max="13052" customWidth="0" width="3.109375" style="1"/>
    <col min="13053" max="13053" customWidth="0" width="3.109375" style="1"/>
    <col min="13054" max="13054" customWidth="0" width="3.109375" style="1"/>
    <col min="13055" max="13055" customWidth="0" width="3.109375" style="1"/>
    <col min="13056" max="13056" customWidth="0" width="3.109375" style="1"/>
    <col min="13057" max="13057" customWidth="0" width="3.109375" style="1"/>
    <col min="13058" max="13058" customWidth="0" width="3.109375" style="1"/>
    <col min="13059" max="13059" customWidth="0" width="3.109375" style="1"/>
    <col min="13060" max="13060" customWidth="0" width="3.109375" style="1"/>
    <col min="13061" max="13061" customWidth="0" width="3.109375" style="1"/>
    <col min="13062" max="13062" customWidth="0" width="3.109375" style="1"/>
    <col min="13063" max="13063" customWidth="0" width="3.109375" style="1"/>
    <col min="13064" max="13064" customWidth="0" width="3.109375" style="1"/>
    <col min="13065" max="13065" customWidth="0" width="3.109375" style="1"/>
    <col min="13066" max="13066" customWidth="0" width="3.109375" style="1"/>
    <col min="13067" max="13067" customWidth="0" width="3.109375" style="1"/>
    <col min="13068" max="13068" customWidth="0" width="3.109375" style="1"/>
    <col min="13069" max="13069" customWidth="0" width="3.109375" style="1"/>
    <col min="13070" max="13070" customWidth="0" width="3.109375" style="1"/>
    <col min="13071" max="13071" customWidth="0" width="3.109375" style="1"/>
    <col min="13072" max="13072" customWidth="0" width="3.109375" style="1"/>
    <col min="13073" max="13073" customWidth="0" width="3.109375" style="1"/>
    <col min="13074" max="13074" customWidth="0" width="3.109375" style="1"/>
    <col min="13075" max="13075" customWidth="0" width="3.109375" style="1"/>
    <col min="13076" max="13076" customWidth="0" width="3.109375" style="1"/>
    <col min="13077" max="13077" customWidth="0" width="3.109375" style="1"/>
    <col min="13078" max="13078" customWidth="0" width="3.109375" style="1"/>
    <col min="13079" max="13079" customWidth="0" width="3.109375" style="1"/>
    <col min="13080" max="13080" customWidth="0" width="3.109375" style="1"/>
    <col min="13081" max="13081" customWidth="0" width="3.109375" style="1"/>
    <col min="13082" max="13082" customWidth="0" width="3.109375" style="1"/>
    <col min="13083" max="13083" customWidth="0" width="3.109375" style="1"/>
    <col min="13084" max="13084" customWidth="0" width="3.109375" style="1"/>
    <col min="13085" max="13085" customWidth="0" width="3.109375" style="1"/>
    <col min="13086" max="13086" customWidth="0" width="3.109375" style="1"/>
    <col min="13087" max="13087" customWidth="0" width="3.109375" style="1"/>
    <col min="13088" max="13088" customWidth="0" width="3.109375" style="1"/>
    <col min="13089" max="13089" customWidth="0" width="3.109375" style="1"/>
    <col min="13090" max="13090" customWidth="0" width="3.109375" style="1"/>
    <col min="13091" max="13091" customWidth="0" width="3.109375" style="1"/>
    <col min="13092" max="13092" customWidth="0" width="3.109375" style="1"/>
    <col min="13093" max="13093" customWidth="0" width="3.109375" style="1"/>
    <col min="13094" max="13094" customWidth="0" width="3.109375" style="1"/>
    <col min="13095" max="13095" customWidth="0" width="3.109375" style="1"/>
    <col min="13096" max="13096" customWidth="0" width="3.109375" style="1"/>
    <col min="13097" max="13097" customWidth="0" width="3.109375" style="1"/>
    <col min="13098" max="13098" customWidth="0" width="3.109375" style="1"/>
    <col min="13099" max="13099" customWidth="0" width="3.109375" style="1"/>
    <col min="13100" max="13100" customWidth="0" width="3.109375" style="1"/>
    <col min="13101" max="13101" customWidth="0" width="3.109375" style="1"/>
    <col min="13102" max="13102" customWidth="0" width="3.109375" style="1"/>
    <col min="13103" max="13103" customWidth="0" width="3.109375" style="1"/>
    <col min="13104" max="13104" customWidth="0" width="3.109375" style="1"/>
    <col min="13105" max="13105" customWidth="0" width="3.109375" style="1"/>
    <col min="13106" max="13106" customWidth="0" width="3.109375" style="1"/>
    <col min="13107" max="13107" customWidth="0" width="3.109375" style="1"/>
    <col min="13108" max="13108" customWidth="0" width="3.109375" style="1"/>
    <col min="13109" max="13109" customWidth="0" width="3.109375" style="1"/>
    <col min="13110" max="13110" customWidth="0" width="3.109375" style="1"/>
    <col min="13111" max="13111" customWidth="0" width="3.109375" style="1"/>
    <col min="13112" max="13112" customWidth="0" width="3.109375" style="1"/>
    <col min="13113" max="13113" customWidth="0" width="3.109375" style="1"/>
    <col min="13114" max="13114" customWidth="0" width="3.109375" style="1"/>
    <col min="13115" max="13115" customWidth="0" width="3.109375" style="1"/>
    <col min="13116" max="13116" customWidth="0" width="3.109375" style="1"/>
    <col min="13117" max="13117" customWidth="0" width="3.109375" style="1"/>
    <col min="13118" max="13118" customWidth="0" width="3.109375" style="1"/>
    <col min="13119" max="13119" customWidth="0" width="3.109375" style="1"/>
    <col min="13120" max="13120" customWidth="0" width="3.109375" style="1"/>
    <col min="13121" max="13121" customWidth="0" width="3.109375" style="1"/>
    <col min="13122" max="13122" customWidth="0" width="3.109375" style="1"/>
    <col min="13123" max="13123" customWidth="0" width="3.109375" style="1"/>
    <col min="13124" max="13124" customWidth="0" width="3.109375" style="1"/>
    <col min="13125" max="13125" customWidth="0" width="3.109375" style="1"/>
    <col min="13126" max="13126" customWidth="0" width="3.109375" style="1"/>
    <col min="13127" max="13127" customWidth="0" width="3.109375" style="1"/>
    <col min="13128" max="13128" customWidth="0" width="3.109375" style="1"/>
    <col min="13129" max="13129" customWidth="0" width="3.109375" style="1"/>
    <col min="13130" max="13130" customWidth="0" width="3.109375" style="1"/>
    <col min="13131" max="13131" customWidth="0" width="3.109375" style="1"/>
    <col min="13132" max="13132" customWidth="0" width="3.109375" style="1"/>
    <col min="13133" max="13133" customWidth="0" width="3.109375" style="1"/>
    <col min="13134" max="13134" customWidth="0" width="3.109375" style="1"/>
    <col min="13135" max="13135" customWidth="0" width="3.109375" style="1"/>
    <col min="13136" max="13136" customWidth="0" width="3.109375" style="1"/>
    <col min="13137" max="13137" customWidth="0" width="3.109375" style="1"/>
    <col min="13138" max="13138" customWidth="0" width="3.109375" style="1"/>
    <col min="13139" max="13139" customWidth="0" width="3.109375" style="1"/>
    <col min="13140" max="13140" customWidth="0" width="3.109375" style="1"/>
    <col min="13141" max="13141" customWidth="0" width="3.109375" style="1"/>
    <col min="13142" max="13142" customWidth="0" width="3.109375" style="1"/>
    <col min="13143" max="13143" customWidth="0" width="3.109375" style="1"/>
    <col min="13144" max="13144" customWidth="0" width="3.109375" style="1"/>
    <col min="13145" max="13145" customWidth="0" width="3.109375" style="1"/>
    <col min="13146" max="13146" customWidth="0" width="3.109375" style="1"/>
    <col min="13147" max="13147" customWidth="0" width="3.109375" style="1"/>
    <col min="13148" max="13148" customWidth="0" width="3.109375" style="1"/>
    <col min="13149" max="13149" customWidth="0" width="3.109375" style="1"/>
    <col min="13150" max="13150" customWidth="0" width="3.109375" style="1"/>
    <col min="13151" max="13151" customWidth="0" width="3.109375" style="1"/>
    <col min="13152" max="13152" customWidth="0" width="3.109375" style="1"/>
    <col min="13153" max="13153" customWidth="0" width="3.109375" style="1"/>
    <col min="13154" max="13154" customWidth="0" width="3.109375" style="1"/>
    <col min="13155" max="13155" customWidth="0" width="3.109375" style="1"/>
    <col min="13156" max="13156" customWidth="0" width="3.109375" style="1"/>
    <col min="13157" max="13157" customWidth="0" width="3.109375" style="1"/>
    <col min="13158" max="13158" customWidth="0" width="3.109375" style="1"/>
    <col min="13159" max="13159" customWidth="0" width="3.109375" style="1"/>
    <col min="13160" max="13160" customWidth="0" width="3.109375" style="1"/>
    <col min="13161" max="13161" customWidth="0" width="3.109375" style="1"/>
    <col min="13162" max="13162" customWidth="0" width="3.109375" style="1"/>
    <col min="13163" max="13163" customWidth="0" width="3.109375" style="1"/>
    <col min="13164" max="13164" customWidth="0" width="3.109375" style="1"/>
    <col min="13165" max="13165" customWidth="0" width="3.109375" style="1"/>
    <col min="13166" max="13166" customWidth="0" width="3.109375" style="1"/>
    <col min="13167" max="13167" customWidth="0" width="3.109375" style="1"/>
    <col min="13168" max="13168" customWidth="0" width="3.109375" style="1"/>
    <col min="13169" max="13169" customWidth="0" width="3.109375" style="1"/>
    <col min="13170" max="13170" customWidth="0" width="3.109375" style="1"/>
    <col min="13171" max="13171" customWidth="0" width="3.109375" style="1"/>
    <col min="13172" max="13172" customWidth="0" width="3.109375" style="1"/>
    <col min="13173" max="13173" customWidth="0" width="3.109375" style="1"/>
    <col min="13174" max="13174" customWidth="0" width="3.109375" style="1"/>
    <col min="13175" max="13175" customWidth="0" width="3.109375" style="1"/>
    <col min="13176" max="13176" customWidth="0" width="3.109375" style="1"/>
    <col min="13177" max="13177" customWidth="0" width="3.109375" style="1"/>
    <col min="13178" max="13178" customWidth="0" width="3.109375" style="1"/>
    <col min="13179" max="13179" customWidth="0" width="3.109375" style="1"/>
    <col min="13180" max="13180" customWidth="0" width="3.109375" style="1"/>
    <col min="13181" max="13181" customWidth="0" width="3.109375" style="1"/>
    <col min="13182" max="13182" customWidth="0" width="3.109375" style="1"/>
    <col min="13183" max="13183" customWidth="0" width="3.109375" style="1"/>
    <col min="13184" max="13184" customWidth="0" width="3.109375" style="1"/>
    <col min="13185" max="13185" customWidth="0" width="3.109375" style="1"/>
    <col min="13186" max="13186" customWidth="0" width="3.109375" style="1"/>
    <col min="13187" max="13187" customWidth="0" width="3.109375" style="1"/>
    <col min="13188" max="13188" customWidth="0" width="3.109375" style="1"/>
    <col min="13189" max="13189" customWidth="0" width="3.109375" style="1"/>
    <col min="13190" max="13190" customWidth="0" width="3.109375" style="1"/>
    <col min="13191" max="13191" customWidth="0" width="3.109375" style="1"/>
    <col min="13192" max="13192" customWidth="0" width="3.109375" style="1"/>
    <col min="13193" max="13193" customWidth="0" width="3.109375" style="1"/>
    <col min="13194" max="13194" customWidth="0" width="3.109375" style="1"/>
    <col min="13195" max="13195" customWidth="0" width="3.109375" style="1"/>
    <col min="13196" max="13196" customWidth="0" width="3.109375" style="1"/>
    <col min="13197" max="13197" customWidth="0" width="3.109375" style="1"/>
    <col min="13198" max="13198" customWidth="0" width="3.109375" style="1"/>
    <col min="13199" max="13199" customWidth="0" width="3.109375" style="1"/>
    <col min="13200" max="13200" customWidth="0" width="3.109375" style="1"/>
    <col min="13201" max="13201" customWidth="0" width="3.109375" style="1"/>
    <col min="13202" max="13202" customWidth="0" width="3.109375" style="1"/>
    <col min="13203" max="13203" customWidth="0" width="3.109375" style="1"/>
    <col min="13204" max="13204" customWidth="0" width="3.109375" style="1"/>
    <col min="13205" max="13205" customWidth="0" width="3.109375" style="1"/>
    <col min="13206" max="13206" customWidth="0" width="3.109375" style="1"/>
    <col min="13207" max="13207" customWidth="0" width="3.109375" style="1"/>
    <col min="13208" max="13208" customWidth="0" width="3.109375" style="1"/>
    <col min="13209" max="13209" customWidth="0" width="3.109375" style="1"/>
    <col min="13210" max="13210" customWidth="0" width="3.109375" style="1"/>
    <col min="13211" max="13211" customWidth="0" width="3.109375" style="1"/>
    <col min="13212" max="13212" customWidth="0" width="3.109375" style="1"/>
    <col min="13213" max="13213" customWidth="0" width="3.109375" style="1"/>
    <col min="13214" max="13214" customWidth="0" width="3.109375" style="1"/>
    <col min="13215" max="13215" customWidth="0" width="3.109375" style="1"/>
    <col min="13216" max="13216" customWidth="0" width="3.109375" style="1"/>
    <col min="13217" max="13217" customWidth="0" width="3.109375" style="1"/>
    <col min="13218" max="13218" customWidth="0" width="3.109375" style="1"/>
    <col min="13219" max="13219" customWidth="0" width="3.109375" style="1"/>
    <col min="13220" max="13220" customWidth="0" width="3.109375" style="1"/>
    <col min="13221" max="13221" customWidth="0" width="3.109375" style="1"/>
    <col min="13222" max="13222" customWidth="0" width="3.109375" style="1"/>
    <col min="13223" max="13223" customWidth="0" width="3.109375" style="1"/>
    <col min="13224" max="13224" customWidth="0" width="3.109375" style="1"/>
    <col min="13225" max="13225" customWidth="0" width="3.109375" style="1"/>
    <col min="13226" max="13226" customWidth="0" width="3.109375" style="1"/>
    <col min="13227" max="13227" customWidth="0" width="3.109375" style="1"/>
    <col min="13228" max="13228" customWidth="0" width="3.109375" style="1"/>
    <col min="13229" max="13229" customWidth="0" width="3.109375" style="1"/>
    <col min="13230" max="13230" customWidth="0" width="3.109375" style="1"/>
    <col min="13231" max="13231" customWidth="0" width="3.109375" style="1"/>
    <col min="13232" max="13232" customWidth="0" width="3.109375" style="1"/>
    <col min="13233" max="13233" customWidth="0" width="3.109375" style="1"/>
    <col min="13234" max="13234" customWidth="0" width="3.109375" style="1"/>
    <col min="13235" max="13235" customWidth="0" width="3.109375" style="1"/>
    <col min="13236" max="13236" customWidth="0" width="3.109375" style="1"/>
    <col min="13237" max="13237" customWidth="0" width="3.109375" style="1"/>
    <col min="13238" max="13238" customWidth="0" width="3.109375" style="1"/>
    <col min="13239" max="13239" customWidth="0" width="3.109375" style="1"/>
    <col min="13240" max="13240" customWidth="0" width="3.109375" style="1"/>
    <col min="13241" max="13241" customWidth="0" width="3.109375" style="1"/>
    <col min="13242" max="13242" customWidth="0" width="3.109375" style="1"/>
    <col min="13243" max="13243" customWidth="0" width="3.109375" style="1"/>
    <col min="13244" max="13244" customWidth="0" width="3.109375" style="1"/>
    <col min="13245" max="13245" customWidth="0" width="3.109375" style="1"/>
    <col min="13246" max="13246" customWidth="0" width="3.109375" style="1"/>
    <col min="13247" max="13247" customWidth="0" width="3.109375" style="1"/>
    <col min="13248" max="13248" customWidth="0" width="3.109375" style="1"/>
    <col min="13249" max="13249" customWidth="0" width="3.109375" style="1"/>
    <col min="13250" max="13250" customWidth="0" width="3.109375" style="1"/>
    <col min="13251" max="13251" customWidth="0" width="3.109375" style="1"/>
    <col min="13252" max="13252" customWidth="0" width="3.109375" style="1"/>
    <col min="13253" max="13253" customWidth="0" width="3.109375" style="1"/>
    <col min="13254" max="13254" customWidth="0" width="3.109375" style="1"/>
    <col min="13255" max="13255" customWidth="0" width="3.109375" style="1"/>
    <col min="13256" max="13256" customWidth="0" width="3.109375" style="1"/>
    <col min="13257" max="13257" customWidth="0" width="3.109375" style="1"/>
    <col min="13258" max="13258" customWidth="0" width="3.109375" style="1"/>
    <col min="13259" max="13259" customWidth="0" width="3.109375" style="1"/>
    <col min="13260" max="13260" customWidth="0" width="3.109375" style="1"/>
    <col min="13261" max="13261" customWidth="0" width="3.109375" style="1"/>
    <col min="13262" max="13262" customWidth="0" width="3.109375" style="1"/>
    <col min="13263" max="13263" customWidth="0" width="3.109375" style="1"/>
    <col min="13264" max="13264" customWidth="0" width="3.109375" style="1"/>
    <col min="13265" max="13265" customWidth="0" width="3.109375" style="1"/>
    <col min="13266" max="13266" customWidth="0" width="3.109375" style="1"/>
    <col min="13267" max="13267" customWidth="0" width="3.109375" style="1"/>
    <col min="13268" max="13268" customWidth="0" width="3.109375" style="1"/>
    <col min="13269" max="13269" customWidth="0" width="3.109375" style="1"/>
    <col min="13270" max="13270" customWidth="0" width="3.109375" style="1"/>
    <col min="13271" max="13271" customWidth="0" width="3.109375" style="1"/>
    <col min="13272" max="13272" customWidth="0" width="3.109375" style="1"/>
    <col min="13273" max="13273" customWidth="0" width="3.109375" style="1"/>
    <col min="13274" max="13274" customWidth="0" width="3.109375" style="1"/>
    <col min="13275" max="13275" customWidth="0" width="3.109375" style="1"/>
    <col min="13276" max="13276" customWidth="0" width="3.109375" style="1"/>
    <col min="13277" max="13277" customWidth="0" width="3.109375" style="1"/>
    <col min="13278" max="13278" customWidth="0" width="3.109375" style="1"/>
    <col min="13279" max="13279" customWidth="0" width="3.109375" style="1"/>
    <col min="13280" max="13280" customWidth="0" width="3.109375" style="1"/>
    <col min="13281" max="13281" customWidth="0" width="3.109375" style="1"/>
    <col min="13282" max="13282" customWidth="0" width="3.109375" style="1"/>
    <col min="13283" max="13283" customWidth="0" width="3.109375" style="1"/>
    <col min="13284" max="13284" customWidth="0" width="3.109375" style="1"/>
    <col min="13285" max="13285" customWidth="0" width="3.109375" style="1"/>
    <col min="13286" max="13286" customWidth="0" width="3.109375" style="1"/>
    <col min="13287" max="13287" customWidth="0" width="3.109375" style="1"/>
    <col min="13288" max="13288" customWidth="0" width="3.109375" style="1"/>
    <col min="13289" max="13289" customWidth="0" width="3.109375" style="1"/>
    <col min="13290" max="13290" customWidth="0" width="3.109375" style="1"/>
    <col min="13291" max="13291" customWidth="0" width="3.109375" style="1"/>
    <col min="13292" max="13292" customWidth="0" width="3.109375" style="1"/>
    <col min="13293" max="13293" customWidth="0" width="3.109375" style="1"/>
    <col min="13294" max="13294" customWidth="0" width="3.109375" style="1"/>
    <col min="13295" max="13295" customWidth="0" width="3.109375" style="1"/>
    <col min="13296" max="13296" customWidth="0" width="3.109375" style="1"/>
    <col min="13297" max="13297" customWidth="0" width="3.109375" style="1"/>
    <col min="13298" max="13298" customWidth="0" width="3.109375" style="1"/>
    <col min="13299" max="13299" customWidth="0" width="3.109375" style="1"/>
    <col min="13300" max="13300" customWidth="0" width="3.109375" style="1"/>
    <col min="13301" max="13301" customWidth="0" width="3.109375" style="1"/>
    <col min="13302" max="13302" customWidth="0" width="3.109375" style="1"/>
    <col min="13303" max="13303" customWidth="0" width="3.109375" style="1"/>
    <col min="13304" max="13304" customWidth="0" width="3.109375" style="1"/>
    <col min="13305" max="13305" customWidth="0" width="3.109375" style="1"/>
    <col min="13306" max="13306" customWidth="0" width="3.109375" style="1"/>
    <col min="13307" max="13307" customWidth="0" width="3.109375" style="1"/>
    <col min="13308" max="13308" customWidth="0" width="3.109375" style="1"/>
    <col min="13309" max="13309" customWidth="0" width="3.109375" style="1"/>
    <col min="13310" max="13310" customWidth="0" width="3.109375" style="1"/>
    <col min="13311" max="13311" customWidth="0" width="3.109375" style="1"/>
    <col min="13312" max="13312" customWidth="0" width="3.109375" style="1"/>
    <col min="13313" max="13313" customWidth="0" width="3.109375" style="1"/>
    <col min="13314" max="13314" customWidth="0" width="3.109375" style="1"/>
    <col min="13315" max="13315" customWidth="0" width="3.109375" style="1"/>
    <col min="13316" max="13316" customWidth="0" width="3.109375" style="1"/>
    <col min="13317" max="13317" customWidth="0" width="3.109375" style="1"/>
    <col min="13318" max="13318" customWidth="0" width="3.109375" style="1"/>
    <col min="13319" max="13319" customWidth="0" width="3.109375" style="1"/>
    <col min="13320" max="13320" customWidth="0" width="3.109375" style="1"/>
    <col min="13321" max="13321" customWidth="0" width="3.109375" style="1"/>
    <col min="13322" max="13322" customWidth="0" width="3.109375" style="1"/>
    <col min="13323" max="13323" customWidth="0" width="3.109375" style="1"/>
    <col min="13324" max="13324" customWidth="0" width="3.109375" style="1"/>
    <col min="13325" max="13325" customWidth="0" width="3.109375" style="1"/>
    <col min="13326" max="13326" customWidth="0" width="3.109375" style="1"/>
    <col min="13327" max="13327" customWidth="0" width="3.109375" style="1"/>
    <col min="13328" max="13328" customWidth="0" width="3.109375" style="1"/>
    <col min="13329" max="13329" customWidth="0" width="3.109375" style="1"/>
    <col min="13330" max="13330" customWidth="0" width="3.109375" style="1"/>
    <col min="13331" max="13331" customWidth="0" width="3.109375" style="1"/>
    <col min="13332" max="13332" customWidth="0" width="3.109375" style="1"/>
    <col min="13333" max="13333" customWidth="0" width="3.109375" style="1"/>
    <col min="13334" max="13334" customWidth="0" width="3.109375" style="1"/>
    <col min="13335" max="13335" customWidth="0" width="3.109375" style="1"/>
    <col min="13336" max="13336" customWidth="0" width="3.109375" style="1"/>
    <col min="13337" max="13337" customWidth="0" width="3.109375" style="1"/>
    <col min="13338" max="13338" customWidth="0" width="3.109375" style="1"/>
    <col min="13339" max="13339" customWidth="0" width="3.109375" style="1"/>
    <col min="13340" max="13340" customWidth="0" width="3.109375" style="1"/>
    <col min="13341" max="13341" customWidth="0" width="3.109375" style="1"/>
    <col min="13342" max="13342" customWidth="0" width="3.109375" style="1"/>
    <col min="13343" max="13343" customWidth="0" width="3.109375" style="1"/>
    <col min="13344" max="13344" customWidth="0" width="3.109375" style="1"/>
    <col min="13345" max="13345" customWidth="0" width="3.109375" style="1"/>
    <col min="13346" max="13346" customWidth="0" width="3.109375" style="1"/>
    <col min="13347" max="13347" customWidth="0" width="3.109375" style="1"/>
    <col min="13348" max="13348" customWidth="0" width="3.109375" style="1"/>
    <col min="13349" max="13349" customWidth="0" width="3.109375" style="1"/>
    <col min="13350" max="13350" customWidth="0" width="3.109375" style="1"/>
    <col min="13351" max="13351" customWidth="0" width="3.109375" style="1"/>
    <col min="13352" max="13352" customWidth="0" width="3.109375" style="1"/>
    <col min="13353" max="13353" customWidth="0" width="3.109375" style="1"/>
    <col min="13354" max="13354" customWidth="0" width="3.109375" style="1"/>
    <col min="13355" max="13355" customWidth="0" width="3.109375" style="1"/>
    <col min="13356" max="13356" customWidth="0" width="3.109375" style="1"/>
    <col min="13357" max="13357" customWidth="0" width="3.109375" style="1"/>
    <col min="13358" max="13358" customWidth="0" width="3.109375" style="1"/>
    <col min="13359" max="13359" customWidth="0" width="3.109375" style="1"/>
    <col min="13360" max="13360" customWidth="0" width="3.109375" style="1"/>
    <col min="13361" max="13361" customWidth="0" width="3.109375" style="1"/>
    <col min="13362" max="13362" customWidth="0" width="3.109375" style="1"/>
    <col min="13363" max="13363" customWidth="0" width="3.109375" style="1"/>
    <col min="13364" max="13364" customWidth="0" width="3.109375" style="1"/>
    <col min="13365" max="13365" customWidth="0" width="3.109375" style="1"/>
    <col min="13366" max="13366" customWidth="0" width="3.109375" style="1"/>
    <col min="13367" max="13367" customWidth="0" width="3.109375" style="1"/>
    <col min="13368" max="13368" customWidth="0" width="3.109375" style="1"/>
    <col min="13369" max="13369" customWidth="0" width="3.109375" style="1"/>
    <col min="13370" max="13370" customWidth="0" width="3.109375" style="1"/>
    <col min="13371" max="13371" customWidth="0" width="3.109375" style="1"/>
    <col min="13372" max="13372" customWidth="0" width="3.109375" style="1"/>
    <col min="13373" max="13373" customWidth="0" width="3.109375" style="1"/>
    <col min="13374" max="13374" customWidth="0" width="3.109375" style="1"/>
    <col min="13375" max="13375" customWidth="0" width="3.109375" style="1"/>
    <col min="13376" max="13376" customWidth="0" width="3.109375" style="1"/>
    <col min="13377" max="13377" customWidth="0" width="3.109375" style="1"/>
    <col min="13378" max="13378" customWidth="0" width="3.109375" style="1"/>
    <col min="13379" max="13379" customWidth="0" width="3.109375" style="1"/>
    <col min="13380" max="13380" customWidth="0" width="3.109375" style="1"/>
    <col min="13381" max="13381" customWidth="0" width="3.109375" style="1"/>
    <col min="13382" max="13382" customWidth="0" width="3.109375" style="1"/>
    <col min="13383" max="13383" customWidth="0" width="3.109375" style="1"/>
    <col min="13384" max="13384" customWidth="0" width="3.109375" style="1"/>
    <col min="13385" max="13385" customWidth="0" width="3.109375" style="1"/>
    <col min="13386" max="13386" customWidth="0" width="3.109375" style="1"/>
    <col min="13387" max="13387" customWidth="0" width="3.109375" style="1"/>
    <col min="13388" max="13388" customWidth="0" width="3.109375" style="1"/>
    <col min="13389" max="13389" customWidth="0" width="3.109375" style="1"/>
    <col min="13390" max="13390" customWidth="0" width="3.109375" style="1"/>
    <col min="13391" max="13391" customWidth="0" width="3.109375" style="1"/>
    <col min="13392" max="13392" customWidth="0" width="3.109375" style="1"/>
    <col min="13393" max="13393" customWidth="0" width="3.109375" style="1"/>
    <col min="13394" max="13394" customWidth="0" width="3.109375" style="1"/>
    <col min="13395" max="13395" customWidth="0" width="3.109375" style="1"/>
    <col min="13396" max="13396" customWidth="0" width="3.109375" style="1"/>
    <col min="13397" max="13397" customWidth="0" width="3.109375" style="1"/>
    <col min="13398" max="13398" customWidth="0" width="3.109375" style="1"/>
    <col min="13399" max="13399" customWidth="0" width="3.109375" style="1"/>
    <col min="13400" max="13400" customWidth="0" width="3.109375" style="1"/>
    <col min="13401" max="13401" customWidth="0" width="3.109375" style="1"/>
    <col min="13402" max="13402" customWidth="0" width="3.109375" style="1"/>
    <col min="13403" max="13403" customWidth="0" width="3.109375" style="1"/>
    <col min="13404" max="13404" customWidth="0" width="3.109375" style="1"/>
    <col min="13405" max="13405" customWidth="0" width="3.109375" style="1"/>
    <col min="13406" max="13406" customWidth="0" width="3.109375" style="1"/>
    <col min="13407" max="13407" customWidth="0" width="3.109375" style="1"/>
    <col min="13408" max="13408" customWidth="0" width="3.109375" style="1"/>
    <col min="13409" max="13409" customWidth="0" width="3.109375" style="1"/>
    <col min="13410" max="13410" customWidth="0" width="3.109375" style="1"/>
    <col min="13411" max="13411" customWidth="0" width="3.109375" style="1"/>
    <col min="13412" max="13412" customWidth="0" width="3.109375" style="1"/>
    <col min="13413" max="13413" customWidth="0" width="3.109375" style="1"/>
    <col min="13414" max="13414" customWidth="0" width="3.109375" style="1"/>
    <col min="13415" max="13415" customWidth="0" width="3.109375" style="1"/>
    <col min="13416" max="13416" customWidth="0" width="3.109375" style="1"/>
    <col min="13417" max="13417" customWidth="0" width="3.109375" style="1"/>
    <col min="13418" max="13418" customWidth="0" width="3.109375" style="1"/>
    <col min="13419" max="13419" customWidth="0" width="3.109375" style="1"/>
    <col min="13420" max="13420" customWidth="0" width="3.109375" style="1"/>
    <col min="13421" max="13421" customWidth="0" width="3.109375" style="1"/>
    <col min="13422" max="13422" customWidth="0" width="3.109375" style="1"/>
    <col min="13423" max="13423" customWidth="0" width="3.109375" style="1"/>
    <col min="13424" max="13424" customWidth="0" width="3.109375" style="1"/>
    <col min="13425" max="13425" customWidth="0" width="3.109375" style="1"/>
    <col min="13426" max="13426" customWidth="0" width="3.109375" style="1"/>
    <col min="13427" max="13427" customWidth="0" width="3.109375" style="1"/>
    <col min="13428" max="13428" customWidth="0" width="3.109375" style="1"/>
    <col min="13429" max="13429" customWidth="0" width="3.109375" style="1"/>
    <col min="13430" max="13430" customWidth="0" width="3.109375" style="1"/>
    <col min="13431" max="13431" customWidth="0" width="3.109375" style="1"/>
    <col min="13432" max="13432" customWidth="0" width="3.109375" style="1"/>
    <col min="13433" max="13433" customWidth="0" width="3.109375" style="1"/>
    <col min="13434" max="13434" customWidth="0" width="3.109375" style="1"/>
    <col min="13435" max="13435" customWidth="0" width="3.109375" style="1"/>
    <col min="13436" max="13436" customWidth="0" width="3.109375" style="1"/>
    <col min="13437" max="13437" customWidth="0" width="3.109375" style="1"/>
    <col min="13438" max="13438" customWidth="0" width="3.109375" style="1"/>
    <col min="13439" max="13439" customWidth="0" width="3.109375" style="1"/>
    <col min="13440" max="13440" customWidth="0" width="3.109375" style="1"/>
    <col min="13441" max="13441" customWidth="0" width="3.109375" style="1"/>
    <col min="13442" max="13442" customWidth="0" width="3.109375" style="1"/>
    <col min="13443" max="13443" customWidth="0" width="3.109375" style="1"/>
    <col min="13444" max="13444" customWidth="0" width="3.109375" style="1"/>
    <col min="13445" max="13445" customWidth="0" width="3.109375" style="1"/>
    <col min="13446" max="13446" customWidth="0" width="3.109375" style="1"/>
    <col min="13447" max="13447" customWidth="0" width="3.109375" style="1"/>
    <col min="13448" max="13448" customWidth="0" width="3.109375" style="1"/>
    <col min="13449" max="13449" customWidth="0" width="3.109375" style="1"/>
    <col min="13450" max="13450" customWidth="0" width="3.109375" style="1"/>
    <col min="13451" max="13451" customWidth="0" width="3.109375" style="1"/>
    <col min="13452" max="13452" customWidth="0" width="3.109375" style="1"/>
    <col min="13453" max="13453" customWidth="0" width="3.109375" style="1"/>
    <col min="13454" max="13454" customWidth="0" width="3.109375" style="1"/>
    <col min="13455" max="13455" customWidth="0" width="3.109375" style="1"/>
    <col min="13456" max="13456" customWidth="0" width="3.109375" style="1"/>
    <col min="13457" max="13457" customWidth="0" width="3.109375" style="1"/>
    <col min="13458" max="13458" customWidth="0" width="3.109375" style="1"/>
    <col min="13459" max="13459" customWidth="0" width="3.109375" style="1"/>
    <col min="13460" max="13460" customWidth="0" width="3.109375" style="1"/>
    <col min="13461" max="13461" customWidth="0" width="3.109375" style="1"/>
    <col min="13462" max="13462" customWidth="0" width="3.109375" style="1"/>
    <col min="13463" max="13463" customWidth="0" width="3.109375" style="1"/>
    <col min="13464" max="13464" customWidth="0" width="3.109375" style="1"/>
    <col min="13465" max="13465" customWidth="0" width="3.109375" style="1"/>
    <col min="13466" max="13466" customWidth="0" width="3.109375" style="1"/>
    <col min="13467" max="13467" customWidth="0" width="3.109375" style="1"/>
    <col min="13468" max="13468" customWidth="0" width="3.109375" style="1"/>
    <col min="13469" max="13469" customWidth="0" width="3.109375" style="1"/>
    <col min="13470" max="13470" customWidth="0" width="3.109375" style="1"/>
    <col min="13471" max="13471" customWidth="0" width="3.109375" style="1"/>
    <col min="13472" max="13472" customWidth="0" width="3.109375" style="1"/>
    <col min="13473" max="13473" customWidth="0" width="3.109375" style="1"/>
    <col min="13474" max="13474" customWidth="0" width="3.109375" style="1"/>
    <col min="13475" max="13475" customWidth="0" width="3.109375" style="1"/>
    <col min="13476" max="13476" customWidth="0" width="3.109375" style="1"/>
    <col min="13477" max="13477" customWidth="0" width="3.109375" style="1"/>
    <col min="13478" max="13478" customWidth="0" width="3.109375" style="1"/>
    <col min="13479" max="13479" customWidth="0" width="3.109375" style="1"/>
    <col min="13480" max="13480" customWidth="0" width="3.109375" style="1"/>
    <col min="13481" max="13481" customWidth="0" width="3.109375" style="1"/>
    <col min="13482" max="13482" customWidth="0" width="3.109375" style="1"/>
    <col min="13483" max="13483" customWidth="0" width="3.109375" style="1"/>
    <col min="13484" max="13484" customWidth="0" width="3.109375" style="1"/>
    <col min="13485" max="13485" customWidth="0" width="3.109375" style="1"/>
    <col min="13486" max="13486" customWidth="0" width="3.109375" style="1"/>
    <col min="13487" max="13487" customWidth="0" width="3.109375" style="1"/>
    <col min="13488" max="13488" customWidth="0" width="3.109375" style="1"/>
    <col min="13489" max="13489" customWidth="0" width="3.109375" style="1"/>
    <col min="13490" max="13490" customWidth="0" width="3.109375" style="1"/>
    <col min="13491" max="13491" customWidth="0" width="3.109375" style="1"/>
    <col min="13492" max="13492" customWidth="0" width="3.109375" style="1"/>
    <col min="13493" max="13493" customWidth="0" width="3.109375" style="1"/>
    <col min="13494" max="13494" customWidth="0" width="3.109375" style="1"/>
    <col min="13495" max="13495" customWidth="0" width="3.109375" style="1"/>
    <col min="13496" max="13496" customWidth="0" width="3.109375" style="1"/>
    <col min="13497" max="13497" customWidth="0" width="3.109375" style="1"/>
    <col min="13498" max="13498" customWidth="0" width="3.109375" style="1"/>
    <col min="13499" max="13499" customWidth="0" width="3.109375" style="1"/>
    <col min="13500" max="13500" customWidth="0" width="3.109375" style="1"/>
    <col min="13501" max="13501" customWidth="0" width="3.109375" style="1"/>
    <col min="13502" max="13502" customWidth="0" width="3.109375" style="1"/>
    <col min="13503" max="13503" customWidth="0" width="3.109375" style="1"/>
    <col min="13504" max="13504" customWidth="0" width="3.109375" style="1"/>
    <col min="13505" max="13505" customWidth="0" width="3.109375" style="1"/>
    <col min="13506" max="13506" customWidth="0" width="3.109375" style="1"/>
    <col min="13507" max="13507" customWidth="0" width="3.109375" style="1"/>
    <col min="13508" max="13508" customWidth="0" width="3.109375" style="1"/>
    <col min="13509" max="13509" customWidth="0" width="3.109375" style="1"/>
    <col min="13510" max="13510" customWidth="0" width="3.109375" style="1"/>
    <col min="13511" max="13511" customWidth="0" width="3.109375" style="1"/>
    <col min="13512" max="13512" customWidth="0" width="3.109375" style="1"/>
    <col min="13513" max="13513" customWidth="0" width="3.109375" style="1"/>
    <col min="13514" max="13514" customWidth="0" width="3.109375" style="1"/>
    <col min="13515" max="13515" customWidth="0" width="3.109375" style="1"/>
    <col min="13516" max="13516" customWidth="0" width="3.109375" style="1"/>
    <col min="13517" max="13517" customWidth="0" width="3.109375" style="1"/>
    <col min="13518" max="13518" customWidth="0" width="3.109375" style="1"/>
    <col min="13519" max="13519" customWidth="0" width="3.109375" style="1"/>
    <col min="13520" max="13520" customWidth="0" width="3.109375" style="1"/>
    <col min="13521" max="13521" customWidth="0" width="3.109375" style="1"/>
    <col min="13522" max="13522" customWidth="0" width="3.109375" style="1"/>
    <col min="13523" max="13523" customWidth="0" width="3.109375" style="1"/>
    <col min="13524" max="13524" customWidth="0" width="3.109375" style="1"/>
    <col min="13525" max="13525" customWidth="0" width="3.109375" style="1"/>
    <col min="13526" max="13526" customWidth="0" width="3.109375" style="1"/>
    <col min="13527" max="13527" customWidth="0" width="3.109375" style="1"/>
    <col min="13528" max="13528" customWidth="0" width="3.109375" style="1"/>
    <col min="13529" max="13529" customWidth="0" width="3.109375" style="1"/>
    <col min="13530" max="13530" customWidth="0" width="3.109375" style="1"/>
    <col min="13531" max="13531" customWidth="0" width="3.109375" style="1"/>
    <col min="13532" max="13532" customWidth="0" width="3.109375" style="1"/>
    <col min="13533" max="13533" customWidth="0" width="3.109375" style="1"/>
    <col min="13534" max="13534" customWidth="0" width="3.109375" style="1"/>
    <col min="13535" max="13535" customWidth="0" width="3.109375" style="1"/>
    <col min="13536" max="13536" customWidth="0" width="3.109375" style="1"/>
    <col min="13537" max="13537" customWidth="0" width="3.109375" style="1"/>
    <col min="13538" max="13538" customWidth="0" width="3.109375" style="1"/>
    <col min="13539" max="13539" customWidth="0" width="3.109375" style="1"/>
    <col min="13540" max="13540" customWidth="0" width="3.109375" style="1"/>
    <col min="13541" max="13541" customWidth="0" width="3.109375" style="1"/>
    <col min="13542" max="13542" customWidth="0" width="3.109375" style="1"/>
    <col min="13543" max="13543" customWidth="0" width="3.109375" style="1"/>
    <col min="13544" max="13544" customWidth="0" width="3.109375" style="1"/>
    <col min="13545" max="13545" customWidth="0" width="3.109375" style="1"/>
    <col min="13546" max="13546" customWidth="0" width="3.109375" style="1"/>
    <col min="13547" max="13547" customWidth="0" width="3.109375" style="1"/>
    <col min="13548" max="13548" customWidth="0" width="3.109375" style="1"/>
    <col min="13549" max="13549" customWidth="0" width="3.109375" style="1"/>
    <col min="13550" max="13550" customWidth="0" width="3.109375" style="1"/>
    <col min="13551" max="13551" customWidth="0" width="3.109375" style="1"/>
    <col min="13552" max="13552" customWidth="0" width="3.109375" style="1"/>
    <col min="13553" max="13553" customWidth="0" width="3.109375" style="1"/>
    <col min="13554" max="13554" customWidth="0" width="3.109375" style="1"/>
    <col min="13555" max="13555" customWidth="0" width="3.109375" style="1"/>
    <col min="13556" max="13556" customWidth="0" width="3.109375" style="1"/>
    <col min="13557" max="13557" customWidth="0" width="3.109375" style="1"/>
    <col min="13558" max="13558" customWidth="0" width="3.109375" style="1"/>
    <col min="13559" max="13559" customWidth="0" width="3.109375" style="1"/>
    <col min="13560" max="13560" customWidth="0" width="3.109375" style="1"/>
    <col min="13561" max="13561" customWidth="0" width="3.109375" style="1"/>
    <col min="13562" max="13562" customWidth="0" width="3.109375" style="1"/>
    <col min="13563" max="13563" customWidth="0" width="3.109375" style="1"/>
    <col min="13564" max="13564" customWidth="0" width="3.109375" style="1"/>
    <col min="13565" max="13565" customWidth="0" width="3.109375" style="1"/>
    <col min="13566" max="13566" customWidth="0" width="3.109375" style="1"/>
    <col min="13567" max="13567" customWidth="0" width="3.109375" style="1"/>
    <col min="13568" max="13568" customWidth="0" width="3.109375" style="1"/>
    <col min="13569" max="13569" customWidth="0" width="3.109375" style="1"/>
    <col min="13570" max="13570" customWidth="0" width="3.109375" style="1"/>
    <col min="13571" max="13571" customWidth="0" width="3.109375" style="1"/>
    <col min="13572" max="13572" customWidth="0" width="3.109375" style="1"/>
    <col min="13573" max="13573" customWidth="0" width="3.109375" style="1"/>
    <col min="13574" max="13574" customWidth="0" width="3.109375" style="1"/>
    <col min="13575" max="13575" customWidth="0" width="3.109375" style="1"/>
    <col min="13576" max="13576" customWidth="0" width="3.109375" style="1"/>
    <col min="13577" max="13577" customWidth="0" width="3.109375" style="1"/>
    <col min="13578" max="13578" customWidth="0" width="3.109375" style="1"/>
    <col min="13579" max="13579" customWidth="0" width="3.109375" style="1"/>
    <col min="13580" max="13580" customWidth="0" width="3.109375" style="1"/>
    <col min="13581" max="13581" customWidth="0" width="3.109375" style="1"/>
    <col min="13582" max="13582" customWidth="0" width="3.109375" style="1"/>
    <col min="13583" max="13583" customWidth="0" width="3.109375" style="1"/>
    <col min="13584" max="13584" customWidth="0" width="3.109375" style="1"/>
    <col min="13585" max="13585" customWidth="0" width="3.109375" style="1"/>
    <col min="13586" max="13586" customWidth="0" width="3.109375" style="1"/>
    <col min="13587" max="13587" customWidth="0" width="3.109375" style="1"/>
    <col min="13588" max="13588" customWidth="0" width="3.109375" style="1"/>
    <col min="13589" max="13589" customWidth="0" width="3.109375" style="1"/>
    <col min="13590" max="13590" customWidth="0" width="3.109375" style="1"/>
    <col min="13591" max="13591" customWidth="0" width="3.109375" style="1"/>
    <col min="13592" max="13592" customWidth="0" width="3.109375" style="1"/>
    <col min="13593" max="13593" customWidth="0" width="3.109375" style="1"/>
    <col min="13594" max="13594" customWidth="0" width="3.109375" style="1"/>
    <col min="13595" max="13595" customWidth="0" width="3.109375" style="1"/>
    <col min="13596" max="13596" customWidth="0" width="3.109375" style="1"/>
    <col min="13597" max="13597" customWidth="0" width="3.109375" style="1"/>
    <col min="13598" max="13598" customWidth="0" width="3.109375" style="1"/>
    <col min="13599" max="13599" customWidth="0" width="3.109375" style="1"/>
    <col min="13600" max="13600" customWidth="0" width="3.109375" style="1"/>
    <col min="13601" max="13601" customWidth="0" width="3.109375" style="1"/>
    <col min="13602" max="13602" customWidth="0" width="3.109375" style="1"/>
    <col min="13603" max="13603" customWidth="0" width="3.109375" style="1"/>
    <col min="13604" max="13604" customWidth="0" width="3.109375" style="1"/>
    <col min="13605" max="13605" customWidth="0" width="3.109375" style="1"/>
    <col min="13606" max="13606" customWidth="0" width="3.109375" style="1"/>
    <col min="13607" max="13607" customWidth="0" width="3.109375" style="1"/>
    <col min="13608" max="13608" customWidth="0" width="3.109375" style="1"/>
    <col min="13609" max="13609" customWidth="0" width="3.109375" style="1"/>
    <col min="13610" max="13610" customWidth="0" width="3.109375" style="1"/>
    <col min="13611" max="13611" customWidth="0" width="3.109375" style="1"/>
    <col min="13612" max="13612" customWidth="0" width="3.109375" style="1"/>
    <col min="13613" max="13613" customWidth="0" width="3.109375" style="1"/>
    <col min="13614" max="13614" customWidth="0" width="3.109375" style="1"/>
    <col min="13615" max="13615" customWidth="0" width="3.109375" style="1"/>
    <col min="13616" max="13616" customWidth="0" width="3.109375" style="1"/>
    <col min="13617" max="13617" customWidth="0" width="3.109375" style="1"/>
    <col min="13618" max="13618" customWidth="0" width="3.109375" style="1"/>
    <col min="13619" max="13619" customWidth="0" width="3.109375" style="1"/>
    <col min="13620" max="13620" customWidth="0" width="3.109375" style="1"/>
    <col min="13621" max="13621" customWidth="0" width="3.109375" style="1"/>
    <col min="13622" max="13622" customWidth="0" width="3.109375" style="1"/>
    <col min="13623" max="13623" customWidth="0" width="3.109375" style="1"/>
    <col min="13624" max="13624" customWidth="0" width="3.109375" style="1"/>
    <col min="13625" max="13625" customWidth="0" width="3.109375" style="1"/>
    <col min="13626" max="13626" customWidth="0" width="3.109375" style="1"/>
    <col min="13627" max="13627" customWidth="0" width="3.109375" style="1"/>
    <col min="13628" max="13628" customWidth="0" width="3.109375" style="1"/>
    <col min="13629" max="13629" customWidth="0" width="3.109375" style="1"/>
    <col min="13630" max="13630" customWidth="0" width="3.109375" style="1"/>
    <col min="13631" max="13631" customWidth="0" width="3.109375" style="1"/>
    <col min="13632" max="13632" customWidth="0" width="3.109375" style="1"/>
    <col min="13633" max="13633" customWidth="0" width="3.109375" style="1"/>
    <col min="13634" max="13634" customWidth="0" width="3.109375" style="1"/>
    <col min="13635" max="13635" customWidth="0" width="3.109375" style="1"/>
    <col min="13636" max="13636" customWidth="0" width="3.109375" style="1"/>
    <col min="13637" max="13637" customWidth="0" width="3.109375" style="1"/>
    <col min="13638" max="13638" customWidth="0" width="3.109375" style="1"/>
    <col min="13639" max="13639" customWidth="0" width="3.109375" style="1"/>
    <col min="13640" max="13640" customWidth="0" width="3.109375" style="1"/>
    <col min="13641" max="13641" customWidth="0" width="3.109375" style="1"/>
    <col min="13642" max="13642" customWidth="0" width="3.109375" style="1"/>
    <col min="13643" max="13643" customWidth="0" width="3.109375" style="1"/>
    <col min="13644" max="13644" customWidth="0" width="3.109375" style="1"/>
    <col min="13645" max="13645" customWidth="0" width="3.109375" style="1"/>
    <col min="13646" max="13646" customWidth="0" width="3.109375" style="1"/>
    <col min="13647" max="13647" customWidth="0" width="3.109375" style="1"/>
    <col min="13648" max="13648" customWidth="0" width="3.109375" style="1"/>
    <col min="13649" max="13649" customWidth="0" width="3.109375" style="1"/>
    <col min="13650" max="13650" customWidth="0" width="3.109375" style="1"/>
    <col min="13651" max="13651" customWidth="0" width="3.109375" style="1"/>
    <col min="13652" max="13652" customWidth="0" width="3.109375" style="1"/>
    <col min="13653" max="13653" customWidth="0" width="3.109375" style="1"/>
    <col min="13654" max="13654" customWidth="0" width="3.109375" style="1"/>
    <col min="13655" max="13655" customWidth="0" width="3.109375" style="1"/>
    <col min="13656" max="13656" customWidth="0" width="3.109375" style="1"/>
    <col min="13657" max="13657" customWidth="0" width="3.109375" style="1"/>
    <col min="13658" max="13658" customWidth="0" width="3.109375" style="1"/>
    <col min="13659" max="13659" customWidth="0" width="3.109375" style="1"/>
    <col min="13660" max="13660" customWidth="0" width="3.109375" style="1"/>
    <col min="13661" max="13661" customWidth="0" width="3.109375" style="1"/>
    <col min="13662" max="13662" customWidth="0" width="3.109375" style="1"/>
    <col min="13663" max="13663" customWidth="0" width="3.109375" style="1"/>
    <col min="13664" max="13664" customWidth="0" width="3.109375" style="1"/>
    <col min="13665" max="13665" customWidth="0" width="3.109375" style="1"/>
    <col min="13666" max="13666" customWidth="0" width="3.109375" style="1"/>
    <col min="13667" max="13667" customWidth="0" width="3.109375" style="1"/>
    <col min="13668" max="13668" customWidth="0" width="3.109375" style="1"/>
    <col min="13669" max="13669" customWidth="0" width="3.109375" style="1"/>
    <col min="13670" max="13670" customWidth="0" width="3.109375" style="1"/>
    <col min="13671" max="13671" customWidth="0" width="3.109375" style="1"/>
    <col min="13672" max="13672" customWidth="0" width="3.109375" style="1"/>
    <col min="13673" max="13673" customWidth="0" width="3.109375" style="1"/>
    <col min="13674" max="13674" customWidth="0" width="3.109375" style="1"/>
    <col min="13675" max="13675" customWidth="0" width="3.109375" style="1"/>
    <col min="13676" max="13676" customWidth="0" width="3.109375" style="1"/>
    <col min="13677" max="13677" customWidth="0" width="3.109375" style="1"/>
    <col min="13678" max="13678" customWidth="0" width="3.109375" style="1"/>
    <col min="13679" max="13679" customWidth="0" width="3.109375" style="1"/>
    <col min="13680" max="13680" customWidth="0" width="3.109375" style="1"/>
    <col min="13681" max="13681" customWidth="0" width="3.109375" style="1"/>
    <col min="13682" max="13682" customWidth="0" width="3.109375" style="1"/>
    <col min="13683" max="13683" customWidth="0" width="3.109375" style="1"/>
    <col min="13684" max="13684" customWidth="0" width="3.109375" style="1"/>
    <col min="13685" max="13685" customWidth="0" width="3.109375" style="1"/>
    <col min="13686" max="13686" customWidth="0" width="3.109375" style="1"/>
    <col min="13687" max="13687" customWidth="0" width="3.109375" style="1"/>
    <col min="13688" max="13688" customWidth="0" width="3.109375" style="1"/>
    <col min="13689" max="13689" customWidth="0" width="3.109375" style="1"/>
    <col min="13690" max="13690" customWidth="0" width="3.109375" style="1"/>
    <col min="13691" max="13691" customWidth="0" width="3.109375" style="1"/>
    <col min="13692" max="13692" customWidth="0" width="3.109375" style="1"/>
    <col min="13693" max="13693" customWidth="0" width="3.109375" style="1"/>
    <col min="13694" max="13694" customWidth="0" width="3.109375" style="1"/>
    <col min="13695" max="13695" customWidth="0" width="3.109375" style="1"/>
    <col min="13696" max="13696" customWidth="0" width="3.109375" style="1"/>
    <col min="13697" max="13697" customWidth="0" width="3.109375" style="1"/>
    <col min="13698" max="13698" customWidth="0" width="3.109375" style="1"/>
    <col min="13699" max="13699" customWidth="0" width="3.109375" style="1"/>
    <col min="13700" max="13700" customWidth="0" width="3.109375" style="1"/>
    <col min="13701" max="13701" customWidth="0" width="3.109375" style="1"/>
    <col min="13702" max="13702" customWidth="0" width="3.109375" style="1"/>
    <col min="13703" max="13703" customWidth="0" width="3.109375" style="1"/>
    <col min="13704" max="13704" customWidth="0" width="3.109375" style="1"/>
    <col min="13705" max="13705" customWidth="0" width="3.109375" style="1"/>
    <col min="13706" max="13706" customWidth="0" width="3.109375" style="1"/>
    <col min="13707" max="13707" customWidth="0" width="3.109375" style="1"/>
    <col min="13708" max="13708" customWidth="0" width="3.109375" style="1"/>
    <col min="13709" max="13709" customWidth="0" width="3.109375" style="1"/>
    <col min="13710" max="13710" customWidth="0" width="3.109375" style="1"/>
    <col min="13711" max="13711" customWidth="0" width="3.109375" style="1"/>
    <col min="13712" max="13712" customWidth="0" width="3.109375" style="1"/>
    <col min="13713" max="13713" customWidth="0" width="3.109375" style="1"/>
    <col min="13714" max="13714" customWidth="0" width="3.109375" style="1"/>
    <col min="13715" max="13715" customWidth="0" width="3.109375" style="1"/>
    <col min="13716" max="13716" customWidth="0" width="3.109375" style="1"/>
    <col min="13717" max="13717" customWidth="0" width="3.109375" style="1"/>
    <col min="13718" max="13718" customWidth="0" width="3.109375" style="1"/>
    <col min="13719" max="13719" customWidth="0" width="3.109375" style="1"/>
    <col min="13720" max="13720" customWidth="0" width="3.109375" style="1"/>
    <col min="13721" max="13721" customWidth="0" width="3.109375" style="1"/>
    <col min="13722" max="13722" customWidth="0" width="3.109375" style="1"/>
    <col min="13723" max="13723" customWidth="0" width="3.109375" style="1"/>
    <col min="13724" max="13724" customWidth="0" width="3.109375" style="1"/>
    <col min="13725" max="13725" customWidth="0" width="3.109375" style="1"/>
    <col min="13726" max="13726" customWidth="0" width="3.109375" style="1"/>
    <col min="13727" max="13727" customWidth="0" width="3.109375" style="1"/>
    <col min="13728" max="13728" customWidth="0" width="3.109375" style="1"/>
    <col min="13729" max="13729" customWidth="0" width="3.109375" style="1"/>
    <col min="13730" max="13730" customWidth="0" width="3.109375" style="1"/>
    <col min="13731" max="13731" customWidth="0" width="3.109375" style="1"/>
    <col min="13732" max="13732" customWidth="0" width="3.109375" style="1"/>
    <col min="13733" max="13733" customWidth="0" width="3.109375" style="1"/>
    <col min="13734" max="13734" customWidth="0" width="3.109375" style="1"/>
    <col min="13735" max="13735" customWidth="0" width="3.109375" style="1"/>
    <col min="13736" max="13736" customWidth="0" width="3.109375" style="1"/>
    <col min="13737" max="13737" customWidth="0" width="3.109375" style="1"/>
    <col min="13738" max="13738" customWidth="0" width="3.109375" style="1"/>
    <col min="13739" max="13739" customWidth="0" width="3.109375" style="1"/>
    <col min="13740" max="13740" customWidth="0" width="3.109375" style="1"/>
    <col min="13741" max="13741" customWidth="0" width="3.109375" style="1"/>
    <col min="13742" max="13742" customWidth="0" width="3.109375" style="1"/>
    <col min="13743" max="13743" customWidth="0" width="3.109375" style="1"/>
    <col min="13744" max="13744" customWidth="0" width="3.109375" style="1"/>
    <col min="13745" max="13745" customWidth="0" width="3.109375" style="1"/>
    <col min="13746" max="13746" customWidth="0" width="3.109375" style="1"/>
    <col min="13747" max="13747" customWidth="0" width="3.109375" style="1"/>
    <col min="13748" max="13748" customWidth="0" width="3.109375" style="1"/>
    <col min="13749" max="13749" customWidth="0" width="3.109375" style="1"/>
    <col min="13750" max="13750" customWidth="0" width="3.109375" style="1"/>
    <col min="13751" max="13751" customWidth="0" width="3.109375" style="1"/>
    <col min="13752" max="13752" customWidth="0" width="3.109375" style="1"/>
    <col min="13753" max="13753" customWidth="0" width="3.109375" style="1"/>
    <col min="13754" max="13754" customWidth="0" width="3.109375" style="1"/>
    <col min="13755" max="13755" customWidth="0" width="3.109375" style="1"/>
    <col min="13756" max="13756" customWidth="0" width="3.109375" style="1"/>
    <col min="13757" max="13757" customWidth="0" width="3.109375" style="1"/>
    <col min="13758" max="13758" customWidth="0" width="3.109375" style="1"/>
    <col min="13759" max="13759" customWidth="0" width="3.109375" style="1"/>
    <col min="13760" max="13760" customWidth="0" width="3.109375" style="1"/>
    <col min="13761" max="13761" customWidth="0" width="3.109375" style="1"/>
    <col min="13762" max="13762" customWidth="0" width="3.109375" style="1"/>
    <col min="13763" max="13763" customWidth="0" width="3.109375" style="1"/>
    <col min="13764" max="13764" customWidth="0" width="3.109375" style="1"/>
    <col min="13765" max="13765" customWidth="0" width="3.109375" style="1"/>
    <col min="13766" max="13766" customWidth="0" width="3.109375" style="1"/>
    <col min="13767" max="13767" customWidth="0" width="3.109375" style="1"/>
    <col min="13768" max="13768" customWidth="0" width="3.109375" style="1"/>
    <col min="13769" max="13769" customWidth="0" width="3.109375" style="1"/>
    <col min="13770" max="13770" customWidth="0" width="3.109375" style="1"/>
    <col min="13771" max="13771" customWidth="0" width="3.109375" style="1"/>
    <col min="13772" max="13772" customWidth="0" width="3.109375" style="1"/>
    <col min="13773" max="13773" customWidth="0" width="3.109375" style="1"/>
    <col min="13774" max="13774" customWidth="0" width="3.109375" style="1"/>
    <col min="13775" max="13775" customWidth="0" width="3.109375" style="1"/>
    <col min="13776" max="13776" customWidth="0" width="3.109375" style="1"/>
    <col min="13777" max="13777" customWidth="0" width="3.109375" style="1"/>
    <col min="13778" max="13778" customWidth="0" width="3.109375" style="1"/>
    <col min="13779" max="13779" customWidth="0" width="3.109375" style="1"/>
    <col min="13780" max="13780" customWidth="0" width="3.109375" style="1"/>
    <col min="13781" max="13781" customWidth="0" width="3.109375" style="1"/>
    <col min="13782" max="13782" customWidth="0" width="3.109375" style="1"/>
    <col min="13783" max="13783" customWidth="0" width="3.109375" style="1"/>
    <col min="13784" max="13784" customWidth="0" width="3.109375" style="1"/>
    <col min="13785" max="13785" customWidth="0" width="3.109375" style="1"/>
    <col min="13786" max="13786" customWidth="0" width="3.109375" style="1"/>
    <col min="13787" max="13787" customWidth="0" width="3.109375" style="1"/>
    <col min="13788" max="13788" customWidth="0" width="3.109375" style="1"/>
    <col min="13789" max="13789" customWidth="0" width="3.109375" style="1"/>
    <col min="13790" max="13790" customWidth="0" width="3.109375" style="1"/>
    <col min="13791" max="13791" customWidth="0" width="3.109375" style="1"/>
    <col min="13792" max="13792" customWidth="0" width="3.109375" style="1"/>
    <col min="13793" max="13793" customWidth="0" width="3.109375" style="1"/>
    <col min="13794" max="13794" customWidth="0" width="3.109375" style="1"/>
    <col min="13795" max="13795" customWidth="0" width="3.109375" style="1"/>
    <col min="13796" max="13796" customWidth="0" width="3.109375" style="1"/>
    <col min="13797" max="13797" customWidth="0" width="3.109375" style="1"/>
    <col min="13798" max="13798" customWidth="0" width="3.109375" style="1"/>
    <col min="13799" max="13799" customWidth="0" width="3.109375" style="1"/>
    <col min="13800" max="13800" customWidth="0" width="3.109375" style="1"/>
    <col min="13801" max="13801" customWidth="0" width="3.109375" style="1"/>
    <col min="13802" max="13802" customWidth="0" width="3.109375" style="1"/>
    <col min="13803" max="13803" customWidth="0" width="3.109375" style="1"/>
    <col min="13804" max="13804" customWidth="0" width="3.109375" style="1"/>
    <col min="13805" max="13805" customWidth="0" width="3.109375" style="1"/>
    <col min="13806" max="13806" customWidth="0" width="3.109375" style="1"/>
    <col min="13807" max="13807" customWidth="0" width="3.109375" style="1"/>
    <col min="13808" max="13808" customWidth="0" width="3.109375" style="1"/>
    <col min="13809" max="13809" customWidth="0" width="3.109375" style="1"/>
    <col min="13810" max="13810" customWidth="0" width="3.109375" style="1"/>
    <col min="13811" max="13811" customWidth="0" width="3.109375" style="1"/>
    <col min="13812" max="13812" customWidth="0" width="3.109375" style="1"/>
    <col min="13813" max="13813" customWidth="0" width="3.109375" style="1"/>
    <col min="13814" max="13814" customWidth="0" width="3.109375" style="1"/>
    <col min="13815" max="13815" customWidth="0" width="3.109375" style="1"/>
    <col min="13816" max="13816" customWidth="0" width="3.109375" style="1"/>
    <col min="13817" max="13817" customWidth="0" width="3.109375" style="1"/>
    <col min="13818" max="13818" customWidth="0" width="3.109375" style="1"/>
    <col min="13819" max="13819" customWidth="0" width="3.109375" style="1"/>
    <col min="13820" max="13820" customWidth="0" width="3.109375" style="1"/>
    <col min="13821" max="13821" customWidth="0" width="3.109375" style="1"/>
    <col min="13822" max="13822" customWidth="0" width="3.109375" style="1"/>
    <col min="13823" max="13823" customWidth="0" width="3.109375" style="1"/>
    <col min="13824" max="13824" customWidth="0" width="3.109375" style="1"/>
    <col min="13825" max="13825" customWidth="0" width="3.109375" style="1"/>
    <col min="13826" max="13826" customWidth="0" width="3.109375" style="1"/>
    <col min="13827" max="13827" customWidth="0" width="3.109375" style="1"/>
    <col min="13828" max="13828" customWidth="0" width="3.109375" style="1"/>
    <col min="13829" max="13829" customWidth="0" width="3.109375" style="1"/>
    <col min="13830" max="13830" customWidth="0" width="3.109375" style="1"/>
    <col min="13831" max="13831" customWidth="0" width="3.109375" style="1"/>
    <col min="13832" max="13832" customWidth="0" width="3.109375" style="1"/>
    <col min="13833" max="13833" customWidth="0" width="3.109375" style="1"/>
    <col min="13834" max="13834" customWidth="0" width="3.109375" style="1"/>
    <col min="13835" max="13835" customWidth="0" width="3.109375" style="1"/>
    <col min="13836" max="13836" customWidth="0" width="3.109375" style="1"/>
    <col min="13837" max="13837" customWidth="0" width="3.109375" style="1"/>
    <col min="13838" max="13838" customWidth="0" width="3.109375" style="1"/>
    <col min="13839" max="13839" customWidth="0" width="3.109375" style="1"/>
    <col min="13840" max="13840" customWidth="0" width="3.109375" style="1"/>
    <col min="13841" max="13841" customWidth="0" width="3.109375" style="1"/>
    <col min="13842" max="13842" customWidth="0" width="3.109375" style="1"/>
    <col min="13843" max="13843" customWidth="0" width="3.109375" style="1"/>
    <col min="13844" max="13844" customWidth="0" width="3.109375" style="1"/>
    <col min="13845" max="13845" customWidth="0" width="3.109375" style="1"/>
    <col min="13846" max="13846" customWidth="0" width="3.109375" style="1"/>
    <col min="13847" max="13847" customWidth="0" width="3.109375" style="1"/>
    <col min="13848" max="13848" customWidth="0" width="3.109375" style="1"/>
    <col min="13849" max="13849" customWidth="0" width="3.109375" style="1"/>
    <col min="13850" max="13850" customWidth="0" width="3.109375" style="1"/>
    <col min="13851" max="13851" customWidth="0" width="3.109375" style="1"/>
    <col min="13852" max="13852" customWidth="0" width="3.109375" style="1"/>
    <col min="13853" max="13853" customWidth="0" width="3.109375" style="1"/>
    <col min="13854" max="13854" customWidth="0" width="3.109375" style="1"/>
    <col min="13855" max="13855" customWidth="0" width="3.109375" style="1"/>
    <col min="13856" max="13856" customWidth="0" width="3.109375" style="1"/>
    <col min="13857" max="13857" customWidth="0" width="3.109375" style="1"/>
    <col min="13858" max="13858" customWidth="0" width="3.109375" style="1"/>
    <col min="13859" max="13859" customWidth="0" width="3.109375" style="1"/>
    <col min="13860" max="13860" customWidth="0" width="3.109375" style="1"/>
    <col min="13861" max="13861" customWidth="0" width="3.109375" style="1"/>
    <col min="13862" max="13862" customWidth="0" width="3.109375" style="1"/>
    <col min="13863" max="13863" customWidth="0" width="3.109375" style="1"/>
    <col min="13864" max="13864" customWidth="0" width="3.109375" style="1"/>
    <col min="13865" max="13865" customWidth="0" width="3.109375" style="1"/>
    <col min="13866" max="13866" customWidth="0" width="3.109375" style="1"/>
    <col min="13867" max="13867" customWidth="0" width="3.109375" style="1"/>
    <col min="13868" max="13868" customWidth="0" width="3.109375" style="1"/>
    <col min="13869" max="13869" customWidth="0" width="3.109375" style="1"/>
    <col min="13870" max="13870" customWidth="0" width="3.109375" style="1"/>
    <col min="13871" max="13871" customWidth="0" width="3.109375" style="1"/>
    <col min="13872" max="13872" customWidth="0" width="3.109375" style="1"/>
    <col min="13873" max="13873" customWidth="0" width="3.109375" style="1"/>
    <col min="13874" max="13874" customWidth="0" width="3.109375" style="1"/>
    <col min="13875" max="13875" customWidth="0" width="3.109375" style="1"/>
    <col min="13876" max="13876" customWidth="0" width="3.109375" style="1"/>
    <col min="13877" max="13877" customWidth="0" width="3.109375" style="1"/>
    <col min="13878" max="13878" customWidth="0" width="3.109375" style="1"/>
    <col min="13879" max="13879" customWidth="0" width="3.109375" style="1"/>
    <col min="13880" max="13880" customWidth="0" width="3.109375" style="1"/>
    <col min="13881" max="13881" customWidth="0" width="3.109375" style="1"/>
    <col min="13882" max="13882" customWidth="0" width="3.109375" style="1"/>
    <col min="13883" max="13883" customWidth="0" width="3.109375" style="1"/>
    <col min="13884" max="13884" customWidth="0" width="3.109375" style="1"/>
    <col min="13885" max="13885" customWidth="0" width="3.109375" style="1"/>
    <col min="13886" max="13886" customWidth="0" width="3.109375" style="1"/>
    <col min="13887" max="13887" customWidth="0" width="3.109375" style="1"/>
    <col min="13888" max="13888" customWidth="0" width="3.109375" style="1"/>
    <col min="13889" max="13889" customWidth="0" width="3.109375" style="1"/>
    <col min="13890" max="13890" customWidth="0" width="3.109375" style="1"/>
    <col min="13891" max="13891" customWidth="0" width="3.109375" style="1"/>
    <col min="13892" max="13892" customWidth="0" width="3.109375" style="1"/>
    <col min="13893" max="13893" customWidth="0" width="3.109375" style="1"/>
    <col min="13894" max="13894" customWidth="0" width="3.109375" style="1"/>
    <col min="13895" max="13895" customWidth="0" width="3.109375" style="1"/>
    <col min="13896" max="13896" customWidth="0" width="3.109375" style="1"/>
    <col min="13897" max="13897" customWidth="0" width="3.109375" style="1"/>
    <col min="13898" max="13898" customWidth="0" width="3.109375" style="1"/>
    <col min="13899" max="13899" customWidth="0" width="3.109375" style="1"/>
    <col min="13900" max="13900" customWidth="0" width="3.109375" style="1"/>
    <col min="13901" max="13901" customWidth="0" width="3.109375" style="1"/>
    <col min="13902" max="13902" customWidth="0" width="3.109375" style="1"/>
    <col min="13903" max="13903" customWidth="0" width="3.109375" style="1"/>
    <col min="13904" max="13904" customWidth="0" width="3.109375" style="1"/>
    <col min="13905" max="13905" customWidth="0" width="3.109375" style="1"/>
    <col min="13906" max="13906" customWidth="0" width="3.109375" style="1"/>
    <col min="13907" max="13907" customWidth="0" width="3.109375" style="1"/>
    <col min="13908" max="13908" customWidth="0" width="3.109375" style="1"/>
    <col min="13909" max="13909" customWidth="0" width="3.109375" style="1"/>
    <col min="13910" max="13910" customWidth="0" width="3.109375" style="1"/>
    <col min="13911" max="13911" customWidth="0" width="3.109375" style="1"/>
    <col min="13912" max="13912" customWidth="0" width="3.109375" style="1"/>
    <col min="13913" max="13913" customWidth="0" width="3.109375" style="1"/>
    <col min="13914" max="13914" customWidth="0" width="3.109375" style="1"/>
    <col min="13915" max="13915" customWidth="0" width="3.109375" style="1"/>
    <col min="13916" max="13916" customWidth="0" width="3.109375" style="1"/>
    <col min="13917" max="13917" customWidth="0" width="3.109375" style="1"/>
    <col min="13918" max="13918" customWidth="0" width="3.109375" style="1"/>
    <col min="13919" max="13919" customWidth="0" width="3.109375" style="1"/>
    <col min="13920" max="13920" customWidth="0" width="3.109375" style="1"/>
    <col min="13921" max="13921" customWidth="0" width="3.109375" style="1"/>
    <col min="13922" max="13922" customWidth="0" width="3.109375" style="1"/>
    <col min="13923" max="13923" customWidth="0" width="3.109375" style="1"/>
    <col min="13924" max="13924" customWidth="0" width="3.109375" style="1"/>
    <col min="13925" max="13925" customWidth="0" width="3.109375" style="1"/>
    <col min="13926" max="13926" customWidth="0" width="3.109375" style="1"/>
    <col min="13927" max="13927" customWidth="0" width="3.109375" style="1"/>
    <col min="13928" max="13928" customWidth="0" width="3.109375" style="1"/>
    <col min="13929" max="13929" customWidth="0" width="3.109375" style="1"/>
    <col min="13930" max="13930" customWidth="0" width="3.109375" style="1"/>
    <col min="13931" max="13931" customWidth="0" width="3.109375" style="1"/>
    <col min="13932" max="13932" customWidth="0" width="3.109375" style="1"/>
    <col min="13933" max="13933" customWidth="0" width="3.109375" style="1"/>
    <col min="13934" max="13934" customWidth="0" width="3.109375" style="1"/>
    <col min="13935" max="13935" customWidth="0" width="3.109375" style="1"/>
    <col min="13936" max="13936" customWidth="0" width="3.109375" style="1"/>
    <col min="13937" max="13937" customWidth="0" width="3.109375" style="1"/>
    <col min="13938" max="13938" customWidth="0" width="3.109375" style="1"/>
    <col min="13939" max="13939" customWidth="0" width="3.109375" style="1"/>
    <col min="13940" max="13940" customWidth="0" width="3.109375" style="1"/>
    <col min="13941" max="13941" customWidth="0" width="3.109375" style="1"/>
    <col min="13942" max="13942" customWidth="0" width="3.109375" style="1"/>
    <col min="13943" max="13943" customWidth="0" width="3.109375" style="1"/>
    <col min="13944" max="13944" customWidth="0" width="3.109375" style="1"/>
    <col min="13945" max="13945" customWidth="0" width="3.109375" style="1"/>
    <col min="13946" max="13946" customWidth="0" width="3.109375" style="1"/>
    <col min="13947" max="13947" customWidth="0" width="3.109375" style="1"/>
    <col min="13948" max="13948" customWidth="0" width="3.109375" style="1"/>
    <col min="13949" max="13949" customWidth="0" width="3.109375" style="1"/>
    <col min="13950" max="13950" customWidth="0" width="3.109375" style="1"/>
    <col min="13951" max="13951" customWidth="0" width="3.109375" style="1"/>
    <col min="13952" max="13952" customWidth="0" width="3.109375" style="1"/>
    <col min="13953" max="13953" customWidth="0" width="3.109375" style="1"/>
    <col min="13954" max="13954" customWidth="0" width="3.109375" style="1"/>
    <col min="13955" max="13955" customWidth="0" width="3.109375" style="1"/>
    <col min="13956" max="13956" customWidth="0" width="3.109375" style="1"/>
    <col min="13957" max="13957" customWidth="0" width="3.109375" style="1"/>
    <col min="13958" max="13958" customWidth="0" width="3.109375" style="1"/>
    <col min="13959" max="13959" customWidth="0" width="3.109375" style="1"/>
    <col min="13960" max="13960" customWidth="0" width="3.109375" style="1"/>
    <col min="13961" max="13961" customWidth="0" width="3.109375" style="1"/>
    <col min="13962" max="13962" customWidth="0" width="3.109375" style="1"/>
    <col min="13963" max="13963" customWidth="0" width="3.109375" style="1"/>
    <col min="13964" max="13964" customWidth="0" width="3.109375" style="1"/>
    <col min="13965" max="13965" customWidth="0" width="3.109375" style="1"/>
    <col min="13966" max="13966" customWidth="0" width="3.109375" style="1"/>
    <col min="13967" max="13967" customWidth="0" width="3.109375" style="1"/>
    <col min="13968" max="13968" customWidth="0" width="3.109375" style="1"/>
    <col min="13969" max="13969" customWidth="0" width="3.109375" style="1"/>
    <col min="13970" max="13970" customWidth="0" width="3.109375" style="1"/>
    <col min="13971" max="13971" customWidth="0" width="3.109375" style="1"/>
    <col min="13972" max="13972" customWidth="0" width="3.109375" style="1"/>
    <col min="13973" max="13973" customWidth="0" width="3.109375" style="1"/>
    <col min="13974" max="13974" customWidth="0" width="3.109375" style="1"/>
    <col min="13975" max="13975" customWidth="0" width="3.109375" style="1"/>
    <col min="13976" max="13976" customWidth="0" width="3.109375" style="1"/>
    <col min="13977" max="13977" customWidth="0" width="3.109375" style="1"/>
    <col min="13978" max="13978" customWidth="0" width="3.109375" style="1"/>
    <col min="13979" max="13979" customWidth="0" width="3.109375" style="1"/>
    <col min="13980" max="13980" customWidth="0" width="3.109375" style="1"/>
    <col min="13981" max="13981" customWidth="0" width="3.109375" style="1"/>
    <col min="13982" max="13982" customWidth="0" width="3.109375" style="1"/>
    <col min="13983" max="13983" customWidth="0" width="3.109375" style="1"/>
    <col min="13984" max="13984" customWidth="0" width="3.109375" style="1"/>
    <col min="13985" max="13985" customWidth="0" width="3.109375" style="1"/>
    <col min="13986" max="13986" customWidth="0" width="3.109375" style="1"/>
    <col min="13987" max="13987" customWidth="0" width="3.109375" style="1"/>
    <col min="13988" max="13988" customWidth="0" width="3.109375" style="1"/>
    <col min="13989" max="13989" customWidth="0" width="3.109375" style="1"/>
    <col min="13990" max="13990" customWidth="0" width="3.109375" style="1"/>
    <col min="13991" max="13991" customWidth="0" width="3.109375" style="1"/>
    <col min="13992" max="13992" customWidth="0" width="3.109375" style="1"/>
    <col min="13993" max="13993" customWidth="0" width="3.109375" style="1"/>
    <col min="13994" max="13994" customWidth="0" width="3.109375" style="1"/>
    <col min="13995" max="13995" customWidth="0" width="3.109375" style="1"/>
    <col min="13996" max="13996" customWidth="0" width="3.109375" style="1"/>
    <col min="13997" max="13997" customWidth="0" width="3.109375" style="1"/>
    <col min="13998" max="13998" customWidth="0" width="3.109375" style="1"/>
    <col min="13999" max="13999" customWidth="0" width="3.109375" style="1"/>
    <col min="14000" max="14000" customWidth="0" width="3.109375" style="1"/>
    <col min="14001" max="14001" customWidth="0" width="3.109375" style="1"/>
    <col min="14002" max="14002" customWidth="0" width="3.109375" style="1"/>
    <col min="14003" max="14003" customWidth="0" width="3.109375" style="1"/>
    <col min="14004" max="14004" customWidth="0" width="3.109375" style="1"/>
    <col min="14005" max="14005" customWidth="0" width="3.109375" style="1"/>
    <col min="14006" max="14006" customWidth="0" width="3.109375" style="1"/>
    <col min="14007" max="14007" customWidth="0" width="3.109375" style="1"/>
    <col min="14008" max="14008" customWidth="0" width="3.109375" style="1"/>
    <col min="14009" max="14009" customWidth="0" width="3.109375" style="1"/>
    <col min="14010" max="14010" customWidth="0" width="3.109375" style="1"/>
    <col min="14011" max="14011" customWidth="0" width="3.109375" style="1"/>
    <col min="14012" max="14012" customWidth="0" width="3.109375" style="1"/>
    <col min="14013" max="14013" customWidth="0" width="3.109375" style="1"/>
    <col min="14014" max="14014" customWidth="0" width="3.109375" style="1"/>
    <col min="14015" max="14015" customWidth="0" width="3.109375" style="1"/>
    <col min="14016" max="14016" customWidth="0" width="3.109375" style="1"/>
    <col min="14017" max="14017" customWidth="0" width="3.109375" style="1"/>
    <col min="14018" max="14018" customWidth="0" width="3.109375" style="1"/>
    <col min="14019" max="14019" customWidth="0" width="3.109375" style="1"/>
    <col min="14020" max="14020" customWidth="0" width="3.109375" style="1"/>
    <col min="14021" max="14021" customWidth="0" width="3.109375" style="1"/>
    <col min="14022" max="14022" customWidth="0" width="3.109375" style="1"/>
    <col min="14023" max="14023" customWidth="0" width="3.109375" style="1"/>
    <col min="14024" max="14024" customWidth="0" width="3.109375" style="1"/>
    <col min="14025" max="14025" customWidth="0" width="3.109375" style="1"/>
    <col min="14026" max="14026" customWidth="0" width="3.109375" style="1"/>
    <col min="14027" max="14027" customWidth="0" width="3.109375" style="1"/>
    <col min="14028" max="14028" customWidth="0" width="3.109375" style="1"/>
    <col min="14029" max="14029" customWidth="0" width="3.109375" style="1"/>
    <col min="14030" max="14030" customWidth="0" width="3.109375" style="1"/>
    <col min="14031" max="14031" customWidth="0" width="3.109375" style="1"/>
    <col min="14032" max="14032" customWidth="0" width="3.109375" style="1"/>
    <col min="14033" max="14033" customWidth="0" width="3.109375" style="1"/>
    <col min="14034" max="14034" customWidth="0" width="3.109375" style="1"/>
    <col min="14035" max="14035" customWidth="0" width="3.109375" style="1"/>
    <col min="14036" max="14036" customWidth="0" width="3.109375" style="1"/>
    <col min="14037" max="14037" customWidth="0" width="3.109375" style="1"/>
    <col min="14038" max="14038" customWidth="0" width="3.109375" style="1"/>
    <col min="14039" max="14039" customWidth="0" width="3.109375" style="1"/>
    <col min="14040" max="14040" customWidth="0" width="3.109375" style="1"/>
    <col min="14041" max="14041" customWidth="0" width="3.109375" style="1"/>
    <col min="14042" max="14042" customWidth="0" width="3.109375" style="1"/>
    <col min="14043" max="14043" customWidth="0" width="3.109375" style="1"/>
    <col min="14044" max="14044" customWidth="0" width="3.109375" style="1"/>
    <col min="14045" max="14045" customWidth="0" width="3.109375" style="1"/>
    <col min="14046" max="14046" customWidth="0" width="3.109375" style="1"/>
    <col min="14047" max="14047" customWidth="0" width="3.109375" style="1"/>
    <col min="14048" max="14048" customWidth="0" width="3.109375" style="1"/>
    <col min="14049" max="14049" customWidth="0" width="3.109375" style="1"/>
    <col min="14050" max="14050" customWidth="0" width="3.109375" style="1"/>
    <col min="14051" max="14051" customWidth="0" width="3.109375" style="1"/>
    <col min="14052" max="14052" customWidth="0" width="3.109375" style="1"/>
    <col min="14053" max="14053" customWidth="0" width="3.109375" style="1"/>
    <col min="14054" max="14054" customWidth="0" width="3.109375" style="1"/>
    <col min="14055" max="14055" customWidth="0" width="3.109375" style="1"/>
    <col min="14056" max="14056" customWidth="0" width="3.109375" style="1"/>
    <col min="14057" max="14057" customWidth="0" width="3.109375" style="1"/>
    <col min="14058" max="14058" customWidth="0" width="3.109375" style="1"/>
    <col min="14059" max="14059" customWidth="0" width="3.109375" style="1"/>
    <col min="14060" max="14060" customWidth="0" width="3.109375" style="1"/>
    <col min="14061" max="14061" customWidth="0" width="3.109375" style="1"/>
    <col min="14062" max="14062" customWidth="0" width="3.109375" style="1"/>
    <col min="14063" max="14063" customWidth="0" width="3.109375" style="1"/>
    <col min="14064" max="14064" customWidth="0" width="3.109375" style="1"/>
    <col min="14065" max="14065" customWidth="0" width="3.109375" style="1"/>
    <col min="14066" max="14066" customWidth="0" width="3.109375" style="1"/>
    <col min="14067" max="14067" customWidth="0" width="3.109375" style="1"/>
    <col min="14068" max="14068" customWidth="0" width="3.109375" style="1"/>
    <col min="14069" max="14069" customWidth="0" width="3.109375" style="1"/>
    <col min="14070" max="14070" customWidth="0" width="3.109375" style="1"/>
    <col min="14071" max="14071" customWidth="0" width="3.109375" style="1"/>
    <col min="14072" max="14072" customWidth="0" width="3.109375" style="1"/>
    <col min="14073" max="14073" customWidth="0" width="3.109375" style="1"/>
    <col min="14074" max="14074" customWidth="0" width="3.109375" style="1"/>
    <col min="14075" max="14075" customWidth="0" width="3.109375" style="1"/>
    <col min="14076" max="14076" customWidth="0" width="3.109375" style="1"/>
    <col min="14077" max="14077" customWidth="0" width="3.109375" style="1"/>
    <col min="14078" max="14078" customWidth="0" width="3.109375" style="1"/>
    <col min="14079" max="14079" customWidth="0" width="3.109375" style="1"/>
    <col min="14080" max="14080" customWidth="0" width="3.109375" style="1"/>
    <col min="14081" max="14081" customWidth="0" width="3.109375" style="1"/>
    <col min="14082" max="14082" customWidth="0" width="3.109375" style="1"/>
    <col min="14083" max="14083" customWidth="0" width="3.109375" style="1"/>
    <col min="14084" max="14084" customWidth="0" width="3.109375" style="1"/>
    <col min="14085" max="14085" customWidth="0" width="3.109375" style="1"/>
    <col min="14086" max="14086" customWidth="0" width="3.109375" style="1"/>
    <col min="14087" max="14087" customWidth="0" width="3.109375" style="1"/>
    <col min="14088" max="14088" customWidth="0" width="3.109375" style="1"/>
    <col min="14089" max="14089" customWidth="0" width="3.109375" style="1"/>
    <col min="14090" max="14090" customWidth="0" width="3.109375" style="1"/>
    <col min="14091" max="14091" customWidth="0" width="3.109375" style="1"/>
    <col min="14092" max="14092" customWidth="0" width="3.109375" style="1"/>
    <col min="14093" max="14093" customWidth="0" width="3.109375" style="1"/>
    <col min="14094" max="14094" customWidth="0" width="3.109375" style="1"/>
    <col min="14095" max="14095" customWidth="0" width="3.109375" style="1"/>
    <col min="14096" max="14096" customWidth="0" width="3.109375" style="1"/>
    <col min="14097" max="14097" customWidth="0" width="3.109375" style="1"/>
    <col min="14098" max="14098" customWidth="0" width="3.109375" style="1"/>
    <col min="14099" max="14099" customWidth="0" width="3.109375" style="1"/>
    <col min="14100" max="14100" customWidth="0" width="3.109375" style="1"/>
    <col min="14101" max="14101" customWidth="0" width="3.109375" style="1"/>
    <col min="14102" max="14102" customWidth="0" width="3.109375" style="1"/>
    <col min="14103" max="14103" customWidth="0" width="3.109375" style="1"/>
    <col min="14104" max="14104" customWidth="0" width="3.109375" style="1"/>
    <col min="14105" max="14105" customWidth="0" width="3.109375" style="1"/>
    <col min="14106" max="14106" customWidth="0" width="3.109375" style="1"/>
    <col min="14107" max="14107" customWidth="0" width="3.109375" style="1"/>
    <col min="14108" max="14108" customWidth="0" width="3.109375" style="1"/>
    <col min="14109" max="14109" customWidth="0" width="3.109375" style="1"/>
    <col min="14110" max="14110" customWidth="0" width="3.109375" style="1"/>
    <col min="14111" max="14111" customWidth="0" width="3.109375" style="1"/>
    <col min="14112" max="14112" customWidth="0" width="3.109375" style="1"/>
    <col min="14113" max="14113" customWidth="0" width="3.109375" style="1"/>
    <col min="14114" max="14114" customWidth="0" width="3.109375" style="1"/>
    <col min="14115" max="14115" customWidth="0" width="3.109375" style="1"/>
    <col min="14116" max="14116" customWidth="0" width="3.109375" style="1"/>
    <col min="14117" max="14117" customWidth="0" width="3.109375" style="1"/>
    <col min="14118" max="14118" customWidth="0" width="3.109375" style="1"/>
    <col min="14119" max="14119" customWidth="0" width="3.109375" style="1"/>
    <col min="14120" max="14120" customWidth="0" width="3.109375" style="1"/>
    <col min="14121" max="14121" customWidth="0" width="3.109375" style="1"/>
    <col min="14122" max="14122" customWidth="0" width="3.109375" style="1"/>
    <col min="14123" max="14123" customWidth="0" width="3.109375" style="1"/>
    <col min="14124" max="14124" customWidth="0" width="3.109375" style="1"/>
    <col min="14125" max="14125" customWidth="0" width="3.109375" style="1"/>
    <col min="14126" max="14126" customWidth="0" width="3.109375" style="1"/>
    <col min="14127" max="14127" customWidth="0" width="3.109375" style="1"/>
    <col min="14128" max="14128" customWidth="0" width="3.109375" style="1"/>
    <col min="14129" max="14129" customWidth="0" width="3.109375" style="1"/>
    <col min="14130" max="14130" customWidth="0" width="3.109375" style="1"/>
    <col min="14131" max="14131" customWidth="0" width="3.109375" style="1"/>
    <col min="14132" max="14132" customWidth="0" width="3.109375" style="1"/>
    <col min="14133" max="14133" customWidth="0" width="3.109375" style="1"/>
    <col min="14134" max="14134" customWidth="0" width="3.109375" style="1"/>
    <col min="14135" max="14135" customWidth="0" width="3.109375" style="1"/>
    <col min="14136" max="14136" customWidth="0" width="3.109375" style="1"/>
    <col min="14137" max="14137" customWidth="0" width="3.109375" style="1"/>
    <col min="14138" max="14138" customWidth="0" width="3.109375" style="1"/>
    <col min="14139" max="14139" customWidth="0" width="3.109375" style="1"/>
    <col min="14140" max="14140" customWidth="0" width="3.109375" style="1"/>
    <col min="14141" max="14141" customWidth="0" width="3.109375" style="1"/>
    <col min="14142" max="14142" customWidth="0" width="3.109375" style="1"/>
    <col min="14143" max="14143" customWidth="0" width="3.109375" style="1"/>
    <col min="14144" max="14144" customWidth="0" width="3.109375" style="1"/>
    <col min="14145" max="14145" customWidth="0" width="3.109375" style="1"/>
    <col min="14146" max="14146" customWidth="0" width="3.109375" style="1"/>
    <col min="14147" max="14147" customWidth="0" width="3.109375" style="1"/>
    <col min="14148" max="14148" customWidth="0" width="3.109375" style="1"/>
    <col min="14149" max="14149" customWidth="0" width="3.109375" style="1"/>
    <col min="14150" max="14150" customWidth="0" width="3.109375" style="1"/>
    <col min="14151" max="14151" customWidth="0" width="3.109375" style="1"/>
    <col min="14152" max="14152" customWidth="0" width="3.109375" style="1"/>
    <col min="14153" max="14153" customWidth="0" width="3.109375" style="1"/>
    <col min="14154" max="14154" customWidth="0" width="3.109375" style="1"/>
    <col min="14155" max="14155" customWidth="0" width="3.109375" style="1"/>
    <col min="14156" max="14156" customWidth="0" width="3.109375" style="1"/>
    <col min="14157" max="14157" customWidth="0" width="3.109375" style="1"/>
    <col min="14158" max="14158" customWidth="0" width="3.109375" style="1"/>
    <col min="14159" max="14159" customWidth="0" width="3.109375" style="1"/>
    <col min="14160" max="14160" customWidth="0" width="3.109375" style="1"/>
    <col min="14161" max="14161" customWidth="0" width="3.109375" style="1"/>
    <col min="14162" max="14162" customWidth="0" width="3.109375" style="1"/>
    <col min="14163" max="14163" customWidth="0" width="3.109375" style="1"/>
    <col min="14164" max="14164" customWidth="0" width="3.109375" style="1"/>
    <col min="14165" max="14165" customWidth="0" width="3.109375" style="1"/>
    <col min="14166" max="14166" customWidth="0" width="3.109375" style="1"/>
    <col min="14167" max="14167" customWidth="0" width="3.109375" style="1"/>
    <col min="14168" max="14168" customWidth="0" width="3.109375" style="1"/>
    <col min="14169" max="14169" customWidth="0" width="3.109375" style="1"/>
    <col min="14170" max="14170" customWidth="0" width="3.109375" style="1"/>
    <col min="14171" max="14171" customWidth="0" width="3.109375" style="1"/>
    <col min="14172" max="14172" customWidth="0" width="3.109375" style="1"/>
    <col min="14173" max="14173" customWidth="0" width="3.109375" style="1"/>
    <col min="14174" max="14174" customWidth="0" width="3.109375" style="1"/>
    <col min="14175" max="14175" customWidth="0" width="3.109375" style="1"/>
    <col min="14176" max="14176" customWidth="0" width="3.109375" style="1"/>
    <col min="14177" max="14177" customWidth="0" width="3.109375" style="1"/>
    <col min="14178" max="14178" customWidth="0" width="3.109375" style="1"/>
    <col min="14179" max="14179" customWidth="0" width="3.109375" style="1"/>
    <col min="14180" max="14180" customWidth="0" width="3.109375" style="1"/>
    <col min="14181" max="14181" customWidth="0" width="3.109375" style="1"/>
    <col min="14182" max="14182" customWidth="0" width="3.109375" style="1"/>
    <col min="14183" max="14183" customWidth="0" width="3.109375" style="1"/>
    <col min="14184" max="14184" customWidth="0" width="3.109375" style="1"/>
    <col min="14185" max="14185" customWidth="0" width="3.109375" style="1"/>
    <col min="14186" max="14186" customWidth="0" width="3.109375" style="1"/>
    <col min="14187" max="14187" customWidth="0" width="3.109375" style="1"/>
    <col min="14188" max="14188" customWidth="0" width="3.109375" style="1"/>
    <col min="14189" max="14189" customWidth="0" width="3.109375" style="1"/>
    <col min="14190" max="14190" customWidth="0" width="3.109375" style="1"/>
    <col min="14191" max="14191" customWidth="0" width="3.109375" style="1"/>
    <col min="14192" max="14192" customWidth="0" width="3.109375" style="1"/>
    <col min="14193" max="14193" customWidth="0" width="3.109375" style="1"/>
    <col min="14194" max="14194" customWidth="0" width="3.109375" style="1"/>
    <col min="14195" max="14195" customWidth="0" width="3.109375" style="1"/>
    <col min="14196" max="14196" customWidth="0" width="3.109375" style="1"/>
    <col min="14197" max="14197" customWidth="0" width="3.109375" style="1"/>
    <col min="14198" max="14198" customWidth="0" width="3.109375" style="1"/>
    <col min="14199" max="14199" customWidth="0" width="3.109375" style="1"/>
    <col min="14200" max="14200" customWidth="0" width="3.109375" style="1"/>
    <col min="14201" max="14201" customWidth="0" width="3.109375" style="1"/>
    <col min="14202" max="14202" customWidth="0" width="3.109375" style="1"/>
    <col min="14203" max="14203" customWidth="0" width="3.109375" style="1"/>
    <col min="14204" max="14204" customWidth="0" width="3.109375" style="1"/>
    <col min="14205" max="14205" customWidth="0" width="3.109375" style="1"/>
    <col min="14206" max="14206" customWidth="0" width="3.109375" style="1"/>
    <col min="14207" max="14207" customWidth="0" width="3.109375" style="1"/>
    <col min="14208" max="14208" customWidth="0" width="3.109375" style="1"/>
    <col min="14209" max="14209" customWidth="0" width="3.109375" style="1"/>
    <col min="14210" max="14210" customWidth="0" width="3.109375" style="1"/>
    <col min="14211" max="14211" customWidth="0" width="3.109375" style="1"/>
    <col min="14212" max="14212" customWidth="0" width="3.109375" style="1"/>
    <col min="14213" max="14213" customWidth="0" width="3.109375" style="1"/>
    <col min="14214" max="14214" customWidth="0" width="3.109375" style="1"/>
    <col min="14215" max="14215" customWidth="0" width="3.109375" style="1"/>
    <col min="14216" max="14216" customWidth="0" width="3.109375" style="1"/>
    <col min="14217" max="14217" customWidth="0" width="3.109375" style="1"/>
    <col min="14218" max="14218" customWidth="0" width="3.109375" style="1"/>
    <col min="14219" max="14219" customWidth="0" width="3.109375" style="1"/>
    <col min="14220" max="14220" customWidth="0" width="3.109375" style="1"/>
    <col min="14221" max="14221" customWidth="0" width="3.109375" style="1"/>
    <col min="14222" max="14222" customWidth="0" width="3.109375" style="1"/>
    <col min="14223" max="14223" customWidth="0" width="3.109375" style="1"/>
    <col min="14224" max="14224" customWidth="0" width="3.109375" style="1"/>
    <col min="14225" max="14225" customWidth="0" width="3.109375" style="1"/>
    <col min="14226" max="14226" customWidth="0" width="3.109375" style="1"/>
    <col min="14227" max="14227" customWidth="0" width="3.109375" style="1"/>
    <col min="14228" max="14228" customWidth="0" width="3.109375" style="1"/>
    <col min="14229" max="14229" customWidth="0" width="3.109375" style="1"/>
    <col min="14230" max="14230" customWidth="0" width="3.109375" style="1"/>
    <col min="14231" max="14231" customWidth="0" width="3.109375" style="1"/>
    <col min="14232" max="14232" customWidth="0" width="3.109375" style="1"/>
    <col min="14233" max="14233" customWidth="0" width="3.109375" style="1"/>
    <col min="14234" max="14234" customWidth="0" width="3.109375" style="1"/>
    <col min="14235" max="14235" customWidth="0" width="3.109375" style="1"/>
    <col min="14236" max="14236" customWidth="0" width="3.109375" style="1"/>
    <col min="14237" max="14237" customWidth="0" width="3.109375" style="1"/>
    <col min="14238" max="14238" customWidth="0" width="3.109375" style="1"/>
    <col min="14239" max="14239" customWidth="0" width="3.109375" style="1"/>
    <col min="14240" max="14240" customWidth="0" width="3.109375" style="1"/>
    <col min="14241" max="14241" customWidth="0" width="3.109375" style="1"/>
    <col min="14242" max="14242" customWidth="0" width="3.109375" style="1"/>
    <col min="14243" max="14243" customWidth="0" width="3.109375" style="1"/>
    <col min="14244" max="14244" customWidth="0" width="3.109375" style="1"/>
    <col min="14245" max="14245" customWidth="0" width="3.109375" style="1"/>
    <col min="14246" max="14246" customWidth="0" width="3.109375" style="1"/>
    <col min="14247" max="14247" customWidth="0" width="3.109375" style="1"/>
    <col min="14248" max="14248" customWidth="0" width="3.109375" style="1"/>
    <col min="14249" max="14249" customWidth="0" width="3.109375" style="1"/>
    <col min="14250" max="14250" customWidth="0" width="3.109375" style="1"/>
    <col min="14251" max="14251" customWidth="0" width="3.109375" style="1"/>
    <col min="14252" max="14252" customWidth="0" width="3.109375" style="1"/>
    <col min="14253" max="14253" customWidth="0" width="3.109375" style="1"/>
    <col min="14254" max="14254" customWidth="0" width="3.109375" style="1"/>
    <col min="14255" max="14255" customWidth="0" width="3.109375" style="1"/>
    <col min="14256" max="14256" customWidth="0" width="3.109375" style="1"/>
    <col min="14257" max="14257" customWidth="0" width="3.109375" style="1"/>
    <col min="14258" max="14258" customWidth="0" width="3.109375" style="1"/>
    <col min="14259" max="14259" customWidth="0" width="3.109375" style="1"/>
    <col min="14260" max="14260" customWidth="0" width="3.109375" style="1"/>
    <col min="14261" max="14261" customWidth="0" width="3.109375" style="1"/>
    <col min="14262" max="14262" customWidth="0" width="3.109375" style="1"/>
    <col min="14263" max="14263" customWidth="0" width="3.109375" style="1"/>
    <col min="14264" max="14264" customWidth="0" width="3.109375" style="1"/>
    <col min="14265" max="14265" customWidth="0" width="3.109375" style="1"/>
    <col min="14266" max="14266" customWidth="0" width="3.109375" style="1"/>
    <col min="14267" max="14267" customWidth="0" width="3.109375" style="1"/>
    <col min="14268" max="14268" customWidth="0" width="3.109375" style="1"/>
    <col min="14269" max="14269" customWidth="0" width="3.109375" style="1"/>
    <col min="14270" max="14270" customWidth="0" width="3.109375" style="1"/>
    <col min="14271" max="14271" customWidth="0" width="3.109375" style="1"/>
    <col min="14272" max="14272" customWidth="0" width="3.109375" style="1"/>
    <col min="14273" max="14273" customWidth="0" width="3.109375" style="1"/>
    <col min="14274" max="14274" customWidth="0" width="3.109375" style="1"/>
    <col min="14275" max="14275" customWidth="0" width="3.109375" style="1"/>
    <col min="14276" max="14276" customWidth="0" width="3.109375" style="1"/>
    <col min="14277" max="14277" customWidth="0" width="3.109375" style="1"/>
    <col min="14278" max="14278" customWidth="0" width="3.109375" style="1"/>
    <col min="14279" max="14279" customWidth="0" width="3.109375" style="1"/>
    <col min="14280" max="14280" customWidth="0" width="3.109375" style="1"/>
    <col min="14281" max="14281" customWidth="0" width="3.109375" style="1"/>
    <col min="14282" max="14282" customWidth="0" width="3.109375" style="1"/>
    <col min="14283" max="14283" customWidth="0" width="3.109375" style="1"/>
    <col min="14284" max="14284" customWidth="0" width="3.109375" style="1"/>
    <col min="14285" max="14285" customWidth="0" width="3.109375" style="1"/>
    <col min="14286" max="14286" customWidth="0" width="3.109375" style="1"/>
    <col min="14287" max="14287" customWidth="0" width="3.109375" style="1"/>
    <col min="14288" max="14288" customWidth="0" width="3.109375" style="1"/>
    <col min="14289" max="14289" customWidth="0" width="3.109375" style="1"/>
    <col min="14290" max="14290" customWidth="0" width="3.109375" style="1"/>
    <col min="14291" max="14291" customWidth="0" width="3.109375" style="1"/>
    <col min="14292" max="14292" customWidth="0" width="3.109375" style="1"/>
    <col min="14293" max="14293" customWidth="0" width="3.109375" style="1"/>
    <col min="14294" max="14294" customWidth="0" width="3.109375" style="1"/>
    <col min="14295" max="14295" customWidth="0" width="3.109375" style="1"/>
    <col min="14296" max="14296" customWidth="0" width="3.109375" style="1"/>
    <col min="14297" max="14297" customWidth="0" width="3.109375" style="1"/>
    <col min="14298" max="14298" customWidth="0" width="3.109375" style="1"/>
    <col min="14299" max="14299" customWidth="0" width="3.109375" style="1"/>
    <col min="14300" max="14300" customWidth="0" width="3.109375" style="1"/>
    <col min="14301" max="14301" customWidth="0" width="3.109375" style="1"/>
    <col min="14302" max="14302" customWidth="0" width="3.109375" style="1"/>
    <col min="14303" max="14303" customWidth="0" width="3.109375" style="1"/>
    <col min="14304" max="14304" customWidth="0" width="3.109375" style="1"/>
    <col min="14305" max="14305" customWidth="0" width="3.109375" style="1"/>
    <col min="14306" max="14306" customWidth="0" width="3.109375" style="1"/>
    <col min="14307" max="14307" customWidth="0" width="3.109375" style="1"/>
    <col min="14308" max="14308" customWidth="0" width="3.109375" style="1"/>
    <col min="14309" max="14309" customWidth="0" width="3.109375" style="1"/>
    <col min="14310" max="14310" customWidth="0" width="3.109375" style="1"/>
    <col min="14311" max="14311" customWidth="0" width="3.109375" style="1"/>
    <col min="14312" max="14312" customWidth="0" width="3.109375" style="1"/>
    <col min="14313" max="14313" customWidth="0" width="3.109375" style="1"/>
    <col min="14314" max="14314" customWidth="0" width="3.109375" style="1"/>
    <col min="14315" max="14315" customWidth="0" width="3.109375" style="1"/>
    <col min="14316" max="14316" customWidth="0" width="3.109375" style="1"/>
    <col min="14317" max="14317" customWidth="0" width="3.109375" style="1"/>
    <col min="14318" max="14318" customWidth="0" width="3.109375" style="1"/>
    <col min="14319" max="14319" customWidth="0" width="3.109375" style="1"/>
    <col min="14320" max="14320" customWidth="0" width="3.109375" style="1"/>
    <col min="14321" max="14321" customWidth="0" width="3.109375" style="1"/>
    <col min="14322" max="14322" customWidth="0" width="3.109375" style="1"/>
    <col min="14323" max="14323" customWidth="0" width="3.109375" style="1"/>
    <col min="14324" max="14324" customWidth="0" width="3.109375" style="1"/>
    <col min="14325" max="14325" customWidth="0" width="3.109375" style="1"/>
    <col min="14326" max="14326" customWidth="0" width="3.109375" style="1"/>
    <col min="14327" max="14327" customWidth="0" width="3.109375" style="1"/>
    <col min="14328" max="14328" customWidth="0" width="3.109375" style="1"/>
    <col min="14329" max="14329" customWidth="0" width="3.109375" style="1"/>
    <col min="14330" max="14330" customWidth="0" width="3.109375" style="1"/>
    <col min="14331" max="14331" customWidth="0" width="3.109375" style="1"/>
    <col min="14332" max="14332" customWidth="0" width="3.109375" style="1"/>
    <col min="14333" max="14333" customWidth="0" width="3.109375" style="1"/>
    <col min="14334" max="14334" customWidth="0" width="3.109375" style="1"/>
    <col min="14335" max="14335" customWidth="0" width="3.109375" style="1"/>
    <col min="14336" max="14336" customWidth="0" width="3.109375" style="1"/>
    <col min="14337" max="14337" customWidth="0" width="3.109375" style="1"/>
    <col min="14338" max="14338" customWidth="0" width="3.109375" style="1"/>
    <col min="14339" max="14339" customWidth="0" width="3.109375" style="1"/>
    <col min="14340" max="14340" customWidth="0" width="3.109375" style="1"/>
    <col min="14341" max="14341" customWidth="0" width="3.109375" style="1"/>
    <col min="14342" max="14342" customWidth="0" width="3.109375" style="1"/>
    <col min="14343" max="14343" customWidth="0" width="3.109375" style="1"/>
    <col min="14344" max="14344" customWidth="0" width="3.109375" style="1"/>
    <col min="14345" max="14345" customWidth="0" width="3.109375" style="1"/>
    <col min="14346" max="14346" customWidth="0" width="3.109375" style="1"/>
    <col min="14347" max="14347" customWidth="0" width="3.109375" style="1"/>
    <col min="14348" max="14348" customWidth="0" width="3.109375" style="1"/>
    <col min="14349" max="14349" customWidth="0" width="3.109375" style="1"/>
    <col min="14350" max="14350" customWidth="0" width="3.109375" style="1"/>
    <col min="14351" max="14351" customWidth="0" width="3.109375" style="1"/>
    <col min="14352" max="14352" customWidth="0" width="3.109375" style="1"/>
    <col min="14353" max="14353" customWidth="0" width="3.109375" style="1"/>
    <col min="14354" max="14354" customWidth="0" width="3.109375" style="1"/>
    <col min="14355" max="14355" customWidth="0" width="3.109375" style="1"/>
    <col min="14356" max="14356" customWidth="0" width="3.109375" style="1"/>
    <col min="14357" max="14357" customWidth="0" width="3.109375" style="1"/>
    <col min="14358" max="14358" customWidth="0" width="3.109375" style="1"/>
    <col min="14359" max="14359" customWidth="0" width="3.109375" style="1"/>
    <col min="14360" max="14360" customWidth="0" width="3.109375" style="1"/>
    <col min="14361" max="14361" customWidth="0" width="3.109375" style="1"/>
    <col min="14362" max="14362" customWidth="0" width="3.109375" style="1"/>
    <col min="14363" max="14363" customWidth="0" width="3.109375" style="1"/>
    <col min="14364" max="14364" customWidth="0" width="3.109375" style="1"/>
    <col min="14365" max="14365" customWidth="0" width="3.109375" style="1"/>
    <col min="14366" max="14366" customWidth="0" width="3.109375" style="1"/>
    <col min="14367" max="14367" customWidth="0" width="3.109375" style="1"/>
    <col min="14368" max="14368" customWidth="0" width="3.109375" style="1"/>
    <col min="14369" max="14369" customWidth="0" width="3.109375" style="1"/>
    <col min="14370" max="14370" customWidth="0" width="3.109375" style="1"/>
    <col min="14371" max="14371" customWidth="0" width="3.109375" style="1"/>
    <col min="14372" max="14372" customWidth="0" width="3.109375" style="1"/>
    <col min="14373" max="14373" customWidth="0" width="3.109375" style="1"/>
    <col min="14374" max="14374" customWidth="0" width="3.109375" style="1"/>
    <col min="14375" max="14375" customWidth="0" width="3.109375" style="1"/>
    <col min="14376" max="14376" customWidth="0" width="3.109375" style="1"/>
    <col min="14377" max="14377" customWidth="0" width="3.109375" style="1"/>
    <col min="14378" max="14378" customWidth="0" width="3.109375" style="1"/>
    <col min="14379" max="14379" customWidth="0" width="3.109375" style="1"/>
    <col min="14380" max="14380" customWidth="0" width="3.109375" style="1"/>
    <col min="14381" max="14381" customWidth="0" width="3.109375" style="1"/>
    <col min="14382" max="14382" customWidth="0" width="3.109375" style="1"/>
    <col min="14383" max="14383" customWidth="0" width="3.109375" style="1"/>
    <col min="14384" max="14384" customWidth="0" width="3.109375" style="1"/>
    <col min="14385" max="14385" customWidth="0" width="3.109375" style="1"/>
    <col min="14386" max="14386" customWidth="0" width="3.109375" style="1"/>
    <col min="14387" max="14387" customWidth="0" width="3.109375" style="1"/>
    <col min="14388" max="14388" customWidth="0" width="3.109375" style="1"/>
    <col min="14389" max="14389" customWidth="0" width="3.109375" style="1"/>
    <col min="14390" max="14390" customWidth="0" width="3.109375" style="1"/>
    <col min="14391" max="14391" customWidth="0" width="3.109375" style="1"/>
    <col min="14392" max="14392" customWidth="0" width="3.109375" style="1"/>
    <col min="14393" max="14393" customWidth="0" width="3.109375" style="1"/>
    <col min="14394" max="14394" customWidth="0" width="3.109375" style="1"/>
    <col min="14395" max="14395" customWidth="0" width="3.109375" style="1"/>
    <col min="14396" max="14396" customWidth="0" width="3.109375" style="1"/>
    <col min="14397" max="14397" customWidth="0" width="3.109375" style="1"/>
    <col min="14398" max="14398" customWidth="0" width="3.109375" style="1"/>
    <col min="14399" max="14399" customWidth="0" width="3.109375" style="1"/>
    <col min="14400" max="14400" customWidth="0" width="3.109375" style="1"/>
    <col min="14401" max="14401" customWidth="0" width="3.109375" style="1"/>
    <col min="14402" max="14402" customWidth="0" width="3.109375" style="1"/>
    <col min="14403" max="14403" customWidth="0" width="3.109375" style="1"/>
    <col min="14404" max="14404" customWidth="0" width="3.109375" style="1"/>
    <col min="14405" max="14405" customWidth="0" width="3.109375" style="1"/>
    <col min="14406" max="14406" customWidth="0" width="3.109375" style="1"/>
    <col min="14407" max="14407" customWidth="0" width="3.109375" style="1"/>
    <col min="14408" max="14408" customWidth="0" width="3.109375" style="1"/>
    <col min="14409" max="14409" customWidth="0" width="3.109375" style="1"/>
    <col min="14410" max="14410" customWidth="0" width="3.109375" style="1"/>
    <col min="14411" max="14411" customWidth="0" width="3.109375" style="1"/>
    <col min="14412" max="14412" customWidth="0" width="3.109375" style="1"/>
    <col min="14413" max="14413" customWidth="0" width="3.109375" style="1"/>
    <col min="14414" max="14414" customWidth="0" width="3.109375" style="1"/>
    <col min="14415" max="14415" customWidth="0" width="3.109375" style="1"/>
    <col min="14416" max="14416" customWidth="0" width="3.109375" style="1"/>
    <col min="14417" max="14417" customWidth="0" width="3.109375" style="1"/>
    <col min="14418" max="14418" customWidth="0" width="3.109375" style="1"/>
    <col min="14419" max="14419" customWidth="0" width="3.109375" style="1"/>
    <col min="14420" max="14420" customWidth="0" width="3.109375" style="1"/>
    <col min="14421" max="14421" customWidth="0" width="3.109375" style="1"/>
    <col min="14422" max="14422" customWidth="0" width="3.109375" style="1"/>
    <col min="14423" max="14423" customWidth="0" width="3.109375" style="1"/>
    <col min="14424" max="14424" customWidth="0" width="3.109375" style="1"/>
    <col min="14425" max="14425" customWidth="0" width="3.109375" style="1"/>
    <col min="14426" max="14426" customWidth="0" width="3.109375" style="1"/>
    <col min="14427" max="14427" customWidth="0" width="3.109375" style="1"/>
    <col min="14428" max="14428" customWidth="0" width="3.109375" style="1"/>
    <col min="14429" max="14429" customWidth="0" width="3.109375" style="1"/>
    <col min="14430" max="14430" customWidth="0" width="3.109375" style="1"/>
    <col min="14431" max="14431" customWidth="0" width="3.109375" style="1"/>
    <col min="14432" max="14432" customWidth="0" width="3.109375" style="1"/>
    <col min="14433" max="14433" customWidth="0" width="3.109375" style="1"/>
    <col min="14434" max="14434" customWidth="0" width="3.109375" style="1"/>
    <col min="14435" max="14435" customWidth="0" width="3.109375" style="1"/>
    <col min="14436" max="14436" customWidth="0" width="3.109375" style="1"/>
    <col min="14437" max="14437" customWidth="0" width="3.109375" style="1"/>
    <col min="14438" max="14438" customWidth="0" width="3.109375" style="1"/>
    <col min="14439" max="14439" customWidth="0" width="3.109375" style="1"/>
    <col min="14440" max="14440" customWidth="0" width="3.109375" style="1"/>
    <col min="14441" max="14441" customWidth="0" width="3.109375" style="1"/>
    <col min="14442" max="14442" customWidth="0" width="3.109375" style="1"/>
    <col min="14443" max="14443" customWidth="0" width="3.109375" style="1"/>
    <col min="14444" max="14444" customWidth="0" width="3.109375" style="1"/>
    <col min="14445" max="14445" customWidth="0" width="3.109375" style="1"/>
    <col min="14446" max="14446" customWidth="0" width="3.109375" style="1"/>
    <col min="14447" max="14447" customWidth="0" width="3.109375" style="1"/>
    <col min="14448" max="14448" customWidth="0" width="3.109375" style="1"/>
    <col min="14449" max="14449" customWidth="0" width="3.109375" style="1"/>
    <col min="14450" max="14450" customWidth="0" width="3.109375" style="1"/>
    <col min="14451" max="14451" customWidth="0" width="3.109375" style="1"/>
    <col min="14452" max="14452" customWidth="0" width="3.109375" style="1"/>
    <col min="14453" max="14453" customWidth="0" width="3.109375" style="1"/>
    <col min="14454" max="14454" customWidth="0" width="3.109375" style="1"/>
    <col min="14455" max="14455" customWidth="0" width="3.109375" style="1"/>
    <col min="14456" max="14456" customWidth="0" width="3.109375" style="1"/>
    <col min="14457" max="14457" customWidth="0" width="3.109375" style="1"/>
    <col min="14458" max="14458" customWidth="0" width="3.109375" style="1"/>
    <col min="14459" max="14459" customWidth="0" width="3.109375" style="1"/>
    <col min="14460" max="14460" customWidth="0" width="3.109375" style="1"/>
    <col min="14461" max="14461" customWidth="0" width="3.109375" style="1"/>
    <col min="14462" max="14462" customWidth="0" width="3.109375" style="1"/>
    <col min="14463" max="14463" customWidth="0" width="3.109375" style="1"/>
    <col min="14464" max="14464" customWidth="0" width="3.109375" style="1"/>
    <col min="14465" max="14465" customWidth="0" width="3.109375" style="1"/>
    <col min="14466" max="14466" customWidth="0" width="3.109375" style="1"/>
    <col min="14467" max="14467" customWidth="0" width="3.109375" style="1"/>
    <col min="14468" max="14468" customWidth="0" width="3.109375" style="1"/>
    <col min="14469" max="14469" customWidth="0" width="3.109375" style="1"/>
    <col min="14470" max="14470" customWidth="0" width="3.109375" style="1"/>
    <col min="14471" max="14471" customWidth="0" width="3.109375" style="1"/>
    <col min="14472" max="14472" customWidth="0" width="3.109375" style="1"/>
    <col min="14473" max="14473" customWidth="0" width="3.109375" style="1"/>
    <col min="14474" max="14474" customWidth="0" width="3.109375" style="1"/>
    <col min="14475" max="14475" customWidth="0" width="3.109375" style="1"/>
    <col min="14476" max="14476" customWidth="0" width="3.109375" style="1"/>
    <col min="14477" max="14477" customWidth="0" width="3.109375" style="1"/>
    <col min="14478" max="14478" customWidth="0" width="3.109375" style="1"/>
    <col min="14479" max="14479" customWidth="0" width="3.109375" style="1"/>
    <col min="14480" max="14480" customWidth="0" width="3.109375" style="1"/>
    <col min="14481" max="14481" customWidth="0" width="3.109375" style="1"/>
    <col min="14482" max="14482" customWidth="0" width="3.109375" style="1"/>
    <col min="14483" max="14483" customWidth="0" width="3.109375" style="1"/>
    <col min="14484" max="14484" customWidth="0" width="3.109375" style="1"/>
    <col min="14485" max="14485" customWidth="0" width="3.109375" style="1"/>
    <col min="14486" max="14486" customWidth="0" width="3.109375" style="1"/>
    <col min="14487" max="14487" customWidth="0" width="3.109375" style="1"/>
    <col min="14488" max="14488" customWidth="0" width="3.109375" style="1"/>
    <col min="14489" max="14489" customWidth="0" width="3.109375" style="1"/>
    <col min="14490" max="14490" customWidth="0" width="3.109375" style="1"/>
    <col min="14491" max="14491" customWidth="0" width="3.109375" style="1"/>
    <col min="14492" max="14492" customWidth="0" width="3.109375" style="1"/>
    <col min="14493" max="14493" customWidth="0" width="3.109375" style="1"/>
    <col min="14494" max="14494" customWidth="0" width="3.109375" style="1"/>
    <col min="14495" max="14495" customWidth="0" width="3.109375" style="1"/>
    <col min="14496" max="14496" customWidth="0" width="3.109375" style="1"/>
    <col min="14497" max="14497" customWidth="0" width="3.109375" style="1"/>
    <col min="14498" max="14498" customWidth="0" width="3.109375" style="1"/>
    <col min="14499" max="14499" customWidth="0" width="3.109375" style="1"/>
    <col min="14500" max="14500" customWidth="0" width="3.109375" style="1"/>
    <col min="14501" max="14501" customWidth="0" width="3.109375" style="1"/>
    <col min="14502" max="14502" customWidth="0" width="3.109375" style="1"/>
    <col min="14503" max="14503" customWidth="0" width="3.109375" style="1"/>
    <col min="14504" max="14504" customWidth="0" width="3.109375" style="1"/>
    <col min="14505" max="14505" customWidth="0" width="3.109375" style="1"/>
    <col min="14506" max="14506" customWidth="0" width="3.109375" style="1"/>
    <col min="14507" max="14507" customWidth="0" width="3.109375" style="1"/>
    <col min="14508" max="14508" customWidth="0" width="3.109375" style="1"/>
    <col min="14509" max="14509" customWidth="0" width="3.109375" style="1"/>
    <col min="14510" max="14510" customWidth="0" width="3.109375" style="1"/>
    <col min="14511" max="14511" customWidth="0" width="3.109375" style="1"/>
    <col min="14512" max="14512" customWidth="0" width="3.109375" style="1"/>
    <col min="14513" max="14513" customWidth="0" width="3.109375" style="1"/>
    <col min="14514" max="14514" customWidth="0" width="3.109375" style="1"/>
    <col min="14515" max="14515" customWidth="0" width="3.109375" style="1"/>
    <col min="14516" max="14516" customWidth="0" width="3.109375" style="1"/>
    <col min="14517" max="14517" customWidth="0" width="3.109375" style="1"/>
    <col min="14518" max="14518" customWidth="0" width="3.109375" style="1"/>
    <col min="14519" max="14519" customWidth="0" width="3.109375" style="1"/>
    <col min="14520" max="14520" customWidth="0" width="3.109375" style="1"/>
    <col min="14521" max="14521" customWidth="0" width="3.109375" style="1"/>
    <col min="14522" max="14522" customWidth="0" width="3.109375" style="1"/>
    <col min="14523" max="14523" customWidth="0" width="3.109375" style="1"/>
    <col min="14524" max="14524" customWidth="0" width="3.109375" style="1"/>
    <col min="14525" max="14525" customWidth="0" width="3.109375" style="1"/>
    <col min="14526" max="14526" customWidth="0" width="3.109375" style="1"/>
    <col min="14527" max="14527" customWidth="0" width="3.109375" style="1"/>
    <col min="14528" max="14528" customWidth="0" width="3.109375" style="1"/>
    <col min="14529" max="14529" customWidth="0" width="3.109375" style="1"/>
    <col min="14530" max="14530" customWidth="0" width="3.109375" style="1"/>
    <col min="14531" max="14531" customWidth="0" width="3.109375" style="1"/>
    <col min="14532" max="14532" customWidth="0" width="3.109375" style="1"/>
    <col min="14533" max="14533" customWidth="0" width="3.109375" style="1"/>
    <col min="14534" max="14534" customWidth="0" width="3.109375" style="1"/>
    <col min="14535" max="14535" customWidth="0" width="3.109375" style="1"/>
    <col min="14536" max="14536" customWidth="0" width="3.109375" style="1"/>
    <col min="14537" max="14537" customWidth="0" width="3.109375" style="1"/>
    <col min="14538" max="14538" customWidth="0" width="3.109375" style="1"/>
    <col min="14539" max="14539" customWidth="0" width="3.109375" style="1"/>
    <col min="14540" max="14540" customWidth="0" width="3.109375" style="1"/>
    <col min="14541" max="14541" customWidth="0" width="3.109375" style="1"/>
    <col min="14542" max="14542" customWidth="0" width="3.109375" style="1"/>
    <col min="14543" max="14543" customWidth="0" width="3.109375" style="1"/>
    <col min="14544" max="14544" customWidth="0" width="3.109375" style="1"/>
    <col min="14545" max="14545" customWidth="0" width="3.109375" style="1"/>
    <col min="14546" max="14546" customWidth="0" width="3.109375" style="1"/>
    <col min="14547" max="14547" customWidth="0" width="3.109375" style="1"/>
    <col min="14548" max="14548" customWidth="0" width="3.109375" style="1"/>
    <col min="14549" max="14549" customWidth="0" width="3.109375" style="1"/>
    <col min="14550" max="14550" customWidth="0" width="3.109375" style="1"/>
    <col min="14551" max="14551" customWidth="0" width="3.109375" style="1"/>
    <col min="14552" max="14552" customWidth="0" width="3.109375" style="1"/>
    <col min="14553" max="14553" customWidth="0" width="3.109375" style="1"/>
    <col min="14554" max="14554" customWidth="0" width="3.109375" style="1"/>
    <col min="14555" max="14555" customWidth="0" width="3.109375" style="1"/>
    <col min="14556" max="14556" customWidth="0" width="3.109375" style="1"/>
    <col min="14557" max="14557" customWidth="0" width="3.109375" style="1"/>
    <col min="14558" max="14558" customWidth="0" width="3.109375" style="1"/>
    <col min="14559" max="14559" customWidth="0" width="3.109375" style="1"/>
    <col min="14560" max="14560" customWidth="0" width="3.109375" style="1"/>
    <col min="14561" max="14561" customWidth="0" width="3.109375" style="1"/>
    <col min="14562" max="14562" customWidth="0" width="3.109375" style="1"/>
    <col min="14563" max="14563" customWidth="0" width="3.109375" style="1"/>
    <col min="14564" max="14564" customWidth="0" width="3.109375" style="1"/>
    <col min="14565" max="14565" customWidth="0" width="3.109375" style="1"/>
    <col min="14566" max="14566" customWidth="0" width="3.109375" style="1"/>
    <col min="14567" max="14567" customWidth="0" width="3.109375" style="1"/>
    <col min="14568" max="14568" customWidth="0" width="3.109375" style="1"/>
    <col min="14569" max="14569" customWidth="0" width="3.109375" style="1"/>
    <col min="14570" max="14570" customWidth="0" width="3.109375" style="1"/>
    <col min="14571" max="14571" customWidth="0" width="3.109375" style="1"/>
    <col min="14572" max="14572" customWidth="0" width="3.109375" style="1"/>
    <col min="14573" max="14573" customWidth="0" width="3.109375" style="1"/>
    <col min="14574" max="14574" customWidth="0" width="3.109375" style="1"/>
    <col min="14575" max="14575" customWidth="0" width="3.109375" style="1"/>
    <col min="14576" max="14576" customWidth="0" width="3.109375" style="1"/>
    <col min="14577" max="14577" customWidth="0" width="3.109375" style="1"/>
    <col min="14578" max="14578" customWidth="0" width="3.109375" style="1"/>
    <col min="14579" max="14579" customWidth="0" width="3.109375" style="1"/>
    <col min="14580" max="14580" customWidth="0" width="3.109375" style="1"/>
    <col min="14581" max="14581" customWidth="0" width="3.109375" style="1"/>
    <col min="14582" max="14582" customWidth="0" width="3.109375" style="1"/>
    <col min="14583" max="14583" customWidth="0" width="3.109375" style="1"/>
    <col min="14584" max="14584" customWidth="0" width="3.109375" style="1"/>
    <col min="14585" max="14585" customWidth="0" width="3.109375" style="1"/>
    <col min="14586" max="14586" customWidth="0" width="3.109375" style="1"/>
    <col min="14587" max="14587" customWidth="0" width="3.109375" style="1"/>
    <col min="14588" max="14588" customWidth="0" width="3.109375" style="1"/>
    <col min="14589" max="14589" customWidth="0" width="3.109375" style="1"/>
    <col min="14590" max="14590" customWidth="0" width="3.109375" style="1"/>
    <col min="14591" max="14591" customWidth="0" width="3.109375" style="1"/>
    <col min="14592" max="14592" customWidth="0" width="3.109375" style="1"/>
    <col min="14593" max="14593" customWidth="0" width="3.109375" style="1"/>
    <col min="14594" max="14594" customWidth="0" width="3.109375" style="1"/>
    <col min="14595" max="14595" customWidth="0" width="3.109375" style="1"/>
    <col min="14596" max="14596" customWidth="0" width="3.109375" style="1"/>
    <col min="14597" max="14597" customWidth="0" width="3.109375" style="1"/>
    <col min="14598" max="14598" customWidth="0" width="3.109375" style="1"/>
    <col min="14599" max="14599" customWidth="0" width="3.109375" style="1"/>
    <col min="14600" max="14600" customWidth="0" width="3.109375" style="1"/>
    <col min="14601" max="14601" customWidth="0" width="3.109375" style="1"/>
    <col min="14602" max="14602" customWidth="0" width="3.109375" style="1"/>
    <col min="14603" max="14603" customWidth="0" width="3.109375" style="1"/>
    <col min="14604" max="14604" customWidth="0" width="3.109375" style="1"/>
    <col min="14605" max="14605" customWidth="0" width="3.109375" style="1"/>
    <col min="14606" max="14606" customWidth="0" width="3.109375" style="1"/>
    <col min="14607" max="14607" customWidth="0" width="3.109375" style="1"/>
    <col min="14608" max="14608" customWidth="0" width="3.109375" style="1"/>
    <col min="14609" max="14609" customWidth="0" width="3.109375" style="1"/>
    <col min="14610" max="14610" customWidth="0" width="3.109375" style="1"/>
    <col min="14611" max="14611" customWidth="0" width="3.109375" style="1"/>
    <col min="14612" max="14612" customWidth="0" width="3.109375" style="1"/>
    <col min="14613" max="14613" customWidth="0" width="3.109375" style="1"/>
    <col min="14614" max="14614" customWidth="0" width="3.109375" style="1"/>
    <col min="14615" max="14615" customWidth="0" width="3.109375" style="1"/>
    <col min="14616" max="14616" customWidth="0" width="3.109375" style="1"/>
    <col min="14617" max="14617" customWidth="0" width="3.109375" style="1"/>
    <col min="14618" max="14618" customWidth="0" width="3.109375" style="1"/>
    <col min="14619" max="14619" customWidth="0" width="3.109375" style="1"/>
    <col min="14620" max="14620" customWidth="0" width="3.109375" style="1"/>
    <col min="14621" max="14621" customWidth="0" width="3.109375" style="1"/>
    <col min="14622" max="14622" customWidth="0" width="3.109375" style="1"/>
    <col min="14623" max="14623" customWidth="0" width="3.109375" style="1"/>
    <col min="14624" max="14624" customWidth="0" width="3.109375" style="1"/>
    <col min="14625" max="14625" customWidth="0" width="3.109375" style="1"/>
    <col min="14626" max="14626" customWidth="0" width="3.109375" style="1"/>
    <col min="14627" max="14627" customWidth="0" width="3.109375" style="1"/>
    <col min="14628" max="14628" customWidth="0" width="3.109375" style="1"/>
    <col min="14629" max="14629" customWidth="0" width="3.109375" style="1"/>
    <col min="14630" max="14630" customWidth="0" width="3.109375" style="1"/>
    <col min="14631" max="14631" customWidth="0" width="3.109375" style="1"/>
    <col min="14632" max="14632" customWidth="0" width="3.109375" style="1"/>
    <col min="14633" max="14633" customWidth="0" width="3.109375" style="1"/>
    <col min="14634" max="14634" customWidth="0" width="3.109375" style="1"/>
    <col min="14635" max="14635" customWidth="0" width="3.109375" style="1"/>
    <col min="14636" max="14636" customWidth="0" width="3.109375" style="1"/>
    <col min="14637" max="14637" customWidth="0" width="3.109375" style="1"/>
    <col min="14638" max="14638" customWidth="0" width="3.109375" style="1"/>
    <col min="14639" max="14639" customWidth="0" width="3.109375" style="1"/>
    <col min="14640" max="14640" customWidth="0" width="3.109375" style="1"/>
    <col min="14641" max="14641" customWidth="0" width="3.109375" style="1"/>
    <col min="14642" max="14642" customWidth="0" width="3.109375" style="1"/>
    <col min="14643" max="14643" customWidth="0" width="3.109375" style="1"/>
    <col min="14644" max="14644" customWidth="0" width="3.109375" style="1"/>
    <col min="14645" max="14645" customWidth="0" width="3.109375" style="1"/>
    <col min="14646" max="14646" customWidth="0" width="3.109375" style="1"/>
    <col min="14647" max="14647" customWidth="0" width="3.109375" style="1"/>
    <col min="14648" max="14648" customWidth="0" width="3.109375" style="1"/>
    <col min="14649" max="14649" customWidth="0" width="3.109375" style="1"/>
    <col min="14650" max="14650" customWidth="0" width="3.109375" style="1"/>
    <col min="14651" max="14651" customWidth="0" width="3.109375" style="1"/>
    <col min="14652" max="14652" customWidth="0" width="3.109375" style="1"/>
    <col min="14653" max="14653" customWidth="0" width="3.109375" style="1"/>
    <col min="14654" max="14654" customWidth="0" width="3.109375" style="1"/>
    <col min="14655" max="14655" customWidth="0" width="3.109375" style="1"/>
    <col min="14656" max="14656" customWidth="0" width="3.109375" style="1"/>
    <col min="14657" max="14657" customWidth="0" width="3.109375" style="1"/>
    <col min="14658" max="14658" customWidth="0" width="3.109375" style="1"/>
    <col min="14659" max="14659" customWidth="0" width="3.109375" style="1"/>
    <col min="14660" max="14660" customWidth="0" width="3.109375" style="1"/>
    <col min="14661" max="14661" customWidth="0" width="3.109375" style="1"/>
    <col min="14662" max="14662" customWidth="0" width="3.109375" style="1"/>
    <col min="14663" max="14663" customWidth="0" width="3.109375" style="1"/>
    <col min="14664" max="14664" customWidth="0" width="3.109375" style="1"/>
    <col min="14665" max="14665" customWidth="0" width="3.109375" style="1"/>
    <col min="14666" max="14666" customWidth="0" width="3.109375" style="1"/>
    <col min="14667" max="14667" customWidth="0" width="3.109375" style="1"/>
    <col min="14668" max="14668" customWidth="0" width="3.109375" style="1"/>
    <col min="14669" max="14669" customWidth="0" width="3.109375" style="1"/>
    <col min="14670" max="14670" customWidth="0" width="3.109375" style="1"/>
    <col min="14671" max="14671" customWidth="0" width="3.109375" style="1"/>
    <col min="14672" max="14672" customWidth="0" width="3.109375" style="1"/>
    <col min="14673" max="14673" customWidth="0" width="3.109375" style="1"/>
    <col min="14674" max="14674" customWidth="0" width="3.109375" style="1"/>
    <col min="14675" max="14675" customWidth="0" width="3.109375" style="1"/>
    <col min="14676" max="14676" customWidth="0" width="3.109375" style="1"/>
    <col min="14677" max="14677" customWidth="0" width="3.109375" style="1"/>
    <col min="14678" max="14678" customWidth="0" width="3.109375" style="1"/>
    <col min="14679" max="14679" customWidth="0" width="3.109375" style="1"/>
    <col min="14680" max="14680" customWidth="0" width="3.109375" style="1"/>
    <col min="14681" max="14681" customWidth="0" width="3.109375" style="1"/>
    <col min="14682" max="14682" customWidth="0" width="3.109375" style="1"/>
    <col min="14683" max="14683" customWidth="0" width="3.109375" style="1"/>
    <col min="14684" max="14684" customWidth="0" width="3.109375" style="1"/>
    <col min="14685" max="14685" customWidth="0" width="3.109375" style="1"/>
    <col min="14686" max="14686" customWidth="0" width="3.109375" style="1"/>
    <col min="14687" max="14687" customWidth="0" width="3.109375" style="1"/>
    <col min="14688" max="14688" customWidth="0" width="3.109375" style="1"/>
    <col min="14689" max="14689" customWidth="0" width="3.109375" style="1"/>
    <col min="14690" max="14690" customWidth="0" width="3.109375" style="1"/>
    <col min="14691" max="14691" customWidth="0" width="3.109375" style="1"/>
    <col min="14692" max="14692" customWidth="0" width="3.109375" style="1"/>
    <col min="14693" max="14693" customWidth="0" width="3.109375" style="1"/>
    <col min="14694" max="14694" customWidth="0" width="3.109375" style="1"/>
    <col min="14695" max="14695" customWidth="0" width="3.109375" style="1"/>
    <col min="14696" max="14696" customWidth="0" width="3.109375" style="1"/>
    <col min="14697" max="14697" customWidth="0" width="3.109375" style="1"/>
    <col min="14698" max="14698" customWidth="0" width="3.109375" style="1"/>
    <col min="14699" max="14699" customWidth="0" width="3.109375" style="1"/>
    <col min="14700" max="14700" customWidth="0" width="3.109375" style="1"/>
    <col min="14701" max="14701" customWidth="0" width="3.109375" style="1"/>
    <col min="14702" max="14702" customWidth="0" width="3.109375" style="1"/>
    <col min="14703" max="14703" customWidth="0" width="3.109375" style="1"/>
    <col min="14704" max="14704" customWidth="0" width="3.109375" style="1"/>
    <col min="14705" max="14705" customWidth="0" width="3.109375" style="1"/>
    <col min="14706" max="14706" customWidth="0" width="3.109375" style="1"/>
    <col min="14707" max="14707" customWidth="0" width="3.109375" style="1"/>
    <col min="14708" max="14708" customWidth="0" width="3.109375" style="1"/>
    <col min="14709" max="14709" customWidth="0" width="3.109375" style="1"/>
    <col min="14710" max="14710" customWidth="0" width="3.109375" style="1"/>
    <col min="14711" max="14711" customWidth="0" width="3.109375" style="1"/>
    <col min="14712" max="14712" customWidth="0" width="3.109375" style="1"/>
    <col min="14713" max="14713" customWidth="0" width="3.109375" style="1"/>
    <col min="14714" max="14714" customWidth="0" width="3.109375" style="1"/>
    <col min="14715" max="14715" customWidth="0" width="3.109375" style="1"/>
    <col min="14716" max="14716" customWidth="0" width="3.109375" style="1"/>
    <col min="14717" max="14717" customWidth="0" width="3.109375" style="1"/>
    <col min="14718" max="14718" customWidth="0" width="3.109375" style="1"/>
    <col min="14719" max="14719" customWidth="0" width="3.109375" style="1"/>
    <col min="14720" max="14720" customWidth="0" width="3.109375" style="1"/>
    <col min="14721" max="14721" customWidth="0" width="3.109375" style="1"/>
    <col min="14722" max="14722" customWidth="0" width="3.109375" style="1"/>
    <col min="14723" max="14723" customWidth="0" width="3.109375" style="1"/>
    <col min="14724" max="14724" customWidth="0" width="3.109375" style="1"/>
    <col min="14725" max="14725" customWidth="0" width="3.109375" style="1"/>
    <col min="14726" max="14726" customWidth="0" width="3.109375" style="1"/>
    <col min="14727" max="14727" customWidth="0" width="3.109375" style="1"/>
    <col min="14728" max="14728" customWidth="0" width="3.109375" style="1"/>
    <col min="14729" max="14729" customWidth="0" width="3.109375" style="1"/>
    <col min="14730" max="14730" customWidth="0" width="3.109375" style="1"/>
    <col min="14731" max="14731" customWidth="0" width="3.109375" style="1"/>
    <col min="14732" max="14732" customWidth="0" width="3.109375" style="1"/>
    <col min="14733" max="14733" customWidth="0" width="3.109375" style="1"/>
    <col min="14734" max="14734" customWidth="0" width="3.109375" style="1"/>
    <col min="14735" max="14735" customWidth="0" width="3.109375" style="1"/>
    <col min="14736" max="14736" customWidth="0" width="3.109375" style="1"/>
    <col min="14737" max="14737" customWidth="0" width="3.109375" style="1"/>
    <col min="14738" max="14738" customWidth="0" width="3.109375" style="1"/>
    <col min="14739" max="14739" customWidth="0" width="3.109375" style="1"/>
    <col min="14740" max="14740" customWidth="0" width="3.109375" style="1"/>
    <col min="14741" max="14741" customWidth="0" width="3.109375" style="1"/>
    <col min="14742" max="14742" customWidth="0" width="3.109375" style="1"/>
    <col min="14743" max="14743" customWidth="0" width="3.109375" style="1"/>
    <col min="14744" max="14744" customWidth="0" width="3.109375" style="1"/>
    <col min="14745" max="14745" customWidth="0" width="3.109375" style="1"/>
    <col min="14746" max="14746" customWidth="0" width="3.109375" style="1"/>
    <col min="14747" max="14747" customWidth="0" width="3.109375" style="1"/>
    <col min="14748" max="14748" customWidth="0" width="3.109375" style="1"/>
    <col min="14749" max="14749" customWidth="0" width="3.109375" style="1"/>
    <col min="14750" max="14750" customWidth="0" width="3.109375" style="1"/>
    <col min="14751" max="14751" customWidth="0" width="3.109375" style="1"/>
    <col min="14752" max="14752" customWidth="0" width="3.109375" style="1"/>
    <col min="14753" max="14753" customWidth="0" width="3.109375" style="1"/>
    <col min="14754" max="14754" customWidth="0" width="3.109375" style="1"/>
    <col min="14755" max="14755" customWidth="0" width="3.109375" style="1"/>
    <col min="14756" max="14756" customWidth="0" width="3.109375" style="1"/>
    <col min="14757" max="14757" customWidth="0" width="3.109375" style="1"/>
    <col min="14758" max="14758" customWidth="0" width="3.109375" style="1"/>
    <col min="14759" max="14759" customWidth="0" width="3.109375" style="1"/>
    <col min="14760" max="14760" customWidth="0" width="3.109375" style="1"/>
    <col min="14761" max="14761" customWidth="0" width="3.109375" style="1"/>
    <col min="14762" max="14762" customWidth="0" width="3.109375" style="1"/>
    <col min="14763" max="14763" customWidth="0" width="3.109375" style="1"/>
    <col min="14764" max="14764" customWidth="0" width="3.109375" style="1"/>
    <col min="14765" max="14765" customWidth="0" width="3.109375" style="1"/>
    <col min="14766" max="14766" customWidth="0" width="3.109375" style="1"/>
    <col min="14767" max="14767" customWidth="0" width="3.109375" style="1"/>
    <col min="14768" max="14768" customWidth="0" width="3.109375" style="1"/>
    <col min="14769" max="14769" customWidth="0" width="3.109375" style="1"/>
    <col min="14770" max="14770" customWidth="0" width="3.109375" style="1"/>
    <col min="14771" max="14771" customWidth="0" width="3.109375" style="1"/>
    <col min="14772" max="14772" customWidth="0" width="3.109375" style="1"/>
    <col min="14773" max="14773" customWidth="0" width="3.109375" style="1"/>
    <col min="14774" max="14774" customWidth="0" width="3.109375" style="1"/>
    <col min="14775" max="14775" customWidth="0" width="3.109375" style="1"/>
    <col min="14776" max="14776" customWidth="0" width="3.109375" style="1"/>
    <col min="14777" max="14777" customWidth="0" width="3.109375" style="1"/>
    <col min="14778" max="14778" customWidth="0" width="3.109375" style="1"/>
    <col min="14779" max="14779" customWidth="0" width="3.109375" style="1"/>
    <col min="14780" max="14780" customWidth="0" width="3.109375" style="1"/>
    <col min="14781" max="14781" customWidth="0" width="3.109375" style="1"/>
    <col min="14782" max="14782" customWidth="0" width="3.109375" style="1"/>
    <col min="14783" max="14783" customWidth="0" width="3.109375" style="1"/>
    <col min="14784" max="14784" customWidth="0" width="3.109375" style="1"/>
    <col min="14785" max="14785" customWidth="0" width="3.109375" style="1"/>
    <col min="14786" max="14786" customWidth="0" width="3.109375" style="1"/>
    <col min="14787" max="14787" customWidth="0" width="3.109375" style="1"/>
    <col min="14788" max="14788" customWidth="0" width="3.109375" style="1"/>
    <col min="14789" max="14789" customWidth="0" width="3.109375" style="1"/>
    <col min="14790" max="14790" customWidth="0" width="3.109375" style="1"/>
    <col min="14791" max="14791" customWidth="0" width="3.109375" style="1"/>
    <col min="14792" max="14792" customWidth="0" width="3.109375" style="1"/>
    <col min="14793" max="14793" customWidth="0" width="3.109375" style="1"/>
    <col min="14794" max="14794" customWidth="0" width="3.109375" style="1"/>
    <col min="14795" max="14795" customWidth="0" width="3.109375" style="1"/>
    <col min="14796" max="14796" customWidth="0" width="3.109375" style="1"/>
    <col min="14797" max="14797" customWidth="0" width="3.109375" style="1"/>
    <col min="14798" max="14798" customWidth="0" width="3.109375" style="1"/>
    <col min="14799" max="14799" customWidth="0" width="3.109375" style="1"/>
    <col min="14800" max="14800" customWidth="0" width="3.109375" style="1"/>
    <col min="14801" max="14801" customWidth="0" width="3.109375" style="1"/>
    <col min="14802" max="14802" customWidth="0" width="3.109375" style="1"/>
    <col min="14803" max="14803" customWidth="0" width="3.109375" style="1"/>
    <col min="14804" max="14804" customWidth="0" width="3.109375" style="1"/>
    <col min="14805" max="14805" customWidth="0" width="3.109375" style="1"/>
    <col min="14806" max="14806" customWidth="0" width="3.109375" style="1"/>
    <col min="14807" max="14807" customWidth="0" width="3.109375" style="1"/>
    <col min="14808" max="14808" customWidth="0" width="3.109375" style="1"/>
    <col min="14809" max="14809" customWidth="0" width="3.109375" style="1"/>
    <col min="14810" max="14810" customWidth="0" width="3.109375" style="1"/>
    <col min="14811" max="14811" customWidth="0" width="3.109375" style="1"/>
    <col min="14812" max="14812" customWidth="0" width="3.109375" style="1"/>
    <col min="14813" max="14813" customWidth="0" width="3.109375" style="1"/>
    <col min="14814" max="14814" customWidth="0" width="3.109375" style="1"/>
    <col min="14815" max="14815" customWidth="0" width="3.109375" style="1"/>
    <col min="14816" max="14816" customWidth="0" width="3.109375" style="1"/>
    <col min="14817" max="14817" customWidth="0" width="3.109375" style="1"/>
    <col min="14818" max="14818" customWidth="0" width="3.109375" style="1"/>
    <col min="14819" max="14819" customWidth="0" width="3.109375" style="1"/>
    <col min="14820" max="14820" customWidth="0" width="3.109375" style="1"/>
    <col min="14821" max="14821" customWidth="0" width="3.109375" style="1"/>
    <col min="14822" max="14822" customWidth="0" width="3.109375" style="1"/>
    <col min="14823" max="14823" customWidth="0" width="3.109375" style="1"/>
    <col min="14824" max="14824" customWidth="0" width="3.109375" style="1"/>
    <col min="14825" max="14825" customWidth="0" width="3.109375" style="1"/>
    <col min="14826" max="14826" customWidth="0" width="3.109375" style="1"/>
    <col min="14827" max="14827" customWidth="0" width="3.109375" style="1"/>
    <col min="14828" max="14828" customWidth="0" width="3.109375" style="1"/>
    <col min="14829" max="14829" customWidth="0" width="3.109375" style="1"/>
    <col min="14830" max="14830" customWidth="0" width="3.109375" style="1"/>
    <col min="14831" max="14831" customWidth="0" width="3.109375" style="1"/>
    <col min="14832" max="14832" customWidth="0" width="3.109375" style="1"/>
    <col min="14833" max="14833" customWidth="0" width="3.109375" style="1"/>
    <col min="14834" max="14834" customWidth="0" width="3.109375" style="1"/>
    <col min="14835" max="14835" customWidth="0" width="3.109375" style="1"/>
    <col min="14836" max="14836" customWidth="0" width="3.109375" style="1"/>
    <col min="14837" max="14837" customWidth="0" width="3.109375" style="1"/>
    <col min="14838" max="14838" customWidth="0" width="3.109375" style="1"/>
    <col min="14839" max="14839" customWidth="0" width="3.109375" style="1"/>
    <col min="14840" max="14840" customWidth="0" width="3.109375" style="1"/>
    <col min="14841" max="14841" customWidth="0" width="3.109375" style="1"/>
    <col min="14842" max="14842" customWidth="0" width="3.109375" style="1"/>
    <col min="14843" max="14843" customWidth="0" width="3.109375" style="1"/>
    <col min="14844" max="14844" customWidth="0" width="3.109375" style="1"/>
    <col min="14845" max="14845" customWidth="0" width="3.109375" style="1"/>
    <col min="14846" max="14846" customWidth="0" width="3.109375" style="1"/>
    <col min="14847" max="14847" customWidth="0" width="3.109375" style="1"/>
    <col min="14848" max="14848" customWidth="0" width="3.109375" style="1"/>
    <col min="14849" max="14849" customWidth="0" width="3.109375" style="1"/>
    <col min="14850" max="14850" customWidth="0" width="3.109375" style="1"/>
    <col min="14851" max="14851" customWidth="0" width="3.109375" style="1"/>
    <col min="14852" max="14852" customWidth="0" width="3.109375" style="1"/>
    <col min="14853" max="14853" customWidth="0" width="3.109375" style="1"/>
    <col min="14854" max="14854" customWidth="0" width="3.109375" style="1"/>
    <col min="14855" max="14855" customWidth="0" width="3.109375" style="1"/>
    <col min="14856" max="14856" customWidth="0" width="3.109375" style="1"/>
    <col min="14857" max="14857" customWidth="0" width="3.109375" style="1"/>
    <col min="14858" max="14858" customWidth="0" width="3.109375" style="1"/>
    <col min="14859" max="14859" customWidth="0" width="3.109375" style="1"/>
    <col min="14860" max="14860" customWidth="0" width="3.109375" style="1"/>
    <col min="14861" max="14861" customWidth="0" width="3.109375" style="1"/>
    <col min="14862" max="14862" customWidth="0" width="3.109375" style="1"/>
    <col min="14863" max="14863" customWidth="0" width="3.109375" style="1"/>
    <col min="14864" max="14864" customWidth="0" width="3.109375" style="1"/>
    <col min="14865" max="14865" customWidth="0" width="3.109375" style="1"/>
    <col min="14866" max="14866" customWidth="0" width="3.109375" style="1"/>
    <col min="14867" max="14867" customWidth="0" width="3.109375" style="1"/>
    <col min="14868" max="14868" customWidth="0" width="3.109375" style="1"/>
    <col min="14869" max="14869" customWidth="0" width="3.109375" style="1"/>
    <col min="14870" max="14870" customWidth="0" width="3.109375" style="1"/>
    <col min="14871" max="14871" customWidth="0" width="3.109375" style="1"/>
    <col min="14872" max="14872" customWidth="0" width="3.109375" style="1"/>
    <col min="14873" max="14873" customWidth="0" width="3.109375" style="1"/>
    <col min="14874" max="14874" customWidth="0" width="3.109375" style="1"/>
    <col min="14875" max="14875" customWidth="0" width="3.109375" style="1"/>
    <col min="14876" max="14876" customWidth="0" width="3.109375" style="1"/>
    <col min="14877" max="14877" customWidth="0" width="3.109375" style="1"/>
    <col min="14878" max="14878" customWidth="0" width="3.109375" style="1"/>
    <col min="14879" max="14879" customWidth="0" width="3.109375" style="1"/>
    <col min="14880" max="14880" customWidth="0" width="3.109375" style="1"/>
    <col min="14881" max="14881" customWidth="0" width="3.109375" style="1"/>
    <col min="14882" max="14882" customWidth="0" width="3.109375" style="1"/>
    <col min="14883" max="14883" customWidth="0" width="3.109375" style="1"/>
    <col min="14884" max="14884" customWidth="0" width="3.109375" style="1"/>
    <col min="14885" max="14885" customWidth="0" width="3.109375" style="1"/>
    <col min="14886" max="14886" customWidth="0" width="3.109375" style="1"/>
    <col min="14887" max="14887" customWidth="0" width="3.109375" style="1"/>
    <col min="14888" max="14888" customWidth="0" width="3.109375" style="1"/>
    <col min="14889" max="14889" customWidth="0" width="3.109375" style="1"/>
    <col min="14890" max="14890" customWidth="0" width="3.109375" style="1"/>
    <col min="14891" max="14891" customWidth="0" width="3.109375" style="1"/>
    <col min="14892" max="14892" customWidth="0" width="3.109375" style="1"/>
    <col min="14893" max="14893" customWidth="0" width="3.109375" style="1"/>
    <col min="14894" max="14894" customWidth="0" width="3.109375" style="1"/>
    <col min="14895" max="14895" customWidth="0" width="3.109375" style="1"/>
    <col min="14896" max="14896" customWidth="0" width="3.109375" style="1"/>
    <col min="14897" max="14897" customWidth="0" width="3.109375" style="1"/>
    <col min="14898" max="14898" customWidth="0" width="3.109375" style="1"/>
    <col min="14899" max="14899" customWidth="0" width="3.109375" style="1"/>
    <col min="14900" max="14900" customWidth="0" width="3.109375" style="1"/>
    <col min="14901" max="14901" customWidth="0" width="3.109375" style="1"/>
    <col min="14902" max="14902" customWidth="0" width="3.109375" style="1"/>
    <col min="14903" max="14903" customWidth="0" width="3.109375" style="1"/>
    <col min="14904" max="14904" customWidth="0" width="3.109375" style="1"/>
    <col min="14905" max="14905" customWidth="0" width="3.109375" style="1"/>
    <col min="14906" max="14906" customWidth="0" width="3.109375" style="1"/>
    <col min="14907" max="14907" customWidth="0" width="3.109375" style="1"/>
    <col min="14908" max="14908" customWidth="0" width="3.109375" style="1"/>
    <col min="14909" max="14909" customWidth="0" width="3.109375" style="1"/>
    <col min="14910" max="14910" customWidth="0" width="3.109375" style="1"/>
    <col min="14911" max="14911" customWidth="0" width="3.109375" style="1"/>
    <col min="14912" max="14912" customWidth="0" width="3.109375" style="1"/>
    <col min="14913" max="14913" customWidth="0" width="3.109375" style="1"/>
    <col min="14914" max="14914" customWidth="0" width="3.109375" style="1"/>
    <col min="14915" max="14915" customWidth="0" width="3.109375" style="1"/>
    <col min="14916" max="14916" customWidth="0" width="3.109375" style="1"/>
    <col min="14917" max="14917" customWidth="0" width="3.109375" style="1"/>
    <col min="14918" max="14918" customWidth="0" width="3.109375" style="1"/>
    <col min="14919" max="14919" customWidth="0" width="3.109375" style="1"/>
    <col min="14920" max="14920" customWidth="0" width="3.109375" style="1"/>
    <col min="14921" max="14921" customWidth="0" width="3.109375" style="1"/>
    <col min="14922" max="14922" customWidth="0" width="3.109375" style="1"/>
    <col min="14923" max="14923" customWidth="0" width="3.109375" style="1"/>
    <col min="14924" max="14924" customWidth="0" width="3.109375" style="1"/>
    <col min="14925" max="14925" customWidth="0" width="3.109375" style="1"/>
    <col min="14926" max="14926" customWidth="0" width="3.109375" style="1"/>
    <col min="14927" max="14927" customWidth="0" width="3.109375" style="1"/>
    <col min="14928" max="14928" customWidth="0" width="3.109375" style="1"/>
    <col min="14929" max="14929" customWidth="0" width="3.109375" style="1"/>
    <col min="14930" max="14930" customWidth="0" width="3.109375" style="1"/>
    <col min="14931" max="14931" customWidth="0" width="3.109375" style="1"/>
    <col min="14932" max="14932" customWidth="0" width="3.109375" style="1"/>
    <col min="14933" max="14933" customWidth="0" width="3.109375" style="1"/>
    <col min="14934" max="14934" customWidth="0" width="3.109375" style="1"/>
    <col min="14935" max="14935" customWidth="0" width="3.109375" style="1"/>
    <col min="14936" max="14936" customWidth="0" width="3.109375" style="1"/>
    <col min="14937" max="14937" customWidth="0" width="3.109375" style="1"/>
    <col min="14938" max="14938" customWidth="0" width="3.109375" style="1"/>
    <col min="14939" max="14939" customWidth="0" width="3.109375" style="1"/>
    <col min="14940" max="14940" customWidth="0" width="3.109375" style="1"/>
    <col min="14941" max="14941" customWidth="0" width="3.109375" style="1"/>
    <col min="14942" max="14942" customWidth="0" width="3.109375" style="1"/>
    <col min="14943" max="14943" customWidth="0" width="3.109375" style="1"/>
    <col min="14944" max="14944" customWidth="0" width="3.109375" style="1"/>
    <col min="14945" max="14945" customWidth="0" width="3.109375" style="1"/>
    <col min="14946" max="14946" customWidth="0" width="3.109375" style="1"/>
    <col min="14947" max="14947" customWidth="0" width="3.109375" style="1"/>
    <col min="14948" max="14948" customWidth="0" width="3.109375" style="1"/>
    <col min="14949" max="14949" customWidth="0" width="3.109375" style="1"/>
    <col min="14950" max="14950" customWidth="0" width="3.109375" style="1"/>
    <col min="14951" max="14951" customWidth="0" width="3.109375" style="1"/>
    <col min="14952" max="14952" customWidth="0" width="3.109375" style="1"/>
    <col min="14953" max="14953" customWidth="0" width="3.109375" style="1"/>
    <col min="14954" max="14954" customWidth="0" width="3.109375" style="1"/>
    <col min="14955" max="14955" customWidth="0" width="3.109375" style="1"/>
    <col min="14956" max="14956" customWidth="0" width="3.109375" style="1"/>
    <col min="14957" max="14957" customWidth="0" width="3.109375" style="1"/>
    <col min="14958" max="14958" customWidth="0" width="3.109375" style="1"/>
    <col min="14959" max="14959" customWidth="0" width="3.109375" style="1"/>
    <col min="14960" max="14960" customWidth="0" width="3.109375" style="1"/>
    <col min="14961" max="14961" customWidth="0" width="3.109375" style="1"/>
    <col min="14962" max="14962" customWidth="0" width="3.109375" style="1"/>
    <col min="14963" max="14963" customWidth="0" width="3.109375" style="1"/>
    <col min="14964" max="14964" customWidth="0" width="3.109375" style="1"/>
    <col min="14965" max="14965" customWidth="0" width="3.109375" style="1"/>
    <col min="14966" max="14966" customWidth="0" width="3.109375" style="1"/>
    <col min="14967" max="14967" customWidth="0" width="3.109375" style="1"/>
    <col min="14968" max="14968" customWidth="0" width="3.109375" style="1"/>
    <col min="14969" max="14969" customWidth="0" width="3.109375" style="1"/>
    <col min="14970" max="14970" customWidth="0" width="3.109375" style="1"/>
    <col min="14971" max="14971" customWidth="0" width="3.109375" style="1"/>
    <col min="14972" max="14972" customWidth="0" width="3.109375" style="1"/>
    <col min="14973" max="14973" customWidth="0" width="3.109375" style="1"/>
    <col min="14974" max="14974" customWidth="0" width="3.109375" style="1"/>
    <col min="14975" max="14975" customWidth="0" width="3.109375" style="1"/>
    <col min="14976" max="14976" customWidth="0" width="3.109375" style="1"/>
    <col min="14977" max="14977" customWidth="0" width="3.109375" style="1"/>
    <col min="14978" max="14978" customWidth="0" width="3.109375" style="1"/>
    <col min="14979" max="14979" customWidth="0" width="3.109375" style="1"/>
    <col min="14980" max="14980" customWidth="0" width="3.109375" style="1"/>
    <col min="14981" max="14981" customWidth="0" width="3.109375" style="1"/>
    <col min="14982" max="14982" customWidth="0" width="3.109375" style="1"/>
    <col min="14983" max="14983" customWidth="0" width="3.109375" style="1"/>
    <col min="14984" max="14984" customWidth="0" width="3.109375" style="1"/>
    <col min="14985" max="14985" customWidth="0" width="3.109375" style="1"/>
    <col min="14986" max="14986" customWidth="0" width="3.109375" style="1"/>
    <col min="14987" max="14987" customWidth="0" width="3.109375" style="1"/>
    <col min="14988" max="14988" customWidth="0" width="3.109375" style="1"/>
    <col min="14989" max="14989" customWidth="0" width="3.109375" style="1"/>
    <col min="14990" max="14990" customWidth="0" width="3.109375" style="1"/>
    <col min="14991" max="14991" customWidth="0" width="3.109375" style="1"/>
    <col min="14992" max="14992" customWidth="0" width="3.109375" style="1"/>
    <col min="14993" max="14993" customWidth="0" width="3.109375" style="1"/>
    <col min="14994" max="14994" customWidth="0" width="3.109375" style="1"/>
    <col min="14995" max="14995" customWidth="0" width="3.109375" style="1"/>
    <col min="14996" max="14996" customWidth="0" width="3.109375" style="1"/>
    <col min="14997" max="14997" customWidth="0" width="3.109375" style="1"/>
    <col min="14998" max="14998" customWidth="0" width="3.109375" style="1"/>
    <col min="14999" max="14999" customWidth="0" width="3.109375" style="1"/>
    <col min="15000" max="15000" customWidth="0" width="3.109375" style="1"/>
    <col min="15001" max="15001" customWidth="0" width="3.109375" style="1"/>
    <col min="15002" max="15002" customWidth="0" width="3.109375" style="1"/>
    <col min="15003" max="15003" customWidth="0" width="3.109375" style="1"/>
    <col min="15004" max="15004" customWidth="0" width="3.109375" style="1"/>
    <col min="15005" max="15005" customWidth="0" width="3.109375" style="1"/>
    <col min="15006" max="15006" customWidth="0" width="3.109375" style="1"/>
    <col min="15007" max="15007" customWidth="0" width="3.109375" style="1"/>
    <col min="15008" max="15008" customWidth="0" width="3.109375" style="1"/>
    <col min="15009" max="15009" customWidth="0" width="3.109375" style="1"/>
    <col min="15010" max="15010" customWidth="0" width="3.109375" style="1"/>
    <col min="15011" max="15011" customWidth="0" width="3.109375" style="1"/>
    <col min="15012" max="15012" customWidth="0" width="3.109375" style="1"/>
    <col min="15013" max="15013" customWidth="0" width="3.109375" style="1"/>
    <col min="15014" max="15014" customWidth="0" width="3.109375" style="1"/>
    <col min="15015" max="15015" customWidth="0" width="3.109375" style="1"/>
    <col min="15016" max="15016" customWidth="0" width="3.109375" style="1"/>
    <col min="15017" max="15017" customWidth="0" width="3.109375" style="1"/>
    <col min="15018" max="15018" customWidth="0" width="3.109375" style="1"/>
    <col min="15019" max="15019" customWidth="0" width="3.109375" style="1"/>
    <col min="15020" max="15020" customWidth="0" width="3.109375" style="1"/>
    <col min="15021" max="15021" customWidth="0" width="3.109375" style="1"/>
    <col min="15022" max="15022" customWidth="0" width="3.109375" style="1"/>
    <col min="15023" max="15023" customWidth="0" width="3.109375" style="1"/>
    <col min="15024" max="15024" customWidth="0" width="3.109375" style="1"/>
    <col min="15025" max="15025" customWidth="0" width="3.109375" style="1"/>
    <col min="15026" max="15026" customWidth="0" width="3.109375" style="1"/>
    <col min="15027" max="15027" customWidth="0" width="3.109375" style="1"/>
    <col min="15028" max="15028" customWidth="0" width="3.109375" style="1"/>
    <col min="15029" max="15029" customWidth="0" width="3.109375" style="1"/>
    <col min="15030" max="15030" customWidth="0" width="3.109375" style="1"/>
    <col min="15031" max="15031" customWidth="0" width="3.109375" style="1"/>
    <col min="15032" max="15032" customWidth="0" width="3.109375" style="1"/>
    <col min="15033" max="15033" customWidth="0" width="3.109375" style="1"/>
    <col min="15034" max="15034" customWidth="0" width="3.109375" style="1"/>
    <col min="15035" max="15035" customWidth="0" width="3.109375" style="1"/>
    <col min="15036" max="15036" customWidth="0" width="3.109375" style="1"/>
    <col min="15037" max="15037" customWidth="0" width="3.109375" style="1"/>
    <col min="15038" max="15038" customWidth="0" width="3.109375" style="1"/>
    <col min="15039" max="15039" customWidth="0" width="3.109375" style="1"/>
    <col min="15040" max="15040" customWidth="0" width="3.109375" style="1"/>
    <col min="15041" max="15041" customWidth="0" width="3.109375" style="1"/>
    <col min="15042" max="15042" customWidth="0" width="3.109375" style="1"/>
    <col min="15043" max="15043" customWidth="0" width="3.109375" style="1"/>
    <col min="15044" max="15044" customWidth="0" width="3.109375" style="1"/>
    <col min="15045" max="15045" customWidth="0" width="3.109375" style="1"/>
    <col min="15046" max="15046" customWidth="0" width="3.109375" style="1"/>
    <col min="15047" max="15047" customWidth="0" width="3.109375" style="1"/>
    <col min="15048" max="15048" customWidth="0" width="3.109375" style="1"/>
    <col min="15049" max="15049" customWidth="0" width="3.109375" style="1"/>
    <col min="15050" max="15050" customWidth="0" width="3.109375" style="1"/>
    <col min="15051" max="15051" customWidth="0" width="3.109375" style="1"/>
    <col min="15052" max="15052" customWidth="0" width="3.109375" style="1"/>
    <col min="15053" max="15053" customWidth="0" width="3.109375" style="1"/>
    <col min="15054" max="15054" customWidth="0" width="3.109375" style="1"/>
    <col min="15055" max="15055" customWidth="0" width="3.109375" style="1"/>
    <col min="15056" max="15056" customWidth="0" width="3.109375" style="1"/>
    <col min="15057" max="15057" customWidth="0" width="3.109375" style="1"/>
    <col min="15058" max="15058" customWidth="0" width="3.109375" style="1"/>
    <col min="15059" max="15059" customWidth="0" width="3.109375" style="1"/>
    <col min="15060" max="15060" customWidth="0" width="3.109375" style="1"/>
    <col min="15061" max="15061" customWidth="0" width="3.109375" style="1"/>
    <col min="15062" max="15062" customWidth="0" width="3.109375" style="1"/>
    <col min="15063" max="15063" customWidth="0" width="3.109375" style="1"/>
    <col min="15064" max="15064" customWidth="0" width="3.109375" style="1"/>
    <col min="15065" max="15065" customWidth="0" width="3.109375" style="1"/>
    <col min="15066" max="15066" customWidth="0" width="3.109375" style="1"/>
    <col min="15067" max="15067" customWidth="0" width="3.109375" style="1"/>
    <col min="15068" max="15068" customWidth="0" width="3.109375" style="1"/>
    <col min="15069" max="15069" customWidth="0" width="3.109375" style="1"/>
    <col min="15070" max="15070" customWidth="0" width="3.109375" style="1"/>
    <col min="15071" max="15071" customWidth="0" width="3.109375" style="1"/>
    <col min="15072" max="15072" customWidth="0" width="3.109375" style="1"/>
    <col min="15073" max="15073" customWidth="0" width="3.109375" style="1"/>
    <col min="15074" max="15074" customWidth="0" width="3.109375" style="1"/>
    <col min="15075" max="15075" customWidth="0" width="3.109375" style="1"/>
    <col min="15076" max="15076" customWidth="0" width="3.109375" style="1"/>
    <col min="15077" max="15077" customWidth="0" width="3.109375" style="1"/>
    <col min="15078" max="15078" customWidth="0" width="3.109375" style="1"/>
    <col min="15079" max="15079" customWidth="0" width="3.109375" style="1"/>
    <col min="15080" max="15080" customWidth="0" width="3.109375" style="1"/>
    <col min="15081" max="15081" customWidth="0" width="3.109375" style="1"/>
    <col min="15082" max="15082" customWidth="0" width="3.109375" style="1"/>
    <col min="15083" max="15083" customWidth="0" width="3.109375" style="1"/>
    <col min="15084" max="15084" customWidth="0" width="3.109375" style="1"/>
    <col min="15085" max="15085" customWidth="0" width="3.109375" style="1"/>
    <col min="15086" max="15086" customWidth="0" width="3.109375" style="1"/>
    <col min="15087" max="15087" customWidth="0" width="3.109375" style="1"/>
    <col min="15088" max="15088" customWidth="0" width="3.109375" style="1"/>
    <col min="15089" max="15089" customWidth="0" width="3.109375" style="1"/>
    <col min="15090" max="15090" customWidth="0" width="3.109375" style="1"/>
    <col min="15091" max="15091" customWidth="0" width="3.109375" style="1"/>
    <col min="15092" max="15092" customWidth="0" width="3.109375" style="1"/>
    <col min="15093" max="15093" customWidth="0" width="3.109375" style="1"/>
    <col min="15094" max="15094" customWidth="0" width="3.109375" style="1"/>
    <col min="15095" max="15095" customWidth="0" width="3.109375" style="1"/>
    <col min="15096" max="15096" customWidth="0" width="3.109375" style="1"/>
    <col min="15097" max="15097" customWidth="0" width="3.109375" style="1"/>
    <col min="15098" max="15098" customWidth="0" width="3.109375" style="1"/>
    <col min="15099" max="15099" customWidth="0" width="3.109375" style="1"/>
    <col min="15100" max="15100" customWidth="0" width="3.109375" style="1"/>
    <col min="15101" max="15101" customWidth="0" width="3.109375" style="1"/>
    <col min="15102" max="15102" customWidth="0" width="3.109375" style="1"/>
    <col min="15103" max="15103" customWidth="0" width="3.109375" style="1"/>
    <col min="15104" max="15104" customWidth="0" width="3.109375" style="1"/>
    <col min="15105" max="15105" customWidth="0" width="3.109375" style="1"/>
    <col min="15106" max="15106" customWidth="0" width="3.109375" style="1"/>
    <col min="15107" max="15107" customWidth="0" width="3.109375" style="1"/>
    <col min="15108" max="15108" customWidth="0" width="3.109375" style="1"/>
    <col min="15109" max="15109" customWidth="0" width="3.109375" style="1"/>
    <col min="15110" max="15110" customWidth="0" width="3.109375" style="1"/>
    <col min="15111" max="15111" customWidth="0" width="3.109375" style="1"/>
    <col min="15112" max="15112" customWidth="0" width="3.109375" style="1"/>
    <col min="15113" max="15113" customWidth="0" width="3.109375" style="1"/>
    <col min="15114" max="15114" customWidth="0" width="3.109375" style="1"/>
    <col min="15115" max="15115" customWidth="0" width="3.109375" style="1"/>
    <col min="15116" max="15116" customWidth="0" width="3.109375" style="1"/>
    <col min="15117" max="15117" customWidth="0" width="3.109375" style="1"/>
    <col min="15118" max="15118" customWidth="0" width="3.109375" style="1"/>
    <col min="15119" max="15119" customWidth="0" width="3.109375" style="1"/>
    <col min="15120" max="15120" customWidth="0" width="3.109375" style="1"/>
    <col min="15121" max="15121" customWidth="0" width="3.109375" style="1"/>
    <col min="15122" max="15122" customWidth="0" width="3.109375" style="1"/>
    <col min="15123" max="15123" customWidth="0" width="3.109375" style="1"/>
    <col min="15124" max="15124" customWidth="0" width="3.109375" style="1"/>
    <col min="15125" max="15125" customWidth="0" width="3.109375" style="1"/>
    <col min="15126" max="15126" customWidth="0" width="3.109375" style="1"/>
    <col min="15127" max="15127" customWidth="0" width="3.109375" style="1"/>
    <col min="15128" max="15128" customWidth="0" width="3.109375" style="1"/>
    <col min="15129" max="15129" customWidth="0" width="3.109375" style="1"/>
    <col min="15130" max="15130" customWidth="0" width="3.109375" style="1"/>
    <col min="15131" max="15131" customWidth="0" width="3.109375" style="1"/>
    <col min="15132" max="15132" customWidth="0" width="3.109375" style="1"/>
    <col min="15133" max="15133" customWidth="0" width="3.109375" style="1"/>
    <col min="15134" max="15134" customWidth="0" width="3.109375" style="1"/>
    <col min="15135" max="15135" customWidth="0" width="3.109375" style="1"/>
    <col min="15136" max="15136" customWidth="0" width="3.109375" style="1"/>
    <col min="15137" max="15137" customWidth="0" width="3.109375" style="1"/>
    <col min="15138" max="15138" customWidth="0" width="3.109375" style="1"/>
    <col min="15139" max="15139" customWidth="0" width="3.109375" style="1"/>
    <col min="15140" max="15140" customWidth="0" width="3.109375" style="1"/>
    <col min="15141" max="15141" customWidth="0" width="3.109375" style="1"/>
    <col min="15142" max="15142" customWidth="0" width="3.109375" style="1"/>
    <col min="15143" max="15143" customWidth="0" width="3.109375" style="1"/>
    <col min="15144" max="15144" customWidth="0" width="3.109375" style="1"/>
    <col min="15145" max="15145" customWidth="0" width="3.109375" style="1"/>
    <col min="15146" max="15146" customWidth="0" width="3.109375" style="1"/>
    <col min="15147" max="15147" customWidth="0" width="3.109375" style="1"/>
    <col min="15148" max="15148" customWidth="0" width="3.109375" style="1"/>
    <col min="15149" max="15149" customWidth="0" width="3.109375" style="1"/>
    <col min="15150" max="15150" customWidth="0" width="3.109375" style="1"/>
    <col min="15151" max="15151" customWidth="0" width="3.109375" style="1"/>
    <col min="15152" max="15152" customWidth="0" width="3.109375" style="1"/>
    <col min="15153" max="15153" customWidth="0" width="3.109375" style="1"/>
    <col min="15154" max="15154" customWidth="0" width="3.109375" style="1"/>
    <col min="15155" max="15155" customWidth="0" width="3.109375" style="1"/>
    <col min="15156" max="15156" customWidth="0" width="3.109375" style="1"/>
    <col min="15157" max="15157" customWidth="0" width="3.109375" style="1"/>
    <col min="15158" max="15158" customWidth="0" width="3.109375" style="1"/>
    <col min="15159" max="15159" customWidth="0" width="3.109375" style="1"/>
    <col min="15160" max="15160" customWidth="0" width="3.109375" style="1"/>
    <col min="15161" max="15161" customWidth="0" width="3.109375" style="1"/>
    <col min="15162" max="15162" customWidth="0" width="3.109375" style="1"/>
    <col min="15163" max="15163" customWidth="0" width="3.109375" style="1"/>
    <col min="15164" max="15164" customWidth="0" width="3.109375" style="1"/>
    <col min="15165" max="15165" customWidth="0" width="3.109375" style="1"/>
    <col min="15166" max="15166" customWidth="0" width="3.109375" style="1"/>
    <col min="15167" max="15167" customWidth="0" width="3.109375" style="1"/>
    <col min="15168" max="15168" customWidth="0" width="3.109375" style="1"/>
    <col min="15169" max="15169" customWidth="0" width="3.109375" style="1"/>
    <col min="15170" max="15170" customWidth="0" width="3.109375" style="1"/>
    <col min="15171" max="15171" customWidth="0" width="3.109375" style="1"/>
    <col min="15172" max="15172" customWidth="0" width="3.109375" style="1"/>
    <col min="15173" max="15173" customWidth="0" width="3.109375" style="1"/>
    <col min="15174" max="15174" customWidth="0" width="3.109375" style="1"/>
    <col min="15175" max="15175" customWidth="0" width="3.109375" style="1"/>
    <col min="15176" max="15176" customWidth="0" width="3.109375" style="1"/>
    <col min="15177" max="15177" customWidth="0" width="3.109375" style="1"/>
    <col min="15178" max="15178" customWidth="0" width="3.109375" style="1"/>
    <col min="15179" max="15179" customWidth="0" width="3.109375" style="1"/>
    <col min="15180" max="15180" customWidth="0" width="3.109375" style="1"/>
    <col min="15181" max="15181" customWidth="0" width="3.109375" style="1"/>
    <col min="15182" max="15182" customWidth="0" width="3.109375" style="1"/>
    <col min="15183" max="15183" customWidth="0" width="3.109375" style="1"/>
    <col min="15184" max="15184" customWidth="0" width="3.109375" style="1"/>
    <col min="15185" max="15185" customWidth="0" width="3.109375" style="1"/>
    <col min="15186" max="15186" customWidth="0" width="3.109375" style="1"/>
    <col min="15187" max="15187" customWidth="0" width="3.109375" style="1"/>
    <col min="15188" max="15188" customWidth="0" width="3.109375" style="1"/>
    <col min="15189" max="15189" customWidth="0" width="3.109375" style="1"/>
    <col min="15190" max="15190" customWidth="0" width="3.109375" style="1"/>
    <col min="15191" max="15191" customWidth="0" width="3.109375" style="1"/>
    <col min="15192" max="15192" customWidth="0" width="3.109375" style="1"/>
    <col min="15193" max="15193" customWidth="0" width="3.109375" style="1"/>
    <col min="15194" max="15194" customWidth="0" width="3.109375" style="1"/>
    <col min="15195" max="15195" customWidth="0" width="3.109375" style="1"/>
    <col min="15196" max="15196" customWidth="0" width="3.109375" style="1"/>
    <col min="15197" max="15197" customWidth="0" width="3.109375" style="1"/>
    <col min="15198" max="15198" customWidth="0" width="3.109375" style="1"/>
    <col min="15199" max="15199" customWidth="0" width="3.109375" style="1"/>
    <col min="15200" max="15200" customWidth="0" width="3.109375" style="1"/>
    <col min="15201" max="15201" customWidth="0" width="3.109375" style="1"/>
    <col min="15202" max="15202" customWidth="0" width="3.109375" style="1"/>
    <col min="15203" max="15203" customWidth="0" width="3.109375" style="1"/>
    <col min="15204" max="15204" customWidth="0" width="3.109375" style="1"/>
    <col min="15205" max="15205" customWidth="0" width="3.109375" style="1"/>
    <col min="15206" max="15206" customWidth="0" width="3.109375" style="1"/>
    <col min="15207" max="15207" customWidth="0" width="3.109375" style="1"/>
    <col min="15208" max="15208" customWidth="0" width="3.109375" style="1"/>
    <col min="15209" max="15209" customWidth="0" width="3.109375" style="1"/>
    <col min="15210" max="15210" customWidth="0" width="3.109375" style="1"/>
    <col min="15211" max="15211" customWidth="0" width="3.109375" style="1"/>
    <col min="15212" max="15212" customWidth="0" width="3.109375" style="1"/>
    <col min="15213" max="15213" customWidth="0" width="3.109375" style="1"/>
    <col min="15214" max="15214" customWidth="0" width="3.109375" style="1"/>
    <col min="15215" max="15215" customWidth="0" width="3.109375" style="1"/>
    <col min="15216" max="15216" customWidth="0" width="3.109375" style="1"/>
    <col min="15217" max="15217" customWidth="0" width="3.109375" style="1"/>
    <col min="15218" max="15218" customWidth="0" width="3.109375" style="1"/>
    <col min="15219" max="15219" customWidth="0" width="3.109375" style="1"/>
    <col min="15220" max="15220" customWidth="0" width="3.109375" style="1"/>
    <col min="15221" max="15221" customWidth="0" width="3.109375" style="1"/>
    <col min="15222" max="15222" customWidth="0" width="3.109375" style="1"/>
    <col min="15223" max="15223" customWidth="0" width="3.109375" style="1"/>
    <col min="15224" max="15224" customWidth="0" width="3.109375" style="1"/>
    <col min="15225" max="15225" customWidth="0" width="3.109375" style="1"/>
    <col min="15226" max="15226" customWidth="0" width="3.109375" style="1"/>
    <col min="15227" max="15227" customWidth="0" width="3.109375" style="1"/>
    <col min="15228" max="15228" customWidth="0" width="3.109375" style="1"/>
    <col min="15229" max="15229" customWidth="0" width="3.109375" style="1"/>
    <col min="15230" max="15230" customWidth="0" width="3.109375" style="1"/>
    <col min="15231" max="15231" customWidth="0" width="3.109375" style="1"/>
    <col min="15232" max="15232" customWidth="0" width="3.109375" style="1"/>
    <col min="15233" max="15233" customWidth="0" width="3.109375" style="1"/>
    <col min="15234" max="15234" customWidth="0" width="3.109375" style="1"/>
    <col min="15235" max="15235" customWidth="0" width="3.109375" style="1"/>
    <col min="15236" max="15236" customWidth="0" width="3.109375" style="1"/>
    <col min="15237" max="15237" customWidth="0" width="3.109375" style="1"/>
    <col min="15238" max="15238" customWidth="0" width="3.109375" style="1"/>
    <col min="15239" max="15239" customWidth="0" width="3.109375" style="1"/>
    <col min="15240" max="15240" customWidth="0" width="3.109375" style="1"/>
    <col min="15241" max="15241" customWidth="0" width="3.109375" style="1"/>
    <col min="15242" max="15242" customWidth="0" width="3.109375" style="1"/>
    <col min="15243" max="15243" customWidth="0" width="3.109375" style="1"/>
    <col min="15244" max="15244" customWidth="0" width="3.109375" style="1"/>
    <col min="15245" max="15245" customWidth="0" width="3.109375" style="1"/>
    <col min="15246" max="15246" customWidth="0" width="3.109375" style="1"/>
    <col min="15247" max="15247" customWidth="0" width="3.109375" style="1"/>
    <col min="15248" max="15248" customWidth="0" width="3.109375" style="1"/>
    <col min="15249" max="15249" customWidth="0" width="3.109375" style="1"/>
    <col min="15250" max="15250" customWidth="0" width="3.109375" style="1"/>
    <col min="15251" max="15251" customWidth="0" width="3.109375" style="1"/>
    <col min="15252" max="15252" customWidth="0" width="3.109375" style="1"/>
    <col min="15253" max="15253" customWidth="0" width="3.109375" style="1"/>
    <col min="15254" max="15254" customWidth="0" width="3.109375" style="1"/>
    <col min="15255" max="15255" customWidth="0" width="3.109375" style="1"/>
    <col min="15256" max="15256" customWidth="0" width="3.109375" style="1"/>
    <col min="15257" max="15257" customWidth="0" width="3.109375" style="1"/>
    <col min="15258" max="15258" customWidth="0" width="3.109375" style="1"/>
    <col min="15259" max="15259" customWidth="0" width="3.109375" style="1"/>
    <col min="15260" max="15260" customWidth="0" width="3.109375" style="1"/>
    <col min="15261" max="15261" customWidth="0" width="3.109375" style="1"/>
    <col min="15262" max="15262" customWidth="0" width="3.109375" style="1"/>
    <col min="15263" max="15263" customWidth="0" width="3.109375" style="1"/>
    <col min="15264" max="15264" customWidth="0" width="3.109375" style="1"/>
    <col min="15265" max="15265" customWidth="0" width="3.109375" style="1"/>
    <col min="15266" max="15266" customWidth="0" width="3.109375" style="1"/>
    <col min="15267" max="15267" customWidth="0" width="3.109375" style="1"/>
    <col min="15268" max="15268" customWidth="0" width="3.109375" style="1"/>
    <col min="15269" max="15269" customWidth="0" width="3.109375" style="1"/>
    <col min="15270" max="15270" customWidth="0" width="3.109375" style="1"/>
    <col min="15271" max="15271" customWidth="0" width="3.109375" style="1"/>
    <col min="15272" max="15272" customWidth="0" width="3.109375" style="1"/>
    <col min="15273" max="15273" customWidth="0" width="3.109375" style="1"/>
    <col min="15274" max="15274" customWidth="0" width="3.109375" style="1"/>
    <col min="15275" max="15275" customWidth="0" width="3.109375" style="1"/>
    <col min="15276" max="15276" customWidth="0" width="3.109375" style="1"/>
    <col min="15277" max="15277" customWidth="0" width="3.109375" style="1"/>
    <col min="15278" max="15278" customWidth="0" width="3.109375" style="1"/>
    <col min="15279" max="15279" customWidth="0" width="3.109375" style="1"/>
    <col min="15280" max="15280" customWidth="0" width="3.109375" style="1"/>
    <col min="15281" max="15281" customWidth="0" width="3.109375" style="1"/>
    <col min="15282" max="15282" customWidth="0" width="3.109375" style="1"/>
    <col min="15283" max="15283" customWidth="0" width="3.109375" style="1"/>
    <col min="15284" max="15284" customWidth="0" width="3.109375" style="1"/>
    <col min="15285" max="15285" customWidth="0" width="3.109375" style="1"/>
    <col min="15286" max="15286" customWidth="0" width="3.109375" style="1"/>
    <col min="15287" max="15287" customWidth="0" width="3.109375" style="1"/>
    <col min="15288" max="15288" customWidth="0" width="3.109375" style="1"/>
    <col min="15289" max="15289" customWidth="0" width="3.109375" style="1"/>
    <col min="15290" max="15290" customWidth="0" width="3.109375" style="1"/>
    <col min="15291" max="15291" customWidth="0" width="3.109375" style="1"/>
    <col min="15292" max="15292" customWidth="0" width="3.109375" style="1"/>
    <col min="15293" max="15293" customWidth="0" width="3.109375" style="1"/>
    <col min="15294" max="15294" customWidth="0" width="3.109375" style="1"/>
    <col min="15295" max="15295" customWidth="0" width="3.109375" style="1"/>
    <col min="15296" max="15296" customWidth="0" width="3.109375" style="1"/>
    <col min="15297" max="15297" customWidth="0" width="3.109375" style="1"/>
    <col min="15298" max="15298" customWidth="0" width="3.109375" style="1"/>
    <col min="15299" max="15299" customWidth="0" width="3.109375" style="1"/>
    <col min="15300" max="15300" customWidth="0" width="3.109375" style="1"/>
    <col min="15301" max="15301" customWidth="0" width="3.109375" style="1"/>
    <col min="15302" max="15302" customWidth="0" width="3.109375" style="1"/>
    <col min="15303" max="15303" customWidth="0" width="3.109375" style="1"/>
    <col min="15304" max="15304" customWidth="0" width="3.109375" style="1"/>
    <col min="15305" max="15305" customWidth="0" width="3.109375" style="1"/>
    <col min="15306" max="15306" customWidth="0" width="3.109375" style="1"/>
    <col min="15307" max="15307" customWidth="0" width="3.109375" style="1"/>
    <col min="15308" max="15308" customWidth="0" width="3.109375" style="1"/>
    <col min="15309" max="15309" customWidth="0" width="3.109375" style="1"/>
    <col min="15310" max="15310" customWidth="0" width="3.109375" style="1"/>
    <col min="15311" max="15311" customWidth="0" width="3.109375" style="1"/>
    <col min="15312" max="15312" customWidth="0" width="3.109375" style="1"/>
    <col min="15313" max="15313" customWidth="0" width="3.109375" style="1"/>
    <col min="15314" max="15314" customWidth="0" width="3.109375" style="1"/>
    <col min="15315" max="15315" customWidth="0" width="3.109375" style="1"/>
    <col min="15316" max="15316" customWidth="0" width="3.109375" style="1"/>
    <col min="15317" max="15317" customWidth="0" width="3.109375" style="1"/>
    <col min="15318" max="15318" customWidth="0" width="3.109375" style="1"/>
    <col min="15319" max="15319" customWidth="0" width="3.109375" style="1"/>
    <col min="15320" max="15320" customWidth="0" width="3.109375" style="1"/>
    <col min="15321" max="15321" customWidth="0" width="3.109375" style="1"/>
    <col min="15322" max="15322" customWidth="0" width="3.109375" style="1"/>
    <col min="15323" max="15323" customWidth="0" width="3.109375" style="1"/>
    <col min="15324" max="15324" customWidth="0" width="3.109375" style="1"/>
    <col min="15325" max="15325" customWidth="0" width="3.109375" style="1"/>
    <col min="15326" max="15326" customWidth="0" width="3.109375" style="1"/>
    <col min="15327" max="15327" customWidth="0" width="3.109375" style="1"/>
    <col min="15328" max="15328" customWidth="0" width="3.109375" style="1"/>
    <col min="15329" max="15329" customWidth="0" width="3.109375" style="1"/>
    <col min="15330" max="15330" customWidth="0" width="3.109375" style="1"/>
    <col min="15331" max="15331" customWidth="0" width="3.109375" style="1"/>
    <col min="15332" max="15332" customWidth="0" width="3.109375" style="1"/>
    <col min="15333" max="15333" customWidth="0" width="3.109375" style="1"/>
    <col min="15334" max="15334" customWidth="0" width="3.109375" style="1"/>
    <col min="15335" max="15335" customWidth="0" width="3.109375" style="1"/>
    <col min="15336" max="15336" customWidth="0" width="3.109375" style="1"/>
    <col min="15337" max="15337" customWidth="0" width="3.109375" style="1"/>
    <col min="15338" max="15338" customWidth="0" width="3.109375" style="1"/>
    <col min="15339" max="15339" customWidth="0" width="3.109375" style="1"/>
    <col min="15340" max="15340" customWidth="0" width="3.109375" style="1"/>
    <col min="15341" max="15341" customWidth="0" width="3.109375" style="1"/>
    <col min="15342" max="15342" customWidth="0" width="3.109375" style="1"/>
    <col min="15343" max="15343" customWidth="0" width="3.109375" style="1"/>
    <col min="15344" max="15344" customWidth="0" width="3.109375" style="1"/>
    <col min="15345" max="15345" customWidth="0" width="3.109375" style="1"/>
    <col min="15346" max="15346" customWidth="0" width="3.109375" style="1"/>
    <col min="15347" max="15347" customWidth="0" width="3.109375" style="1"/>
    <col min="15348" max="15348" customWidth="0" width="3.109375" style="1"/>
    <col min="15349" max="15349" customWidth="0" width="3.109375" style="1"/>
    <col min="15350" max="15350" customWidth="0" width="3.109375" style="1"/>
    <col min="15351" max="15351" customWidth="0" width="3.109375" style="1"/>
    <col min="15352" max="15352" customWidth="0" width="3.109375" style="1"/>
    <col min="15353" max="15353" customWidth="0" width="3.109375" style="1"/>
    <col min="15354" max="15354" customWidth="0" width="3.109375" style="1"/>
    <col min="15355" max="15355" customWidth="0" width="3.109375" style="1"/>
    <col min="15356" max="15356" customWidth="0" width="3.109375" style="1"/>
    <col min="15357" max="15357" customWidth="0" width="3.109375" style="1"/>
    <col min="15358" max="15358" customWidth="0" width="3.109375" style="1"/>
    <col min="15359" max="15359" customWidth="0" width="3.109375" style="1"/>
    <col min="15360" max="15360" customWidth="0" width="3.109375" style="1"/>
    <col min="15361" max="15361" customWidth="0" width="3.109375" style="1"/>
    <col min="15362" max="15362" customWidth="0" width="3.109375" style="1"/>
    <col min="15363" max="15363" customWidth="0" width="3.109375" style="1"/>
    <col min="15364" max="15364" customWidth="0" width="3.109375" style="1"/>
    <col min="15365" max="15365" customWidth="0" width="3.109375" style="1"/>
    <col min="15366" max="15366" customWidth="0" width="3.109375" style="1"/>
    <col min="15367" max="15367" customWidth="0" width="3.109375" style="1"/>
    <col min="15368" max="15368" customWidth="0" width="3.109375" style="1"/>
    <col min="15369" max="15369" customWidth="0" width="3.109375" style="1"/>
    <col min="15370" max="15370" customWidth="0" width="3.109375" style="1"/>
    <col min="15371" max="15371" customWidth="0" width="3.109375" style="1"/>
    <col min="15372" max="15372" customWidth="0" width="3.109375" style="1"/>
    <col min="15373" max="15373" customWidth="0" width="3.109375" style="1"/>
    <col min="15374" max="15374" customWidth="0" width="3.109375" style="1"/>
    <col min="15375" max="15375" customWidth="0" width="3.109375" style="1"/>
    <col min="15376" max="15376" customWidth="0" width="3.109375" style="1"/>
    <col min="15377" max="15377" customWidth="0" width="3.109375" style="1"/>
    <col min="15378" max="15378" customWidth="0" width="3.109375" style="1"/>
    <col min="15379" max="15379" customWidth="0" width="3.109375" style="1"/>
    <col min="15380" max="15380" customWidth="0" width="3.109375" style="1"/>
    <col min="15381" max="15381" customWidth="0" width="3.109375" style="1"/>
    <col min="15382" max="15382" customWidth="0" width="3.109375" style="1"/>
    <col min="15383" max="15383" customWidth="0" width="3.109375" style="1"/>
    <col min="15384" max="15384" customWidth="0" width="3.109375" style="1"/>
    <col min="15385" max="15385" customWidth="0" width="3.109375" style="1"/>
    <col min="15386" max="15386" customWidth="0" width="3.109375" style="1"/>
    <col min="15387" max="15387" customWidth="0" width="3.109375" style="1"/>
    <col min="15388" max="15388" customWidth="0" width="3.109375" style="1"/>
    <col min="15389" max="15389" customWidth="0" width="3.109375" style="1"/>
    <col min="15390" max="15390" customWidth="0" width="3.109375" style="1"/>
    <col min="15391" max="15391" customWidth="0" width="3.109375" style="1"/>
    <col min="15392" max="15392" customWidth="0" width="3.109375" style="1"/>
    <col min="15393" max="15393" customWidth="0" width="3.109375" style="1"/>
    <col min="15394" max="15394" customWidth="0" width="3.109375" style="1"/>
    <col min="15395" max="15395" customWidth="0" width="3.109375" style="1"/>
    <col min="15396" max="15396" customWidth="0" width="3.109375" style="1"/>
    <col min="15397" max="15397" customWidth="0" width="3.109375" style="1"/>
    <col min="15398" max="15398" customWidth="0" width="3.109375" style="1"/>
    <col min="15399" max="15399" customWidth="0" width="3.109375" style="1"/>
    <col min="15400" max="15400" customWidth="0" width="3.109375" style="1"/>
    <col min="15401" max="15401" customWidth="0" width="3.109375" style="1"/>
    <col min="15402" max="15402" customWidth="0" width="3.109375" style="1"/>
    <col min="15403" max="15403" customWidth="0" width="3.109375" style="1"/>
    <col min="15404" max="15404" customWidth="0" width="3.109375" style="1"/>
    <col min="15405" max="15405" customWidth="0" width="3.109375" style="1"/>
    <col min="15406" max="15406" customWidth="0" width="3.109375" style="1"/>
    <col min="15407" max="15407" customWidth="0" width="3.109375" style="1"/>
    <col min="15408" max="15408" customWidth="0" width="3.109375" style="1"/>
    <col min="15409" max="15409" customWidth="0" width="3.109375" style="1"/>
    <col min="15410" max="15410" customWidth="0" width="3.109375" style="1"/>
    <col min="15411" max="15411" customWidth="0" width="3.109375" style="1"/>
    <col min="15412" max="15412" customWidth="0" width="3.109375" style="1"/>
    <col min="15413" max="15413" customWidth="0" width="3.109375" style="1"/>
    <col min="15414" max="15414" customWidth="0" width="3.109375" style="1"/>
    <col min="15415" max="15415" customWidth="0" width="3.109375" style="1"/>
    <col min="15416" max="15416" customWidth="0" width="3.109375" style="1"/>
    <col min="15417" max="15417" customWidth="0" width="3.109375" style="1"/>
    <col min="15418" max="15418" customWidth="0" width="3.109375" style="1"/>
    <col min="15419" max="15419" customWidth="0" width="3.109375" style="1"/>
    <col min="15420" max="15420" customWidth="0" width="3.109375" style="1"/>
    <col min="15421" max="15421" customWidth="0" width="3.109375" style="1"/>
    <col min="15422" max="15422" customWidth="0" width="3.109375" style="1"/>
    <col min="15423" max="15423" customWidth="0" width="3.109375" style="1"/>
    <col min="15424" max="15424" customWidth="0" width="3.109375" style="1"/>
    <col min="15425" max="15425" customWidth="0" width="3.109375" style="1"/>
    <col min="15426" max="15426" customWidth="0" width="3.109375" style="1"/>
    <col min="15427" max="15427" customWidth="0" width="3.109375" style="1"/>
    <col min="15428" max="15428" customWidth="0" width="3.109375" style="1"/>
    <col min="15429" max="15429" customWidth="0" width="3.109375" style="1"/>
    <col min="15430" max="15430" customWidth="0" width="3.109375" style="1"/>
    <col min="15431" max="15431" customWidth="0" width="3.109375" style="1"/>
    <col min="15432" max="15432" customWidth="0" width="3.109375" style="1"/>
    <col min="15433" max="15433" customWidth="0" width="3.109375" style="1"/>
    <col min="15434" max="15434" customWidth="0" width="3.109375" style="1"/>
    <col min="15435" max="15435" customWidth="0" width="3.109375" style="1"/>
    <col min="15436" max="15436" customWidth="0" width="3.109375" style="1"/>
    <col min="15437" max="15437" customWidth="0" width="3.109375" style="1"/>
    <col min="15438" max="15438" customWidth="0" width="3.109375" style="1"/>
    <col min="15439" max="15439" customWidth="0" width="3.109375" style="1"/>
    <col min="15440" max="15440" customWidth="0" width="3.109375" style="1"/>
    <col min="15441" max="15441" customWidth="0" width="3.109375" style="1"/>
    <col min="15442" max="15442" customWidth="0" width="3.109375" style="1"/>
    <col min="15443" max="15443" customWidth="0" width="3.109375" style="1"/>
    <col min="15444" max="15444" customWidth="0" width="3.109375" style="1"/>
    <col min="15445" max="15445" customWidth="0" width="3.109375" style="1"/>
    <col min="15446" max="15446" customWidth="0" width="3.109375" style="1"/>
    <col min="15447" max="15447" customWidth="0" width="3.109375" style="1"/>
    <col min="15448" max="15448" customWidth="0" width="3.109375" style="1"/>
    <col min="15449" max="15449" customWidth="0" width="3.109375" style="1"/>
    <col min="15450" max="15450" customWidth="0" width="3.109375" style="1"/>
    <col min="15451" max="15451" customWidth="0" width="3.109375" style="1"/>
    <col min="15452" max="15452" customWidth="0" width="3.109375" style="1"/>
    <col min="15453" max="15453" customWidth="0" width="3.109375" style="1"/>
    <col min="15454" max="15454" customWidth="0" width="3.109375" style="1"/>
    <col min="15455" max="15455" customWidth="0" width="3.109375" style="1"/>
    <col min="15456" max="15456" customWidth="0" width="3.109375" style="1"/>
    <col min="15457" max="15457" customWidth="0" width="3.109375" style="1"/>
    <col min="15458" max="15458" customWidth="0" width="3.109375" style="1"/>
    <col min="15459" max="15459" customWidth="0" width="3.109375" style="1"/>
    <col min="15460" max="15460" customWidth="0" width="3.109375" style="1"/>
    <col min="15461" max="15461" customWidth="0" width="3.109375" style="1"/>
    <col min="15462" max="15462" customWidth="0" width="3.109375" style="1"/>
    <col min="15463" max="15463" customWidth="0" width="3.109375" style="1"/>
    <col min="15464" max="15464" customWidth="0" width="3.109375" style="1"/>
    <col min="15465" max="15465" customWidth="0" width="3.109375" style="1"/>
    <col min="15466" max="15466" customWidth="0" width="3.109375" style="1"/>
    <col min="15467" max="15467" customWidth="0" width="3.109375" style="1"/>
    <col min="15468" max="15468" customWidth="0" width="3.109375" style="1"/>
    <col min="15469" max="15469" customWidth="0" width="3.109375" style="1"/>
    <col min="15470" max="15470" customWidth="0" width="3.109375" style="1"/>
    <col min="15471" max="15471" customWidth="0" width="3.109375" style="1"/>
    <col min="15472" max="15472" customWidth="0" width="3.109375" style="1"/>
    <col min="15473" max="15473" customWidth="0" width="3.109375" style="1"/>
    <col min="15474" max="15474" customWidth="0" width="3.109375" style="1"/>
    <col min="15475" max="15475" customWidth="0" width="3.109375" style="1"/>
    <col min="15476" max="15476" customWidth="0" width="3.109375" style="1"/>
    <col min="15477" max="15477" customWidth="0" width="3.109375" style="1"/>
    <col min="15478" max="15478" customWidth="0" width="3.109375" style="1"/>
    <col min="15479" max="15479" customWidth="0" width="3.109375" style="1"/>
    <col min="15480" max="15480" customWidth="0" width="3.109375" style="1"/>
    <col min="15481" max="15481" customWidth="0" width="3.109375" style="1"/>
    <col min="15482" max="15482" customWidth="0" width="3.109375" style="1"/>
    <col min="15483" max="15483" customWidth="0" width="3.109375" style="1"/>
    <col min="15484" max="15484" customWidth="0" width="3.109375" style="1"/>
    <col min="15485" max="15485" customWidth="0" width="3.109375" style="1"/>
    <col min="15486" max="15486" customWidth="0" width="3.109375" style="1"/>
    <col min="15487" max="15487" customWidth="0" width="3.109375" style="1"/>
    <col min="15488" max="15488" customWidth="0" width="3.109375" style="1"/>
    <col min="15489" max="15489" customWidth="0" width="3.109375" style="1"/>
    <col min="15490" max="15490" customWidth="0" width="3.109375" style="1"/>
    <col min="15491" max="15491" customWidth="0" width="3.109375" style="1"/>
    <col min="15492" max="15492" customWidth="0" width="3.109375" style="1"/>
    <col min="15493" max="15493" customWidth="0" width="3.109375" style="1"/>
    <col min="15494" max="15494" customWidth="0" width="3.109375" style="1"/>
    <col min="15495" max="15495" customWidth="0" width="3.109375" style="1"/>
    <col min="15496" max="15496" customWidth="0" width="3.109375" style="1"/>
    <col min="15497" max="15497" customWidth="0" width="3.109375" style="1"/>
    <col min="15498" max="15498" customWidth="0" width="3.109375" style="1"/>
    <col min="15499" max="15499" customWidth="0" width="3.109375" style="1"/>
    <col min="15500" max="15500" customWidth="0" width="3.109375" style="1"/>
    <col min="15501" max="15501" customWidth="0" width="3.109375" style="1"/>
    <col min="15502" max="15502" customWidth="0" width="3.109375" style="1"/>
    <col min="15503" max="15503" customWidth="0" width="3.109375" style="1"/>
    <col min="15504" max="15504" customWidth="0" width="3.109375" style="1"/>
    <col min="15505" max="15505" customWidth="0" width="3.109375" style="1"/>
    <col min="15506" max="15506" customWidth="0" width="3.109375" style="1"/>
    <col min="15507" max="15507" customWidth="0" width="3.109375" style="1"/>
    <col min="15508" max="15508" customWidth="0" width="3.109375" style="1"/>
    <col min="15509" max="15509" customWidth="0" width="3.109375" style="1"/>
    <col min="15510" max="15510" customWidth="0" width="3.109375" style="1"/>
    <col min="15511" max="15511" customWidth="0" width="3.109375" style="1"/>
    <col min="15512" max="15512" customWidth="0" width="3.109375" style="1"/>
    <col min="15513" max="15513" customWidth="0" width="3.109375" style="1"/>
    <col min="15514" max="15514" customWidth="0" width="3.109375" style="1"/>
    <col min="15515" max="15515" customWidth="0" width="3.109375" style="1"/>
    <col min="15516" max="15516" customWidth="0" width="3.109375" style="1"/>
    <col min="15517" max="15517" customWidth="0" width="3.109375" style="1"/>
    <col min="15518" max="15518" customWidth="0" width="3.109375" style="1"/>
    <col min="15519" max="15519" customWidth="0" width="3.109375" style="1"/>
    <col min="15520" max="15520" customWidth="0" width="3.109375" style="1"/>
    <col min="15521" max="15521" customWidth="0" width="3.109375" style="1"/>
    <col min="15522" max="15522" customWidth="0" width="3.109375" style="1"/>
    <col min="15523" max="15523" customWidth="0" width="3.109375" style="1"/>
    <col min="15524" max="15524" customWidth="0" width="3.109375" style="1"/>
    <col min="15525" max="15525" customWidth="0" width="3.109375" style="1"/>
    <col min="15526" max="15526" customWidth="0" width="3.109375" style="1"/>
    <col min="15527" max="15527" customWidth="0" width="3.109375" style="1"/>
    <col min="15528" max="15528" customWidth="0" width="3.109375" style="1"/>
    <col min="15529" max="15529" customWidth="0" width="3.109375" style="1"/>
    <col min="15530" max="15530" customWidth="0" width="3.109375" style="1"/>
    <col min="15531" max="15531" customWidth="0" width="3.109375" style="1"/>
    <col min="15532" max="15532" customWidth="0" width="3.109375" style="1"/>
    <col min="15533" max="15533" customWidth="0" width="3.109375" style="1"/>
    <col min="15534" max="15534" customWidth="0" width="3.109375" style="1"/>
    <col min="15535" max="15535" customWidth="0" width="3.109375" style="1"/>
    <col min="15536" max="15536" customWidth="0" width="3.109375" style="1"/>
    <col min="15537" max="15537" customWidth="0" width="3.109375" style="1"/>
    <col min="15538" max="15538" customWidth="0" width="3.109375" style="1"/>
    <col min="15539" max="15539" customWidth="0" width="3.109375" style="1"/>
    <col min="15540" max="15540" customWidth="0" width="3.109375" style="1"/>
    <col min="15541" max="15541" customWidth="0" width="3.109375" style="1"/>
    <col min="15542" max="15542" customWidth="0" width="3.109375" style="1"/>
    <col min="15543" max="15543" customWidth="0" width="3.109375" style="1"/>
    <col min="15544" max="15544" customWidth="0" width="3.109375" style="1"/>
    <col min="15545" max="15545" customWidth="0" width="3.109375" style="1"/>
    <col min="15546" max="15546" customWidth="0" width="3.109375" style="1"/>
    <col min="15547" max="15547" customWidth="0" width="3.109375" style="1"/>
    <col min="15548" max="15548" customWidth="0" width="3.109375" style="1"/>
    <col min="15549" max="15549" customWidth="0" width="3.109375" style="1"/>
    <col min="15550" max="15550" customWidth="0" width="3.109375" style="1"/>
    <col min="15551" max="15551" customWidth="0" width="3.109375" style="1"/>
    <col min="15552" max="15552" customWidth="0" width="3.109375" style="1"/>
    <col min="15553" max="15553" customWidth="0" width="3.109375" style="1"/>
    <col min="15554" max="15554" customWidth="0" width="3.109375" style="1"/>
    <col min="15555" max="15555" customWidth="0" width="3.109375" style="1"/>
    <col min="15556" max="15556" customWidth="0" width="3.109375" style="1"/>
    <col min="15557" max="15557" customWidth="0" width="3.109375" style="1"/>
    <col min="15558" max="15558" customWidth="0" width="3.109375" style="1"/>
    <col min="15559" max="15559" customWidth="0" width="3.109375" style="1"/>
    <col min="15560" max="15560" customWidth="0" width="3.109375" style="1"/>
    <col min="15561" max="15561" customWidth="0" width="3.109375" style="1"/>
    <col min="15562" max="15562" customWidth="0" width="3.109375" style="1"/>
    <col min="15563" max="15563" customWidth="0" width="3.109375" style="1"/>
    <col min="15564" max="15564" customWidth="0" width="3.109375" style="1"/>
    <col min="15565" max="15565" customWidth="0" width="3.109375" style="1"/>
    <col min="15566" max="15566" customWidth="0" width="3.109375" style="1"/>
    <col min="15567" max="15567" customWidth="0" width="3.109375" style="1"/>
    <col min="15568" max="15568" customWidth="0" width="3.109375" style="1"/>
    <col min="15569" max="15569" customWidth="0" width="3.109375" style="1"/>
    <col min="15570" max="15570" customWidth="0" width="3.109375" style="1"/>
    <col min="15571" max="15571" customWidth="0" width="3.109375" style="1"/>
    <col min="15572" max="15572" customWidth="0" width="3.109375" style="1"/>
    <col min="15573" max="15573" customWidth="0" width="3.109375" style="1"/>
    <col min="15574" max="15574" customWidth="0" width="3.109375" style="1"/>
    <col min="15575" max="15575" customWidth="0" width="3.109375" style="1"/>
    <col min="15576" max="15576" customWidth="0" width="3.109375" style="1"/>
    <col min="15577" max="15577" customWidth="0" width="3.109375" style="1"/>
    <col min="15578" max="15578" customWidth="0" width="3.109375" style="1"/>
    <col min="15579" max="15579" customWidth="0" width="3.109375" style="1"/>
    <col min="15580" max="15580" customWidth="0" width="3.109375" style="1"/>
    <col min="15581" max="15581" customWidth="0" width="3.109375" style="1"/>
    <col min="15582" max="15582" customWidth="0" width="3.109375" style="1"/>
    <col min="15583" max="15583" customWidth="0" width="3.109375" style="1"/>
    <col min="15584" max="15584" customWidth="0" width="3.109375" style="1"/>
    <col min="15585" max="15585" customWidth="0" width="3.109375" style="1"/>
    <col min="15586" max="15586" customWidth="0" width="3.109375" style="1"/>
    <col min="15587" max="15587" customWidth="0" width="3.109375" style="1"/>
    <col min="15588" max="15588" customWidth="0" width="3.109375" style="1"/>
    <col min="15589" max="15589" customWidth="0" width="3.109375" style="1"/>
    <col min="15590" max="15590" customWidth="0" width="3.109375" style="1"/>
    <col min="15591" max="15591" customWidth="0" width="3.109375" style="1"/>
    <col min="15592" max="15592" customWidth="0" width="3.109375" style="1"/>
    <col min="15593" max="15593" customWidth="0" width="3.109375" style="1"/>
    <col min="15594" max="15594" customWidth="0" width="3.109375" style="1"/>
    <col min="15595" max="15595" customWidth="0" width="3.109375" style="1"/>
    <col min="15596" max="15596" customWidth="0" width="3.109375" style="1"/>
    <col min="15597" max="15597" customWidth="0" width="3.109375" style="1"/>
    <col min="15598" max="15598" customWidth="0" width="3.109375" style="1"/>
    <col min="15599" max="15599" customWidth="0" width="3.109375" style="1"/>
    <col min="15600" max="15600" customWidth="0" width="3.109375" style="1"/>
    <col min="15601" max="15601" customWidth="0" width="3.109375" style="1"/>
    <col min="15602" max="15602" customWidth="0" width="3.109375" style="1"/>
    <col min="15603" max="15603" customWidth="0" width="3.109375" style="1"/>
    <col min="15604" max="15604" customWidth="0" width="3.109375" style="1"/>
    <col min="15605" max="15605" customWidth="0" width="3.109375" style="1"/>
    <col min="15606" max="15606" customWidth="0" width="3.109375" style="1"/>
    <col min="15607" max="15607" customWidth="0" width="3.109375" style="1"/>
    <col min="15608" max="15608" customWidth="0" width="3.109375" style="1"/>
    <col min="15609" max="15609" customWidth="0" width="3.109375" style="1"/>
    <col min="15610" max="15610" customWidth="0" width="3.109375" style="1"/>
    <col min="15611" max="15611" customWidth="0" width="3.109375" style="1"/>
    <col min="15612" max="15612" customWidth="0" width="3.109375" style="1"/>
    <col min="15613" max="15613" customWidth="0" width="3.109375" style="1"/>
    <col min="15614" max="15614" customWidth="0" width="3.109375" style="1"/>
    <col min="15615" max="15615" customWidth="0" width="3.109375" style="1"/>
    <col min="15616" max="15616" customWidth="0" width="3.109375" style="1"/>
    <col min="15617" max="15617" customWidth="0" width="3.109375" style="1"/>
    <col min="15618" max="15618" customWidth="0" width="3.109375" style="1"/>
    <col min="15619" max="15619" customWidth="0" width="3.109375" style="1"/>
    <col min="15620" max="15620" customWidth="0" width="3.109375" style="1"/>
    <col min="15621" max="15621" customWidth="0" width="3.109375" style="1"/>
    <col min="15622" max="15622" customWidth="0" width="3.109375" style="1"/>
    <col min="15623" max="15623" customWidth="0" width="3.109375" style="1"/>
    <col min="15624" max="15624" customWidth="0" width="3.109375" style="1"/>
    <col min="15625" max="15625" customWidth="0" width="3.109375" style="1"/>
    <col min="15626" max="15626" customWidth="0" width="3.109375" style="1"/>
    <col min="15627" max="15627" customWidth="0" width="3.109375" style="1"/>
    <col min="15628" max="15628" customWidth="0" width="3.109375" style="1"/>
    <col min="15629" max="15629" customWidth="0" width="3.109375" style="1"/>
    <col min="15630" max="15630" customWidth="0" width="3.109375" style="1"/>
    <col min="15631" max="15631" customWidth="0" width="3.109375" style="1"/>
    <col min="15632" max="15632" customWidth="0" width="3.109375" style="1"/>
    <col min="15633" max="15633" customWidth="0" width="3.109375" style="1"/>
    <col min="15634" max="15634" customWidth="0" width="3.109375" style="1"/>
    <col min="15635" max="15635" customWidth="0" width="3.109375" style="1"/>
    <col min="15636" max="15636" customWidth="0" width="3.109375" style="1"/>
    <col min="15637" max="15637" customWidth="0" width="3.109375" style="1"/>
    <col min="15638" max="15638" customWidth="0" width="3.109375" style="1"/>
    <col min="15639" max="15639" customWidth="0" width="3.109375" style="1"/>
    <col min="15640" max="15640" customWidth="0" width="3.109375" style="1"/>
    <col min="15641" max="15641" customWidth="0" width="3.109375" style="1"/>
    <col min="15642" max="15642" customWidth="0" width="3.109375" style="1"/>
    <col min="15643" max="15643" customWidth="0" width="3.109375" style="1"/>
    <col min="15644" max="15644" customWidth="0" width="3.109375" style="1"/>
    <col min="15645" max="15645" customWidth="0" width="3.109375" style="1"/>
    <col min="15646" max="15646" customWidth="0" width="3.109375" style="1"/>
    <col min="15647" max="15647" customWidth="0" width="3.109375" style="1"/>
    <col min="15648" max="15648" customWidth="0" width="3.109375" style="1"/>
    <col min="15649" max="15649" customWidth="0" width="3.109375" style="1"/>
    <col min="15650" max="15650" customWidth="0" width="3.109375" style="1"/>
    <col min="15651" max="15651" customWidth="0" width="3.109375" style="1"/>
    <col min="15652" max="15652" customWidth="0" width="3.109375" style="1"/>
    <col min="15653" max="15653" customWidth="0" width="3.109375" style="1"/>
    <col min="15654" max="15654" customWidth="0" width="3.109375" style="1"/>
    <col min="15655" max="15655" customWidth="0" width="3.109375" style="1"/>
    <col min="15656" max="15656" customWidth="0" width="3.109375" style="1"/>
    <col min="15657" max="15657" customWidth="0" width="3.109375" style="1"/>
    <col min="15658" max="15658" customWidth="0" width="3.109375" style="1"/>
    <col min="15659" max="15659" customWidth="0" width="3.109375" style="1"/>
    <col min="15660" max="15660" customWidth="0" width="3.109375" style="1"/>
    <col min="15661" max="15661" customWidth="0" width="3.109375" style="1"/>
    <col min="15662" max="15662" customWidth="0" width="3.109375" style="1"/>
    <col min="15663" max="15663" customWidth="0" width="3.109375" style="1"/>
    <col min="15664" max="15664" customWidth="0" width="3.109375" style="1"/>
    <col min="15665" max="15665" customWidth="0" width="3.109375" style="1"/>
    <col min="15666" max="15666" customWidth="0" width="3.109375" style="1"/>
    <col min="15667" max="15667" customWidth="0" width="3.109375" style="1"/>
    <col min="15668" max="15668" customWidth="0" width="3.109375" style="1"/>
    <col min="15669" max="15669" customWidth="0" width="3.109375" style="1"/>
    <col min="15670" max="15670" customWidth="0" width="3.109375" style="1"/>
    <col min="15671" max="15671" customWidth="0" width="3.109375" style="1"/>
    <col min="15672" max="15672" customWidth="0" width="3.109375" style="1"/>
    <col min="15673" max="15673" customWidth="0" width="3.109375" style="1"/>
    <col min="15674" max="15674" customWidth="0" width="3.109375" style="1"/>
    <col min="15675" max="15675" customWidth="0" width="3.109375" style="1"/>
    <col min="15676" max="15676" customWidth="0" width="3.109375" style="1"/>
    <col min="15677" max="15677" customWidth="0" width="3.109375" style="1"/>
    <col min="15678" max="15678" customWidth="0" width="3.109375" style="1"/>
    <col min="15679" max="15679" customWidth="0" width="3.109375" style="1"/>
    <col min="15680" max="15680" customWidth="0" width="3.109375" style="1"/>
    <col min="15681" max="15681" customWidth="0" width="3.109375" style="1"/>
    <col min="15682" max="15682" customWidth="0" width="3.109375" style="1"/>
    <col min="15683" max="15683" customWidth="0" width="3.109375" style="1"/>
    <col min="15684" max="15684" customWidth="0" width="3.109375" style="1"/>
    <col min="15685" max="15685" customWidth="0" width="3.109375" style="1"/>
    <col min="15686" max="15686" customWidth="0" width="3.109375" style="1"/>
    <col min="15687" max="15687" customWidth="0" width="3.109375" style="1"/>
    <col min="15688" max="15688" customWidth="0" width="3.109375" style="1"/>
    <col min="15689" max="15689" customWidth="0" width="3.109375" style="1"/>
    <col min="15690" max="15690" customWidth="0" width="3.109375" style="1"/>
    <col min="15691" max="15691" customWidth="0" width="3.109375" style="1"/>
    <col min="15692" max="15692" customWidth="0" width="3.109375" style="1"/>
    <col min="15693" max="15693" customWidth="0" width="3.109375" style="1"/>
    <col min="15694" max="15694" customWidth="0" width="3.109375" style="1"/>
    <col min="15695" max="15695" customWidth="0" width="3.109375" style="1"/>
    <col min="15696" max="15696" customWidth="0" width="3.109375" style="1"/>
    <col min="15697" max="15697" customWidth="0" width="3.109375" style="1"/>
    <col min="15698" max="15698" customWidth="0" width="3.109375" style="1"/>
    <col min="15699" max="15699" customWidth="0" width="3.109375" style="1"/>
    <col min="15700" max="15700" customWidth="0" width="3.109375" style="1"/>
    <col min="15701" max="15701" customWidth="0" width="3.109375" style="1"/>
    <col min="15702" max="15702" customWidth="0" width="3.109375" style="1"/>
    <col min="15703" max="15703" customWidth="0" width="3.109375" style="1"/>
    <col min="15704" max="15704" customWidth="0" width="3.109375" style="1"/>
    <col min="15705" max="15705" customWidth="0" width="3.109375" style="1"/>
    <col min="15706" max="15706" customWidth="0" width="3.109375" style="1"/>
    <col min="15707" max="15707" customWidth="0" width="3.109375" style="1"/>
    <col min="15708" max="15708" customWidth="0" width="3.109375" style="1"/>
    <col min="15709" max="15709" customWidth="0" width="3.109375" style="1"/>
    <col min="15710" max="15710" customWidth="0" width="3.109375" style="1"/>
    <col min="15711" max="15711" customWidth="0" width="3.109375" style="1"/>
    <col min="15712" max="15712" customWidth="0" width="3.109375" style="1"/>
    <col min="15713" max="15713" customWidth="0" width="3.109375" style="1"/>
    <col min="15714" max="15714" customWidth="0" width="3.109375" style="1"/>
    <col min="15715" max="15715" customWidth="0" width="3.109375" style="1"/>
    <col min="15716" max="15716" customWidth="0" width="3.109375" style="1"/>
    <col min="15717" max="15717" customWidth="0" width="3.109375" style="1"/>
    <col min="15718" max="15718" customWidth="0" width="3.109375" style="1"/>
    <col min="15719" max="15719" customWidth="0" width="3.109375" style="1"/>
    <col min="15720" max="15720" customWidth="0" width="3.109375" style="1"/>
    <col min="15721" max="15721" customWidth="0" width="3.109375" style="1"/>
    <col min="15722" max="15722" customWidth="0" width="3.109375" style="1"/>
    <col min="15723" max="15723" customWidth="0" width="3.109375" style="1"/>
    <col min="15724" max="15724" customWidth="0" width="3.109375" style="1"/>
    <col min="15725" max="15725" customWidth="0" width="3.109375" style="1"/>
    <col min="15726" max="15726" customWidth="0" width="3.109375" style="1"/>
    <col min="15727" max="15727" customWidth="0" width="3.109375" style="1"/>
    <col min="15728" max="15728" customWidth="0" width="3.109375" style="1"/>
    <col min="15729" max="15729" customWidth="0" width="3.109375" style="1"/>
    <col min="15730" max="15730" customWidth="0" width="3.109375" style="1"/>
    <col min="15731" max="15731" customWidth="0" width="3.109375" style="1"/>
    <col min="15732" max="15732" customWidth="0" width="3.109375" style="1"/>
    <col min="15733" max="15733" customWidth="0" width="3.109375" style="1"/>
    <col min="15734" max="15734" customWidth="0" width="3.109375" style="1"/>
    <col min="15735" max="15735" customWidth="0" width="3.109375" style="1"/>
    <col min="15736" max="15736" customWidth="0" width="3.109375" style="1"/>
    <col min="15737" max="15737" customWidth="0" width="3.109375" style="1"/>
    <col min="15738" max="15738" customWidth="0" width="3.109375" style="1"/>
    <col min="15739" max="15739" customWidth="0" width="3.109375" style="1"/>
    <col min="15740" max="15740" customWidth="0" width="3.109375" style="1"/>
    <col min="15741" max="15741" customWidth="0" width="3.109375" style="1"/>
    <col min="15742" max="15742" customWidth="0" width="3.109375" style="1"/>
    <col min="15743" max="15743" customWidth="0" width="3.109375" style="1"/>
    <col min="15744" max="15744" customWidth="0" width="3.109375" style="1"/>
    <col min="15745" max="15745" customWidth="0" width="3.109375" style="1"/>
    <col min="15746" max="15746" customWidth="0" width="3.109375" style="1"/>
    <col min="15747" max="15747" customWidth="0" width="3.109375" style="1"/>
    <col min="15748" max="15748" customWidth="0" width="3.109375" style="1"/>
    <col min="15749" max="15749" customWidth="0" width="3.109375" style="1"/>
    <col min="15750" max="15750" customWidth="0" width="3.109375" style="1"/>
    <col min="15751" max="15751" customWidth="0" width="3.109375" style="1"/>
    <col min="15752" max="15752" customWidth="0" width="3.109375" style="1"/>
    <col min="15753" max="15753" customWidth="0" width="3.109375" style="1"/>
    <col min="15754" max="15754" customWidth="0" width="3.109375" style="1"/>
    <col min="15755" max="15755" customWidth="0" width="3.109375" style="1"/>
    <col min="15756" max="15756" customWidth="0" width="3.109375" style="1"/>
    <col min="15757" max="15757" customWidth="0" width="3.109375" style="1"/>
    <col min="15758" max="15758" customWidth="0" width="3.109375" style="1"/>
    <col min="15759" max="15759" customWidth="0" width="3.109375" style="1"/>
    <col min="15760" max="15760" customWidth="0" width="3.109375" style="1"/>
    <col min="15761" max="15761" customWidth="0" width="3.109375" style="1"/>
    <col min="15762" max="15762" customWidth="0" width="3.109375" style="1"/>
    <col min="15763" max="15763" customWidth="0" width="3.109375" style="1"/>
    <col min="15764" max="15764" customWidth="0" width="3.109375" style="1"/>
    <col min="15765" max="15765" customWidth="0" width="3.109375" style="1"/>
    <col min="15766" max="15766" customWidth="0" width="3.109375" style="1"/>
    <col min="15767" max="15767" customWidth="0" width="3.109375" style="1"/>
    <col min="15768" max="15768" customWidth="0" width="3.109375" style="1"/>
    <col min="15769" max="15769" customWidth="0" width="3.109375" style="1"/>
    <col min="15770" max="15770" customWidth="0" width="3.109375" style="1"/>
    <col min="15771" max="15771" customWidth="0" width="3.109375" style="1"/>
    <col min="15772" max="15772" customWidth="0" width="3.109375" style="1"/>
    <col min="15773" max="15773" customWidth="0" width="3.109375" style="1"/>
    <col min="15774" max="15774" customWidth="0" width="3.109375" style="1"/>
    <col min="15775" max="15775" customWidth="0" width="3.109375" style="1"/>
    <col min="15776" max="15776" customWidth="0" width="3.109375" style="1"/>
    <col min="15777" max="15777" customWidth="0" width="3.109375" style="1"/>
    <col min="15778" max="15778" customWidth="0" width="3.109375" style="1"/>
    <col min="15779" max="15779" customWidth="0" width="3.109375" style="1"/>
    <col min="15780" max="15780" customWidth="0" width="3.109375" style="1"/>
    <col min="15781" max="15781" customWidth="0" width="3.109375" style="1"/>
    <col min="15782" max="15782" customWidth="0" width="3.109375" style="1"/>
    <col min="15783" max="15783" customWidth="0" width="3.109375" style="1"/>
    <col min="15784" max="15784" customWidth="0" width="3.109375" style="1"/>
    <col min="15785" max="15785" customWidth="0" width="3.109375" style="1"/>
    <col min="15786" max="15786" customWidth="0" width="3.109375" style="1"/>
    <col min="15787" max="15787" customWidth="0" width="3.109375" style="1"/>
    <col min="15788" max="15788" customWidth="0" width="3.109375" style="1"/>
    <col min="15789" max="15789" customWidth="0" width="3.109375" style="1"/>
    <col min="15790" max="15790" customWidth="0" width="3.109375" style="1"/>
    <col min="15791" max="15791" customWidth="0" width="3.109375" style="1"/>
    <col min="15792" max="15792" customWidth="0" width="3.109375" style="1"/>
    <col min="15793" max="15793" customWidth="0" width="3.109375" style="1"/>
    <col min="15794" max="15794" customWidth="0" width="3.109375" style="1"/>
    <col min="15795" max="15795" customWidth="0" width="3.109375" style="1"/>
    <col min="15796" max="15796" customWidth="0" width="3.109375" style="1"/>
    <col min="15797" max="15797" customWidth="0" width="3.109375" style="1"/>
    <col min="15798" max="15798" customWidth="0" width="3.109375" style="1"/>
    <col min="15799" max="15799" customWidth="0" width="3.109375" style="1"/>
    <col min="15800" max="15800" customWidth="0" width="3.109375" style="1"/>
    <col min="15801" max="15801" customWidth="0" width="3.109375" style="1"/>
    <col min="15802" max="15802" customWidth="0" width="3.109375" style="1"/>
    <col min="15803" max="15803" customWidth="0" width="3.109375" style="1"/>
    <col min="15804" max="15804" customWidth="0" width="3.109375" style="1"/>
    <col min="15805" max="15805" customWidth="0" width="3.109375" style="1"/>
    <col min="15806" max="15806" customWidth="0" width="3.109375" style="1"/>
    <col min="15807" max="15807" customWidth="0" width="3.109375" style="1"/>
    <col min="15808" max="15808" customWidth="0" width="3.109375" style="1"/>
    <col min="15809" max="15809" customWidth="0" width="3.109375" style="1"/>
    <col min="15810" max="15810" customWidth="0" width="3.109375" style="1"/>
    <col min="15811" max="15811" customWidth="0" width="3.109375" style="1"/>
    <col min="15812" max="15812" customWidth="0" width="3.109375" style="1"/>
    <col min="15813" max="15813" customWidth="0" width="3.109375" style="1"/>
    <col min="15814" max="15814" customWidth="0" width="3.109375" style="1"/>
    <col min="15815" max="15815" customWidth="0" width="3.109375" style="1"/>
    <col min="15816" max="15816" customWidth="0" width="3.109375" style="1"/>
    <col min="15817" max="15817" customWidth="0" width="3.109375" style="1"/>
    <col min="15818" max="15818" customWidth="0" width="3.109375" style="1"/>
    <col min="15819" max="15819" customWidth="0" width="3.109375" style="1"/>
    <col min="15820" max="15820" customWidth="0" width="3.109375" style="1"/>
    <col min="15821" max="15821" customWidth="0" width="3.109375" style="1"/>
    <col min="15822" max="15822" customWidth="0" width="3.109375" style="1"/>
    <col min="15823" max="15823" customWidth="0" width="3.109375" style="1"/>
    <col min="15824" max="15824" customWidth="0" width="3.109375" style="1"/>
    <col min="15825" max="15825" customWidth="0" width="3.109375" style="1"/>
    <col min="15826" max="15826" customWidth="0" width="3.109375" style="1"/>
    <col min="15827" max="15827" customWidth="0" width="3.109375" style="1"/>
    <col min="15828" max="15828" customWidth="0" width="3.109375" style="1"/>
    <col min="15829" max="15829" customWidth="0" width="3.109375" style="1"/>
    <col min="15830" max="15830" customWidth="0" width="3.109375" style="1"/>
    <col min="15831" max="15831" customWidth="0" width="3.109375" style="1"/>
    <col min="15832" max="15832" customWidth="0" width="3.109375" style="1"/>
    <col min="15833" max="15833" customWidth="0" width="3.109375" style="1"/>
    <col min="15834" max="15834" customWidth="0" width="3.109375" style="1"/>
    <col min="15835" max="15835" customWidth="0" width="3.109375" style="1"/>
    <col min="15836" max="15836" customWidth="0" width="3.109375" style="1"/>
    <col min="15837" max="15837" customWidth="0" width="3.109375" style="1"/>
    <col min="15838" max="15838" customWidth="0" width="3.109375" style="1"/>
    <col min="15839" max="15839" customWidth="0" width="3.109375" style="1"/>
    <col min="15840" max="15840" customWidth="0" width="3.109375" style="1"/>
    <col min="15841" max="15841" customWidth="0" width="3.109375" style="1"/>
    <col min="15842" max="15842" customWidth="0" width="3.109375" style="1"/>
    <col min="15843" max="15843" customWidth="0" width="3.109375" style="1"/>
    <col min="15844" max="15844" customWidth="0" width="3.109375" style="1"/>
    <col min="15845" max="15845" customWidth="0" width="3.109375" style="1"/>
    <col min="15846" max="15846" customWidth="0" width="3.109375" style="1"/>
    <col min="15847" max="15847" customWidth="0" width="3.109375" style="1"/>
    <col min="15848" max="15848" customWidth="0" width="3.109375" style="1"/>
    <col min="15849" max="15849" customWidth="0" width="3.109375" style="1"/>
    <col min="15850" max="15850" customWidth="0" width="3.109375" style="1"/>
    <col min="15851" max="15851" customWidth="0" width="3.109375" style="1"/>
    <col min="15852" max="15852" customWidth="0" width="3.109375" style="1"/>
    <col min="15853" max="15853" customWidth="0" width="3.109375" style="1"/>
    <col min="15854" max="15854" customWidth="0" width="3.109375" style="1"/>
    <col min="15855" max="15855" customWidth="0" width="3.109375" style="1"/>
    <col min="15856" max="15856" customWidth="0" width="3.109375" style="1"/>
    <col min="15857" max="15857" customWidth="0" width="3.109375" style="1"/>
    <col min="15858" max="15858" customWidth="0" width="3.109375" style="1"/>
    <col min="15859" max="15859" customWidth="0" width="3.109375" style="1"/>
    <col min="15860" max="15860" customWidth="0" width="3.109375" style="1"/>
    <col min="15861" max="15861" customWidth="0" width="3.109375" style="1"/>
    <col min="15862" max="15862" customWidth="0" width="3.109375" style="1"/>
    <col min="15863" max="15863" customWidth="0" width="3.109375" style="1"/>
    <col min="15864" max="15864" customWidth="0" width="3.109375" style="1"/>
    <col min="15865" max="15865" customWidth="0" width="3.109375" style="1"/>
    <col min="15866" max="15866" customWidth="0" width="3.109375" style="1"/>
    <col min="15867" max="15867" customWidth="0" width="3.109375" style="1"/>
    <col min="15868" max="15868" customWidth="0" width="3.109375" style="1"/>
    <col min="15869" max="15869" customWidth="0" width="3.109375" style="1"/>
    <col min="15870" max="15870" customWidth="0" width="3.109375" style="1"/>
    <col min="15871" max="15871" customWidth="0" width="3.109375" style="1"/>
    <col min="15872" max="15872" customWidth="0" width="3.109375" style="1"/>
    <col min="15873" max="15873" customWidth="0" width="3.109375" style="1"/>
    <col min="15874" max="15874" customWidth="0" width="3.109375" style="1"/>
    <col min="15875" max="15875" customWidth="0" width="3.109375" style="1"/>
    <col min="15876" max="15876" customWidth="0" width="3.109375" style="1"/>
    <col min="15877" max="15877" customWidth="0" width="3.109375" style="1"/>
    <col min="15878" max="15878" customWidth="0" width="3.109375" style="1"/>
    <col min="15879" max="15879" customWidth="0" width="3.109375" style="1"/>
    <col min="15880" max="15880" customWidth="0" width="3.109375" style="1"/>
    <col min="15881" max="15881" customWidth="0" width="3.109375" style="1"/>
    <col min="15882" max="15882" customWidth="0" width="3.109375" style="1"/>
    <col min="15883" max="15883" customWidth="0" width="3.109375" style="1"/>
    <col min="15884" max="15884" customWidth="0" width="3.109375" style="1"/>
    <col min="15885" max="15885" customWidth="0" width="3.109375" style="1"/>
    <col min="15886" max="15886" customWidth="0" width="3.109375" style="1"/>
    <col min="15887" max="15887" customWidth="0" width="3.109375" style="1"/>
    <col min="15888" max="15888" customWidth="0" width="3.109375" style="1"/>
    <col min="15889" max="15889" customWidth="0" width="3.109375" style="1"/>
    <col min="15890" max="15890" customWidth="0" width="3.109375" style="1"/>
    <col min="15891" max="15891" customWidth="0" width="3.109375" style="1"/>
    <col min="15892" max="15892" customWidth="0" width="3.109375" style="1"/>
    <col min="15893" max="15893" customWidth="0" width="3.109375" style="1"/>
    <col min="15894" max="15894" customWidth="0" width="3.109375" style="1"/>
    <col min="15895" max="15895" customWidth="0" width="3.109375" style="1"/>
    <col min="15896" max="15896" customWidth="0" width="3.109375" style="1"/>
    <col min="15897" max="15897" customWidth="0" width="3.109375" style="1"/>
    <col min="15898" max="15898" customWidth="0" width="3.109375" style="1"/>
    <col min="15899" max="15899" customWidth="0" width="3.109375" style="1"/>
    <col min="15900" max="15900" customWidth="0" width="3.109375" style="1"/>
    <col min="15901" max="15901" customWidth="0" width="3.109375" style="1"/>
    <col min="15902" max="15902" customWidth="0" width="3.109375" style="1"/>
    <col min="15903" max="15903" customWidth="0" width="3.109375" style="1"/>
    <col min="15904" max="15904" customWidth="0" width="3.109375" style="1"/>
    <col min="15905" max="15905" customWidth="0" width="3.109375" style="1"/>
    <col min="15906" max="15906" customWidth="0" width="3.109375" style="1"/>
    <col min="15907" max="15907" customWidth="0" width="3.109375" style="1"/>
    <col min="15908" max="15908" customWidth="0" width="3.109375" style="1"/>
    <col min="15909" max="15909" customWidth="0" width="3.109375" style="1"/>
    <col min="15910" max="15910" customWidth="0" width="3.109375" style="1"/>
    <col min="15911" max="15911" customWidth="0" width="3.109375" style="1"/>
    <col min="15912" max="15912" customWidth="0" width="3.109375" style="1"/>
    <col min="15913" max="15913" customWidth="0" width="3.109375" style="1"/>
    <col min="15914" max="15914" customWidth="0" width="3.109375" style="1"/>
    <col min="15915" max="15915" customWidth="0" width="3.109375" style="1"/>
    <col min="15916" max="15916" customWidth="0" width="3.109375" style="1"/>
    <col min="15917" max="15917" customWidth="0" width="3.109375" style="1"/>
    <col min="15918" max="15918" customWidth="0" width="3.109375" style="1"/>
    <col min="15919" max="15919" customWidth="0" width="3.109375" style="1"/>
    <col min="15920" max="15920" customWidth="0" width="3.109375" style="1"/>
    <col min="15921" max="15921" customWidth="0" width="3.109375" style="1"/>
    <col min="15922" max="15922" customWidth="0" width="3.109375" style="1"/>
    <col min="15923" max="15923" customWidth="0" width="3.109375" style="1"/>
    <col min="15924" max="15924" customWidth="0" width="3.109375" style="1"/>
    <col min="15925" max="15925" customWidth="0" width="3.109375" style="1"/>
    <col min="15926" max="15926" customWidth="0" width="3.109375" style="1"/>
    <col min="15927" max="15927" customWidth="0" width="3.109375" style="1"/>
    <col min="15928" max="15928" customWidth="0" width="3.109375" style="1"/>
    <col min="15929" max="15929" customWidth="0" width="3.109375" style="1"/>
    <col min="15930" max="15930" customWidth="0" width="3.109375" style="1"/>
    <col min="15931" max="15931" customWidth="0" width="3.109375" style="1"/>
    <col min="15932" max="15932" customWidth="0" width="3.109375" style="1"/>
    <col min="15933" max="15933" customWidth="0" width="3.109375" style="1"/>
    <col min="15934" max="15934" customWidth="0" width="3.109375" style="1"/>
    <col min="15935" max="15935" customWidth="0" width="3.109375" style="1"/>
    <col min="15936" max="15936" customWidth="0" width="3.109375" style="1"/>
    <col min="15937" max="15937" customWidth="0" width="3.109375" style="1"/>
    <col min="15938" max="15938" customWidth="0" width="3.109375" style="1"/>
    <col min="15939" max="15939" customWidth="0" width="3.109375" style="1"/>
    <col min="15940" max="15940" customWidth="0" width="3.109375" style="1"/>
    <col min="15941" max="15941" customWidth="0" width="3.109375" style="1"/>
    <col min="15942" max="15942" customWidth="0" width="3.109375" style="1"/>
    <col min="15943" max="15943" customWidth="0" width="3.109375" style="1"/>
    <col min="15944" max="15944" customWidth="0" width="3.109375" style="1"/>
    <col min="15945" max="15945" customWidth="0" width="3.109375" style="1"/>
    <col min="15946" max="15946" customWidth="0" width="3.109375" style="1"/>
    <col min="15947" max="15947" customWidth="0" width="3.109375" style="1"/>
    <col min="15948" max="15948" customWidth="0" width="3.109375" style="1"/>
    <col min="15949" max="15949" customWidth="0" width="3.109375" style="1"/>
    <col min="15950" max="15950" customWidth="0" width="3.109375" style="1"/>
    <col min="15951" max="15951" customWidth="0" width="3.109375" style="1"/>
    <col min="15952" max="15952" customWidth="0" width="3.109375" style="1"/>
    <col min="15953" max="15953" customWidth="0" width="3.109375" style="1"/>
    <col min="15954" max="15954" customWidth="0" width="3.109375" style="1"/>
    <col min="15955" max="15955" customWidth="0" width="3.109375" style="1"/>
    <col min="15956" max="15956" customWidth="0" width="3.109375" style="1"/>
    <col min="15957" max="15957" customWidth="0" width="3.109375" style="1"/>
    <col min="15958" max="15958" customWidth="0" width="3.109375" style="1"/>
    <col min="15959" max="15959" customWidth="0" width="3.109375" style="1"/>
    <col min="15960" max="15960" customWidth="0" width="3.109375" style="1"/>
    <col min="15961" max="15961" customWidth="0" width="3.109375" style="1"/>
    <col min="15962" max="15962" customWidth="0" width="3.109375" style="1"/>
    <col min="15963" max="15963" customWidth="0" width="3.109375" style="1"/>
    <col min="15964" max="15964" customWidth="0" width="3.109375" style="1"/>
    <col min="15965" max="15965" customWidth="0" width="3.109375" style="1"/>
    <col min="15966" max="15966" customWidth="0" width="3.109375" style="1"/>
    <col min="15967" max="15967" customWidth="0" width="3.109375" style="1"/>
    <col min="15968" max="15968" customWidth="0" width="3.109375" style="1"/>
    <col min="15969" max="15969" customWidth="0" width="3.109375" style="1"/>
    <col min="15970" max="15970" customWidth="0" width="3.109375" style="1"/>
    <col min="15971" max="15971" customWidth="0" width="3.109375" style="1"/>
    <col min="15972" max="15972" customWidth="0" width="3.109375" style="1"/>
    <col min="15973" max="15973" customWidth="0" width="3.109375" style="1"/>
    <col min="15974" max="15974" customWidth="0" width="3.109375" style="1"/>
    <col min="15975" max="15975" customWidth="0" width="3.109375" style="1"/>
    <col min="15976" max="15976" customWidth="0" width="3.109375" style="1"/>
    <col min="15977" max="15977" customWidth="0" width="3.109375" style="1"/>
    <col min="15978" max="15978" customWidth="0" width="3.109375" style="1"/>
    <col min="15979" max="15979" customWidth="0" width="3.109375" style="1"/>
    <col min="15980" max="15980" customWidth="0" width="3.109375" style="1"/>
    <col min="15981" max="15981" customWidth="0" width="3.109375" style="1"/>
    <col min="15982" max="15982" customWidth="0" width="3.109375" style="1"/>
    <col min="15983" max="15983" customWidth="0" width="3.109375" style="1"/>
    <col min="15984" max="15984" customWidth="0" width="3.109375" style="1"/>
    <col min="15985" max="15985" customWidth="0" width="3.109375" style="1"/>
    <col min="15986" max="15986" customWidth="0" width="3.109375" style="1"/>
    <col min="15987" max="15987" customWidth="0" width="3.109375" style="1"/>
    <col min="15988" max="15988" customWidth="0" width="3.109375" style="1"/>
    <col min="15989" max="15989" customWidth="0" width="3.109375" style="1"/>
    <col min="15990" max="15990" customWidth="0" width="3.109375" style="1"/>
    <col min="15991" max="15991" customWidth="0" width="3.109375" style="1"/>
    <col min="15992" max="15992" customWidth="0" width="3.109375" style="1"/>
    <col min="15993" max="15993" customWidth="0" width="3.109375" style="1"/>
    <col min="15994" max="15994" customWidth="0" width="3.109375" style="1"/>
    <col min="15995" max="15995" customWidth="0" width="3.109375" style="1"/>
    <col min="15996" max="15996" customWidth="0" width="3.109375" style="1"/>
    <col min="15997" max="15997" customWidth="0" width="3.109375" style="1"/>
    <col min="15998" max="15998" customWidth="0" width="3.109375" style="1"/>
    <col min="15999" max="15999" customWidth="0" width="3.109375" style="1"/>
    <col min="16000" max="16000" customWidth="0" width="3.109375" style="1"/>
    <col min="16001" max="16001" customWidth="0" width="3.109375" style="1"/>
    <col min="16002" max="16002" customWidth="0" width="3.109375" style="1"/>
    <col min="16003" max="16003" customWidth="0" width="3.109375" style="1"/>
    <col min="16004" max="16004" customWidth="0" width="3.109375" style="1"/>
    <col min="16005" max="16005" customWidth="0" width="3.109375" style="1"/>
    <col min="16006" max="16006" customWidth="0" width="3.109375" style="1"/>
    <col min="16007" max="16007" customWidth="0" width="3.109375" style="1"/>
    <col min="16008" max="16008" customWidth="0" width="3.109375" style="1"/>
    <col min="16009" max="16009" customWidth="0" width="3.109375" style="1"/>
    <col min="16010" max="16010" customWidth="0" width="3.109375" style="1"/>
    <col min="16011" max="16011" customWidth="0" width="3.109375" style="1"/>
    <col min="16012" max="16012" customWidth="0" width="3.109375" style="1"/>
    <col min="16013" max="16013" customWidth="0" width="3.109375" style="1"/>
    <col min="16014" max="16014" customWidth="0" width="3.109375" style="1"/>
    <col min="16015" max="16015" customWidth="0" width="3.109375" style="1"/>
    <col min="16016" max="16016" customWidth="0" width="3.109375" style="1"/>
    <col min="16017" max="16017" customWidth="0" width="3.109375" style="1"/>
    <col min="16018" max="16018" customWidth="0" width="3.109375" style="1"/>
    <col min="16019" max="16019" customWidth="0" width="3.109375" style="1"/>
    <col min="16020" max="16020" customWidth="0" width="3.109375" style="1"/>
    <col min="16021" max="16021" customWidth="0" width="3.109375" style="1"/>
    <col min="16022" max="16022" customWidth="0" width="3.109375" style="1"/>
    <col min="16023" max="16023" customWidth="0" width="3.109375" style="1"/>
    <col min="16024" max="16024" customWidth="0" width="3.109375" style="1"/>
    <col min="16025" max="16025" customWidth="0" width="3.109375" style="1"/>
    <col min="16026" max="16026" customWidth="0" width="3.109375" style="1"/>
    <col min="16027" max="16027" customWidth="0" width="3.109375" style="1"/>
    <col min="16028" max="16028" customWidth="0" width="3.109375" style="1"/>
    <col min="16029" max="16029" customWidth="0" width="3.109375" style="1"/>
    <col min="16030" max="16030" customWidth="0" width="3.109375" style="1"/>
    <col min="16031" max="16031" customWidth="0" width="3.109375" style="1"/>
    <col min="16032" max="16032" customWidth="0" width="3.109375" style="1"/>
    <col min="16033" max="16033" customWidth="0" width="3.109375" style="1"/>
    <col min="16034" max="16034" customWidth="0" width="3.109375" style="1"/>
    <col min="16035" max="16035" customWidth="0" width="3.109375" style="1"/>
    <col min="16036" max="16036" customWidth="0" width="3.109375" style="1"/>
    <col min="16037" max="16037" customWidth="0" width="3.109375" style="1"/>
    <col min="16038" max="16038" customWidth="0" width="3.109375" style="1"/>
    <col min="16039" max="16039" customWidth="0" width="3.109375" style="1"/>
    <col min="16040" max="16040" customWidth="0" width="3.109375" style="1"/>
    <col min="16041" max="16041" customWidth="0" width="3.109375" style="1"/>
    <col min="16042" max="16042" customWidth="0" width="3.109375" style="1"/>
    <col min="16043" max="16043" customWidth="0" width="3.109375" style="1"/>
    <col min="16044" max="16044" customWidth="0" width="3.109375" style="1"/>
    <col min="16045" max="16045" customWidth="0" width="3.109375" style="1"/>
    <col min="16046" max="16046" customWidth="0" width="3.109375" style="1"/>
    <col min="16047" max="16047" customWidth="0" width="3.109375" style="1"/>
    <col min="16048" max="16048" customWidth="0" width="3.109375" style="1"/>
    <col min="16049" max="16049" customWidth="0" width="3.109375" style="1"/>
    <col min="16050" max="16050" customWidth="0" width="3.109375" style="1"/>
    <col min="16051" max="16051" customWidth="0" width="3.109375" style="1"/>
    <col min="16052" max="16052" customWidth="0" width="3.109375" style="1"/>
    <col min="16053" max="16053" customWidth="0" width="3.109375" style="1"/>
    <col min="16054" max="16054" customWidth="0" width="3.109375" style="1"/>
    <col min="16055" max="16055" customWidth="0" width="3.109375" style="1"/>
    <col min="16056" max="16056" customWidth="0" width="3.109375" style="1"/>
    <col min="16057" max="16057" customWidth="0" width="3.109375" style="1"/>
    <col min="16058" max="16058" customWidth="0" width="3.109375" style="1"/>
    <col min="16059" max="16059" customWidth="0" width="3.109375" style="1"/>
    <col min="16060" max="16060" customWidth="0" width="3.109375" style="1"/>
    <col min="16061" max="16061" customWidth="0" width="3.109375" style="1"/>
    <col min="16062" max="16062" customWidth="0" width="3.109375" style="1"/>
    <col min="16063" max="16063" customWidth="0" width="3.109375" style="1"/>
    <col min="16064" max="16064" customWidth="0" width="3.109375" style="1"/>
    <col min="16065" max="16065" customWidth="0" width="3.109375" style="1"/>
    <col min="16066" max="16066" customWidth="0" width="3.109375" style="1"/>
    <col min="16067" max="16067" customWidth="0" width="3.109375" style="1"/>
    <col min="16068" max="16068" customWidth="0" width="3.109375" style="1"/>
    <col min="16069" max="16069" customWidth="0" width="3.109375" style="1"/>
    <col min="16070" max="16070" customWidth="0" width="3.109375" style="1"/>
    <col min="16071" max="16071" customWidth="0" width="3.109375" style="1"/>
    <col min="16072" max="16072" customWidth="0" width="3.109375" style="1"/>
    <col min="16073" max="16073" customWidth="0" width="3.109375" style="1"/>
    <col min="16074" max="16074" customWidth="0" width="3.109375" style="1"/>
    <col min="16075" max="16075" customWidth="0" width="3.109375" style="1"/>
    <col min="16076" max="16076" customWidth="0" width="3.109375" style="1"/>
    <col min="16077" max="16077" customWidth="0" width="3.109375" style="1"/>
    <col min="16078" max="16078" customWidth="0" width="3.109375" style="1"/>
    <col min="16079" max="16079" customWidth="0" width="3.109375" style="1"/>
    <col min="16080" max="16080" customWidth="0" width="3.109375" style="1"/>
    <col min="16081" max="16081" customWidth="0" width="3.109375" style="1"/>
    <col min="16082" max="16082" customWidth="0" width="3.109375" style="1"/>
    <col min="16083" max="16083" customWidth="0" width="3.109375" style="1"/>
    <col min="16084" max="16084" customWidth="0" width="3.109375" style="1"/>
    <col min="16085" max="16085" customWidth="0" width="3.109375" style="1"/>
    <col min="16086" max="16086" customWidth="0" width="3.109375" style="1"/>
    <col min="16087" max="16087" customWidth="0" width="3.109375" style="1"/>
    <col min="16088" max="16088" customWidth="0" width="3.109375" style="1"/>
    <col min="16089" max="16089" customWidth="0" width="3.109375" style="1"/>
    <col min="16090" max="16090" customWidth="0" width="3.109375" style="1"/>
    <col min="16091" max="16091" customWidth="0" width="3.109375" style="1"/>
    <col min="16092" max="16092" customWidth="0" width="3.109375" style="1"/>
    <col min="16093" max="16093" customWidth="0" width="3.109375" style="1"/>
    <col min="16094" max="16094" customWidth="0" width="3.109375" style="1"/>
    <col min="16095" max="16095" customWidth="0" width="3.109375" style="1"/>
    <col min="16096" max="16096" customWidth="0" width="3.109375" style="1"/>
    <col min="16097" max="16097" customWidth="0" width="3.109375" style="1"/>
    <col min="16098" max="16098" customWidth="0" width="3.109375" style="1"/>
    <col min="16099" max="16099" customWidth="0" width="3.109375" style="1"/>
    <col min="16100" max="16100" customWidth="0" width="3.109375" style="1"/>
    <col min="16101" max="16101" customWidth="0" width="3.109375" style="1"/>
    <col min="16102" max="16102" customWidth="0" width="3.109375" style="1"/>
    <col min="16103" max="16103" customWidth="0" width="3.109375" style="1"/>
    <col min="16104" max="16104" customWidth="0" width="3.109375" style="1"/>
    <col min="16105" max="16105" customWidth="0" width="3.109375" style="1"/>
    <col min="16106" max="16106" customWidth="0" width="3.109375" style="1"/>
    <col min="16107" max="16107" customWidth="0" width="3.109375" style="1"/>
    <col min="16108" max="16108" customWidth="0" width="3.109375" style="1"/>
    <col min="16109" max="16109" customWidth="0" width="3.109375" style="1"/>
    <col min="16110" max="16110" customWidth="0" width="3.109375" style="1"/>
    <col min="16111" max="16111" customWidth="0" width="3.109375" style="1"/>
    <col min="16112" max="16112" customWidth="0" width="3.109375" style="1"/>
    <col min="16113" max="16113" customWidth="0" width="3.109375" style="1"/>
    <col min="16114" max="16114" customWidth="0" width="3.109375" style="1"/>
    <col min="16115" max="16115" customWidth="0" width="3.109375" style="1"/>
    <col min="16116" max="16116" customWidth="0" width="3.109375" style="1"/>
    <col min="16117" max="16117" customWidth="0" width="3.109375" style="1"/>
    <col min="16118" max="16118" customWidth="0" width="3.109375" style="1"/>
    <col min="16119" max="16119" customWidth="0" width="3.109375" style="1"/>
    <col min="16120" max="16120" customWidth="0" width="3.109375" style="1"/>
    <col min="16121" max="16121" customWidth="0" width="3.109375" style="1"/>
    <col min="16122" max="16122" customWidth="0" width="3.109375" style="1"/>
    <col min="16123" max="16123" customWidth="0" width="3.109375" style="1"/>
    <col min="16124" max="16124" customWidth="0" width="3.109375" style="1"/>
    <col min="16125" max="16125" customWidth="0" width="3.109375" style="1"/>
    <col min="16126" max="16126" customWidth="0" width="3.109375" style="1"/>
    <col min="16127" max="16127" customWidth="0" width="3.109375" style="1"/>
    <col min="16128" max="16128" customWidth="0" width="3.109375" style="1"/>
    <col min="16129" max="16129" customWidth="0" width="3.109375" style="1"/>
    <col min="16130" max="16130" customWidth="0" width="3.109375" style="1"/>
    <col min="16131" max="16131" customWidth="0" width="3.109375" style="1"/>
    <col min="16132" max="16132" customWidth="0" width="3.109375" style="1"/>
    <col min="16133" max="16133" customWidth="0" width="3.109375" style="1"/>
    <col min="16134" max="16134" customWidth="0" width="3.109375" style="1"/>
    <col min="16135" max="16135" customWidth="0" width="3.109375" style="1"/>
    <col min="16136" max="16136" customWidth="0" width="3.109375" style="1"/>
    <col min="16137" max="16137" customWidth="0" width="3.109375" style="1"/>
    <col min="16138" max="16138" customWidth="0" width="3.109375" style="1"/>
    <col min="16139" max="16139" customWidth="0" width="3.109375" style="1"/>
    <col min="16140" max="16140" customWidth="0" width="3.109375" style="1"/>
    <col min="16141" max="16141" customWidth="0" width="3.109375" style="1"/>
    <col min="16142" max="16142" customWidth="0" width="3.109375" style="1"/>
    <col min="16143" max="16143" customWidth="0" width="3.109375" style="1"/>
    <col min="16144" max="16144" customWidth="0" width="3.109375" style="1"/>
    <col min="16145" max="16145" customWidth="0" width="3.109375" style="1"/>
    <col min="16146" max="16146" customWidth="0" width="3.109375" style="1"/>
    <col min="16147" max="16147" customWidth="0" width="3.109375" style="1"/>
    <col min="16148" max="16148" customWidth="0" width="3.109375" style="1"/>
    <col min="16149" max="16149" customWidth="0" width="3.109375" style="1"/>
    <col min="16150" max="16150" customWidth="0" width="3.109375" style="1"/>
    <col min="16151" max="16151" customWidth="0" width="3.109375" style="1"/>
    <col min="16152" max="16152" customWidth="0" width="3.109375" style="1"/>
    <col min="16153" max="16153" customWidth="0" width="3.109375" style="1"/>
    <col min="16154" max="16154" customWidth="0" width="3.109375" style="1"/>
    <col min="16155" max="16155" customWidth="0" width="3.109375" style="1"/>
    <col min="16156" max="16156" customWidth="0" width="3.109375" style="1"/>
    <col min="16157" max="16157" customWidth="0" width="3.109375" style="1"/>
    <col min="16158" max="16158" customWidth="0" width="3.109375" style="1"/>
    <col min="16159" max="16159" customWidth="0" width="3.109375" style="1"/>
    <col min="16160" max="16160" customWidth="0" width="3.109375" style="1"/>
    <col min="16161" max="16161" customWidth="0" width="3.109375" style="1"/>
    <col min="16162" max="16162" customWidth="0" width="3.109375" style="1"/>
    <col min="16163" max="16163" customWidth="0" width="3.109375" style="1"/>
    <col min="16164" max="16164" customWidth="0" width="3.109375" style="1"/>
    <col min="16165" max="16165" customWidth="0" width="3.109375" style="1"/>
    <col min="16166" max="16166" customWidth="0" width="3.109375" style="1"/>
    <col min="16167" max="16167" customWidth="0" width="3.109375" style="1"/>
    <col min="16168" max="16168" customWidth="0" width="3.109375" style="1"/>
    <col min="16169" max="16169" customWidth="0" width="3.109375" style="1"/>
    <col min="16170" max="16170" customWidth="0" width="3.109375" style="1"/>
    <col min="16171" max="16171" customWidth="0" width="3.109375" style="1"/>
    <col min="16172" max="16172" customWidth="0" width="3.109375" style="1"/>
    <col min="16173" max="16173" customWidth="0" width="3.109375" style="1"/>
    <col min="16174" max="16174" customWidth="0" width="3.109375" style="1"/>
    <col min="16175" max="16175" customWidth="0" width="3.109375" style="1"/>
    <col min="16176" max="16176" customWidth="0" width="3.109375" style="1"/>
    <col min="16177" max="16177" customWidth="0" width="3.109375" style="1"/>
    <col min="16178" max="16178" customWidth="0" width="3.109375" style="1"/>
    <col min="16179" max="16179" customWidth="0" width="3.109375" style="1"/>
    <col min="16180" max="16180" customWidth="0" width="3.109375" style="1"/>
    <col min="16181" max="16181" customWidth="0" width="3.109375" style="1"/>
    <col min="16182" max="16182" customWidth="0" width="3.109375" style="1"/>
    <col min="16183" max="16183" customWidth="0" width="3.109375" style="1"/>
    <col min="16184" max="16184" customWidth="0" width="3.109375" style="1"/>
    <col min="16185" max="16185" customWidth="0" width="3.109375" style="1"/>
    <col min="16186" max="16186" customWidth="0" width="3.109375" style="1"/>
    <col min="16187" max="16187" customWidth="0" width="3.109375" style="1"/>
    <col min="16188" max="16188" customWidth="0" width="3.109375" style="1"/>
    <col min="16189" max="16189" customWidth="0" width="3.109375" style="1"/>
    <col min="16190" max="16190" customWidth="0" width="3.109375" style="1"/>
    <col min="16191" max="16191" customWidth="0" width="3.109375" style="1"/>
    <col min="16192" max="16192" customWidth="0" width="3.109375" style="1"/>
    <col min="16193" max="16193" customWidth="0" width="3.109375" style="1"/>
    <col min="16194" max="16194" customWidth="0" width="3.109375" style="1"/>
    <col min="16195" max="16195" customWidth="0" width="3.109375" style="1"/>
    <col min="16196" max="16196" customWidth="0" width="3.109375" style="1"/>
    <col min="16197" max="16197" customWidth="0" width="3.109375" style="1"/>
    <col min="16198" max="16198" customWidth="0" width="3.109375" style="1"/>
    <col min="16199" max="16199" customWidth="0" width="3.109375" style="1"/>
    <col min="16200" max="16200" customWidth="0" width="3.109375" style="1"/>
    <col min="16201" max="16201" customWidth="0" width="3.109375" style="1"/>
    <col min="16202" max="16202" customWidth="0" width="3.109375" style="1"/>
    <col min="16203" max="16203" customWidth="0" width="3.109375" style="1"/>
    <col min="16204" max="16204" customWidth="0" width="3.109375" style="1"/>
    <col min="16205" max="16205" customWidth="0" width="3.109375" style="1"/>
    <col min="16206" max="16206" customWidth="0" width="3.109375" style="1"/>
    <col min="16207" max="16207" customWidth="0" width="3.109375" style="1"/>
    <col min="16208" max="16208" customWidth="0" width="3.109375" style="1"/>
    <col min="16209" max="16209" customWidth="0" width="3.109375" style="1"/>
    <col min="16210" max="16210" customWidth="0" width="3.109375" style="1"/>
    <col min="16211" max="16211" customWidth="0" width="3.109375" style="1"/>
    <col min="16212" max="16212" customWidth="0" width="3.109375" style="1"/>
    <col min="16213" max="16213" customWidth="0" width="3.109375" style="1"/>
    <col min="16214" max="16214" customWidth="0" width="3.109375" style="1"/>
    <col min="16215" max="16215" customWidth="0" width="3.109375" style="1"/>
    <col min="16216" max="16216" customWidth="0" width="3.109375" style="1"/>
    <col min="16217" max="16217" customWidth="0" width="3.109375" style="1"/>
    <col min="16218" max="16218" customWidth="0" width="3.109375" style="1"/>
    <col min="16219" max="16219" customWidth="0" width="3.109375" style="1"/>
    <col min="16220" max="16220" customWidth="0" width="3.109375" style="1"/>
    <col min="16221" max="16221" customWidth="0" width="3.109375" style="1"/>
    <col min="16222" max="16222" customWidth="0" width="3.109375" style="1"/>
    <col min="16223" max="16223" customWidth="0" width="3.109375" style="1"/>
    <col min="16224" max="16224" customWidth="0" width="3.109375" style="1"/>
    <col min="16225" max="16225" customWidth="0" width="3.109375" style="1"/>
    <col min="16226" max="16226" customWidth="0" width="3.109375" style="1"/>
    <col min="16227" max="16227" customWidth="0" width="3.109375" style="1"/>
    <col min="16228" max="16228" customWidth="0" width="3.109375" style="1"/>
    <col min="16229" max="16229" customWidth="0" width="3.109375" style="1"/>
    <col min="16230" max="16230" customWidth="0" width="3.109375" style="1"/>
    <col min="16231" max="16231" customWidth="0" width="3.109375" style="1"/>
    <col min="16232" max="16232" customWidth="0" width="3.109375" style="1"/>
    <col min="16233" max="16233" customWidth="0" width="3.109375" style="1"/>
    <col min="16234" max="16234" customWidth="0" width="3.109375" style="1"/>
    <col min="16235" max="16235" customWidth="0" width="3.109375" style="1"/>
    <col min="16236" max="16236" customWidth="0" width="3.109375" style="1"/>
    <col min="16237" max="16237" customWidth="0" width="3.109375" style="1"/>
    <col min="16238" max="16238" customWidth="0" width="3.109375" style="1"/>
    <col min="16239" max="16239" customWidth="0" width="3.109375" style="1"/>
    <col min="16240" max="16240" customWidth="0" width="3.109375" style="1"/>
    <col min="16241" max="16241" customWidth="0" width="3.109375" style="1"/>
    <col min="16242" max="16242" customWidth="0" width="3.109375" style="1"/>
    <col min="16243" max="16243" customWidth="0" width="3.109375" style="1"/>
    <col min="16244" max="16244" customWidth="0" width="3.109375" style="1"/>
    <col min="16245" max="16245" customWidth="0" width="3.109375" style="1"/>
    <col min="16246" max="16246" customWidth="0" width="3.109375" style="1"/>
    <col min="16247" max="16247" customWidth="0" width="3.109375" style="1"/>
    <col min="16248" max="16248" customWidth="0" width="3.109375" style="1"/>
    <col min="16249" max="16249" customWidth="0" width="3.109375" style="1"/>
    <col min="16250" max="16250" customWidth="0" width="3.109375" style="1"/>
    <col min="16251" max="16251" customWidth="0" width="3.109375" style="1"/>
    <col min="16252" max="16252" customWidth="0" width="3.109375" style="1"/>
    <col min="16253" max="16253" customWidth="0" width="3.109375" style="1"/>
    <col min="16254" max="16254" customWidth="0" width="3.109375" style="1"/>
    <col min="16255" max="16255" customWidth="0" width="3.109375" style="1"/>
    <col min="16256" max="16256" customWidth="0" width="3.109375" style="1"/>
    <col min="16257" max="16257" customWidth="0" width="3.109375" style="1"/>
    <col min="16258" max="16258" customWidth="0" width="3.109375" style="1"/>
    <col min="16259" max="16259" customWidth="0" width="3.109375" style="1"/>
    <col min="16260" max="16260" customWidth="0" width="3.109375" style="1"/>
    <col min="16261" max="16261" customWidth="0" width="3.109375" style="1"/>
    <col min="16262" max="16262" customWidth="0" width="3.109375" style="1"/>
    <col min="16263" max="16263" customWidth="0" width="3.109375" style="1"/>
    <col min="16264" max="16264" customWidth="0" width="3.109375" style="1"/>
    <col min="16265" max="16265" customWidth="0" width="3.109375" style="1"/>
    <col min="16266" max="16266" customWidth="0" width="3.109375" style="1"/>
    <col min="16267" max="16267" customWidth="0" width="3.109375" style="1"/>
    <col min="16268" max="16268" customWidth="0" width="3.109375" style="1"/>
    <col min="16269" max="16269" customWidth="0" width="3.109375" style="1"/>
    <col min="16270" max="16270" customWidth="0" width="3.109375" style="1"/>
    <col min="16271" max="16271" customWidth="0" width="3.109375" style="1"/>
    <col min="16272" max="16272" customWidth="0" width="3.109375" style="1"/>
    <col min="16273" max="16273" customWidth="0" width="3.109375" style="1"/>
    <col min="16274" max="16274" customWidth="0" width="3.109375" style="1"/>
    <col min="16275" max="16275" customWidth="0" width="3.109375" style="1"/>
    <col min="16276" max="16276" customWidth="0" width="3.109375" style="1"/>
    <col min="16277" max="16277" customWidth="0" width="3.109375" style="1"/>
    <col min="16278" max="16278" customWidth="0" width="3.109375" style="1"/>
    <col min="16279" max="16279" customWidth="0" width="3.109375" style="1"/>
    <col min="16280" max="16280" customWidth="0" width="3.109375" style="1"/>
    <col min="16281" max="16281" customWidth="0" width="3.109375" style="1"/>
    <col min="16282" max="16282" customWidth="0" width="3.109375" style="1"/>
    <col min="16283" max="16283" customWidth="0" width="3.109375" style="1"/>
    <col min="16284" max="16284" customWidth="0" width="3.109375" style="1"/>
    <col min="16285" max="16285" customWidth="0" width="3.109375" style="1"/>
    <col min="16286" max="16286" customWidth="0" width="3.109375" style="1"/>
    <col min="16287" max="16287" customWidth="0" width="3.109375" style="1"/>
    <col min="16288" max="16288" customWidth="0" width="3.109375" style="1"/>
    <col min="16289" max="16289" customWidth="0" width="3.109375" style="1"/>
    <col min="16290" max="16290" customWidth="0" width="3.109375" style="1"/>
    <col min="16291" max="16291" customWidth="0" width="3.109375" style="1"/>
    <col min="16292" max="16292" customWidth="0" width="3.109375" style="1"/>
    <col min="16293" max="16293" customWidth="0" width="3.109375" style="1"/>
    <col min="16294" max="16294" customWidth="0" width="3.109375" style="1"/>
    <col min="16295" max="16295" customWidth="0" width="3.109375" style="1"/>
    <col min="16296" max="16296" customWidth="0" width="3.109375" style="1"/>
    <col min="16297" max="16297" customWidth="0" width="3.109375" style="1"/>
    <col min="16298" max="16298" customWidth="0" width="3.109375" style="1"/>
    <col min="16299" max="16299" customWidth="0" width="3.109375" style="1"/>
    <col min="16300" max="16300" customWidth="0" width="3.109375" style="1"/>
    <col min="16301" max="16301" customWidth="0" width="3.109375" style="1"/>
    <col min="16302" max="16302" customWidth="0" width="3.109375" style="1"/>
    <col min="16303" max="16303" customWidth="0" width="3.109375" style="1"/>
    <col min="16304" max="16304" customWidth="0" width="3.109375" style="1"/>
    <col min="16305" max="16305" customWidth="0" width="3.109375" style="1"/>
    <col min="16306" max="16306" customWidth="0" width="3.109375" style="1"/>
    <col min="16307" max="16307" customWidth="0" width="3.109375" style="1"/>
    <col min="16308" max="16308" customWidth="0" width="3.109375" style="1"/>
    <col min="16309" max="16309" customWidth="0" width="3.109375" style="1"/>
    <col min="16310" max="16310" customWidth="0" width="3.109375" style="1"/>
    <col min="16311" max="16311" customWidth="0" width="3.109375" style="1"/>
    <col min="16312" max="16312" customWidth="0" width="3.109375" style="1"/>
    <col min="16313" max="16313" customWidth="0" width="3.109375" style="1"/>
    <col min="16314" max="16314" customWidth="0" width="3.109375" style="1"/>
    <col min="16315" max="16315" customWidth="0" width="3.109375" style="1"/>
    <col min="16316" max="16316" customWidth="0" width="3.109375" style="1"/>
    <col min="16317" max="16317" customWidth="0" width="3.109375" style="1"/>
    <col min="16318" max="16318" customWidth="0" width="3.109375" style="1"/>
    <col min="16319" max="16319" customWidth="0" width="3.109375" style="1"/>
    <col min="16320" max="16320" customWidth="0" width="3.109375" style="1"/>
    <col min="16321" max="16321" customWidth="0" width="3.109375" style="1"/>
    <col min="16322" max="16322" customWidth="0" width="3.109375" style="1"/>
    <col min="16323" max="16323" customWidth="0" width="3.109375" style="1"/>
    <col min="16324" max="16324" customWidth="0" width="3.109375" style="1"/>
    <col min="16325" max="16325" customWidth="0" width="3.109375" style="1"/>
    <col min="16326" max="16326" customWidth="0" width="3.109375" style="1"/>
    <col min="16327" max="16327" customWidth="0" width="3.109375" style="1"/>
    <col min="16328" max="16328" customWidth="0" width="3.109375" style="1"/>
    <col min="16329" max="16329" customWidth="0" width="3.109375" style="1"/>
    <col min="16330" max="16330" customWidth="0" width="3.109375" style="1"/>
    <col min="16331" max="16331" customWidth="0" width="3.109375" style="1"/>
    <col min="16332" max="16332" customWidth="0" width="3.109375" style="1"/>
    <col min="16333" max="16333" customWidth="0" width="3.109375" style="1"/>
    <col min="16334" max="16334" customWidth="0" width="3.109375" style="1"/>
    <col min="16335" max="16335" customWidth="0" width="3.109375" style="1"/>
    <col min="16336" max="16336" customWidth="0" width="3.109375" style="1"/>
    <col min="16337" max="16337" customWidth="0" width="3.109375" style="1"/>
    <col min="16338" max="16338" customWidth="0" width="3.109375" style="1"/>
    <col min="16339" max="16339" customWidth="0" width="3.109375" style="1"/>
    <col min="16340" max="16340" customWidth="0" width="3.109375" style="1"/>
    <col min="16341" max="16341" customWidth="0" width="3.109375" style="1"/>
    <col min="16342" max="16342" customWidth="0" width="3.109375" style="1"/>
    <col min="16343" max="16343" customWidth="0" width="3.109375" style="1"/>
    <col min="16344" max="16344" customWidth="0" width="3.109375" style="1"/>
    <col min="16345" max="16345" customWidth="0" width="3.109375" style="1"/>
    <col min="16346" max="16346" customWidth="0" width="3.109375" style="1"/>
    <col min="16347" max="16347" customWidth="0" width="3.109375" style="1"/>
    <col min="16348" max="16348" customWidth="0" width="3.109375" style="1"/>
    <col min="16349" max="16349" customWidth="0" width="3.109375" style="1"/>
    <col min="16350" max="16350" customWidth="0" width="3.109375" style="1"/>
    <col min="16351" max="16351" customWidth="0" width="3.109375" style="1"/>
    <col min="16352" max="16352" customWidth="0" width="3.109375" style="1"/>
    <col min="16353" max="16353" customWidth="0" width="3.109375" style="1"/>
    <col min="16354" max="16354" customWidth="0" width="3.109375" style="1"/>
    <col min="16355" max="16355" customWidth="0" width="3.109375" style="1"/>
    <col min="16356" max="16356" customWidth="0" width="3.109375" style="1"/>
    <col min="16357" max="16357" customWidth="0" width="3.109375" style="1"/>
    <col min="16358" max="16358" customWidth="0" width="3.109375" style="1"/>
    <col min="16359" max="16359" customWidth="0" width="3.109375" style="1"/>
    <col min="16360" max="16360" customWidth="0" width="3.109375" style="1"/>
    <col min="16361" max="16361" customWidth="0" width="3.109375" style="1"/>
    <col min="16362" max="16362" customWidth="0" width="3.109375" style="1"/>
    <col min="16363" max="16363" customWidth="0" width="3.109375" style="1"/>
    <col min="16364" max="16364" customWidth="0" width="3.109375" style="1"/>
    <col min="16365" max="16365" customWidth="0" width="3.109375" style="1"/>
    <col min="16366" max="16366" customWidth="0" width="3.109375" style="1"/>
    <col min="16367" max="16367" customWidth="0" width="3.109375" style="1"/>
    <col min="16368" max="16368" customWidth="0" width="3.109375" style="1"/>
    <col min="16369" max="16369" customWidth="0" width="3.109375" style="1"/>
    <col min="16370" max="16370" customWidth="0" width="3.109375" style="1"/>
    <col min="16371" max="16371" customWidth="0" width="3.109375" style="1"/>
    <col min="16372" max="16372" customWidth="0" width="3.109375" style="1"/>
    <col min="16373" max="16373" customWidth="0" width="3.109375" style="1"/>
    <col min="16374" max="16374" customWidth="0" width="3.109375" style="1"/>
    <col min="16375" max="16375" customWidth="0" width="3.109375" style="1"/>
    <col min="16376" max="16376" customWidth="0" width="3.109375" style="1"/>
    <col min="16377" max="16377" customWidth="0" width="3.109375" style="1"/>
    <col min="16378" max="16378" customWidth="0" width="3.109375" style="1"/>
    <col min="16379" max="16379" customWidth="0" width="3.109375" style="1"/>
    <col min="16380" max="16380" customWidth="0" width="3.109375" style="1"/>
    <col min="16381" max="16381" customWidth="0" width="3.109375" style="1"/>
    <col min="16382" max="16382" customWidth="0" width="3.109375" style="1"/>
    <col min="16383" max="16383" customWidth="0" width="3.109375" style="1"/>
    <col min="16384" max="16384" customWidth="0" width="3.109375" style="1"/>
  </cols>
  <sheetData>
    <row r="1" spans="8:8" ht="18.0" customHeight="1">
      <c r="B1" s="2" t="s">
        <v>5858</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row>
    <row r="2" spans="8:8" ht="18.0" customHeight="1">
      <c r="B2" s="3" t="s">
        <v>0</v>
      </c>
      <c r="C2" s="4"/>
      <c r="D2" s="4"/>
      <c r="E2" s="4"/>
      <c r="F2" s="4"/>
      <c r="G2" s="4"/>
      <c r="H2" s="4"/>
      <c r="I2" s="4"/>
      <c r="J2" s="4"/>
      <c r="K2" s="4"/>
      <c r="L2" s="4"/>
      <c r="M2" s="4"/>
      <c r="N2" s="4"/>
      <c r="O2" s="4"/>
      <c r="P2" s="4"/>
      <c r="Q2" s="5"/>
      <c r="S2" s="6" t="s">
        <v>1</v>
      </c>
      <c r="T2" s="7"/>
      <c r="U2" s="7"/>
      <c r="V2" s="8" t="str">
        <f>附表!D37</f>
        <v>请和kp商议</v>
      </c>
      <c r="W2" s="8"/>
      <c r="X2" s="8"/>
      <c r="Y2" s="8"/>
      <c r="Z2" s="8"/>
      <c r="AA2" s="9" t="s">
        <v>2</v>
      </c>
      <c r="AB2" s="9"/>
      <c r="AC2" s="10" t="s">
        <v>3</v>
      </c>
      <c r="AD2" s="10"/>
      <c r="AE2" s="10"/>
      <c r="AF2" s="10"/>
      <c r="AG2" s="11">
        <f>U3+U5+U7+AA3+AA5+AA7+AG3+AG5+AG7</f>
        <v>0.0</v>
      </c>
      <c r="AH2" s="11"/>
      <c r="AI2" s="11"/>
      <c r="AJ2" s="12"/>
      <c r="AL2" s="13" t="s">
        <v>5831</v>
      </c>
      <c r="AM2" s="14"/>
      <c r="AN2" s="14"/>
      <c r="AO2" s="14"/>
      <c r="AP2" s="14"/>
      <c r="AQ2" s="14"/>
      <c r="AR2" s="14"/>
      <c r="AS2" s="15"/>
      <c r="AU2" s="16" t="s">
        <v>4</v>
      </c>
      <c r="AV2" s="17"/>
      <c r="AW2" s="17"/>
      <c r="AX2" s="17"/>
      <c r="AY2" s="17"/>
      <c r="AZ2" s="17"/>
      <c r="BA2" s="17"/>
      <c r="BB2" s="17"/>
      <c r="BC2" s="17"/>
      <c r="BD2" s="17"/>
      <c r="BE2" s="17"/>
      <c r="BF2" s="17"/>
      <c r="BG2" s="17"/>
      <c r="BH2" s="17"/>
      <c r="BI2" s="17"/>
      <c r="BJ2" s="17"/>
      <c r="BK2" s="17"/>
      <c r="BL2" s="17"/>
      <c r="BM2" s="17"/>
      <c r="BN2" s="17"/>
      <c r="BO2" s="17"/>
      <c r="BP2" s="17"/>
      <c r="BQ2" s="17"/>
      <c r="BR2" s="18"/>
    </row>
    <row r="3" spans="8:8" ht="18.0" customHeight="1">
      <c r="B3" s="19" t="s">
        <v>5</v>
      </c>
      <c r="C3" s="20"/>
      <c r="D3" s="20"/>
      <c r="E3" s="21"/>
      <c r="F3" s="21"/>
      <c r="G3" s="21"/>
      <c r="H3" s="21"/>
      <c r="I3" s="21"/>
      <c r="J3" s="21"/>
      <c r="K3" s="21"/>
      <c r="L3" s="21"/>
      <c r="M3" s="21"/>
      <c r="N3" s="21"/>
      <c r="O3" s="21"/>
      <c r="P3" s="21"/>
      <c r="Q3" s="21"/>
      <c r="S3" s="22" t="s">
        <v>6</v>
      </c>
      <c r="T3" s="23"/>
      <c r="U3" s="24">
        <v>0.0</v>
      </c>
      <c r="V3" s="24"/>
      <c r="W3" s="25">
        <f>INT(U3/2)</f>
        <v>0.0</v>
      </c>
      <c r="X3" s="25"/>
      <c r="Y3" s="26" t="s">
        <v>7</v>
      </c>
      <c r="Z3" s="26"/>
      <c r="AA3" s="27">
        <v>0.0</v>
      </c>
      <c r="AB3" s="27"/>
      <c r="AC3" s="28">
        <f>INT(AA3/2)</f>
        <v>0.0</v>
      </c>
      <c r="AD3" s="28"/>
      <c r="AE3" s="23" t="s">
        <v>8</v>
      </c>
      <c r="AF3" s="23"/>
      <c r="AG3" s="24">
        <v>0.0</v>
      </c>
      <c r="AH3" s="24"/>
      <c r="AI3" s="29">
        <f>INT(AG3/2)</f>
        <v>0.0</v>
      </c>
      <c r="AJ3" s="30"/>
      <c r="AL3" s="31"/>
      <c r="AM3" s="32"/>
      <c r="AN3" s="32"/>
      <c r="AO3" s="32"/>
      <c r="AP3" s="32"/>
      <c r="AQ3" s="32"/>
      <c r="AR3" s="32"/>
      <c r="AS3" s="33"/>
      <c r="AU3" s="34" t="str">
        <f>IF(U3=0,"",IF(U3&lt;=15,"虚弱，孱弱",IF(U3&lt;=40,"力量弱小",IF(U3&lt;=60,"有正常人的力量",IF(U3&lt;=80,"超乎常人的力量",IF(U3&lt;100,"超乎超乎常人的力量"))))))</f>
        <v/>
      </c>
      <c r="AV3" s="35"/>
      <c r="AW3" s="35"/>
      <c r="AX3" s="35"/>
      <c r="AY3" s="35"/>
      <c r="AZ3" s="35"/>
      <c r="BA3" s="35"/>
      <c r="BB3" s="35"/>
      <c r="BC3" s="36" t="str">
        <f>IF(AA3=0,"",IF(AA3&lt;=20,"很不灵活",IF(AA3&lt;=40,"不是很灵活",IF(AA3&lt;=60,"普通人水平",IF(AA3&lt;=80,"是一位运动健将",IF(AA3&lt;100,"高速而灵活,可以达成超凡的技艺"))))))</f>
        <v/>
      </c>
      <c r="BD3" s="36"/>
      <c r="BE3" s="36"/>
      <c r="BF3" s="36"/>
      <c r="BG3" s="36"/>
      <c r="BH3" s="36"/>
      <c r="BI3" s="36"/>
      <c r="BJ3" s="36"/>
      <c r="BK3" s="35" t="str">
        <f>IF(AG3=0,"",IF(AG3&lt;=20,"尔不过玩物",IF(AG3&lt;=40,"痴愚盲目",IF(AG3&lt;=60,"如常人一般会有一定自制力",IF(AG3&lt;=80,"我心如铁，心坚石穿",IF(AG3&lt;100,"泰山崩于面而色不变",IF(AG3&lt;140,"钢铁之心，还能看见鬼","你怕是个假人吧")))))))</f>
        <v/>
      </c>
      <c r="BL3" s="35"/>
      <c r="BM3" s="35"/>
      <c r="BN3" s="35"/>
      <c r="BO3" s="35"/>
      <c r="BP3" s="35"/>
      <c r="BQ3" s="35"/>
      <c r="BR3" s="37"/>
    </row>
    <row r="4" spans="8:8" ht="18.0" customHeight="1">
      <c r="B4" s="38" t="s">
        <v>9</v>
      </c>
      <c r="C4" s="39"/>
      <c r="D4" s="39"/>
      <c r="E4" s="40"/>
      <c r="F4" s="40"/>
      <c r="G4" s="40"/>
      <c r="H4" s="40"/>
      <c r="I4" s="40"/>
      <c r="J4" s="25" t="s">
        <v>10</v>
      </c>
      <c r="K4" s="25"/>
      <c r="L4" s="25"/>
      <c r="M4" s="41" t="s">
        <v>11</v>
      </c>
      <c r="N4" s="41"/>
      <c r="O4" s="41"/>
      <c r="P4" s="41"/>
      <c r="Q4" s="42"/>
      <c r="S4" s="43"/>
      <c r="T4" s="44"/>
      <c r="U4" s="45"/>
      <c r="V4" s="45"/>
      <c r="W4" s="25">
        <f>INT(U3/5)</f>
        <v>0.0</v>
      </c>
      <c r="X4" s="25"/>
      <c r="Y4" s="46"/>
      <c r="Z4" s="46"/>
      <c r="AA4" s="47"/>
      <c r="AB4" s="47"/>
      <c r="AC4" s="48">
        <f>INT(AA3/5)</f>
        <v>0.0</v>
      </c>
      <c r="AD4" s="48"/>
      <c r="AE4" s="44"/>
      <c r="AF4" s="44"/>
      <c r="AG4" s="45"/>
      <c r="AH4" s="45"/>
      <c r="AI4" s="25">
        <f>INT(AG3/5)</f>
        <v>0.0</v>
      </c>
      <c r="AJ4" s="49"/>
      <c r="AL4" s="31"/>
      <c r="AM4" s="32"/>
      <c r="AN4" s="32"/>
      <c r="AO4" s="32"/>
      <c r="AP4" s="32"/>
      <c r="AQ4" s="32"/>
      <c r="AR4" s="32"/>
      <c r="AS4" s="33"/>
      <c r="AU4" s="34"/>
      <c r="AV4" s="35"/>
      <c r="AW4" s="35"/>
      <c r="AX4" s="35"/>
      <c r="AY4" s="35"/>
      <c r="AZ4" s="35"/>
      <c r="BA4" s="35"/>
      <c r="BB4" s="35"/>
      <c r="BC4" s="36"/>
      <c r="BD4" s="36"/>
      <c r="BE4" s="36"/>
      <c r="BF4" s="36"/>
      <c r="BG4" s="36"/>
      <c r="BH4" s="36"/>
      <c r="BI4" s="36"/>
      <c r="BJ4" s="36"/>
      <c r="BK4" s="35"/>
      <c r="BL4" s="35"/>
      <c r="BM4" s="35"/>
      <c r="BN4" s="35"/>
      <c r="BO4" s="35"/>
      <c r="BP4" s="35"/>
      <c r="BQ4" s="35"/>
      <c r="BR4" s="37"/>
    </row>
    <row r="5" spans="8:8" ht="18.0" customHeight="1">
      <c r="B5" s="19" t="s">
        <v>12</v>
      </c>
      <c r="C5" s="20"/>
      <c r="D5" s="20"/>
      <c r="E5" s="50"/>
      <c r="F5" s="50"/>
      <c r="G5" s="50"/>
      <c r="H5" s="50"/>
      <c r="I5" s="50"/>
      <c r="J5" s="48" t="s">
        <v>13</v>
      </c>
      <c r="K5" s="48"/>
      <c r="L5" s="48"/>
      <c r="M5" s="51">
        <v>0.0</v>
      </c>
      <c r="N5" s="51"/>
      <c r="O5" s="51"/>
      <c r="P5" s="51"/>
      <c r="Q5" s="52"/>
      <c r="S5" s="53" t="s">
        <v>14</v>
      </c>
      <c r="T5" s="46"/>
      <c r="U5" s="47">
        <v>0.0</v>
      </c>
      <c r="V5" s="47"/>
      <c r="W5" s="28">
        <f>INT(U5/2)</f>
        <v>0.0</v>
      </c>
      <c r="X5" s="28"/>
      <c r="Y5" s="44" t="s">
        <v>15</v>
      </c>
      <c r="Z5" s="44"/>
      <c r="AA5" s="45">
        <v>0.0</v>
      </c>
      <c r="AB5" s="45"/>
      <c r="AC5" s="25">
        <f>INT(AA5/2)</f>
        <v>0.0</v>
      </c>
      <c r="AD5" s="25"/>
      <c r="AE5" s="46" t="s">
        <v>16</v>
      </c>
      <c r="AF5" s="46"/>
      <c r="AG5" s="47">
        <v>0.0</v>
      </c>
      <c r="AH5" s="47"/>
      <c r="AI5" s="48">
        <f>INT(AG5/2)</f>
        <v>0.0</v>
      </c>
      <c r="AJ5" s="54"/>
      <c r="AL5" s="31"/>
      <c r="AM5" s="32"/>
      <c r="AN5" s="32"/>
      <c r="AO5" s="32"/>
      <c r="AP5" s="32"/>
      <c r="AQ5" s="32"/>
      <c r="AR5" s="32"/>
      <c r="AS5" s="33"/>
      <c r="AU5" s="55" t="str">
        <f>IF(U5=0,"",IF(U5&lt;=20,"常年患病在身",IF(U5&lt;=40,"体弱多病",IF(U5&lt;=60,"不会生什么大毛病",IF(U5&lt;=80,"健硕，浑身湿透也不会感冒",IF(U5&lt;100,"身体素质极好，精神抖擞"))))))</f>
        <v/>
      </c>
      <c r="AV5" s="36"/>
      <c r="AW5" s="36"/>
      <c r="AX5" s="36"/>
      <c r="AY5" s="36"/>
      <c r="AZ5" s="36"/>
      <c r="BA5" s="36"/>
      <c r="BB5" s="36"/>
      <c r="BC5" s="35" t="str">
        <f>IF(AA5=0,"",IF(AA5&lt;=20,"用脸就能恐惧敌人。。或队友",IF(AA5&lt;=40,"有些难看",IF(AA5&lt;=60,"人群之中谁也不会看你一眼之后就忘不掉你容颜",IF(AA5&lt;=80,"五官端正，仪表堂堂",IF(AA5&lt;100,"沉鱼落雁，闭月羞花"))))))</f>
        <v/>
      </c>
      <c r="BD5" s="35"/>
      <c r="BE5" s="35"/>
      <c r="BF5" s="35"/>
      <c r="BG5" s="35"/>
      <c r="BH5" s="35"/>
      <c r="BI5" s="35"/>
      <c r="BJ5" s="35"/>
      <c r="BK5" s="36" t="str">
        <f>IF(AG5=0,"",IF(AG5&lt;=20,"目不识丁",IF(AG5&lt;=40,"小学毕业",IF(AG5&lt;=60,"高中毕业",IF(AG5&lt;=80,"是重点大学的学生，或是普通大学的研究生",IF(AG5&lt;100,"饱读诗书，满腹经纶"))))))</f>
        <v/>
      </c>
      <c r="BL5" s="36"/>
      <c r="BM5" s="36"/>
      <c r="BN5" s="36"/>
      <c r="BO5" s="36"/>
      <c r="BP5" s="36"/>
      <c r="BQ5" s="36"/>
      <c r="BR5" s="56"/>
    </row>
    <row r="6" spans="8:8" ht="18.0" customHeight="1">
      <c r="B6" s="38" t="s">
        <v>17</v>
      </c>
      <c r="C6" s="39"/>
      <c r="D6" s="39"/>
      <c r="E6" s="57"/>
      <c r="F6" s="57"/>
      <c r="G6" s="57"/>
      <c r="H6" s="57"/>
      <c r="I6" s="57"/>
      <c r="J6" s="25" t="s">
        <v>18</v>
      </c>
      <c r="K6" s="25"/>
      <c r="L6" s="25"/>
      <c r="M6" s="41"/>
      <c r="N6" s="41"/>
      <c r="O6" s="41"/>
      <c r="P6" s="41"/>
      <c r="Q6" s="42"/>
      <c r="S6" s="53"/>
      <c r="T6" s="46"/>
      <c r="U6" s="47"/>
      <c r="V6" s="47"/>
      <c r="W6" s="48">
        <f>INT(U5/5)</f>
        <v>0.0</v>
      </c>
      <c r="X6" s="48"/>
      <c r="Y6" s="44"/>
      <c r="Z6" s="44"/>
      <c r="AA6" s="45"/>
      <c r="AB6" s="45"/>
      <c r="AC6" s="25">
        <f>INT(AA5/5)</f>
        <v>0.0</v>
      </c>
      <c r="AD6" s="25"/>
      <c r="AE6" s="58"/>
      <c r="AF6" s="59"/>
      <c r="AG6" s="60"/>
      <c r="AH6" s="60"/>
      <c r="AI6" s="61">
        <f>INT(AG5/5)</f>
        <v>0.0</v>
      </c>
      <c r="AJ6" s="62"/>
      <c r="AL6" s="31"/>
      <c r="AM6" s="32"/>
      <c r="AN6" s="32"/>
      <c r="AO6" s="32"/>
      <c r="AP6" s="32"/>
      <c r="AQ6" s="32"/>
      <c r="AR6" s="32"/>
      <c r="AS6" s="33"/>
      <c r="AU6" s="55"/>
      <c r="AV6" s="36"/>
      <c r="AW6" s="36"/>
      <c r="AX6" s="36"/>
      <c r="AY6" s="36"/>
      <c r="AZ6" s="36"/>
      <c r="BA6" s="36"/>
      <c r="BB6" s="36"/>
      <c r="BC6" s="35"/>
      <c r="BD6" s="35"/>
      <c r="BE6" s="35"/>
      <c r="BF6" s="35"/>
      <c r="BG6" s="35"/>
      <c r="BH6" s="35"/>
      <c r="BI6" s="35"/>
      <c r="BJ6" s="35"/>
      <c r="BK6" s="36"/>
      <c r="BL6" s="36"/>
      <c r="BM6" s="36"/>
      <c r="BN6" s="36"/>
      <c r="BO6" s="36"/>
      <c r="BP6" s="36"/>
      <c r="BQ6" s="36"/>
      <c r="BR6" s="56"/>
    </row>
    <row r="7" spans="8:8" ht="18.0" customHeight="1">
      <c r="B7" s="19" t="s">
        <v>19</v>
      </c>
      <c r="C7" s="20"/>
      <c r="D7" s="20"/>
      <c r="E7" s="50"/>
      <c r="F7" s="50"/>
      <c r="G7" s="50"/>
      <c r="H7" s="50"/>
      <c r="I7" s="50"/>
      <c r="J7" s="20" t="s">
        <v>20</v>
      </c>
      <c r="K7" s="20"/>
      <c r="L7" s="20"/>
      <c r="M7" s="50" t="s">
        <v>6135</v>
      </c>
      <c r="N7" s="50"/>
      <c r="O7" s="50"/>
      <c r="P7" s="50"/>
      <c r="Q7" s="21"/>
      <c r="S7" s="43" t="s">
        <v>21</v>
      </c>
      <c r="T7" s="44"/>
      <c r="U7" s="45">
        <v>0.0</v>
      </c>
      <c r="V7" s="45"/>
      <c r="W7" s="29">
        <f>INT(U7/2)</f>
        <v>0.0</v>
      </c>
      <c r="X7" s="29"/>
      <c r="Y7" s="46" t="s">
        <v>22</v>
      </c>
      <c r="Z7" s="46"/>
      <c r="AA7" s="47">
        <v>0.0</v>
      </c>
      <c r="AB7" s="47"/>
      <c r="AC7" s="48">
        <f>INT(AA7/2)</f>
        <v>0.0</v>
      </c>
      <c r="AD7" s="63"/>
      <c r="AE7" s="64" t="s">
        <v>23</v>
      </c>
      <c r="AF7" s="65"/>
      <c r="AG7" s="66">
        <v>0.0</v>
      </c>
      <c r="AH7" s="67"/>
      <c r="AI7" s="68">
        <f>INT(AG7/2)</f>
        <v>0.0</v>
      </c>
      <c r="AJ7" s="69"/>
      <c r="AL7" s="31"/>
      <c r="AM7" s="32"/>
      <c r="AN7" s="32"/>
      <c r="AO7" s="32"/>
      <c r="AP7" s="32"/>
      <c r="AQ7" s="32"/>
      <c r="AR7" s="32"/>
      <c r="AS7" s="33"/>
      <c r="AU7" s="34" t="str">
        <f>IF(U7=0,"",IF(U7&lt;=20,"孩童，身短体瘦",IF(U7&lt;=40,"乙女身材",IF(U7&lt;=60,"普遍身高155-175",IF(U7&lt;=80,"不是高就是胖",IF(U7&lt;=100,"大号的人",IF(U7&lt;150,"听说你正在申请身高世界记录？",IF(U7&lt;180,"你可能是一头牛",IF(U7&lt;200,"你已经是历史上最重的人类了","过分了喂！")))))))))</f>
        <v/>
      </c>
      <c r="AV7" s="35"/>
      <c r="AW7" s="35"/>
      <c r="AX7" s="35"/>
      <c r="AY7" s="35"/>
      <c r="AZ7" s="35"/>
      <c r="BA7" s="35"/>
      <c r="BB7" s="35"/>
      <c r="BC7" s="36" t="str">
        <f>IF(INT=0,"",IF(INT&lt;=20,"脑子是个好东西，可惜。。。",IF(INT&lt;=40,"理解知识要耗费比普通人更多的时间",IF(INT&lt;=60,"有着普通人的灵光一现",IF(INT&lt;=80,"可以自主进行发明创造",IF(INT&lt;100,"天才级水准"))))))</f>
        <v/>
      </c>
      <c r="BD7" s="36"/>
      <c r="BE7" s="36"/>
      <c r="BF7" s="36"/>
      <c r="BG7" s="36"/>
      <c r="BH7" s="36"/>
      <c r="BI7" s="36"/>
      <c r="BJ7" s="36"/>
      <c r="BK7" s="70" t="str">
        <f>IF(Luck=0,"",IF(Luck&lt;=20,"克夫克妻",IF(Luck&lt;=40,"霉运连连",IF(Luck&lt;=60,"命格平庸",IF(Luck&lt;=80,"在马路边捡到100块",IF(Luck&lt;100,"被幸运女神所眷顾"))))))</f>
        <v/>
      </c>
      <c r="BL7" s="70"/>
      <c r="BM7" s="70"/>
      <c r="BN7" s="70"/>
      <c r="BO7" s="70"/>
      <c r="BP7" s="70"/>
      <c r="BQ7" s="70"/>
      <c r="BR7" s="71"/>
      <c r="CH7" s="72"/>
      <c r="CI7" s="72"/>
    </row>
    <row r="8" spans="8:8" ht="18.0" customHeight="1">
      <c r="B8" s="73" t="s">
        <v>24</v>
      </c>
      <c r="C8" s="74"/>
      <c r="D8" s="74"/>
      <c r="E8" s="75" t="s">
        <v>25</v>
      </c>
      <c r="F8" s="76"/>
      <c r="G8" s="77"/>
      <c r="H8" s="78"/>
      <c r="I8" s="78"/>
      <c r="J8" s="75" t="s">
        <v>6015</v>
      </c>
      <c r="K8" s="76"/>
      <c r="L8" s="79" t="s">
        <v>6016</v>
      </c>
      <c r="M8" s="80"/>
      <c r="N8" s="81" t="s">
        <v>27</v>
      </c>
      <c r="O8" s="81"/>
      <c r="P8" s="81"/>
      <c r="Q8" s="82"/>
      <c r="S8" s="83"/>
      <c r="T8" s="84"/>
      <c r="U8" s="85"/>
      <c r="V8" s="85"/>
      <c r="W8" s="86">
        <f>INT(U7/5)</f>
        <v>0.0</v>
      </c>
      <c r="X8" s="86"/>
      <c r="Y8" s="87"/>
      <c r="Z8" s="87"/>
      <c r="AA8" s="88"/>
      <c r="AB8" s="88"/>
      <c r="AC8" s="89">
        <f>INT(AA7/5)</f>
        <v>0.0</v>
      </c>
      <c r="AD8" s="90"/>
      <c r="AE8" s="91"/>
      <c r="AF8" s="92"/>
      <c r="AG8" s="93"/>
      <c r="AH8" s="94"/>
      <c r="AI8" s="95">
        <f>INT(AG7/5)</f>
        <v>0.0</v>
      </c>
      <c r="AJ8" s="96"/>
      <c r="AL8" s="97"/>
      <c r="AM8" s="98"/>
      <c r="AN8" s="98"/>
      <c r="AO8" s="98"/>
      <c r="AP8" s="98"/>
      <c r="AQ8" s="98"/>
      <c r="AR8" s="98"/>
      <c r="AS8" s="99"/>
      <c r="AU8" s="100"/>
      <c r="AV8" s="101"/>
      <c r="AW8" s="101"/>
      <c r="AX8" s="101"/>
      <c r="AY8" s="101"/>
      <c r="AZ8" s="101"/>
      <c r="BA8" s="101"/>
      <c r="BB8" s="101"/>
      <c r="BC8" s="102"/>
      <c r="BD8" s="102"/>
      <c r="BE8" s="102"/>
      <c r="BF8" s="102"/>
      <c r="BG8" s="102"/>
      <c r="BH8" s="102"/>
      <c r="BI8" s="102"/>
      <c r="BJ8" s="102"/>
      <c r="BK8" s="103"/>
      <c r="BL8" s="103"/>
      <c r="BM8" s="103"/>
      <c r="BN8" s="103"/>
      <c r="BO8" s="103"/>
      <c r="BP8" s="103"/>
      <c r="BQ8" s="103"/>
      <c r="BR8" s="104"/>
      <c r="CH8" s="72"/>
      <c r="CI8" s="72"/>
    </row>
    <row r="9" spans="8:8" ht="18.0" customHeight="1">
      <c r="B9" s="105" t="str">
        <f>IF(F9=0,"","任意特长数：")</f>
        <v/>
      </c>
      <c r="C9" s="105"/>
      <c r="D9" s="105"/>
      <c r="E9" s="105"/>
      <c r="F9" s="106">
        <f>INDEX(本职技能!$A$2:$HX$69,MATCH("任意特长",本职技能!$A$2:$A$75,0),MATCH($M$5,本职技能!$A$1:$HX$1,0))</f>
        <v>0.0</v>
      </c>
      <c r="G9" s="106"/>
      <c r="H9" s="106"/>
      <c r="I9" s="106"/>
      <c r="K9" s="107">
        <f>INDEX(本职技能!$A$2:$HX$69,MATCH("☆",本职技能!$A$2:$A$75,0),MATCH($M$5,本职技能!$A$1:$HX$1,0))</f>
        <v>0.0</v>
      </c>
      <c r="L9" s="107"/>
      <c r="M9" s="107"/>
      <c r="N9" s="107"/>
      <c r="O9" s="107"/>
      <c r="P9" s="107"/>
      <c r="Q9" s="107"/>
      <c r="R9" s="107"/>
      <c r="S9" s="108"/>
      <c r="T9" s="109">
        <f>INDEX(本职技能!$A$2:$HX$69,MATCH("⊙",本职技能!$A$2:$A$75,0),MATCH($M$5,本职技能!$A$1:$HX$1,0))</f>
        <v>0.0</v>
      </c>
      <c r="U9" s="109"/>
      <c r="V9" s="109"/>
      <c r="W9" s="109"/>
      <c r="X9" s="109"/>
      <c r="Y9" s="110"/>
      <c r="Z9" s="110"/>
      <c r="AA9" s="110"/>
      <c r="AC9" s="111">
        <f>INDEX(本职技能!$A$2:$HX$69,MATCH("☯",本职技能!$A$2:$A$75,0),MATCH($M$5,本职技能!$A$1:$HX$1,0))</f>
        <v>0.0</v>
      </c>
      <c r="AD9" s="111"/>
      <c r="AE9" s="112"/>
      <c r="AF9" s="112"/>
      <c r="AG9" s="112"/>
      <c r="AH9" s="112"/>
      <c r="AI9" s="112"/>
      <c r="AJ9" s="112"/>
      <c r="AK9" s="113"/>
      <c r="AL9" s="114">
        <f>INDEX(本职技能!$A$2:$HX$69,MATCH("※",本职技能!$A$2:$A$75,0),MATCH($M$5,本职技能!$A$1:$HX$1,0))</f>
        <v>0.0</v>
      </c>
      <c r="AM9" s="114"/>
      <c r="AN9" s="114"/>
      <c r="AO9" s="114"/>
      <c r="AP9" s="115"/>
      <c r="AQ9" s="115"/>
      <c r="AR9" s="115"/>
      <c r="AS9" s="115"/>
      <c r="AT9" s="116"/>
      <c r="AU9" s="117"/>
      <c r="AV9" s="117"/>
      <c r="AW9" s="117"/>
      <c r="AX9" s="117"/>
      <c r="AZ9" s="117"/>
      <c r="BA9" s="117"/>
      <c r="BB9" s="117"/>
      <c r="BC9" s="117"/>
      <c r="BD9" s="117"/>
      <c r="BE9" s="117"/>
      <c r="BF9" s="117"/>
      <c r="BG9" s="117"/>
      <c r="BH9" s="117"/>
      <c r="BI9" s="117"/>
      <c r="BJ9" s="117"/>
      <c r="BK9" s="117"/>
      <c r="BL9" s="117"/>
      <c r="BM9" s="117"/>
      <c r="BN9" s="117"/>
      <c r="BO9" s="117"/>
      <c r="BP9" s="117"/>
      <c r="BQ9" s="117"/>
      <c r="BR9" s="116"/>
      <c r="BX9" s="118"/>
      <c r="BY9" s="119"/>
    </row>
    <row r="10" spans="8:8" ht="18.0" customHeight="1">
      <c r="B10" s="120" t="s">
        <v>28</v>
      </c>
      <c r="C10" s="121"/>
      <c r="D10" s="121"/>
      <c r="E10" s="122">
        <f>G10</f>
        <v>0.0</v>
      </c>
      <c r="F10" s="122"/>
      <c r="G10" s="123">
        <f>INT((U5+U7)/10)</f>
        <v>0.0</v>
      </c>
      <c r="H10" s="123"/>
      <c r="I10" s="124" t="s">
        <v>29</v>
      </c>
      <c r="J10" s="125"/>
      <c r="K10" s="126" t="s">
        <v>30</v>
      </c>
      <c r="L10" s="127"/>
      <c r="M10" s="127"/>
      <c r="N10" s="128">
        <f>IF(AG3&gt;P10,P10,AG3)</f>
        <v>0.0</v>
      </c>
      <c r="O10" s="128"/>
      <c r="P10" s="129">
        <f>99-R27</f>
        <v>99.0</v>
      </c>
      <c r="Q10" s="129"/>
      <c r="R10" s="130" t="s">
        <v>29</v>
      </c>
      <c r="S10" s="131"/>
      <c r="T10" s="132" t="s">
        <v>5828</v>
      </c>
      <c r="U10" s="133"/>
      <c r="V10" s="133"/>
      <c r="W10" s="134">
        <f>Y10</f>
        <v>0.0</v>
      </c>
      <c r="X10" s="134"/>
      <c r="Y10" s="135">
        <f>INT(AG3/5)</f>
        <v>0.0</v>
      </c>
      <c r="Z10" s="136"/>
      <c r="AA10" s="137" t="s">
        <v>31</v>
      </c>
      <c r="AB10" s="138"/>
      <c r="AC10" s="139" t="s">
        <v>32</v>
      </c>
      <c r="AD10" s="139"/>
      <c r="AE10" s="140"/>
      <c r="AF10" s="141">
        <f>AI11+8</f>
        <v>8.0</v>
      </c>
      <c r="AG10" s="141"/>
      <c r="AH10" s="141"/>
      <c r="AI10" s="142" t="s">
        <v>33</v>
      </c>
      <c r="AJ10" s="143"/>
      <c r="AK10" s="144" t="s">
        <v>34</v>
      </c>
      <c r="AL10" s="145"/>
      <c r="AM10" s="145"/>
      <c r="AN10" s="146" t="str">
        <f>IF($AN12=0,"0",VLOOKUP($AN12,'防具表 载具表'!B2:J82,2,FALSE))</f>
        <v>无</v>
      </c>
      <c r="AO10" s="147"/>
      <c r="AP10" s="148" t="s">
        <v>35</v>
      </c>
      <c r="AQ10" s="148"/>
      <c r="AR10" s="148"/>
      <c r="AS10" s="149"/>
      <c r="AT10" s="116"/>
      <c r="AU10" s="117"/>
      <c r="AV10" s="117"/>
      <c r="AW10" s="117"/>
      <c r="AX10" s="117"/>
      <c r="AZ10" s="150"/>
      <c r="BA10"/>
      <c r="BB10"/>
      <c r="BC10"/>
      <c r="BD10"/>
      <c r="BE10"/>
      <c r="BF10"/>
      <c r="BG10"/>
      <c r="BH10"/>
      <c r="BI10"/>
      <c r="BJ10"/>
      <c r="BK10"/>
      <c r="BL10"/>
      <c r="BM10"/>
      <c r="BN10"/>
      <c r="BO10"/>
      <c r="BP10"/>
      <c r="BQ10"/>
      <c r="BR10" s="116"/>
      <c r="BX10" s="119"/>
      <c r="BY10" s="119"/>
    </row>
    <row r="11" spans="8:8" ht="18.0" customHeight="1">
      <c r="B11" s="151"/>
      <c r="C11" s="152"/>
      <c r="D11" s="152"/>
      <c r="E11" s="153"/>
      <c r="F11" s="153"/>
      <c r="G11" s="154"/>
      <c r="H11" s="154"/>
      <c r="I11" s="155" t="s">
        <v>36</v>
      </c>
      <c r="J11" s="156"/>
      <c r="K11" s="157"/>
      <c r="L11" s="158"/>
      <c r="M11" s="158"/>
      <c r="N11" s="159"/>
      <c r="O11" s="159"/>
      <c r="P11" s="160"/>
      <c r="Q11" s="160"/>
      <c r="R11" s="161" t="s">
        <v>37</v>
      </c>
      <c r="S11" s="162"/>
      <c r="T11" s="163"/>
      <c r="U11" s="164"/>
      <c r="V11" s="164"/>
      <c r="W11" s="165"/>
      <c r="X11" s="165"/>
      <c r="Y11" s="166"/>
      <c r="Z11" s="167"/>
      <c r="AA11" s="168">
        <f>IF(AG3="","",INT(AG3/100+1))</f>
        <v>1.0</v>
      </c>
      <c r="AB11" s="169"/>
      <c r="AC11" s="170"/>
      <c r="AD11" s="170"/>
      <c r="AE11" s="170"/>
      <c r="AF11" s="171"/>
      <c r="AG11" s="171"/>
      <c r="AH11" s="171"/>
      <c r="AI11" s="172">
        <f>附表!C9</f>
        <v>0.0</v>
      </c>
      <c r="AJ11" s="173"/>
      <c r="AK11" s="174"/>
      <c r="AL11" s="175"/>
      <c r="AM11" s="175"/>
      <c r="AN11" s="176"/>
      <c r="AO11" s="177"/>
      <c r="AP11" s="176" t="str">
        <f>IF($AN12=0,"",VLOOKUP($AN12,'防具表 载具表'!B2:I101,4,FALSE))</f>
        <v>——</v>
      </c>
      <c r="AQ11" s="176"/>
      <c r="AR11" s="176"/>
      <c r="AS11" s="178"/>
      <c r="AT11" s="116"/>
      <c r="AU11" s="117"/>
      <c r="AV11" s="117"/>
      <c r="AW11" s="117"/>
      <c r="AX11" s="117"/>
      <c r="AZ11" s="150"/>
      <c r="BA11"/>
      <c r="BB11"/>
      <c r="BC11"/>
      <c r="BD11"/>
      <c r="BE11"/>
      <c r="BF11"/>
      <c r="BG11"/>
      <c r="BH11"/>
      <c r="BI11"/>
      <c r="BJ11"/>
      <c r="BK11"/>
      <c r="BL11"/>
      <c r="BM11"/>
      <c r="BN11"/>
      <c r="BO11"/>
      <c r="BP11"/>
      <c r="BQ11"/>
      <c r="BR11" s="116"/>
    </row>
    <row r="12" spans="8:8" ht="18.0" customHeight="1">
      <c r="B12" s="179" t="s">
        <v>38</v>
      </c>
      <c r="C12" s="180"/>
      <c r="D12" s="181">
        <f>CEILING(G10/2,1)</f>
        <v>0.0</v>
      </c>
      <c r="E12" s="182"/>
      <c r="F12" s="180" t="s">
        <v>39</v>
      </c>
      <c r="G12" s="180"/>
      <c r="H12" s="180"/>
      <c r="I12" s="183">
        <v>0.0</v>
      </c>
      <c r="J12" s="183"/>
      <c r="K12" s="184" t="s">
        <v>40</v>
      </c>
      <c r="L12" s="185"/>
      <c r="M12" s="185"/>
      <c r="N12" s="186">
        <v>0.0</v>
      </c>
      <c r="O12" s="186"/>
      <c r="P12" s="187" t="s">
        <v>41</v>
      </c>
      <c r="Q12" s="188"/>
      <c r="R12" s="189">
        <f>N10-N12</f>
        <v>0.0</v>
      </c>
      <c r="S12" s="190"/>
      <c r="T12" s="191" t="s">
        <v>5827</v>
      </c>
      <c r="U12" s="192"/>
      <c r="V12" s="192"/>
      <c r="W12" s="192"/>
      <c r="X12" s="193"/>
      <c r="Y12" s="193"/>
      <c r="Z12" s="193"/>
      <c r="AA12" s="193"/>
      <c r="AB12" s="194"/>
      <c r="AC12" s="195" t="s">
        <v>42</v>
      </c>
      <c r="AD12" s="195"/>
      <c r="AE12" s="196" t="s">
        <v>43</v>
      </c>
      <c r="AF12" s="197"/>
      <c r="AG12" s="196" t="s">
        <v>44</v>
      </c>
      <c r="AH12" s="196"/>
      <c r="AI12" s="196" t="s">
        <v>45</v>
      </c>
      <c r="AJ12" s="196"/>
      <c r="AK12" s="198" t="s">
        <v>46</v>
      </c>
      <c r="AL12" s="199"/>
      <c r="AM12" s="199"/>
      <c r="AN12" s="200" t="s">
        <v>47</v>
      </c>
      <c r="AO12" s="200"/>
      <c r="AP12" s="200"/>
      <c r="AQ12" s="200"/>
      <c r="AR12" s="200"/>
      <c r="AS12" s="201"/>
      <c r="AT12" s="116"/>
      <c r="AU12" s="117"/>
      <c r="AV12" s="117"/>
      <c r="AW12" s="117"/>
      <c r="AX12" s="117"/>
      <c r="AZ12" s="150"/>
      <c r="BA12"/>
      <c r="BB12"/>
      <c r="BC12"/>
      <c r="BD12"/>
      <c r="BE12"/>
      <c r="BF12"/>
      <c r="BG12"/>
      <c r="BH12"/>
      <c r="BI12"/>
      <c r="BJ12"/>
      <c r="BK12"/>
      <c r="BL12"/>
      <c r="BM12"/>
      <c r="BN12"/>
      <c r="BO12"/>
      <c r="BP12"/>
      <c r="BQ12"/>
      <c r="BR12" s="116"/>
    </row>
    <row r="13" spans="8:8" ht="18.0" customHeight="1">
      <c r="B13" s="202" t="str">
        <f>IF(M5=0," ","["&amp;LOOKUP(M5,职业列表!A2:A232,职业列表!B2:B232)&amp;"]的本职技能："&amp;LOOKUP(M5,职业列表!A2:A232,职业列表!G2:G232))</f>
        <v> </v>
      </c>
      <c r="C13" s="202"/>
      <c r="D13" s="202"/>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2"/>
      <c r="AR13" s="202"/>
      <c r="AS13" s="202"/>
      <c r="AT13" s="116"/>
      <c r="AU13"/>
      <c r="AV13"/>
      <c r="AW13"/>
      <c r="AX13"/>
      <c r="AY13"/>
      <c r="AZ13"/>
      <c r="BA13"/>
      <c r="BB13"/>
      <c r="BC13"/>
      <c r="BD13"/>
      <c r="BE13"/>
      <c r="BF13"/>
      <c r="BG13"/>
      <c r="BH13"/>
      <c r="BI13"/>
      <c r="BJ13"/>
      <c r="BK13" s="116"/>
    </row>
    <row r="14" spans="8:8" ht="18.0" customHeight="1">
      <c r="B14" s="3" t="s">
        <v>48</v>
      </c>
      <c r="C14" s="4"/>
      <c r="D14" s="4"/>
      <c r="E14" s="4"/>
      <c r="F14" s="4"/>
      <c r="G14" s="4"/>
      <c r="H14" s="4"/>
      <c r="I14" s="4"/>
      <c r="J14" s="4"/>
      <c r="K14" s="4"/>
      <c r="L14" s="4"/>
      <c r="M14" s="4"/>
      <c r="N14" s="4"/>
      <c r="O14" s="4"/>
      <c r="P14" s="4"/>
      <c r="Q14" s="4"/>
      <c r="R14" s="4"/>
      <c r="S14" s="4"/>
      <c r="T14" s="4"/>
      <c r="U14" s="4"/>
      <c r="V14" s="4"/>
      <c r="W14" s="4"/>
      <c r="X14" s="4"/>
      <c r="Y14" s="203"/>
      <c r="Z14" s="4"/>
      <c r="AA14" s="4"/>
      <c r="AB14" s="4"/>
      <c r="AC14" s="4"/>
      <c r="AD14" s="4"/>
      <c r="AE14" s="4"/>
      <c r="AF14" s="4"/>
      <c r="AG14" s="4"/>
      <c r="AH14" s="4"/>
      <c r="AI14" s="4"/>
      <c r="AJ14" s="4"/>
      <c r="AK14" s="4"/>
      <c r="AL14" s="4"/>
      <c r="AM14" s="4"/>
      <c r="AN14" s="4"/>
      <c r="AO14" s="4"/>
      <c r="AP14" s="4"/>
      <c r="AQ14" s="4"/>
      <c r="AR14" s="4"/>
      <c r="AS14" s="5"/>
      <c r="AT14" s="204"/>
      <c r="AU14" s="205"/>
      <c r="AV14" s="205"/>
      <c r="AW14" s="205"/>
      <c r="AX14" s="205"/>
      <c r="AZ14" s="150"/>
      <c r="BA14"/>
      <c r="BB14"/>
      <c r="BC14"/>
      <c r="BD14"/>
      <c r="BE14"/>
      <c r="BF14"/>
      <c r="BG14"/>
      <c r="BH14"/>
      <c r="BI14"/>
      <c r="BJ14"/>
      <c r="BK14"/>
      <c r="BL14"/>
      <c r="BM14"/>
      <c r="BN14"/>
      <c r="BO14"/>
      <c r="BP14"/>
      <c r="BQ14"/>
      <c r="BR14" s="116"/>
    </row>
    <row r="15" spans="8:8" ht="18.0" customHeight="1">
      <c r="B15" s="206" t="s">
        <v>49</v>
      </c>
      <c r="C15" s="207"/>
      <c r="D15" s="208" t="s">
        <v>50</v>
      </c>
      <c r="E15" s="208"/>
      <c r="F15" s="208" t="s">
        <v>51</v>
      </c>
      <c r="G15" s="208"/>
      <c r="H15" s="208"/>
      <c r="I15" s="208"/>
      <c r="J15" s="208" t="s">
        <v>52</v>
      </c>
      <c r="K15" s="208"/>
      <c r="L15" s="208" t="s">
        <v>53</v>
      </c>
      <c r="M15" s="208"/>
      <c r="N15" s="208" t="s">
        <v>12</v>
      </c>
      <c r="O15" s="208"/>
      <c r="P15" s="208" t="s">
        <v>54</v>
      </c>
      <c r="Q15" s="208"/>
      <c r="R15" s="208" t="s">
        <v>55</v>
      </c>
      <c r="S15" s="208"/>
      <c r="T15" s="208"/>
      <c r="U15" s="208"/>
      <c r="V15" s="208"/>
      <c r="W15" s="209"/>
      <c r="X15" s="210" t="s">
        <v>49</v>
      </c>
      <c r="Y15" s="211"/>
      <c r="Z15" s="208" t="s">
        <v>50</v>
      </c>
      <c r="AA15" s="208"/>
      <c r="AB15" s="208" t="s">
        <v>51</v>
      </c>
      <c r="AC15" s="208"/>
      <c r="AD15" s="208"/>
      <c r="AE15" s="208"/>
      <c r="AF15" s="208" t="s">
        <v>52</v>
      </c>
      <c r="AG15" s="208"/>
      <c r="AH15" s="208" t="s">
        <v>53</v>
      </c>
      <c r="AI15" s="208"/>
      <c r="AJ15" s="208" t="s">
        <v>12</v>
      </c>
      <c r="AK15" s="208"/>
      <c r="AL15" s="208" t="s">
        <v>54</v>
      </c>
      <c r="AM15" s="208"/>
      <c r="AN15" s="208" t="s">
        <v>55</v>
      </c>
      <c r="AO15" s="208"/>
      <c r="AP15" s="208"/>
      <c r="AQ15" s="208"/>
      <c r="AR15" s="208"/>
      <c r="AS15" s="212"/>
      <c r="AT15" s="204"/>
      <c r="AU15" s="205"/>
      <c r="AV15" s="205"/>
      <c r="AW15" s="205"/>
      <c r="AX15" s="205"/>
      <c r="AZ15" s="150"/>
      <c r="BA15"/>
      <c r="BB15"/>
      <c r="BC15"/>
      <c r="BD15"/>
      <c r="BE15"/>
      <c r="BF15"/>
      <c r="BG15"/>
      <c r="BH15"/>
      <c r="BI15"/>
      <c r="BJ15"/>
      <c r="BK15"/>
      <c r="BL15"/>
      <c r="BM15"/>
      <c r="BN15"/>
      <c r="BO15"/>
      <c r="BP15"/>
      <c r="BQ15"/>
      <c r="BR15" s="116"/>
    </row>
    <row r="16" spans="8:8" ht="18.0" customHeight="1">
      <c r="A16" s="51" t="s">
        <v>6020</v>
      </c>
      <c r="B16" s="213" t="s">
        <v>56</v>
      </c>
      <c r="C16" s="214"/>
      <c r="D16" s="215">
        <f>IF(ISTEXT(_xlfn.IFERROR(VLOOKUP(人物卡!F16,人物卡!BJ18:BR22,1,FALSE),_xlfn.IFERROR(VLOOKUP(人物卡!F16,人物卡!BA18:BC22,1,FALSE),0))),"★",INDEX(本职技能!$A$2:$HX$76,MATCH(人物卡!F16,本职技能!$A$2:$A$75,0),MATCH(人物卡!$M$5,本职技能!$A$1:$HX$1,0)))</f>
        <v>0.0</v>
      </c>
      <c r="E16" s="215"/>
      <c r="F16" s="51" t="s">
        <v>57</v>
      </c>
      <c r="G16" s="51"/>
      <c r="H16" s="51"/>
      <c r="I16" s="51"/>
      <c r="J16" s="48">
        <v>5.0</v>
      </c>
      <c r="K16" s="48"/>
      <c r="L16" s="51"/>
      <c r="M16" s="51"/>
      <c r="N16" s="51"/>
      <c r="O16" s="51"/>
      <c r="P16" s="216"/>
      <c r="Q16" s="216"/>
      <c r="R16" s="217">
        <f>SUM(J16:P16)</f>
        <v>5.0</v>
      </c>
      <c r="S16" s="217"/>
      <c r="T16" s="48">
        <f>INT(R16/2)</f>
        <v>2.0</v>
      </c>
      <c r="U16" s="48"/>
      <c r="V16" s="48">
        <f>INT(R16/5)</f>
        <v>1.0</v>
      </c>
      <c r="W16" s="63"/>
      <c r="X16" s="218" t="s">
        <v>56</v>
      </c>
      <c r="Y16" s="51"/>
      <c r="Z16" s="215">
        <f>IF(ISTEXT(_xlfn.IFERROR(VLOOKUP(人物卡!AB16,人物卡!BJ18:BR22,1,FALSE),_xlfn.IFERROR(VLOOKUP(人物卡!AB16,人物卡!BA18:BC22,1,FALSE),0))),"★",INDEX(本职技能!$A$2:$HX$76,MATCH(人物卡!AB16,本职技能!$A$2:$A$75,0),MATCH(人物卡!$M$5,本职技能!$A$1:$HX$1,0)))</f>
        <v>0.0</v>
      </c>
      <c r="AA16" s="215"/>
      <c r="AB16" s="51" t="s">
        <v>58</v>
      </c>
      <c r="AC16" s="51"/>
      <c r="AD16" s="51"/>
      <c r="AE16" s="51"/>
      <c r="AF16" s="48">
        <v>5.0</v>
      </c>
      <c r="AG16" s="48"/>
      <c r="AH16" s="51"/>
      <c r="AI16" s="51"/>
      <c r="AJ16" s="51"/>
      <c r="AK16" s="51"/>
      <c r="AL16" s="216"/>
      <c r="AM16" s="216"/>
      <c r="AN16" s="217">
        <f>SUM(AF16:AL16)</f>
        <v>5.0</v>
      </c>
      <c r="AO16" s="217"/>
      <c r="AP16" s="217">
        <f>INT(AN16/2)</f>
        <v>2.0</v>
      </c>
      <c r="AQ16" s="217"/>
      <c r="AR16" s="217">
        <f>INT(AN16/5)</f>
        <v>1.0</v>
      </c>
      <c r="AS16" s="219"/>
      <c r="AT16" s="51" t="s">
        <v>6046</v>
      </c>
      <c r="AU16" s="220"/>
      <c r="AV16" s="220"/>
      <c r="AW16" s="220"/>
      <c r="AX16" s="220"/>
      <c r="AZ16" s="220"/>
      <c r="BA16" s="220"/>
      <c r="BB16" s="220"/>
      <c r="BC16" s="220"/>
      <c r="BD16" s="220"/>
      <c r="BE16" s="220"/>
      <c r="BF16" s="220"/>
      <c r="BG16" s="220"/>
      <c r="BH16" s="220"/>
      <c r="BI16" s="220"/>
      <c r="BJ16" s="220"/>
      <c r="BK16" s="220"/>
      <c r="BL16" s="220"/>
      <c r="BM16" s="220"/>
      <c r="BN16" s="220"/>
      <c r="BO16" s="220"/>
      <c r="BP16" s="220"/>
      <c r="BQ16" s="220"/>
      <c r="BR16" s="221"/>
    </row>
    <row r="17" spans="8:8" ht="18.0" customHeight="1">
      <c r="A17" s="222" t="s">
        <v>6021</v>
      </c>
      <c r="B17" s="223" t="s">
        <v>56</v>
      </c>
      <c r="C17" s="224"/>
      <c r="D17" s="225">
        <f>IF(ISTEXT(_xlfn.IFERROR(VLOOKUP(人物卡!F17,人物卡!BJ18:BR22,1,FALSE),_xlfn.IFERROR(VLOOKUP(人物卡!F17,人物卡!BA18:BC22,1,FALSE),0))),"★",INDEX(本职技能!$A$2:$HX$76,MATCH(人物卡!F17,本职技能!$A$2:$A$75,0),MATCH(人物卡!$M$5,本职技能!$A$1:$HX$1,0)))</f>
        <v>0.0</v>
      </c>
      <c r="E17" s="225"/>
      <c r="F17" s="222" t="s">
        <v>59</v>
      </c>
      <c r="G17" s="222"/>
      <c r="H17" s="222"/>
      <c r="I17" s="222"/>
      <c r="J17" s="226">
        <v>1.0</v>
      </c>
      <c r="K17" s="226"/>
      <c r="L17" s="222"/>
      <c r="M17" s="222"/>
      <c r="N17" s="222"/>
      <c r="O17" s="222"/>
      <c r="P17" s="227"/>
      <c r="Q17" s="227"/>
      <c r="R17" s="228">
        <f>SUM(J17:P17)</f>
        <v>1.0</v>
      </c>
      <c r="S17" s="228"/>
      <c r="T17" s="226">
        <f>INT(R17/2)</f>
        <v>0.0</v>
      </c>
      <c r="U17" s="226"/>
      <c r="V17" s="226">
        <f>INT(R17/5)</f>
        <v>0.0</v>
      </c>
      <c r="W17" s="229"/>
      <c r="X17" s="230" t="s">
        <v>56</v>
      </c>
      <c r="Y17" s="222"/>
      <c r="Z17" s="225">
        <f>IF(ISTEXT(_xlfn.IFERROR(VLOOKUP(人物卡!AB17,人物卡!BJ18:BR22,1,FALSE),_xlfn.IFERROR(VLOOKUP(人物卡!AB17,人物卡!BA18:BC22,1,FALSE),0))),"★",INDEX(本职技能!$A$2:$HX$76,MATCH(人物卡!AB17,本职技能!$A$2:$A$75,0),MATCH(人物卡!$M$5,本职技能!$A$1:$HX$1,0)))</f>
        <v>0.0</v>
      </c>
      <c r="AA17" s="225"/>
      <c r="AB17" s="222" t="s">
        <v>60</v>
      </c>
      <c r="AC17" s="222"/>
      <c r="AD17" s="222"/>
      <c r="AE17" s="222"/>
      <c r="AF17" s="226">
        <v>20.0</v>
      </c>
      <c r="AG17" s="226"/>
      <c r="AH17" s="222"/>
      <c r="AI17" s="222"/>
      <c r="AJ17" s="222"/>
      <c r="AK17" s="222"/>
      <c r="AL17" s="227"/>
      <c r="AM17" s="227"/>
      <c r="AN17" s="228">
        <f>SUM(AF17:AL17)</f>
        <v>20.0</v>
      </c>
      <c r="AO17" s="228"/>
      <c r="AP17" s="228">
        <f>INT(AN17/2)</f>
        <v>10.0</v>
      </c>
      <c r="AQ17" s="228"/>
      <c r="AR17" s="228">
        <f>INT(AN17/5)</f>
        <v>4.0</v>
      </c>
      <c r="AS17" s="231"/>
      <c r="AT17" s="222" t="s">
        <v>6047</v>
      </c>
      <c r="AU17" s="232" t="s">
        <v>61</v>
      </c>
      <c r="AV17" s="233"/>
      <c r="AW17" s="233"/>
      <c r="AX17" s="233"/>
      <c r="AY17" s="233"/>
      <c r="AZ17" s="233"/>
      <c r="BA17" s="233" t="s">
        <v>62</v>
      </c>
      <c r="BB17" s="233"/>
      <c r="BC17" s="233"/>
      <c r="BD17" s="233"/>
      <c r="BE17" s="233"/>
      <c r="BF17" s="233"/>
      <c r="BG17" s="233"/>
      <c r="BH17" s="233"/>
      <c r="BI17" s="233"/>
      <c r="BJ17" s="233"/>
      <c r="BK17" s="233"/>
      <c r="BL17" s="233"/>
      <c r="BM17" s="233"/>
      <c r="BN17" s="233"/>
      <c r="BO17" s="233"/>
      <c r="BP17" s="233"/>
      <c r="BQ17" s="233"/>
      <c r="BR17" s="234"/>
    </row>
    <row r="18" spans="8:8" ht="18.0" customHeight="1">
      <c r="A18" s="51" t="s">
        <v>6022</v>
      </c>
      <c r="B18" s="213" t="s">
        <v>56</v>
      </c>
      <c r="C18" s="214"/>
      <c r="D18" s="215">
        <f>IF(ISTEXT(_xlfn.IFERROR(VLOOKUP(人物卡!F18,人物卡!BJ18:BR22,1,FALSE),_xlfn.IFERROR(VLOOKUP(人物卡!F18,人物卡!BA18:BC22,1,FALSE),0))),"★",INDEX(本职技能!$A$2:$HX$76,MATCH(人物卡!F18,本职技能!$A$2:$A$75,0),MATCH(人物卡!$M$5,本职技能!$A$1:$HX$1,0)))</f>
        <v>0.0</v>
      </c>
      <c r="E18" s="215"/>
      <c r="F18" s="51" t="s">
        <v>63</v>
      </c>
      <c r="G18" s="51"/>
      <c r="H18" s="51"/>
      <c r="I18" s="51"/>
      <c r="J18" s="48">
        <v>5.0</v>
      </c>
      <c r="K18" s="48"/>
      <c r="L18" s="51"/>
      <c r="M18" s="51"/>
      <c r="N18" s="51"/>
      <c r="O18" s="51"/>
      <c r="P18" s="216"/>
      <c r="Q18" s="216"/>
      <c r="R18" s="217">
        <f>SUM(J18:P18)</f>
        <v>5.0</v>
      </c>
      <c r="S18" s="217"/>
      <c r="T18" s="48">
        <f>INT(R18/2)</f>
        <v>2.0</v>
      </c>
      <c r="U18" s="48"/>
      <c r="V18" s="48">
        <f>INT(R18/5)</f>
        <v>1.0</v>
      </c>
      <c r="W18" s="63"/>
      <c r="X18" s="218" t="s">
        <v>56</v>
      </c>
      <c r="Y18" s="51"/>
      <c r="Z18" s="215">
        <f>IF(ISTEXT(_xlfn.IFERROR(VLOOKUP(人物卡!AB18,人物卡!BJ18:BR22,1,FALSE),_xlfn.IFERROR(VLOOKUP(人物卡!AB18,人物卡!BA18:BC22,1,FALSE),0))),"★",INDEX(本职技能!$A$2:$HX$76,MATCH(人物卡!AB18,本职技能!$A$2:$A$75,0),MATCH(人物卡!$M$5,本职技能!$A$1:$HX$1,0)))</f>
        <v>0.0</v>
      </c>
      <c r="AA18" s="215"/>
      <c r="AB18" s="51" t="s">
        <v>64</v>
      </c>
      <c r="AC18" s="51"/>
      <c r="AD18" s="51"/>
      <c r="AE18" s="51"/>
      <c r="AF18" s="48">
        <v>20.0</v>
      </c>
      <c r="AG18" s="48"/>
      <c r="AH18" s="51"/>
      <c r="AI18" s="51"/>
      <c r="AJ18" s="51"/>
      <c r="AK18" s="51"/>
      <c r="AL18" s="216"/>
      <c r="AM18" s="216"/>
      <c r="AN18" s="217">
        <f>SUM(AF18:AL18)</f>
        <v>20.0</v>
      </c>
      <c r="AO18" s="217"/>
      <c r="AP18" s="217">
        <f>INT(AN18/2)</f>
        <v>10.0</v>
      </c>
      <c r="AQ18" s="217"/>
      <c r="AR18" s="217">
        <f>INT(AN18/5)</f>
        <v>4.0</v>
      </c>
      <c r="AS18" s="219"/>
      <c r="AT18" s="51" t="s">
        <v>6048</v>
      </c>
      <c r="AU18" s="235" t="s">
        <v>65</v>
      </c>
      <c r="AV18" s="236"/>
      <c r="AW18" s="236"/>
      <c r="AX18" s="236"/>
      <c r="AY18" s="236"/>
      <c r="AZ18" s="236"/>
      <c r="BA18" s="237"/>
      <c r="BB18" s="238"/>
      <c r="BC18" s="238"/>
      <c r="BD18" s="238"/>
      <c r="BE18" s="238"/>
      <c r="BF18" s="238"/>
      <c r="BG18" s="238"/>
      <c r="BH18" s="238"/>
      <c r="BI18" s="238"/>
      <c r="BJ18" s="237"/>
      <c r="BK18" s="238"/>
      <c r="BL18" s="238"/>
      <c r="BM18" s="238"/>
      <c r="BN18" s="238"/>
      <c r="BO18" s="238"/>
      <c r="BP18" s="238"/>
      <c r="BQ18" s="238"/>
      <c r="BR18" s="239"/>
    </row>
    <row r="19" spans="8:8" ht="18.0" customHeight="1">
      <c r="A19" s="222" t="s">
        <v>6017</v>
      </c>
      <c r="B19" s="223" t="s">
        <v>56</v>
      </c>
      <c r="C19" s="224"/>
      <c r="D19" s="225">
        <f>IF(ISTEXT(_xlfn.IFERROR(VLOOKUP(人物卡!F19,人物卡!BJ18:BR22,1,FALSE),_xlfn.IFERROR(VLOOKUP(人物卡!F19,人物卡!BA18:BC22,1,FALSE),0))),"★",INDEX(本职技能!$A$2:$HX$76,MATCH(人物卡!F19,本职技能!$A$2:$A$75,0),MATCH(人物卡!$M$5,本职技能!$A$1:$HX$1,0)))</f>
        <v>0.0</v>
      </c>
      <c r="E19" s="225"/>
      <c r="F19" s="222" t="s">
        <v>66</v>
      </c>
      <c r="G19" s="240"/>
      <c r="H19" s="241"/>
      <c r="I19" s="222"/>
      <c r="J19" s="226">
        <v>1.0</v>
      </c>
      <c r="K19" s="226"/>
      <c r="L19" s="222"/>
      <c r="M19" s="222"/>
      <c r="N19" s="222"/>
      <c r="O19" s="222"/>
      <c r="P19" s="227"/>
      <c r="Q19" s="227"/>
      <c r="R19" s="228">
        <f>SUM(J19:P19)</f>
        <v>1.0</v>
      </c>
      <c r="S19" s="228"/>
      <c r="T19" s="226">
        <f>INT(R19/2)</f>
        <v>0.0</v>
      </c>
      <c r="U19" s="226"/>
      <c r="V19" s="226">
        <f>INT(R19/5)</f>
        <v>0.0</v>
      </c>
      <c r="W19" s="229"/>
      <c r="X19" s="230" t="s">
        <v>56</v>
      </c>
      <c r="Y19" s="222"/>
      <c r="Z19" s="225">
        <f>IF(ISTEXT(_xlfn.IFERROR(VLOOKUP(人物卡!AB19,人物卡!BJ18:BR22,1,FALSE),_xlfn.IFERROR(VLOOKUP(人物卡!AB19,人物卡!BA18:BC22,1,FALSE),0))),"★",INDEX(本职技能!$A$2:$HX$76,MATCH(人物卡!AB19,本职技能!$A$2:$A$75,0),MATCH(人物卡!$M$5,本职技能!$A$1:$HX$1,0)))</f>
        <v>0.0</v>
      </c>
      <c r="AA19" s="225"/>
      <c r="AB19" s="222" t="s">
        <v>67</v>
      </c>
      <c r="AC19" s="222"/>
      <c r="AD19" s="222"/>
      <c r="AE19" s="222"/>
      <c r="AF19" s="226">
        <v>1.0</v>
      </c>
      <c r="AG19" s="226"/>
      <c r="AH19" s="222"/>
      <c r="AI19" s="222"/>
      <c r="AJ19" s="222"/>
      <c r="AK19" s="222"/>
      <c r="AL19" s="227"/>
      <c r="AM19" s="227"/>
      <c r="AN19" s="228">
        <f>SUM(AF19:AL19)</f>
        <v>1.0</v>
      </c>
      <c r="AO19" s="228"/>
      <c r="AP19" s="228">
        <f>INT(AN19/2)</f>
        <v>0.0</v>
      </c>
      <c r="AQ19" s="228"/>
      <c r="AR19" s="228">
        <f>INT(AN19/5)</f>
        <v>0.0</v>
      </c>
      <c r="AS19" s="231"/>
      <c r="AT19" s="222" t="s">
        <v>6070</v>
      </c>
      <c r="AU19" s="242" t="str">
        <f>附表!AD25</f>
        <v>无</v>
      </c>
      <c r="AV19" s="243"/>
      <c r="AW19" s="243"/>
      <c r="AX19" s="243"/>
      <c r="AY19" s="243"/>
      <c r="AZ19" s="244"/>
      <c r="BA19" s="245"/>
      <c r="BB19" s="246"/>
      <c r="BC19" s="246"/>
      <c r="BD19" s="246"/>
      <c r="BE19" s="246"/>
      <c r="BF19" s="246"/>
      <c r="BG19" s="246"/>
      <c r="BH19" s="246"/>
      <c r="BI19" s="246"/>
      <c r="BJ19" s="245"/>
      <c r="BK19" s="246"/>
      <c r="BL19" s="246"/>
      <c r="BM19" s="246"/>
      <c r="BN19" s="246"/>
      <c r="BO19" s="246"/>
      <c r="BP19" s="246"/>
      <c r="BQ19" s="246"/>
      <c r="BR19" s="247"/>
    </row>
    <row r="20" spans="8:8" ht="18.0" customHeight="1">
      <c r="A20" s="51" t="str">
        <f>_xlfn.IFS(H20="表演","🎭",H20="美术","🎨",H20="摄影","📷",H20="伪造","🃏",H20="写作","🖋️",H20="书法","🖌️",H20="乐理","🎼",H20="厨艺","🍱",H20="裁缝","👕",H20="理发","✂️",H20="建筑","🏠",H20="舞蹈","💃",H20="酿酒","🍷",H20="捕鱼","🎣",H20="歌唱","🎤",H20="制陶","🏺",H20="雕塑","🗽",H20="杂技","🤸‍♂️",H20="风水","☯️",H20="技术制图","🗺️",H20="耕作","🌾",H20="打字","📠",H20="速记","📝",H20="木匠","🪵",H20="莫里斯舞蹈","👯‍♂️",H20="歌剧歌唱","🎶",H20="粉刷匠与油漆工","🧩",H20="吹真空管","🎺",H20="","🔅",TRUE,"🎭")</f>
        <v>🔅</v>
      </c>
      <c r="B20" s="213" t="s">
        <v>56</v>
      </c>
      <c r="C20" s="214"/>
      <c r="D20" s="215">
        <f>IF(ISTEXT(_xlfn.IFERROR(VLOOKUP(人物卡!F20,人物卡!BJ18:BR22,1,FALSE),_xlfn.IFERROR(VLOOKUP(人物卡!F20,人物卡!BA18:BC22,1,FALSE),0))),"★",INDEX(本职技能!$A$2:$HX$76,MATCH(人物卡!F20,本职技能!$A$2:$A$75,0),MATCH(人物卡!$M$5,本职技能!$A$1:$HX$1,0)))</f>
        <v>0.0</v>
      </c>
      <c r="E20" s="215"/>
      <c r="F20" s="248" t="s">
        <v>5829</v>
      </c>
      <c r="G20" s="249"/>
      <c r="H20" s="250"/>
      <c r="I20" s="251"/>
      <c r="J20" s="48">
        <f>IF(ISBLANK(AU26),5,IF(H20=AU26,BA26,5))</f>
        <v>5.0</v>
      </c>
      <c r="K20" s="48"/>
      <c r="L20" s="51"/>
      <c r="M20" s="51"/>
      <c r="N20" s="51"/>
      <c r="O20" s="51"/>
      <c r="P20" s="216"/>
      <c r="Q20" s="216"/>
      <c r="R20" s="217">
        <f>J20+L20+N20+P20</f>
        <v>5.0</v>
      </c>
      <c r="S20" s="217"/>
      <c r="T20" s="48">
        <f>INT(R20/2)</f>
        <v>2.0</v>
      </c>
      <c r="U20" s="48"/>
      <c r="V20" s="48">
        <f>INT(R20/5)</f>
        <v>1.0</v>
      </c>
      <c r="W20" s="63"/>
      <c r="X20" s="218" t="s">
        <v>56</v>
      </c>
      <c r="Y20" s="51"/>
      <c r="Z20" s="215">
        <f>IF(ISTEXT(_xlfn.IFERROR(VLOOKUP(人物卡!AB20,人物卡!BJ18:BR22,1,FALSE),_xlfn.IFERROR(VLOOKUP(人物卡!AB20,人物卡!BA18:BC22,1,FALSE),0))),"★",INDEX(本职技能!$A$2:$HX$76,MATCH(人物卡!AB20,本职技能!$A$2:$A$75,0),MATCH(人物卡!$M$5,本职技能!$A$1:$HX$1,0)))</f>
        <v>0.0</v>
      </c>
      <c r="AA20" s="215"/>
      <c r="AB20" s="51" t="s">
        <v>69</v>
      </c>
      <c r="AC20" s="51"/>
      <c r="AD20" s="51"/>
      <c r="AE20" s="51"/>
      <c r="AF20" s="48">
        <v>10.0</v>
      </c>
      <c r="AG20" s="48"/>
      <c r="AH20" s="51"/>
      <c r="AI20" s="51"/>
      <c r="AJ20" s="51"/>
      <c r="AK20" s="51"/>
      <c r="AL20" s="216"/>
      <c r="AM20" s="216"/>
      <c r="AN20" s="217">
        <f>SUM(AF20:AL20)</f>
        <v>10.0</v>
      </c>
      <c r="AO20" s="217"/>
      <c r="AP20" s="217">
        <f>INT(AN20/2)</f>
        <v>5.0</v>
      </c>
      <c r="AQ20" s="217"/>
      <c r="AR20" s="217">
        <f>INT(AN20/5)</f>
        <v>2.0</v>
      </c>
      <c r="AS20" s="219"/>
      <c r="AT20" s="51" t="s">
        <v>6051</v>
      </c>
      <c r="AU20" s="242"/>
      <c r="AV20" s="243"/>
      <c r="AW20" s="243"/>
      <c r="AX20" s="243"/>
      <c r="AY20" s="243"/>
      <c r="AZ20" s="244"/>
      <c r="BA20" s="237"/>
      <c r="BB20" s="238"/>
      <c r="BC20" s="238"/>
      <c r="BD20" s="238"/>
      <c r="BE20" s="238"/>
      <c r="BF20" s="238"/>
      <c r="BG20" s="238"/>
      <c r="BH20" s="238"/>
      <c r="BI20" s="238"/>
      <c r="BJ20" s="237"/>
      <c r="BK20" s="238"/>
      <c r="BL20" s="238"/>
      <c r="BM20" s="238"/>
      <c r="BN20" s="238"/>
      <c r="BO20" s="238"/>
      <c r="BP20" s="238"/>
      <c r="BQ20" s="238"/>
      <c r="BR20" s="239"/>
    </row>
    <row r="21" spans="8:8" ht="18.0" customHeight="1">
      <c r="A21" s="222" t="str">
        <f>_xlfn.IFS(H21="表演","🎭",H21="美术","🎨",H21="摄影","📷",H21="伪造","🃏",H21="写作","🖋️",H21="书法","🖌️",H21="乐理","🎼",H21="厨艺","🍱",H21="裁缝","👕",H21="理发","✂️",H21="建筑","🏠",H21="舞蹈","💃",H21="酿酒","🍷",H21="捕鱼","🎣",H21="歌唱","🎤",H21="制陶","🏺",H21="雕塑","🗽",H21="杂技","🤸‍♂️",H21="风水","☯️",H21="技术制图","🗺️",H21="耕作","🌾",H21="打字","📠",H21="速记","📝",H21="木匠","🪵",H21="莫里斯舞蹈","👯‍♂️",H21="歌剧歌唱","🎶",H21="粉刷匠与油漆工","🧩",H21="吹真空管","🎺",H21="","🔅",TRUE,"🎭")</f>
        <v>🔅</v>
      </c>
      <c r="B21" s="223" t="s">
        <v>56</v>
      </c>
      <c r="C21" s="224"/>
      <c r="D21" s="225">
        <f>IF(ISTEXT(_xlfn.IFERROR(VLOOKUP(人物卡!F21,人物卡!BJ18:BR22,1,FALSE),_xlfn.IFERROR(VLOOKUP(人物卡!F21,人物卡!BA18:BC22,1,FALSE),0))),"★",INDEX(本职技能!$A$2:$HX$76,MATCH(人物卡!F21,本职技能!$A$2:$A$75,0),MATCH(人物卡!$M$5,本职技能!$A$1:$HX$1,0)))</f>
        <v>0.0</v>
      </c>
      <c r="E21" s="225"/>
      <c r="F21" s="252" t="s">
        <v>70</v>
      </c>
      <c r="G21" s="253"/>
      <c r="H21" s="254"/>
      <c r="I21" s="255"/>
      <c r="J21" s="226">
        <f>IF(ISBLANK(AU26),5,IF(H21=AU26,BA26,5))</f>
        <v>5.0</v>
      </c>
      <c r="K21" s="226"/>
      <c r="L21" s="222"/>
      <c r="M21" s="222"/>
      <c r="N21" s="222"/>
      <c r="O21" s="222"/>
      <c r="P21" s="227"/>
      <c r="Q21" s="227"/>
      <c r="R21" s="228">
        <f>P21+N21+L21+J21</f>
        <v>5.0</v>
      </c>
      <c r="S21" s="228"/>
      <c r="T21" s="226">
        <f>INT(R21/2)</f>
        <v>2.0</v>
      </c>
      <c r="U21" s="226"/>
      <c r="V21" s="226">
        <f>INT(R21/5)</f>
        <v>1.0</v>
      </c>
      <c r="W21" s="229"/>
      <c r="X21" s="230" t="s">
        <v>56</v>
      </c>
      <c r="Y21" s="222"/>
      <c r="Z21" s="225">
        <f>IF(ISTEXT(_xlfn.IFERROR(VLOOKUP(人物卡!AB21,人物卡!BJ18:BR22,1,FALSE),_xlfn.IFERROR(VLOOKUP(人物卡!AB21,人物卡!BA18:BC22,1,FALSE),0))),"★",INDEX(本职技能!$A$2:$HX$76,MATCH(人物卡!AB21,本职技能!$A$2:$A$75,0),MATCH(人物卡!$M$5,本职技能!$A$1:$HX$1,0)))</f>
        <v>0.0</v>
      </c>
      <c r="AA21" s="225"/>
      <c r="AB21" s="222" t="s">
        <v>71</v>
      </c>
      <c r="AC21" s="222"/>
      <c r="AD21" s="222"/>
      <c r="AE21" s="222"/>
      <c r="AF21" s="226">
        <v>1.0</v>
      </c>
      <c r="AG21" s="226"/>
      <c r="AH21" s="222"/>
      <c r="AI21" s="222"/>
      <c r="AJ21" s="222"/>
      <c r="AK21" s="222"/>
      <c r="AL21" s="227"/>
      <c r="AM21" s="227"/>
      <c r="AN21" s="228">
        <f>SUM(AF21:AL21)</f>
        <v>1.0</v>
      </c>
      <c r="AO21" s="228"/>
      <c r="AP21" s="228">
        <f>INT(AN21/2)</f>
        <v>0.0</v>
      </c>
      <c r="AQ21" s="228"/>
      <c r="AR21" s="228">
        <f>INT(AN21/5)</f>
        <v>0.0</v>
      </c>
      <c r="AS21" s="231"/>
      <c r="AT21" s="222" t="s">
        <v>6052</v>
      </c>
      <c r="AU21" s="242"/>
      <c r="AV21" s="243"/>
      <c r="AW21" s="243"/>
      <c r="AX21" s="243"/>
      <c r="AY21" s="243"/>
      <c r="AZ21" s="244"/>
      <c r="BA21" s="245"/>
      <c r="BB21" s="246"/>
      <c r="BC21" s="246"/>
      <c r="BD21" s="246"/>
      <c r="BE21" s="246"/>
      <c r="BF21" s="246"/>
      <c r="BG21" s="246"/>
      <c r="BH21" s="246"/>
      <c r="BI21" s="246"/>
      <c r="BJ21" s="245"/>
      <c r="BK21" s="246"/>
      <c r="BL21" s="246"/>
      <c r="BM21" s="246"/>
      <c r="BN21" s="246"/>
      <c r="BO21" s="246"/>
      <c r="BP21" s="246"/>
      <c r="BQ21" s="246"/>
      <c r="BR21" s="247"/>
    </row>
    <row r="22" spans="8:8" ht="18.0" customHeight="1">
      <c r="A22" s="51" t="str">
        <f>_xlfn.IFS(H22="表演","🎭",H22="美术","🎨",H22="摄影","📷",H22="伪造","🃏",H22="写作","🖋️",H22="书法","🖌️",H22="乐理","🎼",H22="厨艺","🍱",H22="裁缝","👕",H22="理发","✂️",H22="建筑","🏠",H22="舞蹈","💃",H22="酿酒","🍷",H22="捕鱼","🎣",H22="歌唱","🎤",H22="制陶","🏺",H22="雕塑","🗽",H22="杂技","🤸‍♂️",H22="风水","☯️",H22="技术制图","🗺️",H22="耕作","🌾",H22="打字","📠",H22="速记","📝",H22="木匠","🪵",H22="莫里斯舞蹈","👯‍♂️",H22="歌剧歌唱","🎶",H22="粉刷匠与油漆工","🧩",H22="吹真空管","🎺",H22="","🔅",TRUE,"🎭")</f>
        <v>🔅</v>
      </c>
      <c r="B22" s="213" t="s">
        <v>56</v>
      </c>
      <c r="C22" s="214"/>
      <c r="D22" s="215">
        <f>IF(ISTEXT(_xlfn.IFERROR(VLOOKUP(人物卡!F22,人物卡!BJ18:BR22,1,FALSE),_xlfn.IFERROR(VLOOKUP(人物卡!F22,人物卡!BA18:BC22,1,FALSE),0))),"★",INDEX(本职技能!$A$2:$HX$76,MATCH(人物卡!F22,本职技能!$A$2:$A$75,0),MATCH(人物卡!$M$5,本职技能!$A$1:$HX$1,0)))</f>
        <v>0.0</v>
      </c>
      <c r="E22" s="215"/>
      <c r="F22" s="248" t="s">
        <v>5830</v>
      </c>
      <c r="G22" s="249"/>
      <c r="H22" s="250"/>
      <c r="I22" s="251"/>
      <c r="J22" s="48">
        <f>IF(ISBLANK(AU26),5,IF(H22=AU26,BA26,5))</f>
        <v>5.0</v>
      </c>
      <c r="K22" s="48"/>
      <c r="L22" s="51"/>
      <c r="M22" s="51"/>
      <c r="N22" s="51"/>
      <c r="O22" s="51"/>
      <c r="P22" s="216"/>
      <c r="Q22" s="216"/>
      <c r="R22" s="217">
        <f>P22+N22+L22+J22</f>
        <v>5.0</v>
      </c>
      <c r="S22" s="217"/>
      <c r="T22" s="48">
        <f>INT(R22/2)</f>
        <v>2.0</v>
      </c>
      <c r="U22" s="48"/>
      <c r="V22" s="48">
        <f>INT(R22/5)</f>
        <v>1.0</v>
      </c>
      <c r="W22" s="63"/>
      <c r="X22" s="218" t="s">
        <v>56</v>
      </c>
      <c r="Y22" s="51"/>
      <c r="Z22" s="215">
        <f>IF(ISTEXT(_xlfn.IFERROR(VLOOKUP(人物卡!AB22,人物卡!BJ18:BR22,1,FALSE),_xlfn.IFERROR(VLOOKUP(人物卡!AB22,人物卡!BA18:BC22,1,FALSE),0))),"★",INDEX(本职技能!$A$2:$HX$76,MATCH(人物卡!AB22,本职技能!$A$2:$A$75,0),MATCH(人物卡!$M$5,本职技能!$A$1:$HX$1,0)))</f>
        <v>0.0</v>
      </c>
      <c r="AA22" s="215"/>
      <c r="AB22" s="51" t="s">
        <v>73</v>
      </c>
      <c r="AC22" s="51"/>
      <c r="AD22" s="51"/>
      <c r="AE22" s="51"/>
      <c r="AF22" s="48">
        <v>10.0</v>
      </c>
      <c r="AG22" s="48"/>
      <c r="AH22" s="51"/>
      <c r="AI22" s="51"/>
      <c r="AJ22" s="51"/>
      <c r="AK22" s="51"/>
      <c r="AL22" s="216"/>
      <c r="AM22" s="216"/>
      <c r="AN22" s="217">
        <f>SUM(AF22:AL22)</f>
        <v>10.0</v>
      </c>
      <c r="AO22" s="217"/>
      <c r="AP22" s="217">
        <f>INT(AN22/2)</f>
        <v>5.0</v>
      </c>
      <c r="AQ22" s="217"/>
      <c r="AR22" s="217">
        <f>INT(AN22/5)</f>
        <v>2.0</v>
      </c>
      <c r="AS22" s="219"/>
      <c r="AT22" s="51" t="s">
        <v>6053</v>
      </c>
      <c r="AU22" s="256" t="s">
        <v>5845</v>
      </c>
      <c r="AV22" s="257"/>
      <c r="AW22" s="257"/>
      <c r="AX22" s="257"/>
      <c r="AY22" s="257"/>
      <c r="AZ22" s="258"/>
      <c r="BA22" s="237"/>
      <c r="BB22" s="238"/>
      <c r="BC22" s="238"/>
      <c r="BD22" s="238"/>
      <c r="BE22" s="238"/>
      <c r="BF22" s="238"/>
      <c r="BG22" s="238"/>
      <c r="BH22" s="238"/>
      <c r="BI22" s="238"/>
      <c r="BJ22" s="237"/>
      <c r="BK22" s="238"/>
      <c r="BL22" s="238"/>
      <c r="BM22" s="238"/>
      <c r="BN22" s="238"/>
      <c r="BO22" s="238"/>
      <c r="BP22" s="238"/>
      <c r="BQ22" s="238"/>
      <c r="BR22" s="239"/>
    </row>
    <row r="23" spans="8:8" ht="18.0" customHeight="1">
      <c r="A23" s="222" t="s">
        <v>6094</v>
      </c>
      <c r="B23" s="223" t="s">
        <v>56</v>
      </c>
      <c r="C23" s="224"/>
      <c r="D23" s="225">
        <f>IF(ISTEXT(_xlfn.IFERROR(VLOOKUP(人物卡!F23,人物卡!BJ18:BR22,1,FALSE),_xlfn.IFERROR(VLOOKUP(人物卡!F23,人物卡!BA18:BC22,1,FALSE),0))),"★",INDEX(本职技能!$A$2:$HX$76,MATCH(人物卡!F23,本职技能!$A$2:$A$75,0),MATCH(人物卡!$M$5,本职技能!$A$1:$HX$1,0)))</f>
        <v>0.0</v>
      </c>
      <c r="E23" s="225"/>
      <c r="F23" s="222" t="s">
        <v>74</v>
      </c>
      <c r="G23" s="240"/>
      <c r="H23" s="241"/>
      <c r="I23" s="222"/>
      <c r="J23" s="226">
        <v>15.0</v>
      </c>
      <c r="K23" s="226"/>
      <c r="L23" s="222"/>
      <c r="M23" s="222"/>
      <c r="N23" s="222"/>
      <c r="O23" s="222"/>
      <c r="P23" s="227"/>
      <c r="Q23" s="227"/>
      <c r="R23" s="228">
        <f>SUM(J23:P23)</f>
        <v>15.0</v>
      </c>
      <c r="S23" s="228"/>
      <c r="T23" s="226">
        <f>INT(R23/2)</f>
        <v>7.0</v>
      </c>
      <c r="U23" s="226"/>
      <c r="V23" s="226">
        <f>INT(R23/5)</f>
        <v>3.0</v>
      </c>
      <c r="W23" s="229"/>
      <c r="X23" s="230" t="s">
        <v>56</v>
      </c>
      <c r="Y23" s="222"/>
      <c r="Z23" s="225">
        <f>IF(ISTEXT(_xlfn.IFERROR(VLOOKUP(人物卡!AB23,人物卡!BJ18:BR22,1,FALSE),_xlfn.IFERROR(VLOOKUP(人物卡!AB23,人物卡!BA18:BC22,1,FALSE),0))),"★",INDEX(本职技能!$A$2:$HX$76,MATCH(人物卡!AB23,本职技能!$A$2:$A$75,0),MATCH(人物卡!$M$5,本职技能!$A$1:$HX$1,0)))</f>
        <v>0.0</v>
      </c>
      <c r="AA23" s="225"/>
      <c r="AB23" s="222" t="s">
        <v>75</v>
      </c>
      <c r="AC23" s="222"/>
      <c r="AD23" s="222"/>
      <c r="AE23" s="222"/>
      <c r="AF23" s="226">
        <v>10.0</v>
      </c>
      <c r="AG23" s="226"/>
      <c r="AH23" s="222"/>
      <c r="AI23" s="222"/>
      <c r="AJ23" s="222"/>
      <c r="AK23" s="222"/>
      <c r="AL23" s="227"/>
      <c r="AM23" s="227"/>
      <c r="AN23" s="228">
        <f>SUM(AF23:AL23)</f>
        <v>10.0</v>
      </c>
      <c r="AO23" s="228"/>
      <c r="AP23" s="228">
        <f>INT(AN23/2)</f>
        <v>5.0</v>
      </c>
      <c r="AQ23" s="228"/>
      <c r="AR23" s="228">
        <f>INT(AN23/5)</f>
        <v>2.0</v>
      </c>
      <c r="AS23" s="231"/>
      <c r="AT23" s="222" t="s">
        <v>6055</v>
      </c>
      <c r="AU23" s="259" t="s">
        <v>76</v>
      </c>
      <c r="AV23" s="260"/>
      <c r="AW23" s="260"/>
      <c r="AX23" s="260"/>
      <c r="AY23" s="260"/>
      <c r="AZ23" s="260"/>
      <c r="BA23" s="260"/>
      <c r="BB23" s="260"/>
      <c r="BC23" s="260"/>
      <c r="BD23" s="260"/>
      <c r="BE23" s="260"/>
      <c r="BF23" s="260"/>
      <c r="BG23" s="260"/>
      <c r="BH23" s="260"/>
      <c r="BI23" s="260"/>
      <c r="BJ23" s="260"/>
      <c r="BK23" s="260"/>
      <c r="BL23" s="260"/>
      <c r="BM23" s="260"/>
      <c r="BN23" s="260"/>
      <c r="BO23" s="260"/>
      <c r="BP23" s="260"/>
      <c r="BQ23" s="260"/>
      <c r="BR23" s="261"/>
    </row>
    <row r="24" spans="8:8" ht="18.0" customHeight="1">
      <c r="A24" s="51" t="s">
        <v>6025</v>
      </c>
      <c r="B24" s="213" t="s">
        <v>56</v>
      </c>
      <c r="C24" s="214"/>
      <c r="D24" s="215">
        <f>IF(ISTEXT(_xlfn.IFERROR(VLOOKUP(人物卡!F24,人物卡!BJ18:BR22,1,FALSE),_xlfn.IFERROR(VLOOKUP(人物卡!F24,人物卡!BA18:BC22,1,FALSE),0))),"★",INDEX(本职技能!$A$2:$HX$76,MATCH(人物卡!F24,本职技能!$A$2:$A$75,0),MATCH(人物卡!$M$5,本职技能!$A$1:$HX$1,0)))</f>
        <v>0.0</v>
      </c>
      <c r="E24" s="215"/>
      <c r="F24" s="51" t="s">
        <v>77</v>
      </c>
      <c r="G24" s="262"/>
      <c r="H24" s="263"/>
      <c r="I24" s="51"/>
      <c r="J24" s="48">
        <v>20.0</v>
      </c>
      <c r="K24" s="48"/>
      <c r="L24" s="51"/>
      <c r="M24" s="51"/>
      <c r="N24" s="51"/>
      <c r="O24" s="51"/>
      <c r="P24" s="216"/>
      <c r="Q24" s="216"/>
      <c r="R24" s="217">
        <f>SUM(J24:P24)</f>
        <v>20.0</v>
      </c>
      <c r="S24" s="217"/>
      <c r="T24" s="48">
        <f>INT(R24/2)</f>
        <v>10.0</v>
      </c>
      <c r="U24" s="48"/>
      <c r="V24" s="48">
        <f>INT(R24/5)</f>
        <v>4.0</v>
      </c>
      <c r="W24" s="63"/>
      <c r="X24" s="218" t="s">
        <v>56</v>
      </c>
      <c r="Y24" s="51"/>
      <c r="Z24" s="215">
        <f>IF(ISTEXT(_xlfn.IFERROR(VLOOKUP(人物卡!AB24,人物卡!BJ18:BR22,1,FALSE),_xlfn.IFERROR(VLOOKUP(人物卡!AB24,人物卡!BA18:BC22,1,FALSE),0))),"★",INDEX(本职技能!$A$2:$HX$76,MATCH(人物卡!AB24,本职技能!$A$2:$A$75,0),MATCH(人物卡!$M$5,本职技能!$A$1:$HX$1,0)))</f>
        <v>0.0</v>
      </c>
      <c r="AA24" s="215"/>
      <c r="AB24" s="51" t="s">
        <v>78</v>
      </c>
      <c r="AC24" s="51"/>
      <c r="AD24" s="51"/>
      <c r="AE24" s="51"/>
      <c r="AF24" s="48">
        <v>5.0</v>
      </c>
      <c r="AG24" s="48"/>
      <c r="AH24" s="51"/>
      <c r="AI24" s="51"/>
      <c r="AJ24" s="51"/>
      <c r="AK24" s="51"/>
      <c r="AL24" s="216"/>
      <c r="AM24" s="216"/>
      <c r="AN24" s="217">
        <f>SUM(AF24:AL24)</f>
        <v>5.0</v>
      </c>
      <c r="AO24" s="217"/>
      <c r="AP24" s="217">
        <f>INT(AN24/2)</f>
        <v>2.0</v>
      </c>
      <c r="AQ24" s="217"/>
      <c r="AR24" s="217">
        <f>INT(AN24/5)</f>
        <v>1.0</v>
      </c>
      <c r="AS24" s="219"/>
      <c r="AT24" s="51" t="s">
        <v>6056</v>
      </c>
      <c r="AU24" s="264" t="s">
        <v>79</v>
      </c>
      <c r="AV24" s="265"/>
      <c r="AW24" s="265"/>
      <c r="AX24" s="265"/>
      <c r="AY24" s="265"/>
      <c r="AZ24" s="265"/>
      <c r="BA24" s="265"/>
      <c r="BB24" s="266"/>
      <c r="BC24" s="267" t="s">
        <v>80</v>
      </c>
      <c r="BD24" s="268"/>
      <c r="BE24" s="268"/>
      <c r="BF24" s="268"/>
      <c r="BG24" s="268"/>
      <c r="BH24" s="268"/>
      <c r="BI24" s="268"/>
      <c r="BJ24" s="269"/>
      <c r="BK24" s="270" t="s">
        <v>81</v>
      </c>
      <c r="BL24" s="271"/>
      <c r="BM24" s="271"/>
      <c r="BN24" s="271"/>
      <c r="BO24" s="271"/>
      <c r="BP24" s="271"/>
      <c r="BQ24" s="271"/>
      <c r="BR24" s="272"/>
    </row>
    <row r="25" spans="8:8" ht="18.0" customHeight="1">
      <c r="A25" s="222" t="s">
        <v>6026</v>
      </c>
      <c r="B25" s="223" t="s">
        <v>56</v>
      </c>
      <c r="C25" s="224"/>
      <c r="D25" s="225">
        <f>IF(ISTEXT(_xlfn.IFERROR(VLOOKUP(人物卡!F25,人物卡!BJ18:BR22,1,FALSE),_xlfn.IFERROR(VLOOKUP(人物卡!F25,人物卡!BA18:BC22,1,FALSE),0))),"★",INDEX(本职技能!$A$2:$HX$76,MATCH(人物卡!F25,本职技能!$A$2:$A$75,0),MATCH(人物卡!$M$5,本职技能!$A$1:$HX$1,0)))</f>
        <v>0.0</v>
      </c>
      <c r="E25" s="225"/>
      <c r="F25" s="222" t="s">
        <v>82</v>
      </c>
      <c r="G25" s="240"/>
      <c r="H25" s="241"/>
      <c r="I25" s="222"/>
      <c r="J25" s="226">
        <v>5.0</v>
      </c>
      <c r="K25" s="226"/>
      <c r="L25" s="222"/>
      <c r="M25" s="222"/>
      <c r="N25" s="222"/>
      <c r="O25" s="222"/>
      <c r="P25" s="227"/>
      <c r="Q25" s="227"/>
      <c r="R25" s="228">
        <f>SUM(J25:P25)</f>
        <v>5.0</v>
      </c>
      <c r="S25" s="228"/>
      <c r="T25" s="226">
        <f>INT(R25/2)</f>
        <v>2.0</v>
      </c>
      <c r="U25" s="226"/>
      <c r="V25" s="226">
        <f>INT(R25/5)</f>
        <v>1.0</v>
      </c>
      <c r="W25" s="229"/>
      <c r="X25" s="230" t="s">
        <v>56</v>
      </c>
      <c r="Y25" s="222"/>
      <c r="Z25" s="225">
        <f>IF(ISTEXT(_xlfn.IFERROR(VLOOKUP(人物卡!AB25,人物卡!BJ18:BR22,1,FALSE),_xlfn.IFERROR(VLOOKUP(人物卡!AB25,人物卡!BA18:BC22,1,FALSE),0))),"★",INDEX(本职技能!$A$2:$HX$76,MATCH(人物卡!AB25,本职技能!$A$2:$A$75,0),MATCH(人物卡!$M$5,本职技能!$A$1:$HX$1,0)))</f>
        <v>0.0</v>
      </c>
      <c r="AA25" s="225"/>
      <c r="AB25" s="222" t="s">
        <v>83</v>
      </c>
      <c r="AC25" s="222"/>
      <c r="AD25" s="222"/>
      <c r="AE25" s="222"/>
      <c r="AF25" s="226">
        <v>1.0</v>
      </c>
      <c r="AG25" s="226"/>
      <c r="AH25" s="222"/>
      <c r="AI25" s="222"/>
      <c r="AJ25" s="222"/>
      <c r="AK25" s="222"/>
      <c r="AL25" s="227"/>
      <c r="AM25" s="227"/>
      <c r="AN25" s="228">
        <f>SUM(AF25:AL25)</f>
        <v>1.0</v>
      </c>
      <c r="AO25" s="228"/>
      <c r="AP25" s="228">
        <f>INT(AN25/2)</f>
        <v>0.0</v>
      </c>
      <c r="AQ25" s="228"/>
      <c r="AR25" s="228">
        <f>INT(AN25/5)</f>
        <v>0.0</v>
      </c>
      <c r="AS25" s="231"/>
      <c r="AT25" s="222" t="s">
        <v>6067</v>
      </c>
      <c r="AU25" s="273" t="s">
        <v>84</v>
      </c>
      <c r="AV25" s="274"/>
      <c r="AW25" s="274"/>
      <c r="AX25" s="274"/>
      <c r="AY25" s="274"/>
      <c r="AZ25" s="274"/>
      <c r="BA25" s="275" t="s">
        <v>85</v>
      </c>
      <c r="BB25" s="276"/>
      <c r="BC25" s="277" t="s">
        <v>86</v>
      </c>
      <c r="BD25" s="278"/>
      <c r="BE25" s="278"/>
      <c r="BF25" s="278"/>
      <c r="BG25" s="278"/>
      <c r="BH25" s="278"/>
      <c r="BI25" s="278"/>
      <c r="BJ25" s="279"/>
      <c r="BK25" s="280" t="s">
        <v>87</v>
      </c>
      <c r="BL25" s="281"/>
      <c r="BM25" s="281"/>
      <c r="BN25" s="281"/>
      <c r="BO25" s="281"/>
      <c r="BP25" s="281"/>
      <c r="BQ25" s="281"/>
      <c r="BR25" s="282"/>
    </row>
    <row r="26" spans="8:8" ht="18.0" customHeight="1">
      <c r="A26" s="51" t="s">
        <v>6027</v>
      </c>
      <c r="B26" s="213" t="s">
        <v>88</v>
      </c>
      <c r="C26" s="214"/>
      <c r="D26" s="215" t="s">
        <v>89</v>
      </c>
      <c r="E26" s="215"/>
      <c r="F26" s="51" t="s">
        <v>90</v>
      </c>
      <c r="G26" s="262"/>
      <c r="H26" s="263"/>
      <c r="I26" s="51"/>
      <c r="J26" s="48">
        <v>0.0</v>
      </c>
      <c r="K26" s="48"/>
      <c r="L26" s="51"/>
      <c r="M26" s="51"/>
      <c r="N26" s="51"/>
      <c r="O26" s="51"/>
      <c r="P26" s="216"/>
      <c r="Q26" s="216"/>
      <c r="R26" s="217">
        <f>SUM(J26:P26)</f>
        <v>0.0</v>
      </c>
      <c r="S26" s="217"/>
      <c r="T26" s="48">
        <f>INT(R26/2)</f>
        <v>0.0</v>
      </c>
      <c r="U26" s="48"/>
      <c r="V26" s="48">
        <f>INT(R26/5)</f>
        <v>0.0</v>
      </c>
      <c r="W26" s="63"/>
      <c r="X26" s="218" t="s">
        <v>56</v>
      </c>
      <c r="Y26" s="51"/>
      <c r="Z26" s="215">
        <f>IF(ISTEXT(_xlfn.IFERROR(VLOOKUP(人物卡!AB26,人物卡!BJ18:BR22,1,FALSE),_xlfn.IFERROR(VLOOKUP(人物卡!AB26,人物卡!BA18:BC22,1,FALSE),0))),"★",INDEX(本职技能!$A$2:$HX$76,MATCH(人物卡!AB26,本职技能!$A$2:$A$75,0),MATCH(人物卡!$M$5,本职技能!$A$1:$HX$1,0)))</f>
        <v>0.0</v>
      </c>
      <c r="AA26" s="215"/>
      <c r="AB26" s="51" t="s">
        <v>91</v>
      </c>
      <c r="AC26" s="51"/>
      <c r="AD26" s="51"/>
      <c r="AE26" s="51"/>
      <c r="AF26" s="48">
        <v>10.0</v>
      </c>
      <c r="AG26" s="48"/>
      <c r="AH26" s="51"/>
      <c r="AI26" s="51"/>
      <c r="AJ26" s="51"/>
      <c r="AK26" s="51"/>
      <c r="AL26" s="216"/>
      <c r="AM26" s="216"/>
      <c r="AN26" s="217">
        <f>SUM(AF26:AL26)</f>
        <v>10.0</v>
      </c>
      <c r="AO26" s="217"/>
      <c r="AP26" s="217">
        <f>INT(AN26/2)</f>
        <v>5.0</v>
      </c>
      <c r="AQ26" s="217"/>
      <c r="AR26" s="217">
        <f>INT(AN26/5)</f>
        <v>2.0</v>
      </c>
      <c r="AS26" s="219"/>
      <c r="AT26" s="51" t="s">
        <v>6095</v>
      </c>
      <c r="AU26" s="283"/>
      <c r="AV26" s="284"/>
      <c r="AW26" s="284"/>
      <c r="AX26" s="284"/>
      <c r="AY26" s="284"/>
      <c r="AZ26" s="284"/>
      <c r="BA26" s="285"/>
      <c r="BB26" s="286"/>
      <c r="BC26" s="287"/>
      <c r="BD26" s="288"/>
      <c r="BE26" s="288"/>
      <c r="BF26" s="288"/>
      <c r="BG26" s="288"/>
      <c r="BH26" s="288"/>
      <c r="BI26" s="288"/>
      <c r="BJ26" s="289"/>
      <c r="BK26" s="290"/>
      <c r="BL26" s="291"/>
      <c r="BM26" s="291"/>
      <c r="BN26" s="291"/>
      <c r="BO26" s="292"/>
      <c r="BP26" s="291"/>
      <c r="BQ26" s="291"/>
      <c r="BR26" s="293"/>
    </row>
    <row r="27" spans="8:8" ht="18.0" customHeight="1">
      <c r="A27" s="222" t="s">
        <v>6029</v>
      </c>
      <c r="B27" s="223" t="s">
        <v>88</v>
      </c>
      <c r="C27" s="224"/>
      <c r="D27" s="225">
        <f>IF(ISTEXT(_xlfn.IFERROR(VLOOKUP(F27,人物卡!BJ18:BR22,1,FALSE),_xlfn.IFERROR(VLOOKUP(F27,人物卡!BA18:BC22,1,FALSE),0))),"★",INDEX(本职技能!$A$2:$HX$76,MATCH(F27,本职技能!$A$2:$A$75,0),MATCH(人物卡!$M$5,本职技能!$A$1:$HX$1,0)))</f>
        <v>0.0</v>
      </c>
      <c r="E27" s="225"/>
      <c r="F27" s="222" t="s">
        <v>92</v>
      </c>
      <c r="G27" s="240"/>
      <c r="H27" s="241"/>
      <c r="I27" s="222"/>
      <c r="J27" s="226">
        <v>0.0</v>
      </c>
      <c r="K27" s="226"/>
      <c r="L27" s="222"/>
      <c r="M27" s="222"/>
      <c r="N27" s="222" t="s">
        <v>88</v>
      </c>
      <c r="O27" s="222"/>
      <c r="P27" s="222" t="s">
        <v>88</v>
      </c>
      <c r="Q27" s="222"/>
      <c r="R27" s="228">
        <f>SUM(J27:P27)</f>
        <v>0.0</v>
      </c>
      <c r="S27" s="228"/>
      <c r="T27" s="226">
        <f>INT(R27/2)</f>
        <v>0.0</v>
      </c>
      <c r="U27" s="226"/>
      <c r="V27" s="226">
        <f>INT(R27/5)</f>
        <v>0.0</v>
      </c>
      <c r="W27" s="229"/>
      <c r="X27" s="230" t="s">
        <v>56</v>
      </c>
      <c r="Y27" s="222"/>
      <c r="Z27" s="225">
        <f>IF(ISTEXT(_xlfn.IFERROR(VLOOKUP(人物卡!AB27,人物卡!BJ18:BR22,1,FALSE),_xlfn.IFERROR(VLOOKUP(人物卡!AB27,人物卡!BA18:BC22,1,FALSE),0))),"★",INDEX(本职技能!$A$2:$HX$76,MATCH(人物卡!AB27,本职技能!$A$2:$A$75,0),MATCH(人物卡!$M$5,本职技能!$A$1:$HX$1,0)))</f>
        <v>0.0</v>
      </c>
      <c r="AA27" s="225"/>
      <c r="AB27" s="252" t="s">
        <v>93</v>
      </c>
      <c r="AC27" s="253"/>
      <c r="AD27" s="294"/>
      <c r="AE27" s="295"/>
      <c r="AF27" s="226">
        <f>IF(ISBLANK(AU32),1,IF(AD27=AU32,BA32,1))</f>
        <v>1.0</v>
      </c>
      <c r="AG27" s="226"/>
      <c r="AH27" s="222"/>
      <c r="AI27" s="222"/>
      <c r="AJ27" s="222"/>
      <c r="AK27" s="222"/>
      <c r="AL27" s="227"/>
      <c r="AM27" s="227"/>
      <c r="AN27" s="228">
        <f>SUM(AF27:AL27)</f>
        <v>1.0</v>
      </c>
      <c r="AO27" s="228"/>
      <c r="AP27" s="228">
        <f>INT(AN27/2)</f>
        <v>0.0</v>
      </c>
      <c r="AQ27" s="228"/>
      <c r="AR27" s="228">
        <f>INT(AN27/5)</f>
        <v>0.0</v>
      </c>
      <c r="AS27" s="231"/>
      <c r="AT27" s="227" t="str">
        <f>IF(AD27="飞行器","✈️","⛴️")</f>
        <v>⛴️</v>
      </c>
      <c r="AU27" s="273" t="s">
        <v>94</v>
      </c>
      <c r="AV27" s="274"/>
      <c r="AW27" s="274"/>
      <c r="AX27" s="274"/>
      <c r="AY27" s="274"/>
      <c r="AZ27" s="274"/>
      <c r="BA27" s="275" t="s">
        <v>85</v>
      </c>
      <c r="BB27" s="276"/>
      <c r="BC27" s="296" t="s">
        <v>95</v>
      </c>
      <c r="BD27" s="278"/>
      <c r="BE27" s="278"/>
      <c r="BF27" s="297"/>
      <c r="BG27" s="298" t="s">
        <v>96</v>
      </c>
      <c r="BH27" s="278"/>
      <c r="BI27" s="278"/>
      <c r="BJ27" s="279"/>
      <c r="BK27" s="299" t="s">
        <v>97</v>
      </c>
      <c r="BL27" s="300"/>
      <c r="BM27" s="300"/>
      <c r="BN27" s="300"/>
      <c r="BO27" s="301" t="s">
        <v>98</v>
      </c>
      <c r="BP27" s="300"/>
      <c r="BQ27" s="300"/>
      <c r="BR27" s="302"/>
    </row>
    <row r="28" spans="8:8" ht="18.0" customHeight="1">
      <c r="A28" s="51" t="s">
        <v>6030</v>
      </c>
      <c r="B28" s="213" t="s">
        <v>56</v>
      </c>
      <c r="C28" s="214"/>
      <c r="D28" s="215">
        <f>IF(ISTEXT(_xlfn.IFERROR(VLOOKUP(人物卡!F28,人物卡!BJ18:BR22,1,FALSE),_xlfn.IFERROR(VLOOKUP(人物卡!F28,人物卡!BA18:BC22,1,FALSE),0))),"★",INDEX(本职技能!$A$2:$HX$76,MATCH(人物卡!F28,本职技能!$A$2:$A$75,0),MATCH(人物卡!$M$5,本职技能!$A$1:$HX$1,0)))</f>
        <v>0.0</v>
      </c>
      <c r="E28" s="215"/>
      <c r="F28" s="51" t="s">
        <v>99</v>
      </c>
      <c r="G28" s="262"/>
      <c r="H28" s="263"/>
      <c r="I28" s="51"/>
      <c r="J28" s="48">
        <v>5.0</v>
      </c>
      <c r="K28" s="48"/>
      <c r="L28" s="51"/>
      <c r="M28" s="51"/>
      <c r="N28" s="51"/>
      <c r="O28" s="51"/>
      <c r="P28" s="216"/>
      <c r="Q28" s="216"/>
      <c r="R28" s="217">
        <f>SUM(J28:P28)</f>
        <v>5.0</v>
      </c>
      <c r="S28" s="217"/>
      <c r="T28" s="48">
        <f>INT(R28/2)</f>
        <v>2.0</v>
      </c>
      <c r="U28" s="48"/>
      <c r="V28" s="48">
        <f>INT(R28/5)</f>
        <v>1.0</v>
      </c>
      <c r="W28" s="63"/>
      <c r="X28" s="218" t="s">
        <v>56</v>
      </c>
      <c r="Y28" s="51"/>
      <c r="Z28" s="215">
        <f>IF(ISTEXT(_xlfn.IFERROR(VLOOKUP(人物卡!AB28,人物卡!BJ18:BR22,1,FALSE),_xlfn.IFERROR(VLOOKUP(人物卡!AB28,人物卡!BA18:BC22,1,FALSE),0))),"★",INDEX(本职技能!$A$2:$HX$76,MATCH(人物卡!AB28,本职技能!$A$2:$A$75,0),MATCH(人物卡!$M$5,本职技能!$A$1:$HX$1,0)))</f>
        <v>0.0</v>
      </c>
      <c r="AA28" s="215"/>
      <c r="AB28" s="51" t="s">
        <v>100</v>
      </c>
      <c r="AC28" s="51"/>
      <c r="AD28" s="51"/>
      <c r="AE28" s="51"/>
      <c r="AF28" s="48">
        <v>1.0</v>
      </c>
      <c r="AG28" s="48"/>
      <c r="AH28" s="51"/>
      <c r="AI28" s="51"/>
      <c r="AJ28" s="51"/>
      <c r="AK28" s="51"/>
      <c r="AL28" s="216"/>
      <c r="AM28" s="216"/>
      <c r="AN28" s="217">
        <f>SUM(AF28:AL28)</f>
        <v>1.0</v>
      </c>
      <c r="AO28" s="217"/>
      <c r="AP28" s="217">
        <f>INT(AN28/2)</f>
        <v>0.0</v>
      </c>
      <c r="AQ28" s="217"/>
      <c r="AR28" s="217">
        <f>INT(AN28/5)</f>
        <v>0.0</v>
      </c>
      <c r="AS28" s="219"/>
      <c r="AT28" s="51" t="s">
        <v>6069</v>
      </c>
      <c r="AU28" s="283"/>
      <c r="AV28" s="284"/>
      <c r="AW28" s="284"/>
      <c r="AX28" s="284"/>
      <c r="AY28" s="284"/>
      <c r="AZ28" s="284"/>
      <c r="BA28" s="285"/>
      <c r="BB28" s="286"/>
      <c r="BC28" s="303"/>
      <c r="BD28" s="304"/>
      <c r="BE28" s="304"/>
      <c r="BF28" s="305"/>
      <c r="BG28" s="306"/>
      <c r="BH28" s="307"/>
      <c r="BI28" s="307"/>
      <c r="BJ28" s="308"/>
      <c r="BK28" s="309"/>
      <c r="BL28" s="310"/>
      <c r="BM28" s="310"/>
      <c r="BN28" s="311"/>
      <c r="BO28" s="310"/>
      <c r="BP28" s="310"/>
      <c r="BQ28" s="310"/>
      <c r="BR28" s="312"/>
    </row>
    <row r="29" spans="8:8" ht="18.0" customHeight="1">
      <c r="A29" s="222" t="s">
        <v>6075</v>
      </c>
      <c r="B29" s="223" t="s">
        <v>56</v>
      </c>
      <c r="C29" s="224"/>
      <c r="D29" s="225">
        <f>IF(ISTEXT(_xlfn.IFERROR(VLOOKUP(人物卡!F29,人物卡!BJ18:BR22,1,FALSE),_xlfn.IFERROR(VLOOKUP(人物卡!F29,人物卡!BA18:BC22,1,FALSE),0))),"★",INDEX(本职技能!$A$2:$HX$76,MATCH(人物卡!F29,本职技能!$A$2:$A$75,0),MATCH(人物卡!$M$5,本职技能!$A$1:$HX$1,0)))</f>
        <v>0.0</v>
      </c>
      <c r="E29" s="225"/>
      <c r="F29" s="222" t="s">
        <v>101</v>
      </c>
      <c r="G29" s="240"/>
      <c r="H29" s="241"/>
      <c r="I29" s="222"/>
      <c r="J29" s="226">
        <f>INT(DEX/2)</f>
        <v>0.0</v>
      </c>
      <c r="K29" s="226"/>
      <c r="L29" s="222"/>
      <c r="M29" s="222"/>
      <c r="N29" s="222"/>
      <c r="O29" s="222"/>
      <c r="P29" s="227"/>
      <c r="Q29" s="227"/>
      <c r="R29" s="228">
        <f>SUM(J29:P29)</f>
        <v>0.0</v>
      </c>
      <c r="S29" s="228"/>
      <c r="T29" s="226">
        <f>INT(R29/2)</f>
        <v>0.0</v>
      </c>
      <c r="U29" s="226"/>
      <c r="V29" s="226">
        <f>INT(R29/5)</f>
        <v>0.0</v>
      </c>
      <c r="W29" s="229"/>
      <c r="X29" s="230" t="s">
        <v>56</v>
      </c>
      <c r="Y29" s="222"/>
      <c r="Z29" s="225">
        <f>IF(ISTEXT(_xlfn.IFERROR(VLOOKUP(人物卡!AB29,人物卡!BJ18:BR22,1,FALSE),_xlfn.IFERROR(VLOOKUP(人物卡!AB29,人物卡!BA18:BC22,1,FALSE),0))),"★",INDEX(本职技能!$A$2:$HX$76,MATCH(人物卡!AB29,本职技能!$A$2:$A$75,0),MATCH(人物卡!$M$5,本职技能!$A$1:$HX$1,0)))</f>
        <v>0.0</v>
      </c>
      <c r="AA29" s="225"/>
      <c r="AB29" s="222" t="s">
        <v>102</v>
      </c>
      <c r="AC29" s="222"/>
      <c r="AD29" s="222"/>
      <c r="AE29" s="222"/>
      <c r="AF29" s="226">
        <v>10.0</v>
      </c>
      <c r="AG29" s="226"/>
      <c r="AH29" s="222"/>
      <c r="AI29" s="222"/>
      <c r="AJ29" s="222"/>
      <c r="AK29" s="222"/>
      <c r="AL29" s="227"/>
      <c r="AM29" s="227"/>
      <c r="AN29" s="228">
        <f>SUM(AF29:AL29)</f>
        <v>10.0</v>
      </c>
      <c r="AO29" s="228"/>
      <c r="AP29" s="228">
        <f>INT(AN29/2)</f>
        <v>5.0</v>
      </c>
      <c r="AQ29" s="228"/>
      <c r="AR29" s="228">
        <f>INT(AN29/5)</f>
        <v>2.0</v>
      </c>
      <c r="AS29" s="231"/>
      <c r="AT29" s="222" t="s">
        <v>6071</v>
      </c>
      <c r="AU29" s="273" t="s">
        <v>103</v>
      </c>
      <c r="AV29" s="274"/>
      <c r="AW29" s="274"/>
      <c r="AX29" s="274"/>
      <c r="AY29" s="274"/>
      <c r="AZ29" s="274"/>
      <c r="BA29" s="275" t="s">
        <v>85</v>
      </c>
      <c r="BB29" s="276"/>
      <c r="BC29" s="313" t="s">
        <v>104</v>
      </c>
      <c r="BD29" s="314"/>
      <c r="BE29" s="314"/>
      <c r="BF29" s="314"/>
      <c r="BG29" s="314"/>
      <c r="BH29" s="314"/>
      <c r="BI29" s="314"/>
      <c r="BJ29" s="315"/>
      <c r="BK29" s="316"/>
      <c r="BL29" s="317"/>
      <c r="BM29" s="317"/>
      <c r="BN29" s="318"/>
      <c r="BO29" s="317"/>
      <c r="BP29" s="317"/>
      <c r="BQ29" s="317"/>
      <c r="BR29" s="319"/>
    </row>
    <row r="30" spans="8:8" ht="18.0" customHeight="1">
      <c r="A30" s="51" t="s">
        <v>6032</v>
      </c>
      <c r="B30" s="213" t="s">
        <v>56</v>
      </c>
      <c r="C30" s="214"/>
      <c r="D30" s="215">
        <f>IF(ISTEXT(_xlfn.IFERROR(VLOOKUP(人物卡!F30,人物卡!BJ18:BR22,1,FALSE),_xlfn.IFERROR(VLOOKUP(人物卡!F30,人物卡!BA18:BC22,1,FALSE),0))),"★",INDEX(本职技能!$A$2:$HX$76,MATCH(人物卡!F30,本职技能!$A$2:$A$75,0),MATCH(人物卡!$M$5,本职技能!$A$1:$HX$1,0)))</f>
        <v>0.0</v>
      </c>
      <c r="E30" s="215"/>
      <c r="F30" s="51" t="s">
        <v>105</v>
      </c>
      <c r="G30" s="262"/>
      <c r="H30" s="263"/>
      <c r="I30" s="51"/>
      <c r="J30" s="48">
        <v>20.0</v>
      </c>
      <c r="K30" s="48"/>
      <c r="L30" s="51"/>
      <c r="M30" s="51"/>
      <c r="N30" s="51"/>
      <c r="O30" s="51"/>
      <c r="P30" s="216"/>
      <c r="Q30" s="216"/>
      <c r="R30" s="217">
        <f>SUM(J30:P30)</f>
        <v>20.0</v>
      </c>
      <c r="S30" s="217"/>
      <c r="T30" s="48">
        <f>INT(R30/2)</f>
        <v>10.0</v>
      </c>
      <c r="U30" s="48"/>
      <c r="V30" s="48">
        <f>INT(R30/5)</f>
        <v>4.0</v>
      </c>
      <c r="W30" s="63"/>
      <c r="X30" s="218" t="s">
        <v>56</v>
      </c>
      <c r="Y30" s="51"/>
      <c r="Z30" s="215">
        <f>IF(ISTEXT(_xlfn.IFERROR(VLOOKUP(人物卡!AB30,人物卡!BJ18:BR22,1,FALSE),_xlfn.IFERROR(VLOOKUP(人物卡!AB30,人物卡!BA18:BC22,1,FALSE),0))),"★",INDEX(本职技能!$A$2:$HX$76,MATCH(人物卡!AB30,本职技能!$A$2:$A$75,0),MATCH(人物卡!$M$5,本职技能!$A$1:$HX$1,0)))</f>
        <v>0.0</v>
      </c>
      <c r="AA30" s="215"/>
      <c r="AB30" s="51" t="s">
        <v>106</v>
      </c>
      <c r="AC30" s="51"/>
      <c r="AD30" s="51"/>
      <c r="AE30" s="51"/>
      <c r="AF30" s="48">
        <v>5.0</v>
      </c>
      <c r="AG30" s="48"/>
      <c r="AH30" s="51"/>
      <c r="AI30" s="51"/>
      <c r="AJ30" s="51"/>
      <c r="AK30" s="51"/>
      <c r="AL30" s="216"/>
      <c r="AM30" s="216"/>
      <c r="AN30" s="217">
        <f>SUM(AF30:AL30)</f>
        <v>5.0</v>
      </c>
      <c r="AO30" s="217"/>
      <c r="AP30" s="217">
        <f>INT(AN30/2)</f>
        <v>2.0</v>
      </c>
      <c r="AQ30" s="217"/>
      <c r="AR30" s="217">
        <f>INT(AN30/5)</f>
        <v>1.0</v>
      </c>
      <c r="AS30" s="219"/>
      <c r="AT30" s="51" t="s">
        <v>6072</v>
      </c>
      <c r="AU30" s="283"/>
      <c r="AV30" s="284"/>
      <c r="AW30" s="284"/>
      <c r="AX30" s="284"/>
      <c r="AY30" s="284"/>
      <c r="AZ30" s="284"/>
      <c r="BA30" s="285"/>
      <c r="BB30" s="286"/>
      <c r="BC30" s="316"/>
      <c r="BD30" s="317"/>
      <c r="BE30" s="317"/>
      <c r="BF30" s="317"/>
      <c r="BG30" s="317"/>
      <c r="BH30" s="317"/>
      <c r="BI30" s="317"/>
      <c r="BJ30" s="319"/>
      <c r="BK30" s="316"/>
      <c r="BL30" s="317"/>
      <c r="BM30" s="317"/>
      <c r="BN30" s="318"/>
      <c r="BO30" s="317"/>
      <c r="BP30" s="317"/>
      <c r="BQ30" s="317"/>
      <c r="BR30" s="319"/>
    </row>
    <row r="31" spans="8:8" ht="18.0" customHeight="1">
      <c r="A31" s="222" t="s">
        <v>6034</v>
      </c>
      <c r="B31" s="223" t="s">
        <v>56</v>
      </c>
      <c r="C31" s="224"/>
      <c r="D31" s="225">
        <f>IF(ISTEXT(_xlfn.IFERROR(VLOOKUP(人物卡!F31,人物卡!BJ18:BR22,1,FALSE),_xlfn.IFERROR(VLOOKUP(人物卡!F31,人物卡!BA18:BC22,1,FALSE),0))),"★",INDEX(本职技能!$A$2:$HX$76,MATCH(人物卡!F31,本职技能!$A$2:$A$75,0),MATCH(人物卡!$M$5,本职技能!$A$1:$HX$1,0)))</f>
        <v>0.0</v>
      </c>
      <c r="E31" s="225"/>
      <c r="F31" s="222" t="s">
        <v>107</v>
      </c>
      <c r="G31" s="240"/>
      <c r="H31" s="241"/>
      <c r="I31" s="222"/>
      <c r="J31" s="226">
        <v>10.0</v>
      </c>
      <c r="K31" s="226"/>
      <c r="L31" s="222"/>
      <c r="M31" s="222"/>
      <c r="N31" s="222"/>
      <c r="O31" s="222"/>
      <c r="P31" s="227"/>
      <c r="Q31" s="227"/>
      <c r="R31" s="228">
        <f>SUM(J31:P31)</f>
        <v>10.0</v>
      </c>
      <c r="S31" s="228"/>
      <c r="T31" s="226">
        <f>INT(R31/2)</f>
        <v>5.0</v>
      </c>
      <c r="U31" s="226"/>
      <c r="V31" s="226">
        <f>INT(R31/5)</f>
        <v>2.0</v>
      </c>
      <c r="W31" s="229"/>
      <c r="X31" s="230" t="s">
        <v>56</v>
      </c>
      <c r="Y31" s="222"/>
      <c r="Z31" s="225">
        <f>IF(ISTEXT(_xlfn.IFERROR(VLOOKUP(人物卡!AB31,人物卡!BJ18:BR22,1,FALSE),_xlfn.IFERROR(VLOOKUP(人物卡!AB31,人物卡!BA18:BC22,1,FALSE),0))),"★",INDEX(本职技能!$A$2:$HX$76,MATCH(人物卡!AB31,本职技能!$A$2:$A$75,0),MATCH(人物卡!$M$5,本职技能!$A$1:$HX$1,0)))</f>
        <v>0.0</v>
      </c>
      <c r="AA31" s="225"/>
      <c r="AB31" s="252" t="s">
        <v>108</v>
      </c>
      <c r="AC31" s="253"/>
      <c r="AD31" s="294"/>
      <c r="AE31" s="295"/>
      <c r="AF31" s="226">
        <f>IF(ISBLANK(AU34),IF(AD31="数学",10,1),IF(AD31=AU34,BA34,1))</f>
        <v>1.0</v>
      </c>
      <c r="AG31" s="226"/>
      <c r="AH31" s="222"/>
      <c r="AI31" s="222"/>
      <c r="AJ31" s="222"/>
      <c r="AK31" s="222"/>
      <c r="AL31" s="227"/>
      <c r="AM31" s="227"/>
      <c r="AN31" s="228">
        <f>AF31+AH31+AL31+AJ31</f>
        <v>1.0</v>
      </c>
      <c r="AO31" s="228"/>
      <c r="AP31" s="228">
        <f>INT(AN31/2)</f>
        <v>0.0</v>
      </c>
      <c r="AQ31" s="228"/>
      <c r="AR31" s="228">
        <f>INT(AN31/5)</f>
        <v>0.0</v>
      </c>
      <c r="AS31" s="231"/>
      <c r="AT31" s="222" t="str">
        <f>_xlfn.IFS(AD31="地质学","🪨",AD31="化学","🧪",AD31="生物学","🦠",AD31="数学","🧮",AD31="天文学","🔭",AD31="物理学","🌡️",AD31="药学","💊",AD31="植物学","🌲",AD31="动物学","🐤",AD31="密码学","🔢",AD31="工程学","📏",AD31="气象学","🌤️",AD31="司法科学","⚖️",AD31="","🔅",TRUE,"🧬")</f>
        <v>🔅</v>
      </c>
      <c r="AU31" s="273" t="s">
        <v>109</v>
      </c>
      <c r="AV31" s="274"/>
      <c r="AW31" s="274"/>
      <c r="AX31" s="274"/>
      <c r="AY31" s="274"/>
      <c r="AZ31" s="274"/>
      <c r="BA31" s="275" t="s">
        <v>85</v>
      </c>
      <c r="BB31" s="276"/>
      <c r="BC31" s="316"/>
      <c r="BD31" s="317"/>
      <c r="BE31" s="317"/>
      <c r="BF31" s="317"/>
      <c r="BG31" s="317"/>
      <c r="BH31" s="317"/>
      <c r="BI31" s="317"/>
      <c r="BJ31" s="319"/>
      <c r="BK31" s="316"/>
      <c r="BL31" s="317"/>
      <c r="BM31" s="317"/>
      <c r="BN31" s="318"/>
      <c r="BO31" s="317"/>
      <c r="BP31" s="317"/>
      <c r="BQ31" s="317"/>
      <c r="BR31" s="319"/>
    </row>
    <row r="32" spans="8:8" ht="18.0" customHeight="1">
      <c r="A32" s="51" t="s">
        <v>6031</v>
      </c>
      <c r="B32" s="213" t="s">
        <v>56</v>
      </c>
      <c r="C32" s="214"/>
      <c r="D32" s="215">
        <f>IF(ISTEXT(_xlfn.IFERROR(VLOOKUP(人物卡!F32,人物卡!BJ18:BR22,1,FALSE),_xlfn.IFERROR(VLOOKUP(人物卡!F32,人物卡!BA18:BC22,1,FALSE),0))),"★",INDEX(本职技能!$A$2:$HX$76,MATCH(人物卡!F32,本职技能!$A$2:$A$75,0),MATCH(人物卡!$M$5,本职技能!$A$1:$HX$1,0)))</f>
        <v>0.0</v>
      </c>
      <c r="E32" s="215"/>
      <c r="F32" s="51" t="s">
        <v>110</v>
      </c>
      <c r="G32" s="262"/>
      <c r="H32" s="263"/>
      <c r="I32" s="51"/>
      <c r="J32" s="48">
        <v>1.0</v>
      </c>
      <c r="K32" s="48"/>
      <c r="L32" s="51"/>
      <c r="M32" s="51"/>
      <c r="N32" s="51"/>
      <c r="O32" s="51"/>
      <c r="P32" s="216"/>
      <c r="Q32" s="216"/>
      <c r="R32" s="217">
        <f>SUM(J32:P32)</f>
        <v>1.0</v>
      </c>
      <c r="S32" s="217"/>
      <c r="T32" s="48">
        <f>INT(R32/2)</f>
        <v>0.0</v>
      </c>
      <c r="U32" s="48"/>
      <c r="V32" s="48">
        <f>INT(R32/5)</f>
        <v>0.0</v>
      </c>
      <c r="W32" s="63"/>
      <c r="X32" s="218" t="s">
        <v>56</v>
      </c>
      <c r="Y32" s="51"/>
      <c r="Z32" s="215">
        <f>IF(ISTEXT(_xlfn.IFERROR(VLOOKUP(人物卡!AB32,人物卡!BJ18:BR22,1,FALSE),_xlfn.IFERROR(VLOOKUP(人物卡!AB32,人物卡!BA18:BC22,1,FALSE),0))),"★",INDEX(本职技能!$A$2:$HX$76,MATCH(人物卡!AB32,本职技能!$A$2:$A$75,0),MATCH(人物卡!$M$5,本职技能!$A$1:$HX$1,0)))</f>
        <v>0.0</v>
      </c>
      <c r="AA32" s="215"/>
      <c r="AB32" s="248" t="s">
        <v>111</v>
      </c>
      <c r="AC32" s="249"/>
      <c r="AD32" s="320"/>
      <c r="AE32" s="321"/>
      <c r="AF32" s="48">
        <f>IF(ISBLANK(AU34),IF(AD32="数学",10,1),IF(AD32=AU34,BA34,1))</f>
        <v>1.0</v>
      </c>
      <c r="AG32" s="48"/>
      <c r="AH32" s="51"/>
      <c r="AI32" s="51"/>
      <c r="AJ32" s="51"/>
      <c r="AK32" s="51"/>
      <c r="AL32" s="216"/>
      <c r="AM32" s="216"/>
      <c r="AN32" s="217">
        <f>AL32+AJ32+AF32+AH32</f>
        <v>1.0</v>
      </c>
      <c r="AO32" s="217"/>
      <c r="AP32" s="217">
        <f>INT(AN32/2)</f>
        <v>0.0</v>
      </c>
      <c r="AQ32" s="217"/>
      <c r="AR32" s="217">
        <f>INT(AN32/5)</f>
        <v>0.0</v>
      </c>
      <c r="AS32" s="219"/>
      <c r="AT32" s="51" t="str">
        <f>_xlfn.IFS(AD32="地质学","🪨",AD32="化学","🧪",AD32="生物学","🦠",AD32="数学","🧮",AD32="天文学","🔭",AD32="物理学","🌡️",AD32="药学","💊",AD32="植物学","🌲",AD32="动物学","🐤",AD32="密码学","🔢",AD32="工程学","📏",AD32="气象学","🌤️",AD32="司法科学","⚖️",AD32="","🔅",TRUE,"🧬")</f>
        <v>🔅</v>
      </c>
      <c r="AU32" s="283"/>
      <c r="AV32" s="284"/>
      <c r="AW32" s="284"/>
      <c r="AX32" s="284"/>
      <c r="AY32" s="284"/>
      <c r="AZ32" s="284"/>
      <c r="BA32" s="285"/>
      <c r="BB32" s="286"/>
      <c r="BC32" s="316"/>
      <c r="BD32" s="317"/>
      <c r="BE32" s="317"/>
      <c r="BF32" s="317"/>
      <c r="BG32" s="317"/>
      <c r="BH32" s="317"/>
      <c r="BI32" s="317"/>
      <c r="BJ32" s="319"/>
      <c r="BK32" s="316"/>
      <c r="BL32" s="317"/>
      <c r="BM32" s="317"/>
      <c r="BN32" s="318"/>
      <c r="BO32" s="317"/>
      <c r="BP32" s="317"/>
      <c r="BQ32" s="317"/>
      <c r="BR32" s="319"/>
    </row>
    <row r="33" spans="8:8" ht="18.0" customHeight="1">
      <c r="A33" s="227" t="s">
        <v>6036</v>
      </c>
      <c r="B33" s="223" t="s">
        <v>56</v>
      </c>
      <c r="C33" s="224"/>
      <c r="D33" s="225">
        <f>IF(ISTEXT(_xlfn.IFERROR(VLOOKUP(人物卡!F33,人物卡!BJ18:BR22,1,FALSE),_xlfn.IFERROR(VLOOKUP(人物卡!F33,人物卡!BA18:BC22,1,FALSE),0))),"★",INDEX(本职技能!$A$2:$HX$76,MATCH(人物卡!F33,本职技能!$A$2:$A$75,0),MATCH(人物卡!$M$5,本职技能!$A$1:$HX$1,0)))</f>
        <v>0.0</v>
      </c>
      <c r="E33" s="225"/>
      <c r="F33" s="222" t="s">
        <v>112</v>
      </c>
      <c r="G33" s="240"/>
      <c r="H33" s="241"/>
      <c r="I33" s="222"/>
      <c r="J33" s="226">
        <v>5.0</v>
      </c>
      <c r="K33" s="226"/>
      <c r="L33" s="222"/>
      <c r="M33" s="222"/>
      <c r="N33" s="222"/>
      <c r="O33" s="222"/>
      <c r="P33" s="227"/>
      <c r="Q33" s="227"/>
      <c r="R33" s="228">
        <f>SUM(J33:P33)</f>
        <v>5.0</v>
      </c>
      <c r="S33" s="228"/>
      <c r="T33" s="226">
        <f>INT(R33/2)</f>
        <v>2.0</v>
      </c>
      <c r="U33" s="226"/>
      <c r="V33" s="226">
        <f>INT(R33/5)</f>
        <v>1.0</v>
      </c>
      <c r="W33" s="229"/>
      <c r="X33" s="230" t="s">
        <v>56</v>
      </c>
      <c r="Y33" s="222"/>
      <c r="Z33" s="225">
        <f>IF(ISTEXT(_xlfn.IFERROR(VLOOKUP(人物卡!AB33,人物卡!BJ18:BR22,1,FALSE),_xlfn.IFERROR(VLOOKUP(人物卡!AB33,人物卡!BA18:BC22,1,FALSE),0))),"★",INDEX(本职技能!$A$2:$HX$76,MATCH(人物卡!AB33,本职技能!$A$2:$A$75,0),MATCH(人物卡!$M$5,本职技能!$A$1:$HX$1,0)))</f>
        <v>0.0</v>
      </c>
      <c r="AA33" s="225"/>
      <c r="AB33" s="252" t="s">
        <v>113</v>
      </c>
      <c r="AC33" s="253"/>
      <c r="AD33" s="294"/>
      <c r="AE33" s="295"/>
      <c r="AF33" s="226">
        <f>IF(ISBLANK(AU34),IF(AD33="数学",10,1),IF(AD33=AU34,BA34,1))</f>
        <v>1.0</v>
      </c>
      <c r="AG33" s="226"/>
      <c r="AH33" s="222"/>
      <c r="AI33" s="222"/>
      <c r="AJ33" s="222"/>
      <c r="AK33" s="222"/>
      <c r="AL33" s="227"/>
      <c r="AM33" s="227"/>
      <c r="AN33" s="228">
        <f>AF33+AH33+AJ33+AL33</f>
        <v>1.0</v>
      </c>
      <c r="AO33" s="228"/>
      <c r="AP33" s="228">
        <f>INT(AN33/2)</f>
        <v>0.0</v>
      </c>
      <c r="AQ33" s="228"/>
      <c r="AR33" s="228">
        <f>INT(AN33/5)</f>
        <v>0.0</v>
      </c>
      <c r="AS33" s="231"/>
      <c r="AT33" s="222" t="str">
        <f>_xlfn.IFS(AD33="地质学","🪨",AD33="化学","🧪",AD33="生物学","🦠",AD33="数学","🧮",AD33="天文学","🔭",AD33="物理学","🌡️",AD33="药学","💊",AD33="植物学","🌲",AD33="动物学","🐤",AD33="密码学","🔢",AD33="工程学","📏",AD33="气象学","🌤️",AD33="司法科学","⚖️",AD33="","🔅",TRUE,"🧬")</f>
        <v>🔅</v>
      </c>
      <c r="AU33" s="273" t="s">
        <v>114</v>
      </c>
      <c r="AV33" s="274"/>
      <c r="AW33" s="274"/>
      <c r="AX33" s="274"/>
      <c r="AY33" s="274"/>
      <c r="AZ33" s="274"/>
      <c r="BA33" s="275" t="s">
        <v>85</v>
      </c>
      <c r="BB33" s="276"/>
      <c r="BC33" s="316"/>
      <c r="BD33" s="317"/>
      <c r="BE33" s="317"/>
      <c r="BF33" s="317"/>
      <c r="BG33" s="317"/>
      <c r="BH33" s="317"/>
      <c r="BI33" s="317"/>
      <c r="BJ33" s="319"/>
      <c r="BK33" s="316"/>
      <c r="BL33" s="317"/>
      <c r="BM33" s="317"/>
      <c r="BN33" s="318"/>
      <c r="BO33" s="317"/>
      <c r="BP33" s="317"/>
      <c r="BQ33" s="317"/>
      <c r="BR33" s="319"/>
    </row>
    <row r="34" spans="8:8" ht="18.0" customHeight="1">
      <c r="A34" s="216" t="s">
        <v>6037</v>
      </c>
      <c r="B34" s="213" t="s">
        <v>56</v>
      </c>
      <c r="C34" s="214"/>
      <c r="D34" s="215">
        <f>IF(ISTEXT(_xlfn.IFERROR(VLOOKUP(人物卡!F34,人物卡!BJ18:BR22,1,FALSE),_xlfn.IFERROR(VLOOKUP(人物卡!F34,人物卡!BA18:BC22,1,FALSE),0))),"★",INDEX(本职技能!$A$2:$HX$76,MATCH(人物卡!F34,本职技能!$A$2:$A$75,0),MATCH(人物卡!$M$5,本职技能!$A$1:$HX$1,0)))</f>
        <v>0.0</v>
      </c>
      <c r="E34" s="215"/>
      <c r="F34" s="248" t="s">
        <v>115</v>
      </c>
      <c r="G34" s="249"/>
      <c r="H34" s="322" t="s">
        <v>116</v>
      </c>
      <c r="I34" s="323"/>
      <c r="J34" s="48">
        <v>25.0</v>
      </c>
      <c r="K34" s="48"/>
      <c r="L34" s="51"/>
      <c r="M34" s="51"/>
      <c r="N34" s="51"/>
      <c r="O34" s="51"/>
      <c r="P34" s="216"/>
      <c r="Q34" s="216"/>
      <c r="R34" s="217">
        <f>SUM(J34:P34)</f>
        <v>25.0</v>
      </c>
      <c r="S34" s="217"/>
      <c r="T34" s="48">
        <f>INT(R34/2)</f>
        <v>12.0</v>
      </c>
      <c r="U34" s="48"/>
      <c r="V34" s="48">
        <f>INT(R34/5)</f>
        <v>5.0</v>
      </c>
      <c r="W34" s="63"/>
      <c r="X34" s="218" t="s">
        <v>56</v>
      </c>
      <c r="Y34" s="51"/>
      <c r="Z34" s="215">
        <f>IF(ISTEXT(_xlfn.IFERROR(VLOOKUP(人物卡!AB34,人物卡!BJ18:BR22,1,FALSE),_xlfn.IFERROR(VLOOKUP(人物卡!AB34,人物卡!BA18:BC22,1,FALSE),0))),"★",INDEX(本职技能!$A$2:$HX$76,MATCH(人物卡!AB34,本职技能!$A$2:$A$75,0),MATCH(人物卡!$M$5,本职技能!$A$1:$HX$1,0)))</f>
        <v>0.0</v>
      </c>
      <c r="AA34" s="215"/>
      <c r="AB34" s="51" t="s">
        <v>117</v>
      </c>
      <c r="AC34" s="51"/>
      <c r="AD34" s="51"/>
      <c r="AE34" s="51"/>
      <c r="AF34" s="48">
        <v>10.0</v>
      </c>
      <c r="AG34" s="48"/>
      <c r="AH34" s="51"/>
      <c r="AI34" s="51"/>
      <c r="AJ34" s="51"/>
      <c r="AK34" s="51"/>
      <c r="AL34" s="216"/>
      <c r="AM34" s="216"/>
      <c r="AN34" s="217">
        <f>SUM(AF34:AL34)</f>
        <v>10.0</v>
      </c>
      <c r="AO34" s="217"/>
      <c r="AP34" s="217">
        <f>INT(AN34/2)</f>
        <v>5.0</v>
      </c>
      <c r="AQ34" s="217"/>
      <c r="AR34" s="217">
        <f>INT(AN34/5)</f>
        <v>2.0</v>
      </c>
      <c r="AS34" s="219"/>
      <c r="AT34" s="51" t="s">
        <v>6076</v>
      </c>
      <c r="AU34" s="283"/>
      <c r="AV34" s="284"/>
      <c r="AW34" s="284"/>
      <c r="AX34" s="284"/>
      <c r="AY34" s="284"/>
      <c r="AZ34" s="284"/>
      <c r="BA34" s="285"/>
      <c r="BB34" s="286"/>
      <c r="BC34" s="316"/>
      <c r="BD34" s="317"/>
      <c r="BE34" s="317"/>
      <c r="BF34" s="317"/>
      <c r="BG34" s="317"/>
      <c r="BH34" s="317"/>
      <c r="BI34" s="317"/>
      <c r="BJ34" s="319"/>
      <c r="BK34" s="324"/>
      <c r="BL34" s="325"/>
      <c r="BM34" s="325"/>
      <c r="BN34" s="326"/>
      <c r="BO34" s="325"/>
      <c r="BP34" s="325"/>
      <c r="BQ34" s="325"/>
      <c r="BR34" s="327"/>
    </row>
    <row r="35" spans="8:8" ht="18.0" customHeight="1">
      <c r="A35" s="227" t="str">
        <f>_xlfn.IFS(H35="鞭子","〰️",H35="电锯","⚙️",H35="链枷","💫",H35="绞具","➰",H35="斧","🔨",H35="剑","🗡️",H35="矛","🔱",H35="","🔅",TRUE,"⚔️")</f>
        <v>🔅</v>
      </c>
      <c r="B35" s="223" t="s">
        <v>56</v>
      </c>
      <c r="C35" s="224"/>
      <c r="D35" s="225">
        <f>IF(ISTEXT(_xlfn.IFERROR(VLOOKUP(人物卡!F35,人物卡!BJ18:BR22,1,FALSE),_xlfn.IFERROR(VLOOKUP(人物卡!F35,人物卡!BA18:BC22,1,FALSE),0))),"★",INDEX(本职技能!$A$2:$HX$76,MATCH(人物卡!F35,本职技能!$A$2:$A$75,0),MATCH(人物卡!$M$5,本职技能!$A$1:$HX$1,0)))</f>
        <v>0.0</v>
      </c>
      <c r="E35" s="225"/>
      <c r="F35" s="252" t="s">
        <v>118</v>
      </c>
      <c r="G35" s="253"/>
      <c r="H35" s="328"/>
      <c r="I35" s="329"/>
      <c r="J35" s="226">
        <f>附表!C11</f>
        <v>0.0</v>
      </c>
      <c r="K35" s="226"/>
      <c r="L35" s="222"/>
      <c r="M35" s="222"/>
      <c r="N35" s="222"/>
      <c r="O35" s="222"/>
      <c r="P35" s="227"/>
      <c r="Q35" s="227"/>
      <c r="R35" s="228">
        <f>J35+L35+N35+P35</f>
        <v>0.0</v>
      </c>
      <c r="S35" s="228"/>
      <c r="T35" s="226">
        <f>INT(R35/2)</f>
        <v>0.0</v>
      </c>
      <c r="U35" s="226"/>
      <c r="V35" s="226">
        <f>INT(R35/5)</f>
        <v>0.0</v>
      </c>
      <c r="W35" s="229"/>
      <c r="X35" s="230" t="s">
        <v>56</v>
      </c>
      <c r="Y35" s="222"/>
      <c r="Z35" s="225">
        <f>IF(ISTEXT(_xlfn.IFERROR(VLOOKUP(人物卡!AB35,人物卡!BJ18:BR22,1,FALSE),_xlfn.IFERROR(VLOOKUP(人物卡!AB35,人物卡!BA18:BC22,1,FALSE),0))),"★",INDEX(本职技能!$A$2:$HX$76,MATCH(人物卡!AB35,本职技能!$A$2:$A$75,0),MATCH(人物卡!$M$5,本职技能!$A$1:$HX$1,0)))</f>
        <v>0.0</v>
      </c>
      <c r="AA35" s="225"/>
      <c r="AB35" s="222" t="s">
        <v>119</v>
      </c>
      <c r="AC35" s="222"/>
      <c r="AD35" s="222"/>
      <c r="AE35" s="222"/>
      <c r="AF35" s="226">
        <v>25.0</v>
      </c>
      <c r="AG35" s="226"/>
      <c r="AH35" s="222"/>
      <c r="AI35" s="222"/>
      <c r="AJ35" s="222"/>
      <c r="AK35" s="222"/>
      <c r="AL35" s="227"/>
      <c r="AM35" s="227"/>
      <c r="AN35" s="228">
        <f>SUM(AF35:AL35)</f>
        <v>25.0</v>
      </c>
      <c r="AO35" s="228"/>
      <c r="AP35" s="228">
        <f>INT(AN35/2)</f>
        <v>12.0</v>
      </c>
      <c r="AQ35" s="228"/>
      <c r="AR35" s="228">
        <f>INT(AN35/5)</f>
        <v>5.0</v>
      </c>
      <c r="AS35" s="231"/>
      <c r="AT35" s="222" t="s">
        <v>6077</v>
      </c>
      <c r="AU35" s="330" t="s">
        <v>120</v>
      </c>
      <c r="AV35" s="331"/>
      <c r="AW35" s="331"/>
      <c r="AX35" s="331"/>
      <c r="AY35" s="331"/>
      <c r="AZ35" s="331"/>
      <c r="BA35" s="331"/>
      <c r="BB35" s="332"/>
      <c r="BC35" s="316"/>
      <c r="BD35" s="317"/>
      <c r="BE35" s="317"/>
      <c r="BF35" s="317"/>
      <c r="BG35" s="317"/>
      <c r="BH35" s="317"/>
      <c r="BI35" s="317"/>
      <c r="BJ35" s="319"/>
      <c r="BK35" s="333" t="s">
        <v>121</v>
      </c>
      <c r="BL35" s="334"/>
      <c r="BM35" s="334"/>
      <c r="BN35" s="334"/>
      <c r="BO35" s="334"/>
      <c r="BP35" s="334"/>
      <c r="BQ35" s="334"/>
      <c r="BR35" s="335"/>
    </row>
    <row r="36" spans="8:8" ht="18.0" customHeight="1">
      <c r="A36" s="216" t="str">
        <f>_xlfn.IFS(H36="鞭子","〰️",H36="电锯","⚙️",H36="链枷","💫",H36="绞具","➰",H36="斧","🔨",H36="剑","🗡️",H36="矛","🔱",H36="","🔅",TRUE,"⚔️")</f>
        <v>🔅</v>
      </c>
      <c r="B36" s="213" t="s">
        <v>56</v>
      </c>
      <c r="C36" s="214"/>
      <c r="D36" s="215">
        <f>IF(ISTEXT(_xlfn.IFERROR(VLOOKUP(F36,人物卡!BJ18:BR22,1,FALSE),_xlfn.IFERROR(VLOOKUP(F36,人物卡!BA18:BC22,1,FALSE),0))),"★",INDEX(本职技能!$A$2:$HX$76,MATCH(F36,本职技能!$A$2:$A$75,0),MATCH(人物卡!$M$5,本职技能!$A$1:$HX$1,0)))</f>
        <v>0.0</v>
      </c>
      <c r="E36" s="215"/>
      <c r="F36" s="248" t="s">
        <v>122</v>
      </c>
      <c r="G36" s="249"/>
      <c r="H36" s="322"/>
      <c r="I36" s="323"/>
      <c r="J36" s="48">
        <f>附表!C12</f>
        <v>0.0</v>
      </c>
      <c r="K36" s="48"/>
      <c r="L36" s="51"/>
      <c r="M36" s="51"/>
      <c r="N36" s="51"/>
      <c r="O36" s="51"/>
      <c r="P36" s="216"/>
      <c r="Q36" s="216"/>
      <c r="R36" s="217">
        <f>J36+L36+P36+N36</f>
        <v>0.0</v>
      </c>
      <c r="S36" s="217"/>
      <c r="T36" s="48">
        <f>INT(R36/2)</f>
        <v>0.0</v>
      </c>
      <c r="U36" s="48"/>
      <c r="V36" s="48">
        <f>INT(R36/5)</f>
        <v>0.0</v>
      </c>
      <c r="W36" s="63"/>
      <c r="X36" s="218" t="s">
        <v>56</v>
      </c>
      <c r="Y36" s="51"/>
      <c r="Z36" s="215">
        <f>IF(ISTEXT(_xlfn.IFERROR(VLOOKUP(人物卡!AB36,人物卡!BJ18:BR22,1,FALSE),_xlfn.IFERROR(VLOOKUP(人物卡!AB36,人物卡!BA18:BC22,1,FALSE),0))),"★",INDEX(本职技能!$A$2:$HX$76,MATCH(人物卡!AB36,本职技能!$A$2:$A$75,0),MATCH(人物卡!$M$5,本职技能!$A$1:$HX$1,0)))</f>
        <v>0.0</v>
      </c>
      <c r="AA36" s="215"/>
      <c r="AB36" s="51" t="s">
        <v>123</v>
      </c>
      <c r="AC36" s="51"/>
      <c r="AD36" s="51"/>
      <c r="AE36" s="51"/>
      <c r="AF36" s="48">
        <v>20.0</v>
      </c>
      <c r="AG36" s="48"/>
      <c r="AH36" s="51"/>
      <c r="AI36" s="51"/>
      <c r="AJ36" s="51"/>
      <c r="AK36" s="51"/>
      <c r="AL36" s="216"/>
      <c r="AM36" s="216"/>
      <c r="AN36" s="217">
        <f>SUM(AF36:AL36)</f>
        <v>20.0</v>
      </c>
      <c r="AO36" s="217"/>
      <c r="AP36" s="217">
        <f>INT(AN36/2)</f>
        <v>10.0</v>
      </c>
      <c r="AQ36" s="217"/>
      <c r="AR36" s="217">
        <f>INT(AN36/5)</f>
        <v>4.0</v>
      </c>
      <c r="AS36" s="219"/>
      <c r="AT36" s="51" t="s">
        <v>6078</v>
      </c>
      <c r="AU36" s="336" t="s">
        <v>124</v>
      </c>
      <c r="AV36" s="337"/>
      <c r="AW36" s="337"/>
      <c r="AX36" s="337"/>
      <c r="AY36" s="337"/>
      <c r="AZ36" s="337"/>
      <c r="BA36" s="337"/>
      <c r="BB36" s="338"/>
      <c r="BC36" s="316"/>
      <c r="BD36" s="317"/>
      <c r="BE36" s="317"/>
      <c r="BF36" s="317"/>
      <c r="BG36" s="317"/>
      <c r="BH36" s="317"/>
      <c r="BI36" s="317"/>
      <c r="BJ36" s="319"/>
      <c r="BK36" s="339" t="s">
        <v>125</v>
      </c>
      <c r="BL36" s="340"/>
      <c r="BM36" s="340"/>
      <c r="BN36" s="340"/>
      <c r="BO36" s="341" t="s">
        <v>126</v>
      </c>
      <c r="BP36" s="340"/>
      <c r="BQ36" s="340"/>
      <c r="BR36" s="342"/>
    </row>
    <row r="37" spans="8:8" ht="18.0" customHeight="1">
      <c r="A37" s="227" t="str">
        <f>_xlfn.IFS(H37="鞭子","〰️",H37="电锯","⚙️",H37="链枷","💫",H37="绞具","➰",H37="斧","🔨",H37="剑","🗡️",H37="矛","🔱",H37="","🔅",TRUE,"⚔️")</f>
        <v>🔅</v>
      </c>
      <c r="B37" s="223" t="s">
        <v>56</v>
      </c>
      <c r="C37" s="224"/>
      <c r="D37" s="225">
        <f>IF(ISTEXT(_xlfn.IFERROR(VLOOKUP(F37,人物卡!BJ18:BR22,1,FALSE),_xlfn.IFERROR(VLOOKUP(F37,人物卡!BA18:BC22,1,FALSE),0))),"★",INDEX(本职技能!$A$2:$HX$76,MATCH(F37,本职技能!$A$2:$A$75,0),MATCH(人物卡!$M$5,本职技能!$A$1:$HX$1,0)))</f>
        <v>0.0</v>
      </c>
      <c r="E37" s="225"/>
      <c r="F37" s="252" t="s">
        <v>127</v>
      </c>
      <c r="G37" s="253"/>
      <c r="H37" s="328"/>
      <c r="I37" s="329"/>
      <c r="J37" s="226">
        <f>附表!C13</f>
        <v>0.0</v>
      </c>
      <c r="K37" s="226"/>
      <c r="L37" s="222"/>
      <c r="M37" s="222"/>
      <c r="N37" s="222"/>
      <c r="O37" s="222"/>
      <c r="P37" s="227"/>
      <c r="Q37" s="227"/>
      <c r="R37" s="228">
        <f>P37+N37+L37+J37</f>
        <v>0.0</v>
      </c>
      <c r="S37" s="228"/>
      <c r="T37" s="226">
        <f>INT(R37/2)</f>
        <v>0.0</v>
      </c>
      <c r="U37" s="226"/>
      <c r="V37" s="226">
        <f>INT(R37/5)</f>
        <v>0.0</v>
      </c>
      <c r="W37" s="229"/>
      <c r="X37" s="230" t="s">
        <v>56</v>
      </c>
      <c r="Y37" s="222"/>
      <c r="Z37" s="225">
        <f>IF(ISTEXT(_xlfn.IFERROR(VLOOKUP(人物卡!AB37,人物卡!BJ18:BR22,1,FALSE),_xlfn.IFERROR(VLOOKUP(人物卡!AB37,人物卡!BA18:BC22,1,FALSE),0))),"★",INDEX(本职技能!$A$2:$HX$76,MATCH(人物卡!AB37,本职技能!$A$2:$A$75,0),MATCH(人物卡!$M$5,本职技能!$A$1:$HX$1,0)))</f>
        <v>0.0</v>
      </c>
      <c r="AA37" s="225"/>
      <c r="AB37" s="252" t="s">
        <v>128</v>
      </c>
      <c r="AC37" s="253"/>
      <c r="AD37" s="294"/>
      <c r="AE37" s="295"/>
      <c r="AF37" s="226">
        <v>10.0</v>
      </c>
      <c r="AG37" s="226"/>
      <c r="AH37" s="222"/>
      <c r="AI37" s="222"/>
      <c r="AJ37" s="222"/>
      <c r="AK37" s="222"/>
      <c r="AL37" s="227"/>
      <c r="AM37" s="227"/>
      <c r="AN37" s="228">
        <f>SUM(AF37:AL37)</f>
        <v>10.0</v>
      </c>
      <c r="AO37" s="228"/>
      <c r="AP37" s="228">
        <f>INT(AN37/2)</f>
        <v>5.0</v>
      </c>
      <c r="AQ37" s="228"/>
      <c r="AR37" s="228">
        <f>INT(AN37/5)</f>
        <v>2.0</v>
      </c>
      <c r="AS37" s="231"/>
      <c r="AT37" s="222" t="s">
        <v>6079</v>
      </c>
      <c r="AU37" s="343"/>
      <c r="AV37" s="344"/>
      <c r="AW37" s="344"/>
      <c r="AX37" s="344"/>
      <c r="AY37" s="344"/>
      <c r="AZ37" s="344"/>
      <c r="BA37" s="344"/>
      <c r="BB37" s="345"/>
      <c r="BC37" s="324"/>
      <c r="BD37" s="325"/>
      <c r="BE37" s="325"/>
      <c r="BF37" s="325"/>
      <c r="BG37" s="325"/>
      <c r="BH37" s="325"/>
      <c r="BI37" s="325"/>
      <c r="BJ37" s="327"/>
      <c r="BK37" s="343"/>
      <c r="BL37" s="344"/>
      <c r="BM37" s="344"/>
      <c r="BN37" s="344"/>
      <c r="BO37" s="346"/>
      <c r="BP37" s="344"/>
      <c r="BQ37" s="344"/>
      <c r="BR37" s="345"/>
    </row>
    <row r="38" spans="8:8" ht="18.0" customHeight="1">
      <c r="A38" s="216" t="s">
        <v>6091</v>
      </c>
      <c r="B38" s="213" t="s">
        <v>56</v>
      </c>
      <c r="C38" s="214"/>
      <c r="D38" s="215">
        <f>IF(ISTEXT(_xlfn.IFERROR(VLOOKUP(人物卡!F38,人物卡!BJ18:BR22,1,FALSE),_xlfn.IFERROR(VLOOKUP(人物卡!F38,人物卡!BA18:BC22,1,FALSE),0))),"★",INDEX(本职技能!$A$2:$HX$76,MATCH(人物卡!F38,本职技能!$A$2:$A$75,0),MATCH(人物卡!$M$5,本职技能!$A$1:$HX$1,0)))</f>
        <v>0.0</v>
      </c>
      <c r="E38" s="215"/>
      <c r="F38" s="248" t="s">
        <v>129</v>
      </c>
      <c r="G38" s="249"/>
      <c r="H38" s="347" t="s">
        <v>130</v>
      </c>
      <c r="I38" s="348"/>
      <c r="J38" s="48">
        <v>20.0</v>
      </c>
      <c r="K38" s="48"/>
      <c r="L38" s="51"/>
      <c r="M38" s="51"/>
      <c r="N38" s="51"/>
      <c r="O38" s="51"/>
      <c r="P38" s="216"/>
      <c r="Q38" s="216"/>
      <c r="R38" s="217">
        <f>SUM(J38:P38)</f>
        <v>20.0</v>
      </c>
      <c r="S38" s="217"/>
      <c r="T38" s="48">
        <f>INT(R38/2)</f>
        <v>10.0</v>
      </c>
      <c r="U38" s="48"/>
      <c r="V38" s="48">
        <f>INT(R38/5)</f>
        <v>4.0</v>
      </c>
      <c r="W38" s="63"/>
      <c r="X38" s="218" t="s">
        <v>56</v>
      </c>
      <c r="Y38" s="51"/>
      <c r="Z38" s="215">
        <f>IF(ISTEXT(_xlfn.IFERROR(VLOOKUP(人物卡!AB38,人物卡!BJ18:BR22,1,FALSE),_xlfn.IFERROR(VLOOKUP(人物卡!AB38,人物卡!BA18:BC22,1,FALSE),0))),"★",INDEX(本职技能!$A$2:$HX$76,MATCH(人物卡!AB38,本职技能!$A$2:$A$75,0),MATCH(人物卡!$M$5,本职技能!$A$1:$HX$1,0)))</f>
        <v>0.0</v>
      </c>
      <c r="AA38" s="215"/>
      <c r="AB38" s="51" t="s">
        <v>131</v>
      </c>
      <c r="AC38" s="262"/>
      <c r="AD38" s="263"/>
      <c r="AE38" s="51"/>
      <c r="AF38" s="48">
        <v>20.0</v>
      </c>
      <c r="AG38" s="48"/>
      <c r="AH38" s="51"/>
      <c r="AI38" s="51"/>
      <c r="AJ38" s="51"/>
      <c r="AK38" s="51"/>
      <c r="AL38" s="216"/>
      <c r="AM38" s="216"/>
      <c r="AN38" s="217">
        <f>SUM(AF38:AL38)</f>
        <v>20.0</v>
      </c>
      <c r="AO38" s="217"/>
      <c r="AP38" s="217">
        <f>INT(AN38/2)</f>
        <v>10.0</v>
      </c>
      <c r="AQ38" s="217"/>
      <c r="AR38" s="217">
        <f>INT(AN38/5)</f>
        <v>4.0</v>
      </c>
      <c r="AS38" s="219"/>
      <c r="AT38" s="51" t="s">
        <v>6080</v>
      </c>
      <c r="AU38" s="349" t="s">
        <v>132</v>
      </c>
      <c r="AV38" s="350" t="str">
        <f>IF(M5=0," ",""&amp;LOOKUP(M5,职业列表!A2:A232,职业列表!K2:K232))</f>
        <v> </v>
      </c>
      <c r="AW38" s="350"/>
      <c r="AX38" s="350"/>
      <c r="AY38" s="350"/>
      <c r="AZ38" s="350"/>
      <c r="BA38" s="350"/>
      <c r="BB38" s="350"/>
      <c r="BC38" s="350"/>
      <c r="BD38" s="350"/>
      <c r="BE38" s="350"/>
      <c r="BF38" s="350"/>
      <c r="BG38" s="350"/>
      <c r="BH38" s="350"/>
      <c r="BI38" s="350"/>
      <c r="BJ38" s="350"/>
      <c r="BK38" s="350"/>
      <c r="BL38" s="350"/>
      <c r="BM38" s="350"/>
      <c r="BN38" s="350"/>
      <c r="BO38" s="350"/>
      <c r="BP38" s="350"/>
      <c r="BQ38" s="350"/>
      <c r="BR38" s="351"/>
    </row>
    <row r="39" spans="8:8" ht="18.0" customHeight="1">
      <c r="A39" s="222" t="str">
        <f>IF(H39="弓术","🏹","🎯")</f>
        <v>🎯</v>
      </c>
      <c r="B39" s="223" t="s">
        <v>56</v>
      </c>
      <c r="C39" s="224"/>
      <c r="D39" s="225">
        <f>IF(ISTEXT(_xlfn.IFERROR(VLOOKUP(人物卡!F39,人物卡!BJ18:BR22,1,FALSE),_xlfn.IFERROR(VLOOKUP(人物卡!F39,人物卡!BA18:BC22,1,FALSE),0))),"★",INDEX(本职技能!$A$2:$HX$76,MATCH(人物卡!F39,本职技能!$A$2:$A$75,0),MATCH(人物卡!$M$5,本职技能!$A$1:$HX$1,0)))</f>
        <v>0.0</v>
      </c>
      <c r="E39" s="225"/>
      <c r="F39" s="252" t="s">
        <v>133</v>
      </c>
      <c r="G39" s="253"/>
      <c r="H39" s="328"/>
      <c r="I39" s="329"/>
      <c r="J39" s="226">
        <f>附表!E11</f>
        <v>0.0</v>
      </c>
      <c r="K39" s="226"/>
      <c r="L39" s="222"/>
      <c r="M39" s="222"/>
      <c r="N39" s="222"/>
      <c r="O39" s="222"/>
      <c r="P39" s="227"/>
      <c r="Q39" s="227"/>
      <c r="R39" s="228">
        <f>P39+N39+L39+J39</f>
        <v>0.0</v>
      </c>
      <c r="S39" s="228"/>
      <c r="T39" s="226">
        <f>INT(R39/2)</f>
        <v>0.0</v>
      </c>
      <c r="U39" s="226"/>
      <c r="V39" s="226">
        <f>INT(R39/5)</f>
        <v>0.0</v>
      </c>
      <c r="W39" s="229"/>
      <c r="X39" s="230" t="s">
        <v>56</v>
      </c>
      <c r="Y39" s="222"/>
      <c r="Z39" s="225">
        <f>IF(ISTEXT(_xlfn.IFERROR(VLOOKUP(人物卡!AB39,人物卡!BJ18:BR22,1,FALSE),_xlfn.IFERROR(VLOOKUP(人物卡!AB39,人物卡!BA18:BC22,1,FALSE),0))),"★",INDEX(本职技能!$A$2:$HX$76,MATCH(人物卡!AB39,本职技能!$A$2:$A$75,0),MATCH(人物卡!$M$5,本职技能!$A$1:$HX$1,0)))</f>
        <v>0.0</v>
      </c>
      <c r="AA39" s="225"/>
      <c r="AB39" s="222" t="s">
        <v>134</v>
      </c>
      <c r="AC39" s="240"/>
      <c r="AD39" s="241"/>
      <c r="AE39" s="222"/>
      <c r="AF39" s="226">
        <v>20.0</v>
      </c>
      <c r="AG39" s="226"/>
      <c r="AH39" s="222"/>
      <c r="AI39" s="222"/>
      <c r="AJ39" s="222"/>
      <c r="AK39" s="222"/>
      <c r="AL39" s="227"/>
      <c r="AM39" s="227"/>
      <c r="AN39" s="228">
        <f>SUM(AF39:AL39)</f>
        <v>20.0</v>
      </c>
      <c r="AO39" s="228"/>
      <c r="AP39" s="228">
        <f>INT(AN39/2)</f>
        <v>10.0</v>
      </c>
      <c r="AQ39" s="228"/>
      <c r="AR39" s="228">
        <f>INT(AN39/5)</f>
        <v>4.0</v>
      </c>
      <c r="AS39" s="231"/>
      <c r="AT39" s="222" t="s">
        <v>6081</v>
      </c>
      <c r="AU39" s="352"/>
      <c r="AV39" s="353"/>
      <c r="AW39" s="353"/>
      <c r="AX39" s="353"/>
      <c r="AY39" s="353"/>
      <c r="AZ39" s="353"/>
      <c r="BA39" s="353"/>
      <c r="BB39" s="353"/>
      <c r="BC39" s="353"/>
      <c r="BD39" s="353"/>
      <c r="BE39" s="353"/>
      <c r="BF39" s="353"/>
      <c r="BG39" s="353"/>
      <c r="BH39" s="353"/>
      <c r="BI39" s="353"/>
      <c r="BJ39" s="353"/>
      <c r="BK39" s="353"/>
      <c r="BL39" s="353"/>
      <c r="BM39" s="353"/>
      <c r="BN39" s="353"/>
      <c r="BO39" s="353"/>
      <c r="BP39" s="353"/>
      <c r="BQ39" s="353"/>
      <c r="BR39" s="354"/>
    </row>
    <row r="40" spans="8:8" ht="18.0" customHeight="1">
      <c r="A40" s="51" t="str">
        <f>IF(H40="弓术","🏹","🎯")</f>
        <v>🎯</v>
      </c>
      <c r="B40" s="213" t="s">
        <v>56</v>
      </c>
      <c r="C40" s="214"/>
      <c r="D40" s="215">
        <f>IF(ISTEXT(_xlfn.IFERROR(VLOOKUP(F40,人物卡!BJ18:BR22,1,FALSE),_xlfn.IFERROR(VLOOKUP(F40,人物卡!BA18:BC22,1,FALSE),0))),"★",INDEX(本职技能!$A$2:$HX$76,MATCH(F40,本职技能!$A$2:$A$75,0),MATCH(人物卡!$M$5,本职技能!$A$1:$HX$1,0)))</f>
        <v>0.0</v>
      </c>
      <c r="E40" s="215"/>
      <c r="F40" s="248" t="s">
        <v>135</v>
      </c>
      <c r="G40" s="249"/>
      <c r="H40" s="322"/>
      <c r="I40" s="323"/>
      <c r="J40" s="48">
        <f>附表!E12</f>
        <v>0.0</v>
      </c>
      <c r="K40" s="48"/>
      <c r="L40" s="51"/>
      <c r="M40" s="51"/>
      <c r="N40" s="51"/>
      <c r="O40" s="51"/>
      <c r="P40" s="216"/>
      <c r="Q40" s="216"/>
      <c r="R40" s="217">
        <f>P40+N40+L40+J40</f>
        <v>0.0</v>
      </c>
      <c r="S40" s="217"/>
      <c r="T40" s="48">
        <f>INT(R40/2)</f>
        <v>0.0</v>
      </c>
      <c r="U40" s="48"/>
      <c r="V40" s="48">
        <f>INT(R40/5)</f>
        <v>0.0</v>
      </c>
      <c r="W40" s="63"/>
      <c r="X40" s="218" t="s">
        <v>56</v>
      </c>
      <c r="Y40" s="51"/>
      <c r="Z40" s="215">
        <f>IF(ISTEXT(_xlfn.IFERROR(VLOOKUP(人物卡!AB40,人物卡!BJ18:BR22,1,FALSE),_xlfn.IFERROR(VLOOKUP(人物卡!AB40,人物卡!BA18:BC22,1,FALSE),0))),"★",INDEX(本职技能!$A$2:$HX$76,MATCH(人物卡!AB40,本职技能!$A$2:$A$75,0),MATCH(人物卡!$M$5,本职技能!$A$1:$HX$1,0)))</f>
        <v>0.0</v>
      </c>
      <c r="AA40" s="215"/>
      <c r="AB40" s="51" t="s">
        <v>136</v>
      </c>
      <c r="AC40" s="262"/>
      <c r="AD40" s="263"/>
      <c r="AE40" s="51"/>
      <c r="AF40" s="48">
        <v>10.0</v>
      </c>
      <c r="AG40" s="48"/>
      <c r="AH40" s="51"/>
      <c r="AI40" s="51"/>
      <c r="AJ40" s="51"/>
      <c r="AK40" s="51"/>
      <c r="AL40" s="216"/>
      <c r="AM40" s="216"/>
      <c r="AN40" s="217">
        <f>SUM(AF40:AL40)</f>
        <v>10.0</v>
      </c>
      <c r="AO40" s="217"/>
      <c r="AP40" s="217">
        <f>INT(AN40/2)</f>
        <v>5.0</v>
      </c>
      <c r="AQ40" s="217"/>
      <c r="AR40" s="217">
        <f>INT(AN40/5)</f>
        <v>2.0</v>
      </c>
      <c r="AS40" s="219"/>
      <c r="AT40" s="51" t="s">
        <v>6082</v>
      </c>
      <c r="AU40" s="352"/>
      <c r="AV40" s="353"/>
      <c r="AW40" s="353"/>
      <c r="AX40" s="353"/>
      <c r="AY40" s="353"/>
      <c r="AZ40" s="353"/>
      <c r="BA40" s="353"/>
      <c r="BB40" s="353"/>
      <c r="BC40" s="353"/>
      <c r="BD40" s="353"/>
      <c r="BE40" s="353"/>
      <c r="BF40" s="353"/>
      <c r="BG40" s="353"/>
      <c r="BH40" s="353"/>
      <c r="BI40" s="353"/>
      <c r="BJ40" s="353"/>
      <c r="BK40" s="353"/>
      <c r="BL40" s="353"/>
      <c r="BM40" s="353"/>
      <c r="BN40" s="353"/>
      <c r="BO40" s="353"/>
      <c r="BP40" s="353"/>
      <c r="BQ40" s="353"/>
      <c r="BR40" s="354"/>
    </row>
    <row r="41" spans="8:8" ht="18.0" customHeight="1">
      <c r="A41" s="222" t="str">
        <f>IF(H41="弓术","🏹","🎯")</f>
        <v>🎯</v>
      </c>
      <c r="B41" s="223" t="s">
        <v>56</v>
      </c>
      <c r="C41" s="224"/>
      <c r="D41" s="225">
        <f>IF(ISTEXT(_xlfn.IFERROR(VLOOKUP(F41,人物卡!BJ18:BR22,1,FALSE),_xlfn.IFERROR(VLOOKUP(F41,人物卡!BA18:BC22,1,FALSE),0))),"★",INDEX(本职技能!$A$2:$HX$76,MATCH(F41,本职技能!$A$2:$A$75,0),MATCH(人物卡!$M$5,本职技能!$A$1:$HX$1,0)))</f>
        <v>0.0</v>
      </c>
      <c r="E41" s="225"/>
      <c r="F41" s="252" t="s">
        <v>137</v>
      </c>
      <c r="G41" s="253"/>
      <c r="H41" s="328"/>
      <c r="I41" s="329"/>
      <c r="J41" s="226">
        <f>附表!E13</f>
        <v>0.0</v>
      </c>
      <c r="K41" s="226"/>
      <c r="L41" s="222"/>
      <c r="M41" s="222"/>
      <c r="N41" s="222"/>
      <c r="O41" s="222"/>
      <c r="P41" s="227"/>
      <c r="Q41" s="227"/>
      <c r="R41" s="228">
        <f>P41+N41+L41+J41</f>
        <v>0.0</v>
      </c>
      <c r="S41" s="228"/>
      <c r="T41" s="226">
        <f>INT(R41/2)</f>
        <v>0.0</v>
      </c>
      <c r="U41" s="226"/>
      <c r="V41" s="226">
        <f>INT(R41/5)</f>
        <v>0.0</v>
      </c>
      <c r="W41" s="229"/>
      <c r="X41" s="230" t="s">
        <v>56</v>
      </c>
      <c r="Y41" s="222"/>
      <c r="Z41" s="225">
        <f>IF(ISTEXT(_xlfn.IFERROR(VLOOKUP(人物卡!AB41,人物卡!BJ18:BR22,1,FALSE),_xlfn.IFERROR(VLOOKUP(人物卡!AB41,人物卡!BA18:BC22,1,FALSE),0))),"★",INDEX(本职技能!$A$2:$HX$76,MATCH(人物卡!AB41,本职技能!$A$2:$A$75,0),MATCH(人物卡!$M$5,本职技能!$A$1:$HX$1,0)))</f>
        <v>0.0</v>
      </c>
      <c r="AA41" s="225"/>
      <c r="AB41" s="355" t="s">
        <v>5934</v>
      </c>
      <c r="AC41" s="356"/>
      <c r="AD41" s="357"/>
      <c r="AE41" s="355"/>
      <c r="AF41" s="226">
        <v>5.0</v>
      </c>
      <c r="AG41" s="226"/>
      <c r="AH41" s="222"/>
      <c r="AI41" s="222"/>
      <c r="AJ41" s="222"/>
      <c r="AK41" s="222"/>
      <c r="AL41" s="227"/>
      <c r="AM41" s="227"/>
      <c r="AN41" s="228">
        <f>SUM(AF41:AL41)</f>
        <v>5.0</v>
      </c>
      <c r="AO41" s="228"/>
      <c r="AP41" s="228">
        <f>INT(AN41/2)</f>
        <v>2.0</v>
      </c>
      <c r="AQ41" s="228"/>
      <c r="AR41" s="228">
        <f>INT(AN41/5)</f>
        <v>1.0</v>
      </c>
      <c r="AS41" s="231"/>
      <c r="AT41" s="222" t="s">
        <v>6084</v>
      </c>
      <c r="AU41" s="352"/>
      <c r="AV41" s="353"/>
      <c r="AW41" s="353"/>
      <c r="AX41" s="353"/>
      <c r="AY41" s="353"/>
      <c r="AZ41" s="353"/>
      <c r="BA41" s="353"/>
      <c r="BB41" s="353"/>
      <c r="BC41" s="353"/>
      <c r="BD41" s="353"/>
      <c r="BE41" s="353"/>
      <c r="BF41" s="353"/>
      <c r="BG41" s="353"/>
      <c r="BH41" s="353"/>
      <c r="BI41" s="353"/>
      <c r="BJ41" s="353"/>
      <c r="BK41" s="353"/>
      <c r="BL41" s="353"/>
      <c r="BM41" s="353"/>
      <c r="BN41" s="353"/>
      <c r="BO41" s="353"/>
      <c r="BP41" s="353"/>
      <c r="BQ41" s="353"/>
      <c r="BR41" s="354"/>
    </row>
    <row r="42" spans="8:8" ht="18.0" customHeight="1">
      <c r="A42" s="51" t="s">
        <v>6041</v>
      </c>
      <c r="B42" s="213" t="s">
        <v>56</v>
      </c>
      <c r="C42" s="214"/>
      <c r="D42" s="215">
        <f>IF(ISTEXT(_xlfn.IFERROR(VLOOKUP(人物卡!F42,人物卡!BJ18:BR22,1,FALSE),_xlfn.IFERROR(VLOOKUP(人物卡!F42,人物卡!BA18:BC22,1,FALSE),0))),"★",INDEX(本职技能!$A$2:$HX$76,MATCH(人物卡!F42,本职技能!$A$2:$A$75,0),MATCH(人物卡!$M$5,本职技能!$A$1:$HX$1,0)))</f>
        <v>0.0</v>
      </c>
      <c r="E42" s="215"/>
      <c r="F42" s="51" t="s">
        <v>139</v>
      </c>
      <c r="G42" s="262"/>
      <c r="H42" s="263"/>
      <c r="I42" s="51"/>
      <c r="J42" s="358">
        <v>30.0</v>
      </c>
      <c r="K42" s="358"/>
      <c r="L42" s="51"/>
      <c r="M42" s="51"/>
      <c r="N42" s="51"/>
      <c r="O42" s="51"/>
      <c r="P42" s="216"/>
      <c r="Q42" s="216"/>
      <c r="R42" s="217">
        <f>SUM(J42:P42)</f>
        <v>30.0</v>
      </c>
      <c r="S42" s="217"/>
      <c r="T42" s="48">
        <f>INT(R42/2)</f>
        <v>15.0</v>
      </c>
      <c r="U42" s="48"/>
      <c r="V42" s="48">
        <f>INT(R42/5)</f>
        <v>6.0</v>
      </c>
      <c r="W42" s="63"/>
      <c r="X42" s="218" t="s">
        <v>56</v>
      </c>
      <c r="Y42" s="51"/>
      <c r="Z42" s="215">
        <f>IF(ISTEXT(_xlfn.IFERROR(VLOOKUP(人物卡!AB42,人物卡!BJ18:BR22,1,FALSE),_xlfn.IFERROR(VLOOKUP(人物卡!AB42,人物卡!BA18:BC22,1,FALSE),0))),"★",INDEX(本职技能!$A$2:$HX$76,MATCH(人物卡!AB42,本职技能!$A$2:$A$75,0),MATCH(人物卡!$M$5,本职技能!$A$1:$HX$1,0)))</f>
        <v>0.0</v>
      </c>
      <c r="AA42" s="215"/>
      <c r="AB42" s="359" t="s">
        <v>140</v>
      </c>
      <c r="AC42" s="360"/>
      <c r="AD42" s="361"/>
      <c r="AE42" s="359"/>
      <c r="AF42" s="48">
        <v>1.0</v>
      </c>
      <c r="AG42" s="48"/>
      <c r="AH42" s="51"/>
      <c r="AI42" s="51"/>
      <c r="AJ42" s="51"/>
      <c r="AK42" s="51"/>
      <c r="AL42" s="216"/>
      <c r="AM42" s="216"/>
      <c r="AN42" s="217">
        <f>SUM(AF42:AL42)</f>
        <v>1.0</v>
      </c>
      <c r="AO42" s="217"/>
      <c r="AP42" s="217">
        <f>INT(AN42/2)</f>
        <v>0.0</v>
      </c>
      <c r="AQ42" s="217"/>
      <c r="AR42" s="217">
        <f>INT(AN42/5)</f>
        <v>0.0</v>
      </c>
      <c r="AS42" s="219"/>
      <c r="AT42" s="51" t="s">
        <v>6083</v>
      </c>
      <c r="AU42" s="362"/>
      <c r="AV42" s="363"/>
      <c r="AW42" s="363"/>
      <c r="AX42" s="363"/>
      <c r="AY42" s="363"/>
      <c r="AZ42" s="363"/>
      <c r="BA42" s="363"/>
      <c r="BB42" s="363"/>
      <c r="BC42" s="363"/>
      <c r="BD42" s="363"/>
      <c r="BE42" s="363"/>
      <c r="BF42" s="363"/>
      <c r="BG42" s="363"/>
      <c r="BH42" s="363"/>
      <c r="BI42" s="363"/>
      <c r="BJ42" s="363"/>
      <c r="BK42" s="363"/>
      <c r="BL42" s="363"/>
      <c r="BM42" s="363"/>
      <c r="BN42" s="363"/>
      <c r="BO42" s="363"/>
      <c r="BP42" s="363"/>
      <c r="BQ42" s="363"/>
      <c r="BR42" s="364"/>
    </row>
    <row r="43" spans="8:8" ht="18.0" customHeight="1">
      <c r="A43" s="222" t="s">
        <v>6068</v>
      </c>
      <c r="B43" s="223" t="s">
        <v>56</v>
      </c>
      <c r="C43" s="224"/>
      <c r="D43" s="225">
        <f>IF(ISTEXT(_xlfn.IFERROR(VLOOKUP(人物卡!F43,人物卡!BJ18:BR22,1,FALSE),_xlfn.IFERROR(VLOOKUP(人物卡!F43,人物卡!BA18:BC22,1,FALSE),0))),"★",INDEX(本职技能!$A$2:$HX$76,MATCH(人物卡!F43,本职技能!$A$2:$A$75,0),MATCH(人物卡!$M$5,本职技能!$A$1:$HX$1,0)))</f>
        <v>0.0</v>
      </c>
      <c r="E43" s="225"/>
      <c r="F43" s="222" t="s">
        <v>141</v>
      </c>
      <c r="G43" s="240"/>
      <c r="H43" s="241"/>
      <c r="I43" s="222"/>
      <c r="J43" s="226">
        <v>5.0</v>
      </c>
      <c r="K43" s="226"/>
      <c r="L43" s="222"/>
      <c r="M43" s="222"/>
      <c r="N43" s="222"/>
      <c r="O43" s="222"/>
      <c r="P43" s="227"/>
      <c r="Q43" s="227"/>
      <c r="R43" s="228">
        <f>SUM(J43:P43)</f>
        <v>5.0</v>
      </c>
      <c r="S43" s="228"/>
      <c r="T43" s="226">
        <f>INT(R43/2)</f>
        <v>2.0</v>
      </c>
      <c r="U43" s="226"/>
      <c r="V43" s="226">
        <f>INT(R43/5)</f>
        <v>1.0</v>
      </c>
      <c r="W43" s="229"/>
      <c r="X43" s="230" t="s">
        <v>56</v>
      </c>
      <c r="Y43" s="222"/>
      <c r="Z43" s="225">
        <f>IF(ISTEXT(_xlfn.IFERROR(VLOOKUP(人物卡!AB43,人物卡!BJ18:BR22,1,FALSE),_xlfn.IFERROR(VLOOKUP(人物卡!AB43,人物卡!BA18:BC22,1,FALSE),0))),"★",INDEX(本职技能!$A$2:$HX$76,MATCH(人物卡!AB43,本职技能!$A$2:$A$75,0),MATCH(人物卡!$M$5,本职技能!$A$1:$HX$1,0)))</f>
        <v>0.0</v>
      </c>
      <c r="AA43" s="225"/>
      <c r="AB43" s="355" t="s">
        <v>142</v>
      </c>
      <c r="AC43" s="356"/>
      <c r="AD43" s="357"/>
      <c r="AE43" s="355"/>
      <c r="AF43" s="226">
        <v>1.0</v>
      </c>
      <c r="AG43" s="226"/>
      <c r="AH43" s="222"/>
      <c r="AI43" s="222"/>
      <c r="AJ43" s="222"/>
      <c r="AK43" s="222"/>
      <c r="AL43" s="227"/>
      <c r="AM43" s="227"/>
      <c r="AN43" s="228">
        <f>SUM(AF43:AL43)</f>
        <v>1.0</v>
      </c>
      <c r="AO43" s="228"/>
      <c r="AP43" s="228">
        <f>INT(AN43/2)</f>
        <v>0.0</v>
      </c>
      <c r="AQ43" s="228"/>
      <c r="AR43" s="228">
        <f>INT(AN43/5)</f>
        <v>0.0</v>
      </c>
      <c r="AS43" s="231"/>
      <c r="AT43" s="222" t="s">
        <v>6019</v>
      </c>
      <c r="AU43" s="16" t="s">
        <v>143</v>
      </c>
      <c r="AV43" s="17"/>
      <c r="AW43" s="17"/>
      <c r="AX43" s="17"/>
      <c r="AY43" s="17"/>
      <c r="AZ43" s="17"/>
      <c r="BA43" s="17"/>
      <c r="BB43" s="17"/>
      <c r="BC43" s="17"/>
      <c r="BD43" s="17"/>
      <c r="BE43" s="17"/>
      <c r="BF43" s="17"/>
      <c r="BG43" s="17"/>
      <c r="BH43" s="17"/>
      <c r="BI43" s="17"/>
      <c r="BJ43" s="17"/>
      <c r="BK43" s="17"/>
      <c r="BL43" s="17"/>
      <c r="BM43" s="17"/>
      <c r="BN43" s="17"/>
      <c r="BO43" s="17"/>
      <c r="BP43" s="17"/>
      <c r="BQ43" s="17"/>
      <c r="BR43" s="18"/>
    </row>
    <row r="44" spans="8:8" ht="18.0" customHeight="1">
      <c r="A44" s="51" t="s">
        <v>6028</v>
      </c>
      <c r="B44" s="213" t="s">
        <v>56</v>
      </c>
      <c r="C44" s="214"/>
      <c r="D44" s="215">
        <f>IF(ISTEXT(_xlfn.IFERROR(VLOOKUP(人物卡!F44,人物卡!BJ18:BR22,1,FALSE),_xlfn.IFERROR(VLOOKUP(人物卡!F44,人物卡!BA18:BC22,1,FALSE),0))),"★",INDEX(本职技能!$A$2:$HX$76,MATCH(人物卡!F44,本职技能!$A$2:$A$75,0),MATCH(人物卡!$M$5,本职技能!$A$1:$HX$1,0)))</f>
        <v>0.0</v>
      </c>
      <c r="E44" s="215"/>
      <c r="F44" s="51" t="s">
        <v>144</v>
      </c>
      <c r="G44" s="262"/>
      <c r="H44" s="263"/>
      <c r="I44" s="51"/>
      <c r="J44" s="48">
        <v>15.0</v>
      </c>
      <c r="K44" s="48"/>
      <c r="L44" s="51"/>
      <c r="M44" s="51"/>
      <c r="N44" s="51"/>
      <c r="O44" s="51"/>
      <c r="P44" s="216"/>
      <c r="Q44" s="216"/>
      <c r="R44" s="217">
        <f>SUM(J44:P44)</f>
        <v>15.0</v>
      </c>
      <c r="S44" s="217"/>
      <c r="T44" s="48">
        <f>INT(R44/2)</f>
        <v>7.0</v>
      </c>
      <c r="U44" s="48"/>
      <c r="V44" s="48">
        <f>INT(R44/5)</f>
        <v>3.0</v>
      </c>
      <c r="W44" s="63"/>
      <c r="X44" s="218" t="s">
        <v>56</v>
      </c>
      <c r="Y44" s="51"/>
      <c r="Z44" s="215">
        <f>IF(ISTEXT(_xlfn.IFERROR(VLOOKUP(人物卡!AB44,人物卡!BJ18:BR22,1,FALSE),_xlfn.IFERROR(VLOOKUP(人物卡!AB44,人物卡!BA18:BC22,1,FALSE),0))),"★",INDEX(本职技能!$A$2:$HX$76,MATCH(人物卡!AB44,本职技能!$A$2:$A$75,0),MATCH(人物卡!$M$5,本职技能!$A$1:$HX$1,0)))</f>
        <v>0.0</v>
      </c>
      <c r="AA44" s="215"/>
      <c r="AB44" s="359" t="s">
        <v>145</v>
      </c>
      <c r="AC44" s="360"/>
      <c r="AD44" s="361"/>
      <c r="AE44" s="359"/>
      <c r="AF44" s="48">
        <v>1.0</v>
      </c>
      <c r="AG44" s="48"/>
      <c r="AH44" s="51"/>
      <c r="AI44" s="51"/>
      <c r="AJ44" s="51"/>
      <c r="AK44" s="51"/>
      <c r="AL44" s="216"/>
      <c r="AM44" s="216"/>
      <c r="AN44" s="217">
        <f>SUM(AF44:AL44)</f>
        <v>1.0</v>
      </c>
      <c r="AO44" s="217"/>
      <c r="AP44" s="217">
        <f>INT(AN44/2)</f>
        <v>0.0</v>
      </c>
      <c r="AQ44" s="217"/>
      <c r="AR44" s="217">
        <f>INT(AN44/5)</f>
        <v>0.0</v>
      </c>
      <c r="AS44" s="219"/>
      <c r="AT44" s="51" t="s">
        <v>6085</v>
      </c>
      <c r="AU44" s="365" t="str">
        <f>IF(M5=0," ",""&amp;LOOKUP(M5,职业列表!A2:A232,职业列表!M2:M232))</f>
        <v> </v>
      </c>
      <c r="AV44" s="366"/>
      <c r="AW44" s="366"/>
      <c r="AX44" s="366"/>
      <c r="AY44" s="366"/>
      <c r="AZ44" s="366"/>
      <c r="BA44" s="366"/>
      <c r="BB44" s="366"/>
      <c r="BC44" s="366"/>
      <c r="BD44" s="366"/>
      <c r="BE44" s="366"/>
      <c r="BF44" s="366"/>
      <c r="BG44" s="366"/>
      <c r="BH44" s="366"/>
      <c r="BI44" s="366"/>
      <c r="BJ44" s="366"/>
      <c r="BK44" s="366"/>
      <c r="BL44" s="366"/>
      <c r="BM44" s="366"/>
      <c r="BN44" s="366"/>
      <c r="BO44" s="366"/>
      <c r="BP44" s="366"/>
      <c r="BQ44" s="366"/>
      <c r="BR44" s="367"/>
    </row>
    <row r="45" spans="8:8" ht="18.0" customHeight="1">
      <c r="A45" s="222" t="s">
        <v>6064</v>
      </c>
      <c r="B45" s="223" t="s">
        <v>56</v>
      </c>
      <c r="C45" s="224"/>
      <c r="D45" s="225">
        <f>IF(ISTEXT(_xlfn.IFERROR(VLOOKUP(人物卡!F45,人物卡!BJ18:BR22,1,FALSE),_xlfn.IFERROR(VLOOKUP(人物卡!F45,人物卡!BA18:BC22,1,FALSE),0))),"★",INDEX(本职技能!$A$2:$HX$76,MATCH(人物卡!F45,本职技能!$A$2:$A$75,0),MATCH(人物卡!$M$5,本职技能!$A$1:$HX$1,0)))</f>
        <v>0.0</v>
      </c>
      <c r="E45" s="225"/>
      <c r="F45" s="222" t="s">
        <v>146</v>
      </c>
      <c r="G45" s="240"/>
      <c r="H45" s="241"/>
      <c r="I45" s="222"/>
      <c r="J45" s="226">
        <v>20.0</v>
      </c>
      <c r="K45" s="226"/>
      <c r="L45" s="222"/>
      <c r="M45" s="222"/>
      <c r="N45" s="222"/>
      <c r="O45" s="222"/>
      <c r="P45" s="227"/>
      <c r="Q45" s="227"/>
      <c r="R45" s="228">
        <f>SUM(J45:P45)</f>
        <v>20.0</v>
      </c>
      <c r="S45" s="228"/>
      <c r="T45" s="226">
        <f>INT(R45/2)</f>
        <v>10.0</v>
      </c>
      <c r="U45" s="226"/>
      <c r="V45" s="226">
        <f>INT(R45/5)</f>
        <v>4.0</v>
      </c>
      <c r="W45" s="229"/>
      <c r="X45" s="230" t="s">
        <v>56</v>
      </c>
      <c r="Y45" s="222"/>
      <c r="Z45" s="225">
        <f>IF(ISTEXT(_xlfn.IFERROR(VLOOKUP(人物卡!AB45,人物卡!BJ18:BR22,1,FALSE),_xlfn.IFERROR(VLOOKUP(人物卡!AB45,人物卡!BA18:BC22,1,FALSE),0))),"★",INDEX(本职技能!$A$2:$HX$76,MATCH(人物卡!AB45,本职技能!$A$2:$A$75,0),MATCH(人物卡!$M$5,本职技能!$A$1:$HX$1,0)))</f>
        <v>0.0</v>
      </c>
      <c r="AA45" s="225"/>
      <c r="AB45" s="355" t="s">
        <v>147</v>
      </c>
      <c r="AC45" s="356"/>
      <c r="AD45" s="357"/>
      <c r="AE45" s="355"/>
      <c r="AF45" s="226">
        <v>1.0</v>
      </c>
      <c r="AG45" s="226"/>
      <c r="AH45" s="222"/>
      <c r="AI45" s="222"/>
      <c r="AJ45" s="222"/>
      <c r="AK45" s="222"/>
      <c r="AL45" s="227"/>
      <c r="AM45" s="227"/>
      <c r="AN45" s="228">
        <f>SUM(AF45:AL45)</f>
        <v>1.0</v>
      </c>
      <c r="AO45" s="228"/>
      <c r="AP45" s="228">
        <f>INT(AN45/2)</f>
        <v>0.0</v>
      </c>
      <c r="AQ45" s="228"/>
      <c r="AR45" s="228">
        <f>INT(AN45/5)</f>
        <v>0.0</v>
      </c>
      <c r="AS45" s="231"/>
      <c r="AT45" s="222" t="s">
        <v>6086</v>
      </c>
      <c r="AU45" s="365"/>
      <c r="AV45" s="366"/>
      <c r="AW45" s="366"/>
      <c r="AX45" s="366"/>
      <c r="AY45" s="366"/>
      <c r="AZ45" s="366"/>
      <c r="BA45" s="366"/>
      <c r="BB45" s="366"/>
      <c r="BC45" s="366"/>
      <c r="BD45" s="366"/>
      <c r="BE45" s="366"/>
      <c r="BF45" s="366"/>
      <c r="BG45" s="366"/>
      <c r="BH45" s="366"/>
      <c r="BI45" s="366"/>
      <c r="BJ45" s="366"/>
      <c r="BK45" s="366"/>
      <c r="BL45" s="366"/>
      <c r="BM45" s="366"/>
      <c r="BN45" s="366"/>
      <c r="BO45" s="366"/>
      <c r="BP45" s="366"/>
      <c r="BQ45" s="366"/>
      <c r="BR45" s="367"/>
    </row>
    <row r="46" spans="8:8" ht="18.0" customHeight="1">
      <c r="A46" s="216" t="str">
        <f>_xlfn.IFS(OR(H46="汉语",H46="中文"),"🇨🇳",OR(H46="英语",H46="英文"),"🇬🇧",OR(H46="日语",H46="日文"),"🇯🇵",OR(H46="法语",H46="法文"),"🇫🇷",OR(H46="德语",H46="德文"),"🇩🇪",OR(H46="朝鲜语",H46="朝鲜文"),"🇰🇵",OR(H46="韩语",H46="韩文"),"🇰🇷",OR(H46="俄语",H46="俄文"),"🇷🇺",OR(H46="葡萄牙语",H46="葡萄牙文"),"🇵🇹",OR(H46="西班牙语",H46="西班牙文"),"🇪🇸",OR(H46="阿拉伯语",H46="阿拉伯文"),"🇸🇦",OR(H46="印度语",H46="印度文"),"🇮🇳",H46="","🔅",TRUE,"🇺🇳")</f>
        <v>🔅</v>
      </c>
      <c r="B46" s="213" t="s">
        <v>56</v>
      </c>
      <c r="C46" s="214"/>
      <c r="D46" s="215">
        <f>IF(ISTEXT(_xlfn.IFERROR(VLOOKUP(人物卡!F46,人物卡!BJ18:BR22,1,FALSE),_xlfn.IFERROR(VLOOKUP(人物卡!F46,人物卡!BA18:BC22,1,FALSE),0))),"★",INDEX(本职技能!$A$2:$HX$76,MATCH(人物卡!F46,本职技能!$A$2:$A$75,0),MATCH(人物卡!$M$5,本职技能!$A$1:$HX$1,0)))</f>
        <v>0.0</v>
      </c>
      <c r="E46" s="215"/>
      <c r="F46" s="248" t="s">
        <v>148</v>
      </c>
      <c r="G46" s="249"/>
      <c r="H46" s="347"/>
      <c r="I46" s="348"/>
      <c r="J46" s="48">
        <v>1.0</v>
      </c>
      <c r="K46" s="48"/>
      <c r="L46" s="51"/>
      <c r="M46" s="51"/>
      <c r="N46" s="51"/>
      <c r="O46" s="51"/>
      <c r="P46" s="216"/>
      <c r="Q46" s="216"/>
      <c r="R46" s="217">
        <f>SUM(J46:P46)</f>
        <v>1.0</v>
      </c>
      <c r="S46" s="217"/>
      <c r="T46" s="48">
        <f>INT(R46/2)</f>
        <v>0.0</v>
      </c>
      <c r="U46" s="48"/>
      <c r="V46" s="48">
        <f>INT(R46/5)</f>
        <v>0.0</v>
      </c>
      <c r="W46" s="63"/>
      <c r="X46" s="218" t="s">
        <v>56</v>
      </c>
      <c r="Y46" s="51"/>
      <c r="Z46" s="215">
        <f>IF(ISTEXT(_xlfn.IFERROR(VLOOKUP(人物卡!AB46,人物卡!BJ18:BR22,1,FALSE),_xlfn.IFERROR(VLOOKUP(人物卡!AB46,人物卡!BA18:BC22,1,FALSE),0))),"★",INDEX(本职技能!$A$2:$HX$76,MATCH(人物卡!AB46,本职技能!$A$2:$A$75,0),MATCH(人物卡!$M$5,本职技能!$A$1:$HX$1,0)))</f>
        <v>0.0</v>
      </c>
      <c r="AA46" s="215"/>
      <c r="AB46" s="359" t="s">
        <v>149</v>
      </c>
      <c r="AC46" s="360"/>
      <c r="AD46" s="361"/>
      <c r="AE46" s="359"/>
      <c r="AF46" s="48">
        <v>1.0</v>
      </c>
      <c r="AG46" s="48"/>
      <c r="AH46" s="51"/>
      <c r="AI46" s="51"/>
      <c r="AJ46" s="51"/>
      <c r="AK46" s="51"/>
      <c r="AL46" s="216"/>
      <c r="AM46" s="216"/>
      <c r="AN46" s="217">
        <f>SUM(AF46:AL46)</f>
        <v>1.0</v>
      </c>
      <c r="AO46" s="217"/>
      <c r="AP46" s="217">
        <f>INT(AN46/2)</f>
        <v>0.0</v>
      </c>
      <c r="AQ46" s="217"/>
      <c r="AR46" s="217">
        <f>INT(AN46/5)</f>
        <v>0.0</v>
      </c>
      <c r="AS46" s="219"/>
      <c r="AT46" s="51" t="s">
        <v>6087</v>
      </c>
      <c r="AU46" s="365"/>
      <c r="AV46" s="366"/>
      <c r="AW46" s="366"/>
      <c r="AX46" s="366"/>
      <c r="AY46" s="366"/>
      <c r="AZ46" s="366"/>
      <c r="BA46" s="366"/>
      <c r="BB46" s="366"/>
      <c r="BC46" s="366"/>
      <c r="BD46" s="366"/>
      <c r="BE46" s="366"/>
      <c r="BF46" s="366"/>
      <c r="BG46" s="366"/>
      <c r="BH46" s="366"/>
      <c r="BI46" s="366"/>
      <c r="BJ46" s="366"/>
      <c r="BK46" s="366"/>
      <c r="BL46" s="366"/>
      <c r="BM46" s="366"/>
      <c r="BN46" s="366"/>
      <c r="BO46" s="366"/>
      <c r="BP46" s="366"/>
      <c r="BQ46" s="366"/>
      <c r="BR46" s="367"/>
    </row>
    <row r="47" spans="8:8" ht="18.0" customHeight="1">
      <c r="A47" s="227" t="str">
        <f>_xlfn.IFS(OR(H47="汉语",H47="中文"),"🇨🇳",OR(H47="英语",H47="英文"),"🇬🇧",OR(H47="日语",H47="日文"),"🇯🇵",OR(H47="法语",H47="法文"),"🇫🇷",OR(H47="德语",H47="德文"),"🇩🇪",OR(H47="朝鲜语",H47="朝鲜文"),"🇰🇵",OR(H47="韩语",H47="韩文"),"🇰🇷",OR(H47="俄语",H47="俄文"),"🇷🇺",OR(H47="葡萄牙语",H47="葡萄牙文"),"🇵🇹",OR(H47="西班牙语",H47="西班牙文"),"🇪🇸",OR(H47="阿拉伯语",H47="阿拉伯文"),"🇸🇦",OR(H47="印度语",H47="印度文"),"🇮🇳",H47="","🔅",TRUE,"🇺🇳")</f>
        <v>🔅</v>
      </c>
      <c r="B47" s="223" t="s">
        <v>56</v>
      </c>
      <c r="C47" s="224"/>
      <c r="D47" s="225">
        <f>IF(ISTEXT(_xlfn.IFERROR(VLOOKUP(人物卡!F47,人物卡!BJ18:BR22,1,FALSE),_xlfn.IFERROR(VLOOKUP(人物卡!F47,人物卡!BA18:BC22,1,FALSE),0))),"★",INDEX(本职技能!$A$2:$HX$76,MATCH(人物卡!F47,本职技能!$A$2:$A$75,0),MATCH(人物卡!$M$5,本职技能!$A$1:$HX$1,0)))</f>
        <v>0.0</v>
      </c>
      <c r="E47" s="225"/>
      <c r="F47" s="252" t="s">
        <v>150</v>
      </c>
      <c r="G47" s="253"/>
      <c r="H47" s="328"/>
      <c r="I47" s="329"/>
      <c r="J47" s="226">
        <v>1.0</v>
      </c>
      <c r="K47" s="226"/>
      <c r="L47" s="222"/>
      <c r="M47" s="222"/>
      <c r="N47" s="222"/>
      <c r="O47" s="222"/>
      <c r="P47" s="227"/>
      <c r="Q47" s="227"/>
      <c r="R47" s="228">
        <f>SUM(J47:P47)</f>
        <v>1.0</v>
      </c>
      <c r="S47" s="228"/>
      <c r="T47" s="226">
        <f>INT(R47/2)</f>
        <v>0.0</v>
      </c>
      <c r="U47" s="226"/>
      <c r="V47" s="226">
        <f>INT(R47/5)</f>
        <v>0.0</v>
      </c>
      <c r="W47" s="229"/>
      <c r="X47" s="230" t="s">
        <v>56</v>
      </c>
      <c r="Y47" s="222"/>
      <c r="Z47" s="368">
        <f>IF(ISTEXT(_xlfn.IFERROR(VLOOKUP(人物卡!AB47,人物卡!BJ18:BR22,1,FALSE),_xlfn.IFERROR(VLOOKUP(人物卡!AB47,人物卡!BA18:BC22,1,FALSE),0))),"★",INDEX(本职技能!$A$2:$HX$76,MATCH(人物卡!AB47,本职技能!$A$2:$A$75,0),MATCH(人物卡!$M$5,本职技能!$A$1:$HX$1,0)))</f>
        <v>0.0</v>
      </c>
      <c r="AA47" s="368"/>
      <c r="AB47" s="369" t="s">
        <v>151</v>
      </c>
      <c r="AC47" s="370"/>
      <c r="AD47" s="371"/>
      <c r="AE47" s="372"/>
      <c r="AF47" s="226">
        <v>1.0</v>
      </c>
      <c r="AG47" s="226"/>
      <c r="AH47" s="222"/>
      <c r="AI47" s="222"/>
      <c r="AJ47" s="222"/>
      <c r="AK47" s="222"/>
      <c r="AL47" s="227"/>
      <c r="AM47" s="227"/>
      <c r="AN47" s="228">
        <f>SUM(AF47:AL47)</f>
        <v>1.0</v>
      </c>
      <c r="AO47" s="228"/>
      <c r="AP47" s="228">
        <f>INT(AN47/2)</f>
        <v>0.0</v>
      </c>
      <c r="AQ47" s="228"/>
      <c r="AR47" s="228">
        <f>INT(AN47/5)</f>
        <v>0.0</v>
      </c>
      <c r="AS47" s="231"/>
      <c r="AT47" s="222" t="s">
        <v>6089</v>
      </c>
      <c r="AU47" s="365"/>
      <c r="AV47" s="366"/>
      <c r="AW47" s="366"/>
      <c r="AX47" s="366"/>
      <c r="AY47" s="366"/>
      <c r="AZ47" s="366"/>
      <c r="BA47" s="366"/>
      <c r="BB47" s="366"/>
      <c r="BC47" s="366"/>
      <c r="BD47" s="366"/>
      <c r="BE47" s="366"/>
      <c r="BF47" s="366"/>
      <c r="BG47" s="366"/>
      <c r="BH47" s="366"/>
      <c r="BI47" s="366"/>
      <c r="BJ47" s="366"/>
      <c r="BK47" s="366"/>
      <c r="BL47" s="366"/>
      <c r="BM47" s="366"/>
      <c r="BN47" s="366"/>
      <c r="BO47" s="366"/>
      <c r="BP47" s="366"/>
      <c r="BQ47" s="366"/>
      <c r="BR47" s="367"/>
    </row>
    <row r="48" spans="8:8" ht="18.0" customHeight="1">
      <c r="A48" s="216" t="str">
        <f>_xlfn.IFS(OR(H48="汉语",H48="中文"),"🇨🇳",OR(H48="英语",H48="英文"),"🇬🇧",OR(H48="日语",H48="日文"),"🇯🇵",OR(H48="法语",H48="法文"),"🇫🇷",OR(H48="德语",H48="德文"),"🇩🇪",OR(H48="朝鲜语",H48="朝鲜文"),"🇰🇵",OR(H48="韩语",H48="韩文"),"🇰🇷",OR(H48="俄语",H48="俄文"),"🇷🇺",OR(H48="葡萄牙语",H48="葡萄牙文"),"🇵🇹",OR(H48="西班牙语",H48="西班牙文"),"🇪🇸",OR(H48="阿拉伯语",H48="阿拉伯文"),"🇸🇦",OR(H48="印度语",H48="印度文"),"🇮🇳",H48="","🔅",TRUE,"🇺🇳")</f>
        <v>🔅</v>
      </c>
      <c r="B48" s="213" t="s">
        <v>56</v>
      </c>
      <c r="C48" s="214"/>
      <c r="D48" s="215">
        <f>IF(ISTEXT(_xlfn.IFERROR(VLOOKUP(F48,人物卡!BJ18:BR22,1,FALSE),_xlfn.IFERROR(VLOOKUP(F48,人物卡!BA18:BC22,1,FALSE),0))),"★",INDEX(本职技能!$A$2:$HX$76,MATCH(F48,本职技能!$A$2:$A$75,0),MATCH(人物卡!$M$5,本职技能!$A$1:$HX$1,0)))</f>
        <v>0.0</v>
      </c>
      <c r="E48" s="215"/>
      <c r="F48" s="248" t="s">
        <v>152</v>
      </c>
      <c r="G48" s="249"/>
      <c r="H48" s="347"/>
      <c r="I48" s="348"/>
      <c r="J48" s="48">
        <v>1.0</v>
      </c>
      <c r="K48" s="48"/>
      <c r="L48" s="51"/>
      <c r="M48" s="51"/>
      <c r="N48" s="51"/>
      <c r="O48" s="51"/>
      <c r="P48" s="216"/>
      <c r="Q48" s="216"/>
      <c r="R48" s="217">
        <f>SUM(J48:P48)</f>
        <v>1.0</v>
      </c>
      <c r="S48" s="217"/>
      <c r="T48" s="48">
        <f>INT(R48/2)</f>
        <v>0.0</v>
      </c>
      <c r="U48" s="48"/>
      <c r="V48" s="48">
        <f>INT(R48/5)</f>
        <v>0.0</v>
      </c>
      <c r="W48" s="63"/>
      <c r="X48" s="218" t="s">
        <v>56</v>
      </c>
      <c r="Y48" s="51"/>
      <c r="Z48" s="373">
        <f>IF(ISTEXT(_xlfn.IFERROR(VLOOKUP(AB48,人物卡!BJ18:BR22,1,FALSE),_xlfn.IFERROR(VLOOKUP(AB48,人物卡!BA18:BC22,1,FALSE),0))),"★",INDEX(本职技能!$A$2:$HX$76,MATCH(AB48,本职技能!$A$2:$A$75,0),MATCH(人物卡!$M$5,本职技能!$A$1:$HX$1,0)))</f>
        <v>0.0</v>
      </c>
      <c r="AA48" s="373"/>
      <c r="AB48" s="374" t="s">
        <v>153</v>
      </c>
      <c r="AC48" s="375"/>
      <c r="AD48" s="376"/>
      <c r="AE48" s="374"/>
      <c r="AF48" s="51"/>
      <c r="AG48" s="51"/>
      <c r="AH48" s="51"/>
      <c r="AI48" s="51"/>
      <c r="AJ48" s="51"/>
      <c r="AK48" s="51"/>
      <c r="AL48" s="216"/>
      <c r="AM48" s="216"/>
      <c r="AN48" s="217">
        <f>SUM(AF48:AL48)</f>
        <v>0.0</v>
      </c>
      <c r="AO48" s="217"/>
      <c r="AP48" s="217">
        <f>INT(AN48/2)</f>
        <v>0.0</v>
      </c>
      <c r="AQ48" s="217"/>
      <c r="AR48" s="217">
        <f>INT(AN48/5)</f>
        <v>0.0</v>
      </c>
      <c r="AS48" s="219"/>
      <c r="AT48" s="51" t="s">
        <v>6090</v>
      </c>
      <c r="AU48" s="365"/>
      <c r="AV48" s="366"/>
      <c r="AW48" s="366"/>
      <c r="AX48" s="366"/>
      <c r="AY48" s="366"/>
      <c r="AZ48" s="366"/>
      <c r="BA48" s="366"/>
      <c r="BB48" s="366"/>
      <c r="BC48" s="366"/>
      <c r="BD48" s="366"/>
      <c r="BE48" s="366"/>
      <c r="BF48" s="366"/>
      <c r="BG48" s="366"/>
      <c r="BH48" s="366"/>
      <c r="BI48" s="366"/>
      <c r="BJ48" s="366"/>
      <c r="BK48" s="366"/>
      <c r="BL48" s="366"/>
      <c r="BM48" s="366"/>
      <c r="BN48" s="366"/>
      <c r="BO48" s="366"/>
      <c r="BP48" s="366"/>
      <c r="BQ48" s="366"/>
      <c r="BR48" s="367"/>
    </row>
    <row r="49" spans="8:8" ht="18.0" customHeight="1">
      <c r="A49" s="222" t="str">
        <f>_xlfn.IFS(OR(NOT(ISERROR(FIND("中国",M7,1))),NOT(ISERROR(FIND("香港",M7,1))),NOT(ISERROR(FIND("澳门",M7,1))),NOT(ISERROR(FIND("台湾",M7,1))),NOT(ISERROR(FIND("北京",M7,1))),NOT(ISERROR(FIND("上海",M7,1))),NOT(ISERROR(FIND("南京",M7,1))),NOT(ISERROR(FIND("天津",M7,1))),NOT(ISERROR(FIND("深圳",M7,1))),NOT(ISERROR(FIND("广州",M7,1)))),"🇨🇳",OR(NOT(ISERROR(FIND("英国",M7,1))),NOT(ISERROR(FIND("伦敦",M7,1)))),"🇬🇧",OR(NOT(ISERROR(FIND("美国",M7,1))),NOT(ISERROR(FIND("纽约",M7,1))),NOT(ISERROR(FIND("洛杉矶",M7,1))),NOT(ISERROR(FIND("华盛顿",M7,1)))),"🇺🇸",NOT(ISERROR(FIND("法国",M7,1))),"🇫🇷",NOT(ISERROR(FIND("巴黎",M7,1))),"🇫🇷",NOT(ISERROR(FIND("德国",M7,1))),"🇩🇪",NOT(ISERROR(FIND("柏林",M7,1))),"🇩🇪",NOT(ISERROR(FIND("白俄罗斯",M7,1))),"🇧🇾",NOT(ISERROR(FIND("俄国",M7,1))),"🇷🇺",NOT(ISERROR(FIND("俄罗斯",M7,1))),"🇷🇺",NOT(ISERROR(FIND("莫斯科",M7,1))),"🇷🇺",OR(NOT(ISERROR(FIND("日本",M7,1))),NOT(ISERROR(FIND("东京",M7,1))),NOT(ISERROR(FIND("大阪",M7,1))),NOT(ISERROR(FIND("神户",M7,1))),NOT(ISERROR(FIND("名古屋",M7,1))),NOT(ISERROR(FIND("京都",M7,1)))),"🇯🇵",NOT(ISERROR(FIND("意大利",M7,1))),"🇮🇹",NOT(ISERROR(FIND("越南",M7,1))),"🇻🇳",NOT(ISERROR(FIND("朝鲜",M7,1))),"🇰🇵",NOT(ISERROR(FIND("韩国",M7,1))),"🇰🇷",NOT(ISERROR(FIND("西班牙",M7,1))),"🇪🇸",NOT(ISERROR(FIND("土耳其",M7,1))),"🇹🇷",NOT(ISERROR(FIND("葡萄牙",M7,1))),"🇵🇹",NOT(ISERROR(FIND("匈牙利",M7,1))),"🇭🇺",NOT(ISERROR(FIND("缅甸",M7,1))),"🇲🇲",NOT(ISERROR(FIND("老挝",M7,1))),"🇱🇦",NOT(ISERROR(FIND("泰国",M7,1))),"🇹🇭",NOT(ISERROR(FIND("菲律宾",M7,1))),"🇵🇭",NOT(ISERROR(FIND("新西兰",M7,1))),"🇳🇿",NOT(ISERROR(FIND("澳大利亚",M7,1))),"🇦🇺",NOT(ISERROR(FIND("澳洲",M7,1))),"🇦🇺",NOT(ISERROR(FIND("阿拉伯联合酋长国",M7,1))),"🇦🇪",NOT(ISERROR(FIND("阿联酋",M7,1))),"🇦🇪",NOT(ISERROR(FIND("阿拉伯",M7,1))),"🇸🇦",NOT(ISERROR(FIND("欧洲",M7,1))),"🇪🇺",NOT(ISERROR(FIND("加拿大",M7,1))),"🇨🇦",NOT(ISERROR(FIND("墨西哥",M7,1))),"🇲🇽",NOT(ISERROR(FIND("阿富汗",M7,1))),"🇦🇫",NOT(ISERROR(FIND("以色列",M7,1))),"🇮🇱",NOT(ISERROR(FIND("芬兰",M7,1))),"🇫🇮",NOT(ISERROR(FIND("瑞士",M7,1))),"🇨🇭",NOT(ISERROR(FIND("瑞典",M7,1))),"🇸🇪",NOT(ISERROR(FIND("巴西",M7,1))),"🇧🇷",NOT(ISERROR(FIND("印度",M7,1))),"🇮🇳",NOT(ISERROR(FIND("巴基斯坦",M7,1))),"🇵🇰",NOT(ISERROR(FIND("印度尼西亚",M7,1))),"🇮🇩",NOT(ISERROR(FIND("印尼",M7,1))),"🇮🇩",NOT(ISNONTEXT(A50)),A50,TRUE,"🗣️")</f>
        <v>🗣️</v>
      </c>
      <c r="B49" s="377" t="s">
        <v>56</v>
      </c>
      <c r="C49" s="378"/>
      <c r="D49" s="379">
        <f>IF(ISTEXT(_xlfn.IFERROR(VLOOKUP(人物卡!F49,人物卡!BJ18:BR22,1,FALSE),_xlfn.IFERROR(VLOOKUP(人物卡!F49,人物卡!BA18:BC22,1,FALSE),0))),"★",INDEX(本职技能!$A$2:$HX$76,MATCH(人物卡!F49,本职技能!$A$2:$A$75,0),MATCH(人物卡!$M$5,本职技能!$A$1:$HX$1,0)))</f>
        <v>0.0</v>
      </c>
      <c r="E49" s="379"/>
      <c r="F49" s="380" t="s">
        <v>154</v>
      </c>
      <c r="G49" s="381"/>
      <c r="H49" s="382"/>
      <c r="I49" s="383"/>
      <c r="J49" s="384">
        <f>AG5</f>
        <v>0.0</v>
      </c>
      <c r="K49" s="384"/>
      <c r="L49" s="385"/>
      <c r="M49" s="385"/>
      <c r="N49" s="385"/>
      <c r="O49" s="385"/>
      <c r="P49" s="385"/>
      <c r="Q49" s="385"/>
      <c r="R49" s="386">
        <f>SUM(J49:P49)</f>
        <v>0.0</v>
      </c>
      <c r="S49" s="386"/>
      <c r="T49" s="384">
        <f>INT(R49/2)</f>
        <v>0.0</v>
      </c>
      <c r="U49" s="384"/>
      <c r="V49" s="384">
        <f>INT(R49/5)</f>
        <v>0.0</v>
      </c>
      <c r="W49" s="387"/>
      <c r="X49" s="388" t="s">
        <v>56</v>
      </c>
      <c r="Y49" s="385"/>
      <c r="Z49" s="389" t="str">
        <f>_xlfn.IFNA(IF(ISTEXT(_xlfn.IFERROR(VLOOKUP(AB49,人物卡!BJ18:BR22,1,FALSE),_xlfn.IFERROR(VLOOKUP(AB49,人物卡!BA18:BC22,1,FALSE),0))),"★",INDEX(本职技能!$A$2:$HX$76,MATCH(AB49,本职技能!$A$2:$A$75,0),MATCH(人物卡!$M$5,本职技能!$A$1:$HX$1,0))),"")</f>
        <v/>
      </c>
      <c r="AA49" s="389"/>
      <c r="AB49" s="390"/>
      <c r="AC49" s="390"/>
      <c r="AD49" s="390"/>
      <c r="AE49" s="390"/>
      <c r="AF49" s="385"/>
      <c r="AG49" s="385"/>
      <c r="AH49" s="385"/>
      <c r="AI49" s="385"/>
      <c r="AJ49" s="385"/>
      <c r="AK49" s="385"/>
      <c r="AL49" s="391"/>
      <c r="AM49" s="391"/>
      <c r="AN49" s="386">
        <f>SUM(AF49:AL49)</f>
        <v>0.0</v>
      </c>
      <c r="AO49" s="386"/>
      <c r="AP49" s="386">
        <f>INT(AN49/2)</f>
        <v>0.0</v>
      </c>
      <c r="AQ49" s="386"/>
      <c r="AR49" s="386">
        <f>INT(AN49/5)</f>
        <v>0.0</v>
      </c>
      <c r="AS49" s="392"/>
      <c r="AT49" s="222"/>
      <c r="AU49" s="365"/>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7"/>
    </row>
    <row r="50" spans="8:8" ht="18.0" customHeight="1">
      <c r="A50" s="393" t="e">
        <f ca="1">_xlfn.IFS(NOT(ISERROR(FIND("乌克兰",M7,1))),"🇺🇦",NOT(ISERROR(FIND("冰岛",M7,1))),"🇮🇸",NOT(ISERROR(FIND("古巴",M7,1))),"🇨🇺",NOT(ISERROR(FIND("黎巴嫩",M7,1))),"🇱🇧",NOT(ISERROR(FIND("智利",M7,1))),"🇨🇱",NOT(ISERROR(FIND("萨尔瓦多",M7,1))),"🇸🇻",NOT(ISERROR(FIND("阿根廷",M7,1))),"🇦🇷",NOT(ISERROR(FIND("叙利亚",M7,1))),"🇸🇾",NOT(ISERROR(FIND("巴拉圭",M7,1))),"🇵🇾",NOT(ISERROR(FIND("波兰",M7,1))),"🇵🇱",NOT(ISERROR(FIND("丹麦",M7,1))),"🇩🇰",NOT(ISERROR(FIND("多米尼加",M7,1))),"🇩🇴",NOT(ISERROR(FIND("海地",M7,1))),"🇭🇹",NOT(ISERROR(FIND("卢森堡",M7,1))),"🇱🇺",NOT(ISERROR(FIND("尼加拉瓜",M7,1))),"🇳🇮",NOT(ISERROR(FIND("伊朗",M7,1))),"🇮🇷",NOT(ISERROR(FIND("希腊",M7,1))),"🇬🇷",NOT(ISERROR(FIND("秘鲁",M7,1))),"🇵🇪",NOT(ISERROR(FIND("利比里亚",M7,1))),"🇱🇷",NOT(ISERROR(FIND("哥斯达黎加",M7,1))),"🇨🇷",NOT(ISERROR(FIND("哥伦比亚",M7,1))),"🇨🇴",NOT(ISERROR(FIND("南非",M7,1))),"🇿🇦",NOT(ISERROR(FIND("埃塞俄比亚",M7,1))),"🇪🇹",NOT(ISERROR(FIND("巴拿马",M7,1))),"🇵🇦",NOT(ISERROR(FIND("玻利维亚",M7,1))),"🇧🇴",NOT(ISNONTEXT(A51)),A51)</f>
        <v>#N/A</v>
      </c>
      <c r="B50" s="394" t="str">
        <f>IF(M5=0,"","职业信用范围："&amp;LOOKUP(M5,职业列表!A2:A232,职业列表!D2:D232))</f>
        <v/>
      </c>
      <c r="C50" s="394"/>
      <c r="D50" s="394"/>
      <c r="E50" s="394"/>
      <c r="F50" s="394"/>
      <c r="G50" s="394"/>
      <c r="H50" s="394"/>
      <c r="I50" s="395"/>
      <c r="J50" s="396" t="str">
        <f>IF(M5=0,"","本职属性："&amp;附表!J52&amp;"       ")&amp;IF(M5=0,"",IF(AND(附表!J53-SUM(N16:O49,AJ16:AK49)=0,AA7+AA7-SUM(P16:Q49,AL16:AM49)=0),"",("剩余职业点="&amp;附表!J53-SUM(N16:O49,AJ16:AK49))&amp;"     剩余兴趣点="&amp;AA7+AA7-SUM(P16:Q49,AL16:AM49)&amp;IF(F113=附表!B26,"","     剩余经历包点="&amp;IF(ISNUMBER(附表!D34),附表!D34-SUM(L16:M49,AH16:AI49),附表!D34))))</f>
        <v/>
      </c>
      <c r="K50" s="396"/>
      <c r="L50" s="396"/>
      <c r="M50" s="396"/>
      <c r="N50" s="396"/>
      <c r="O50" s="396"/>
      <c r="P50" s="396"/>
      <c r="Q50" s="396"/>
      <c r="R50" s="396"/>
      <c r="S50" s="396"/>
      <c r="T50" s="396"/>
      <c r="U50" s="396"/>
      <c r="V50" s="396"/>
      <c r="W50" s="396"/>
      <c r="X50" s="396"/>
      <c r="Y50" s="396"/>
      <c r="Z50" s="396"/>
      <c r="AA50" s="396"/>
      <c r="AB50" s="396"/>
      <c r="AC50" s="396"/>
      <c r="AD50" s="396"/>
      <c r="AE50" s="396"/>
      <c r="AF50" s="396"/>
      <c r="AG50" s="396"/>
      <c r="AH50" s="396"/>
      <c r="AI50" s="396"/>
      <c r="AJ50" s="396"/>
      <c r="AK50" s="396"/>
      <c r="AL50" s="396"/>
      <c r="AM50" s="396"/>
      <c r="AN50" s="396"/>
      <c r="AO50" s="396"/>
      <c r="AP50" s="396"/>
      <c r="AQ50" s="396"/>
      <c r="AR50" s="396"/>
      <c r="AS50" s="396"/>
      <c r="AT50" s="397"/>
      <c r="AU50" s="365"/>
      <c r="AV50" s="366"/>
      <c r="AW50" s="366"/>
      <c r="AX50" s="366"/>
      <c r="AY50" s="366"/>
      <c r="AZ50" s="366"/>
      <c r="BA50" s="366"/>
      <c r="BB50" s="366"/>
      <c r="BC50" s="366"/>
      <c r="BD50" s="366"/>
      <c r="BE50" s="366"/>
      <c r="BF50" s="366"/>
      <c r="BG50" s="366"/>
      <c r="BH50" s="366"/>
      <c r="BI50" s="366"/>
      <c r="BJ50" s="366"/>
      <c r="BK50" s="366"/>
      <c r="BL50" s="366"/>
      <c r="BM50" s="366"/>
      <c r="BN50" s="366"/>
      <c r="BO50" s="366"/>
      <c r="BP50" s="366"/>
      <c r="BQ50" s="366"/>
      <c r="BR50" s="367"/>
    </row>
    <row r="51" spans="8:8" ht="18.0" customHeight="1">
      <c r="A51" s="398" t="e">
        <f ca="1">_xlfn.IFS(NOT(ISERROR(FIND("委内瑞拉",M7,1))),"🇻🇪",NOT(ISERROR(FIND("危地马拉",M7,1))),"🇬🇹",NOT(ISERROR(FIND("挪威",M7,1))),"🇳🇴",NOT(ISERROR(FIND("荷兰",M7,1))),"🇳🇱",NOT(ISERROR(FIND("洪都拉斯",M7,1))),"🇭🇳",NOT(ISERROR(FIND("乌拉圭",M7,1))),"🇺🇾",NOT(ISERROR(FIND("厄瓜多尔",M7,1))),"🇪🇨",NOT(ISERROR(FIND("伊拉克",M7,1))),"🇮🇶",NOT(ISERROR(FIND("比利时",M7,1))),"🇧🇪",NOT(ISERROR(FIND("也门",M7,1))),"🇾🇪",NOT(ISERROR(FIND("阿尔巴尼亚",M7,1))),"🇦🇱",NOT(ISERROR(FIND("爱尔兰",M7,1))),"🇮🇪",NOT(ISERROR(FIND("保加利亚",M7,1))),"🇧🇬",NOT(ISERROR(FIND("尼泊尔",M7,1))),"🇳🇵",NOT(ISERROR(FIND("约旦",M7,1))),"🇯🇴",NOT(ISERROR(FIND("奥地利",M7,1))),"🇦🇹",NOT(ISERROR(FIND("柬埔寨",M7,1))),"🇰🇭",NOT(ISERROR(FIND("利比亚",M7,1))),"🇱🇾",NOT(ISERROR(FIND("罗马尼亚",M7,1))),"🇷🇴",NOT(ISERROR(FIND("斯里兰卡",M7,1))),"🇱🇰",NOT(ISERROR(FIND("摩洛哥",M7,1))),"🇲🇦",NOT(ISERROR(FIND("突尼斯",M7,1))),"🇹🇳",NOT(ISERROR(FIND("南苏丹",M7,1))),"🇸🇸",NOT(ISERROR(FIND("苏丹",M7,1))),"🇸🇩",NOT(ISERROR(FIND("加纳",M7,1))),"🇬🇭",NOT(ISERROR(FIND("马来西亚",M7,1))),"🇲🇾",NOT(ISERROR(FIND("几内亚比绍",M7,1))),"🇬🇼",NOT(ISERROR(FIND("几内亚",M7,1))),"🇬🇳",NOT(ISERROR(FIND("安道尔",M7,1))),"🇦🇩",NOT(ISERROR(FIND("帕劳",M7,1))),"🇵🇼",NOT(ISERROR(FIND("汤加",M7,1))),"🇹🇴",NOT(ISERROR(FIND("基里巴斯",M7,1))),"🇰🇮",NOT(ISERROR(FIND("瑙鲁",M7,1))),"🇳🇷",NOT(ISERROR(FIND("图瓦卢",M7,1))),"🇹🇻",NOT(ISERROR(FIND("塞尔维亚",M7,1))),"🇷🇸",NOT(ISERROR(FIND("东帝汶",M7,1))),"🇹🇱",NOT(ISERROR(FIND("黑山",M7,1))),"🇲🇪",NOT(ISERROR(FIND("梵蒂冈",M7,1))),"🇻🇦",NOT(ISERROR(FIND("科索沃",M7,1))),"🇽🇰",NOT(ISERROR(FIND("西撒哈拉",M7,1))),"🇪🇭",NOT(ISNONTEXT(A52)),A52)</f>
        <v>#N/A</v>
      </c>
      <c r="B51" s="3" t="s">
        <v>155</v>
      </c>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5"/>
      <c r="AM51" s="3" t="s">
        <v>156</v>
      </c>
      <c r="AN51" s="4"/>
      <c r="AO51" s="4"/>
      <c r="AP51" s="4"/>
      <c r="AQ51" s="4"/>
      <c r="AR51" s="4"/>
      <c r="AS51" s="5"/>
      <c r="AT51" s="204"/>
      <c r="AU51" s="365"/>
      <c r="AV51" s="366"/>
      <c r="AW51" s="366"/>
      <c r="AX51" s="366"/>
      <c r="AY51" s="366"/>
      <c r="AZ51" s="366"/>
      <c r="BA51" s="366"/>
      <c r="BB51" s="366"/>
      <c r="BC51" s="366"/>
      <c r="BD51" s="366"/>
      <c r="BE51" s="366"/>
      <c r="BF51" s="366"/>
      <c r="BG51" s="366"/>
      <c r="BH51" s="366"/>
      <c r="BI51" s="366"/>
      <c r="BJ51" s="366"/>
      <c r="BK51" s="366"/>
      <c r="BL51" s="366"/>
      <c r="BM51" s="366"/>
      <c r="BN51" s="366"/>
      <c r="BO51" s="366"/>
      <c r="BP51" s="366"/>
      <c r="BQ51" s="366"/>
      <c r="BR51" s="367"/>
    </row>
    <row r="52" spans="8:8" ht="18.0" customHeight="1">
      <c r="A52" s="393" t="e">
        <f ca="1">_xlfn.IFS(NOT(ISERROR(FIND("多哥",M7,1))),"🇹🇬",NOT(ISERROR(FIND("刚果布",M7,1))),"🇨🇬",NOT(ISERROR(FIND("刚果",M7,1))),"🇨🇩",NOT(ISERROR(FIND("加蓬",M7,1))),"🇬🇦",NOT(ISERROR(FIND("喀麦隆",M7,1))),"🇨🇲",NOT(ISERROR(FIND("马达加斯加",M7,1))),"🇲🇬",NOT(ISERROR(FIND("尼日尔",M7,1))),"🇳🇪",NOT(ISERROR(FIND("索马里",M7,1))),"🇸🇴",NOT(ISERROR(FIND("贝宁",M7,1))),"🇧🇯",NOT(ISERROR(FIND("布基纳法索",M7,1))),"🇧🇫",NOT(ISERROR(FIND("科特迪瓦",M7,1))),"🇨🇮",NOT(ISERROR(FIND("塞浦路斯",M7,1))),"🇨🇾",NOT(ISERROR(FIND("乍得",M7,1))),"🇹🇩",NOT(ISERROR(FIND("中非",M7,1))),"🇨🇫",NOT(ISERROR(FIND("塞内加尔",M7,1))),"🇸🇳",NOT(ISERROR(FIND("马里",M7,1))),"🇲🇱",NOT(ISERROR(FIND("尼日利亚",M7,1))),"🇳🇬",NOT(ISERROR(FIND("塞拉利昂",M7,1))),"🇸🇱",NOT(ISERROR(FIND("毛里塔尼亚",M7,1))),"🇲🇷",NOT(ISERROR(FIND("蒙古",M7,1))),"🇲🇳",NOT(ISERROR(FIND("坦桑尼亚",M7,1))),"🇹🇿",NOT(ISERROR(FIND("布隆迪",M7,1))),"🇧🇮",NOT(ISERROR(FIND("卢旺达",M7,1))),"🇷🇼",NOT(ISERROR(FIND("特立尼亚",M7,1))),"🇹🇹",NOT(ISERROR(FIND("多巴哥",M7,1))),"🇹🇹",NOT(ISERROR(FIND("牙买加",M7,1))),"🇯🇲",NOT(ISERROR(FIND("阿尔及利亚",M7,1))),"🇩🇿",NOT(ISERROR(FIND("乌干达",M7,1))),"🇺🇬",NOT(ISERROR(FIND("科威特",M7,1))),"🇰🇼",NOT(ISERROR(FIND("肯尼亚",M7,1))),"🇰🇪",NOT(ISERROR(FIND("马耳他",M7,1))),"🇲🇹",NOT(ISERROR(FIND("赞比亚",M7,1))),"🇿🇲",NOT(ISERROR(FIND("马拉维",M7,1))),"🇲🇼",NOT(ISNONTEXT(A53)),A53)</f>
        <v>#N/A</v>
      </c>
      <c r="B52" s="399" t="s">
        <v>157</v>
      </c>
      <c r="C52" s="400"/>
      <c r="D52" s="400"/>
      <c r="E52" s="400"/>
      <c r="F52" s="400"/>
      <c r="G52" s="400" t="s">
        <v>158</v>
      </c>
      <c r="H52" s="400"/>
      <c r="I52" s="400"/>
      <c r="J52" s="400"/>
      <c r="K52" s="400"/>
      <c r="L52" s="400"/>
      <c r="M52" s="400" t="s">
        <v>159</v>
      </c>
      <c r="N52" s="400"/>
      <c r="O52" s="400"/>
      <c r="P52" s="400"/>
      <c r="Q52" s="400" t="s">
        <v>160</v>
      </c>
      <c r="R52" s="400"/>
      <c r="S52" s="400"/>
      <c r="T52" s="400"/>
      <c r="U52" s="400"/>
      <c r="V52" s="400"/>
      <c r="W52" s="400" t="s">
        <v>161</v>
      </c>
      <c r="X52" s="400"/>
      <c r="Y52" s="400"/>
      <c r="Z52" s="400"/>
      <c r="AA52" s="401" t="s">
        <v>162</v>
      </c>
      <c r="AB52" s="401"/>
      <c r="AC52" s="401" t="s">
        <v>163</v>
      </c>
      <c r="AD52" s="401"/>
      <c r="AE52" s="401" t="s">
        <v>164</v>
      </c>
      <c r="AF52" s="401"/>
      <c r="AG52" s="401" t="s">
        <v>165</v>
      </c>
      <c r="AH52" s="401"/>
      <c r="AI52" s="401"/>
      <c r="AJ52" s="401" t="s">
        <v>166</v>
      </c>
      <c r="AK52" s="402"/>
      <c r="AM52" s="403" t="s">
        <v>167</v>
      </c>
      <c r="AN52" s="404"/>
      <c r="AO52" s="404"/>
      <c r="AP52" s="405" t="str">
        <f>附表!P9</f>
        <v>0</v>
      </c>
      <c r="AQ52" s="405"/>
      <c r="AR52" s="405"/>
      <c r="AS52" s="406"/>
      <c r="AT52" s="1"/>
      <c r="AU52" s="365"/>
      <c r="AV52" s="366"/>
      <c r="AW52" s="366"/>
      <c r="AX52" s="366"/>
      <c r="AY52" s="366"/>
      <c r="AZ52" s="366"/>
      <c r="BA52" s="366"/>
      <c r="BB52" s="366"/>
      <c r="BC52" s="366"/>
      <c r="BD52" s="366"/>
      <c r="BE52" s="366"/>
      <c r="BF52" s="366"/>
      <c r="BG52" s="366"/>
      <c r="BH52" s="366"/>
      <c r="BI52" s="366"/>
      <c r="BJ52" s="366"/>
      <c r="BK52" s="366"/>
      <c r="BL52" s="366"/>
      <c r="BM52" s="366"/>
      <c r="BN52" s="366"/>
      <c r="BO52" s="366"/>
      <c r="BP52" s="366"/>
      <c r="BQ52" s="366"/>
      <c r="BR52" s="367"/>
    </row>
    <row r="53" spans="8:8" ht="18.0" customHeight="1">
      <c r="A53" s="407" t="e">
        <f ca="1">_xlfn.IFS(NOT(ISERROR(FIND("新加坡",M7,1))),"🇸🇬",NOT(ISERROR(FIND("冈比亚",M7,1))),"🇬🇲",NOT(ISERROR(FIND("马尔代夫",M7,1))),"🇲🇻",NOT(ISERROR(FIND("圭亚那",M7,1))),"🇬🇾",NOT(ISERROR(FIND("莱索托",M7,1))),"🇱🇸",NOT(ISERROR(FIND("博茨瓦纳",M7,1))),"🇧🇼",NOT(ISERROR(FIND("巴巴多斯",M7,1))),"🇧🇧",NOT(ISERROR(FIND("毛里求斯",M7,1))),"🇲🇺",NOT(ISERROR(FIND("斯威士兰",M7,1))),"🇸🇿",NOT(ISERROR(FIND("赤道几内亚",M7,1))),"🇬🇶",NOT(ISERROR(FIND("斐济",M7,1))),"🇫🇯",NOT(ISERROR(FIND("巴林",M7,1))),"🇧🇭",NOT(ISERROR(FIND("不丹",M7,1))),"🇧🇹",NOT(ISERROR(FIND("卡塔尔",M7,1))),"🇶🇦",NOT(ISERROR(FIND("阿曼",M7,1))),"🇴🇲",NOT(ISERROR(FIND("巴哈马",M7,1))),"🇧🇸",NOT(ISERROR(FIND("孟加拉",M7,1))),"🇧🇩",NOT(ISERROR(FIND("格林纳达",M7,1))),"🇬🇩",NOT(ISERROR(FIND("佛得角",M7,1))),"🇨🇻",NOT(ISERROR(FIND("莫桑比克",M7,1))),"🇲🇿",NOT(ISERROR(FIND("圣多美",M7,1))),"🇸🇹",NOT(ISERROR(FIND("普林西比",M7,1))),"🇸🇹",NOT(ISERROR(FIND("巴布亚新几内亚",M7,1))),"🇵🇬",NOT(ISERROR(FIND("科摩罗",M7,1))),"🇰🇲",NOT(ISERROR(FIND("苏里南",M7,1))),"🇸🇷",NOT(ISERROR(FIND("塞舌尔",M7,1))),"🇸🇨",NOT(ISERROR(FIND("安哥拉",M7,1))),"🇦🇴",NOT(ISNONTEXT(A54)),A54)</f>
        <v>#N/A</v>
      </c>
      <c r="B53" s="408" t="s">
        <v>168</v>
      </c>
      <c r="C53" s="409"/>
      <c r="D53" s="409"/>
      <c r="E53" s="409"/>
      <c r="F53" s="409"/>
      <c r="G53" s="410" t="s">
        <v>169</v>
      </c>
      <c r="H53" s="410"/>
      <c r="I53" s="410"/>
      <c r="J53" s="410"/>
      <c r="K53" s="410"/>
      <c r="L53" s="410"/>
      <c r="M53" s="410" t="s">
        <v>116</v>
      </c>
      <c r="N53" s="410"/>
      <c r="O53" s="410"/>
      <c r="P53" s="410"/>
      <c r="Q53" s="411">
        <f>R34</f>
        <v>25.0</v>
      </c>
      <c r="R53" s="411"/>
      <c r="S53" s="410">
        <f>INT(Q53/2)</f>
        <v>12.0</v>
      </c>
      <c r="T53" s="410"/>
      <c r="U53" s="410">
        <f>INT(Q53/5)</f>
        <v>5.0</v>
      </c>
      <c r="V53" s="410"/>
      <c r="W53" s="410" t="s">
        <v>170</v>
      </c>
      <c r="X53" s="410"/>
      <c r="Y53" s="410"/>
      <c r="Z53" s="410"/>
      <c r="AA53" s="410" t="s">
        <v>88</v>
      </c>
      <c r="AB53" s="410"/>
      <c r="AC53" s="410" t="s">
        <v>171</v>
      </c>
      <c r="AD53" s="410"/>
      <c r="AE53" s="410">
        <v>1.0</v>
      </c>
      <c r="AF53" s="410"/>
      <c r="AG53" s="410" t="s">
        <v>88</v>
      </c>
      <c r="AH53" s="410"/>
      <c r="AI53" s="410"/>
      <c r="AJ53" s="410" t="s">
        <v>88</v>
      </c>
      <c r="AK53" s="412"/>
      <c r="AM53" s="403"/>
      <c r="AN53" s="404"/>
      <c r="AO53" s="404"/>
      <c r="AP53" s="405"/>
      <c r="AQ53" s="405"/>
      <c r="AR53" s="405"/>
      <c r="AS53" s="406"/>
      <c r="AT53" s="1"/>
      <c r="AU53" s="365"/>
      <c r="AV53" s="366"/>
      <c r="AW53" s="366"/>
      <c r="AX53" s="366"/>
      <c r="AY53" s="366"/>
      <c r="AZ53" s="366"/>
      <c r="BA53" s="366"/>
      <c r="BB53" s="366"/>
      <c r="BC53" s="366"/>
      <c r="BD53" s="366"/>
      <c r="BE53" s="366"/>
      <c r="BF53" s="366"/>
      <c r="BG53" s="366"/>
      <c r="BH53" s="366"/>
      <c r="BI53" s="366"/>
      <c r="BJ53" s="366"/>
      <c r="BK53" s="366"/>
      <c r="BL53" s="366"/>
      <c r="BM53" s="366"/>
      <c r="BN53" s="366"/>
      <c r="BO53" s="366"/>
      <c r="BP53" s="366"/>
      <c r="BQ53" s="366"/>
      <c r="BR53" s="367"/>
    </row>
    <row r="54" spans="8:8" ht="18.0" customHeight="1">
      <c r="A54" s="407" t="e">
        <f ca="1">_xlfn.IFS(NOT(ISERROR(FIND("萨摩亚",M7,1))),"🇼🇸",NOT(ISERROR(FIND("吉布提",M7,1))),"🇩🇯",NOT(ISERROR(FIND("所罗门群岛",M7,1))),"🇸🇧",NOT(ISERROR(FIND("多米尼克",M7,1))),"🇩🇲",NOT(ISERROR(FIND("圣卢西亚",M7,1))),"🇱🇨",NOT(ISERROR(FIND("津巴布韦",M7,1))),"🇿🇼",NOT(ISERROR(FIND("圣文森特",M7,1))),"🇻🇨",NOT(ISERROR(FIND("格林纳丁斯",M7,1))),"🇻🇨",NOT(ISERROR(FIND("瓦努阿图",M7,1))),"🇻🇺",NOT(ISERROR(FIND("伯利兹",M7,1))),"🇧🇿",NOT(ISERROR(FIND("安提瓜和",M7,1))),"🇦🇬",NOT(ISERROR(FIND("巴布达",M7,1))),"🇦🇬",NOT(ISERROR(FIND("圣基茨和",M7,1))),"🇰🇳",NOT(ISERROR(FIND("尼维斯",M7,1))),"🇰🇳",NOT(ISERROR(FIND("文莱",M7,1))),"🇧🇳",NOT(ISERROR(FIND("纳米比亚",M7,1))),"🇳🇦",NOT(ISERROR(FIND("列支敦士登",M7,1))),"🇱🇮",NOT(ISERROR(FIND("爱沙尼亚",M7,1))),"🇪🇪",NOT(ISERROR(FIND("拉脱维亚",M7,1))),"🇱🇻",NOT(ISERROR(FIND("立陶宛",M7,1))),"🇱🇹",NOT(ISERROR(FIND("马绍尔群岛",M7,1))),"🇲🇭",NOT(ISERROR(FIND("密克罗尼西亚",M7,1))),"🇫🇲",NOT(ISNONTEXT(A55)),A55)</f>
        <v>#N/A</v>
      </c>
      <c r="B54" s="413"/>
      <c r="C54" s="414"/>
      <c r="D54" s="414"/>
      <c r="E54" s="414"/>
      <c r="F54" s="414"/>
      <c r="G54" s="414"/>
      <c r="H54" s="414"/>
      <c r="I54" s="414"/>
      <c r="J54" s="414"/>
      <c r="K54" s="414"/>
      <c r="L54" s="414"/>
      <c r="M54" s="415" t="str">
        <f>IF($G54=0,"←请选择类型",VLOOKUP($G54,'武器列表 战斗'!$B$2:$I$105,2,FALSE))</f>
        <v>←请选择类型</v>
      </c>
      <c r="N54" s="415"/>
      <c r="O54" s="415"/>
      <c r="P54" s="415"/>
      <c r="Q54" s="416" t="str">
        <f>附表!AV15</f>
        <v/>
      </c>
      <c r="R54" s="416"/>
      <c r="S54" s="417" t="str">
        <f>IF(Q54="","",INT(Q54/2))</f>
        <v/>
      </c>
      <c r="T54" s="417"/>
      <c r="U54" s="417" t="str">
        <f>IF(Q54="","",INT(Q54/5))</f>
        <v/>
      </c>
      <c r="V54" s="417"/>
      <c r="W54" s="417" t="str">
        <f>IF($G54=0,"",VLOOKUP($G54,'武器列表 战斗'!$B$2:$I$105,3,FALSE))</f>
        <v/>
      </c>
      <c r="X54" s="417"/>
      <c r="Y54" s="417"/>
      <c r="Z54" s="417"/>
      <c r="AA54" s="417" t="str">
        <f>IF($G54=0,"",VLOOKUP($G54,'武器列表 战斗'!$B$2:$I$105,4,FALSE))</f>
        <v/>
      </c>
      <c r="AB54" s="417"/>
      <c r="AC54" s="417" t="str">
        <f>IF($G54=0,"",VLOOKUP($G54,'武器列表 战斗'!$B$2:$I$105,5,FALSE))</f>
        <v/>
      </c>
      <c r="AD54" s="417"/>
      <c r="AE54" s="417" t="str">
        <f>IF($G54=0,"",VLOOKUP($G54,'武器列表 战斗'!$B$2:$I$105,6,FALSE))</f>
        <v/>
      </c>
      <c r="AF54" s="417"/>
      <c r="AG54" s="417" t="str">
        <f>IF($G54=0,"",VLOOKUP($G54,'武器列表 战斗'!$B$2:$I$105,7,FALSE))</f>
        <v/>
      </c>
      <c r="AH54" s="417"/>
      <c r="AI54" s="417"/>
      <c r="AJ54" s="417" t="str">
        <f>IF($G54=0,"",VLOOKUP($G54,'武器列表 战斗'!$B$2:$I$105,8,FALSE))</f>
        <v/>
      </c>
      <c r="AK54" s="418"/>
      <c r="AM54" s="403"/>
      <c r="AN54" s="404"/>
      <c r="AO54" s="404"/>
      <c r="AP54" s="405"/>
      <c r="AQ54" s="405"/>
      <c r="AR54" s="405"/>
      <c r="AS54" s="406"/>
      <c r="AT54" s="1"/>
      <c r="AU54" s="365"/>
      <c r="AV54" s="366"/>
      <c r="AW54" s="366"/>
      <c r="AX54" s="366"/>
      <c r="AY54" s="366"/>
      <c r="AZ54" s="366"/>
      <c r="BA54" s="366"/>
      <c r="BB54" s="366"/>
      <c r="BC54" s="366"/>
      <c r="BD54" s="366"/>
      <c r="BE54" s="366"/>
      <c r="BF54" s="366"/>
      <c r="BG54" s="366"/>
      <c r="BH54" s="366"/>
      <c r="BI54" s="366"/>
      <c r="BJ54" s="366"/>
      <c r="BK54" s="366"/>
      <c r="BL54" s="366"/>
      <c r="BM54" s="366"/>
      <c r="BN54" s="366"/>
      <c r="BO54" s="366"/>
      <c r="BP54" s="366"/>
      <c r="BQ54" s="366"/>
      <c r="BR54" s="367"/>
    </row>
    <row r="55" spans="8:8" ht="18.0" customHeight="1">
      <c r="A55" s="407" t="e">
        <f ca="1">_xlfn.IFS(NOT(ISERROR(FIND("哈萨克斯坦",M7,1))),"🇰🇿",NOT(ISERROR(FIND("亚美尼亚",M7,1))),"🇦🇲",NOT(ISERROR(FIND("阿塞拜疆",M7,1))),"🇦🇿",NOT(ISERROR(FIND("吉尔吉斯斯坦",M7,1))),"🇰🇬",NOT(ISERROR(FIND("摩尔多瓦",M7,1))),"🇲🇩",NOT(ISERROR(FIND("圣马力诺",M7,1))),"🇸🇲",NOT(ISERROR(FIND("塔吉克斯坦",M7,1))),"🇹🇯",NOT(ISERROR(FIND("土库曼斯坦",M7,1))),"🇹🇲",NOT(ISERROR(FIND("乌兹别克斯坦",M7,1))),"🇺🇿",NOT(ISERROR(FIND("克罗地亚",M7,1))),"🇭🇷",NOT(ISERROR(FIND("波斯尼亚",M7,1))),"🇧🇦",NOT(ISERROR(FIND("黑塞哥维亚",M7,1))),"🇧🇦",NOT(ISERROR(FIND("斯洛文尼亚",M7,1))),"🇸🇮",NOT(ISERROR(FIND("格鲁吉亚",M7,1))),"🇬🇪",NOT(ISERROR(FIND("捷克斯洛伐克",M7,1))),"🇨🇿",NOT(ISERROR(FIND("捷克",M7,1))),"🇨🇿",NOT(ISERROR(FIND("斯洛伐克",M7,1))),"🇸🇰",NOT(ISERROR(FIND("北马其顿",M7,1))),"🇲🇰",NOT(ISERROR(FIND("厄立特里亚",M7,1))),"🇪🇷",NOT(ISERROR(FIND("摩纳哥",M7,1))),"🇲🇨")</f>
        <v>#N/A</v>
      </c>
      <c r="B55" s="408"/>
      <c r="C55" s="409"/>
      <c r="D55" s="409"/>
      <c r="E55" s="409"/>
      <c r="F55" s="409"/>
      <c r="G55" s="409"/>
      <c r="H55" s="409"/>
      <c r="I55" s="409"/>
      <c r="J55" s="409"/>
      <c r="K55" s="409"/>
      <c r="L55" s="409"/>
      <c r="M55" s="419" t="str">
        <f>IF($G55=0,IF(M54="←请选择类型","","←请选择类型"),VLOOKUP($G55,'武器列表 战斗'!$B$2:$I$105,2,FALSE))</f>
        <v/>
      </c>
      <c r="N55" s="419"/>
      <c r="O55" s="419"/>
      <c r="P55" s="419"/>
      <c r="Q55" s="419" t="str">
        <f>附表!AV16</f>
        <v/>
      </c>
      <c r="R55" s="419"/>
      <c r="S55" s="419" t="str">
        <f>IF(Q55="","",INT(Q55/2))</f>
        <v/>
      </c>
      <c r="T55" s="419"/>
      <c r="U55" s="419" t="str">
        <f>IF(Q55="","",INT(Q55/5))</f>
        <v/>
      </c>
      <c r="V55" s="419"/>
      <c r="W55" s="419" t="str">
        <f>IF($G55=0,"",VLOOKUP($G55,'武器列表 战斗'!$B$2:$I$105,3,FALSE))</f>
        <v/>
      </c>
      <c r="X55" s="419"/>
      <c r="Y55" s="419"/>
      <c r="Z55" s="419"/>
      <c r="AA55" s="419" t="str">
        <f>IF($G55=0,"",VLOOKUP($G55,'武器列表 战斗'!$B$2:$I$105,4,FALSE))</f>
        <v/>
      </c>
      <c r="AB55" s="419"/>
      <c r="AC55" s="419" t="str">
        <f>IF($G55=0,"",VLOOKUP($G55,'武器列表 战斗'!$B$2:$I$105,5,FALSE))</f>
        <v/>
      </c>
      <c r="AD55" s="419"/>
      <c r="AE55" s="419" t="str">
        <f>IF($G55=0,"",VLOOKUP($G55,'武器列表 战斗'!$B$2:$I$105,6,FALSE))</f>
        <v/>
      </c>
      <c r="AF55" s="419"/>
      <c r="AG55" s="419" t="str">
        <f>IF($G55=0,"",VLOOKUP($G55,'武器列表 战斗'!$B$2:$I$105,7,FALSE))</f>
        <v/>
      </c>
      <c r="AH55" s="419"/>
      <c r="AI55" s="419"/>
      <c r="AJ55" s="419" t="str">
        <f>IF($G55=0,"",VLOOKUP($G55,'武器列表 战斗'!$B$2:$I$105,8,FALSE))</f>
        <v/>
      </c>
      <c r="AK55" s="420"/>
      <c r="AM55" s="421" t="s">
        <v>172</v>
      </c>
      <c r="AN55" s="422"/>
      <c r="AO55" s="422"/>
      <c r="AP55" s="423" t="str">
        <f>附表!P7</f>
        <v>0</v>
      </c>
      <c r="AQ55" s="423"/>
      <c r="AR55" s="423"/>
      <c r="AS55" s="424"/>
      <c r="AT55" s="1"/>
      <c r="AU55" s="365"/>
      <c r="AV55" s="366"/>
      <c r="AW55" s="366"/>
      <c r="AX55" s="366"/>
      <c r="AY55" s="366"/>
      <c r="AZ55" s="366"/>
      <c r="BA55" s="366"/>
      <c r="BB55" s="366"/>
      <c r="BC55" s="366"/>
      <c r="BD55" s="366"/>
      <c r="BE55" s="366"/>
      <c r="BF55" s="366"/>
      <c r="BG55" s="366"/>
      <c r="BH55" s="366"/>
      <c r="BI55" s="366"/>
      <c r="BJ55" s="366"/>
      <c r="BK55" s="366"/>
      <c r="BL55" s="366"/>
      <c r="BM55" s="366"/>
      <c r="BN55" s="366"/>
      <c r="BO55" s="366"/>
      <c r="BP55" s="366"/>
      <c r="BQ55" s="366"/>
      <c r="BR55" s="367"/>
    </row>
    <row r="56" spans="8:8" ht="18.0" customHeight="1">
      <c r="A56" s="425"/>
      <c r="B56" s="413"/>
      <c r="C56" s="414"/>
      <c r="D56" s="414"/>
      <c r="E56" s="414"/>
      <c r="F56" s="414"/>
      <c r="G56" s="414"/>
      <c r="H56" s="414"/>
      <c r="I56" s="414"/>
      <c r="J56" s="414"/>
      <c r="K56" s="414"/>
      <c r="L56" s="414"/>
      <c r="M56" s="416" t="str">
        <f>IF($G56=0,IF(OR(M54="←请选择类型",M55="←请选择类型"),"","←请选择类型"),VLOOKUP($G56,'武器列表 战斗'!$B$2:$I$105,2,FALSE))</f>
        <v/>
      </c>
      <c r="N56" s="417"/>
      <c r="O56" s="417"/>
      <c r="P56" s="417"/>
      <c r="Q56" s="417" t="str">
        <f>附表!AV17</f>
        <v/>
      </c>
      <c r="R56" s="417"/>
      <c r="S56" s="415" t="str">
        <f>IF(Q56="","",INT(Q56/2))</f>
        <v/>
      </c>
      <c r="T56" s="415"/>
      <c r="U56" s="415" t="str">
        <f>IF(Q56="","",INT(Q56/5))</f>
        <v/>
      </c>
      <c r="V56" s="415"/>
      <c r="W56" s="417" t="str">
        <f>IF($G56=0,"",VLOOKUP($G56,'武器列表 战斗'!$B$2:$I$105,3,FALSE))</f>
        <v/>
      </c>
      <c r="X56" s="417"/>
      <c r="Y56" s="417"/>
      <c r="Z56" s="417"/>
      <c r="AA56" s="417" t="str">
        <f>IF($G56=0,"",VLOOKUP($G56,'武器列表 战斗'!$B$2:$I$105,4,FALSE))</f>
        <v/>
      </c>
      <c r="AB56" s="417"/>
      <c r="AC56" s="417" t="str">
        <f>IF($G56=0,"",VLOOKUP($G56,'武器列表 战斗'!$B$2:$I$105,5,FALSE))</f>
        <v/>
      </c>
      <c r="AD56" s="417"/>
      <c r="AE56" s="417" t="str">
        <f>IF($G56=0,"",VLOOKUP($G56,'武器列表 战斗'!$B$2:$I$105,6,FALSE))</f>
        <v/>
      </c>
      <c r="AF56" s="417"/>
      <c r="AG56" s="417" t="str">
        <f>IF($G56=0,"",VLOOKUP($G56,'武器列表 战斗'!$B$2:$I$105,7,FALSE))</f>
        <v/>
      </c>
      <c r="AH56" s="417"/>
      <c r="AI56" s="417"/>
      <c r="AJ56" s="417" t="str">
        <f>IF($G56=0,"",VLOOKUP($G56,'武器列表 战斗'!$B$2:$I$105,8,FALSE))</f>
        <v/>
      </c>
      <c r="AK56" s="418"/>
      <c r="AM56" s="421"/>
      <c r="AN56" s="422"/>
      <c r="AO56" s="422"/>
      <c r="AP56" s="423"/>
      <c r="AQ56" s="423"/>
      <c r="AR56" s="423"/>
      <c r="AS56" s="424"/>
      <c r="AT56" s="1"/>
      <c r="AU56" s="365"/>
      <c r="AV56" s="366"/>
      <c r="AW56" s="366"/>
      <c r="AX56" s="366"/>
      <c r="AY56" s="366"/>
      <c r="AZ56" s="366"/>
      <c r="BA56" s="366"/>
      <c r="BB56" s="366"/>
      <c r="BC56" s="366"/>
      <c r="BD56" s="366"/>
      <c r="BE56" s="366"/>
      <c r="BF56" s="366"/>
      <c r="BG56" s="366"/>
      <c r="BH56" s="366"/>
      <c r="BI56" s="366"/>
      <c r="BJ56" s="366"/>
      <c r="BK56" s="366"/>
      <c r="BL56" s="366"/>
      <c r="BM56" s="366"/>
      <c r="BN56" s="366"/>
      <c r="BO56" s="366"/>
      <c r="BP56" s="366"/>
      <c r="BQ56" s="366"/>
      <c r="BR56" s="367"/>
    </row>
    <row r="57" spans="8:8" ht="18.0" customHeight="1">
      <c r="A57" s="425"/>
      <c r="B57" s="408"/>
      <c r="C57" s="409"/>
      <c r="D57" s="409"/>
      <c r="E57" s="409"/>
      <c r="F57" s="409"/>
      <c r="G57" s="409"/>
      <c r="H57" s="409"/>
      <c r="I57" s="409"/>
      <c r="J57" s="409"/>
      <c r="K57" s="409"/>
      <c r="L57" s="409"/>
      <c r="M57" s="409"/>
      <c r="N57" s="409"/>
      <c r="O57" s="409"/>
      <c r="P57" s="409"/>
      <c r="Q57" s="409"/>
      <c r="R57" s="409"/>
      <c r="S57" s="426"/>
      <c r="T57" s="426"/>
      <c r="U57" s="426"/>
      <c r="V57" s="426"/>
      <c r="W57" s="409"/>
      <c r="X57" s="409"/>
      <c r="Y57" s="409"/>
      <c r="Z57" s="409"/>
      <c r="AA57" s="409"/>
      <c r="AB57" s="409"/>
      <c r="AC57" s="409"/>
      <c r="AD57" s="409"/>
      <c r="AE57" s="409"/>
      <c r="AF57" s="409"/>
      <c r="AG57" s="409"/>
      <c r="AH57" s="409"/>
      <c r="AI57" s="409"/>
      <c r="AJ57" s="409"/>
      <c r="AK57" s="427"/>
      <c r="AM57" s="403" t="s">
        <v>173</v>
      </c>
      <c r="AN57" s="404"/>
      <c r="AO57" s="404"/>
      <c r="AP57" s="428">
        <f>R29</f>
        <v>0.0</v>
      </c>
      <c r="AQ57" s="428"/>
      <c r="AR57" s="428">
        <f>T29</f>
        <v>0.0</v>
      </c>
      <c r="AS57" s="429"/>
      <c r="AT57" s="430"/>
      <c r="AU57" s="365"/>
      <c r="AV57" s="366"/>
      <c r="AW57" s="366"/>
      <c r="AX57" s="366"/>
      <c r="AY57" s="366"/>
      <c r="AZ57" s="366"/>
      <c r="BA57" s="366"/>
      <c r="BB57" s="366"/>
      <c r="BC57" s="366"/>
      <c r="BD57" s="366"/>
      <c r="BE57" s="366"/>
      <c r="BF57" s="366"/>
      <c r="BG57" s="366"/>
      <c r="BH57" s="366"/>
      <c r="BI57" s="366"/>
      <c r="BJ57" s="366"/>
      <c r="BK57" s="366"/>
      <c r="BL57" s="366"/>
      <c r="BM57" s="366"/>
      <c r="BN57" s="366"/>
      <c r="BO57" s="366"/>
      <c r="BP57" s="366"/>
      <c r="BQ57" s="366"/>
      <c r="BR57" s="367"/>
    </row>
    <row r="58" spans="8:8" ht="18.0" customHeight="1">
      <c r="A58" s="425"/>
      <c r="B58" s="431"/>
      <c r="C58" s="432"/>
      <c r="D58" s="432"/>
      <c r="E58" s="432"/>
      <c r="F58" s="432"/>
      <c r="G58" s="432"/>
      <c r="H58" s="432"/>
      <c r="I58" s="432"/>
      <c r="J58" s="432"/>
      <c r="K58" s="432"/>
      <c r="L58" s="432"/>
      <c r="M58" s="432"/>
      <c r="N58" s="432"/>
      <c r="O58" s="432"/>
      <c r="P58" s="432"/>
      <c r="Q58" s="432"/>
      <c r="R58" s="432"/>
      <c r="S58" s="433"/>
      <c r="T58" s="433"/>
      <c r="U58" s="433"/>
      <c r="V58" s="433"/>
      <c r="W58" s="432"/>
      <c r="X58" s="432"/>
      <c r="Y58" s="432"/>
      <c r="Z58" s="432"/>
      <c r="AA58" s="432"/>
      <c r="AB58" s="432"/>
      <c r="AC58" s="432"/>
      <c r="AD58" s="432"/>
      <c r="AE58" s="432"/>
      <c r="AF58" s="432"/>
      <c r="AG58" s="432"/>
      <c r="AH58" s="432"/>
      <c r="AI58" s="432"/>
      <c r="AJ58" s="434"/>
      <c r="AK58" s="435"/>
      <c r="AM58" s="436"/>
      <c r="AN58" s="437"/>
      <c r="AO58" s="437"/>
      <c r="AP58" s="438"/>
      <c r="AQ58" s="438"/>
      <c r="AR58" s="438">
        <f>V29</f>
        <v>0.0</v>
      </c>
      <c r="AS58" s="439"/>
      <c r="AT58" s="1"/>
      <c r="AU58" s="365"/>
      <c r="AV58" s="366"/>
      <c r="AW58" s="366"/>
      <c r="AX58" s="366"/>
      <c r="AY58" s="366"/>
      <c r="AZ58" s="366"/>
      <c r="BA58" s="366"/>
      <c r="BB58" s="366"/>
      <c r="BC58" s="366"/>
      <c r="BD58" s="366"/>
      <c r="BE58" s="366"/>
      <c r="BF58" s="366"/>
      <c r="BG58" s="366"/>
      <c r="BH58" s="366"/>
      <c r="BI58" s="366"/>
      <c r="BJ58" s="366"/>
      <c r="BK58" s="366"/>
      <c r="BL58" s="366"/>
      <c r="BM58" s="366"/>
      <c r="BN58" s="366"/>
      <c r="BO58" s="366"/>
      <c r="BP58" s="366"/>
      <c r="BQ58" s="366"/>
      <c r="BR58" s="367"/>
    </row>
    <row r="59" spans="8:8" ht="18.0" customHeight="1">
      <c r="A59" s="425"/>
      <c r="B59" s="440"/>
      <c r="C59" s="440"/>
      <c r="D59" s="440"/>
      <c r="E59" s="440"/>
      <c r="F59" s="440"/>
      <c r="G59" s="440"/>
      <c r="H59" s="440"/>
      <c r="I59" s="440"/>
      <c r="J59" s="440"/>
      <c r="K59" s="440"/>
      <c r="L59" s="440"/>
      <c r="M59" s="440"/>
      <c r="N59" s="440"/>
      <c r="O59" s="440"/>
      <c r="P59" s="440"/>
      <c r="Q59" s="440"/>
      <c r="R59" s="440"/>
      <c r="AH59" s="441"/>
      <c r="AT59" s="1"/>
      <c r="AU59" s="365"/>
      <c r="AV59" s="366"/>
      <c r="AW59" s="366"/>
      <c r="AX59" s="366"/>
      <c r="AY59" s="366"/>
      <c r="AZ59" s="366"/>
      <c r="BA59" s="366"/>
      <c r="BB59" s="366"/>
      <c r="BC59" s="366"/>
      <c r="BD59" s="366"/>
      <c r="BE59" s="366"/>
      <c r="BF59" s="366"/>
      <c r="BG59" s="366"/>
      <c r="BH59" s="366"/>
      <c r="BI59" s="366"/>
      <c r="BJ59" s="366"/>
      <c r="BK59" s="366"/>
      <c r="BL59" s="366"/>
      <c r="BM59" s="366"/>
      <c r="BN59" s="366"/>
      <c r="BO59" s="366"/>
      <c r="BP59" s="366"/>
      <c r="BQ59" s="366"/>
      <c r="BR59" s="367"/>
    </row>
    <row r="60" spans="8:8" ht="18.0" customHeight="1">
      <c r="A60" s="425"/>
      <c r="B60" s="3" t="s">
        <v>174</v>
      </c>
      <c r="C60" s="4"/>
      <c r="D60" s="4"/>
      <c r="E60" s="4"/>
      <c r="F60" s="4"/>
      <c r="G60" s="4"/>
      <c r="H60" s="4"/>
      <c r="I60" s="4"/>
      <c r="J60" s="4"/>
      <c r="K60" s="4"/>
      <c r="L60" s="4"/>
      <c r="M60" s="4"/>
      <c r="N60" s="4"/>
      <c r="O60" s="4"/>
      <c r="P60" s="4"/>
      <c r="Q60" s="4"/>
      <c r="R60" s="4"/>
      <c r="S60" s="4"/>
      <c r="T60" s="4"/>
      <c r="U60" s="5"/>
      <c r="W60" s="442" t="s">
        <v>5876</v>
      </c>
      <c r="X60" s="443"/>
      <c r="Y60" s="443"/>
      <c r="Z60" s="443"/>
      <c r="AA60" s="443"/>
      <c r="AB60" s="443"/>
      <c r="AC60" s="443"/>
      <c r="AD60" s="443"/>
      <c r="AE60" s="443"/>
      <c r="AF60" s="443"/>
      <c r="AG60" s="443"/>
      <c r="AH60" s="443"/>
      <c r="AI60" s="443"/>
      <c r="AJ60" s="443"/>
      <c r="AK60" s="443"/>
      <c r="AL60" s="443"/>
      <c r="AM60" s="443"/>
      <c r="AN60" s="443"/>
      <c r="AO60" s="443"/>
      <c r="AP60" s="443"/>
      <c r="AQ60" s="444"/>
      <c r="AR60" s="445" t="s">
        <v>5875</v>
      </c>
      <c r="AS60" s="446"/>
      <c r="AT60" s="1"/>
      <c r="AU60" s="365"/>
      <c r="AV60" s="366"/>
      <c r="AW60" s="366"/>
      <c r="AX60" s="366"/>
      <c r="AY60" s="366"/>
      <c r="AZ60" s="366"/>
      <c r="BA60" s="366"/>
      <c r="BB60" s="366"/>
      <c r="BC60" s="366"/>
      <c r="BD60" s="366"/>
      <c r="BE60" s="366"/>
      <c r="BF60" s="366"/>
      <c r="BG60" s="366"/>
      <c r="BH60" s="366"/>
      <c r="BI60" s="366"/>
      <c r="BJ60" s="366"/>
      <c r="BK60" s="366"/>
      <c r="BL60" s="366"/>
      <c r="BM60" s="366"/>
      <c r="BN60" s="366"/>
      <c r="BO60" s="366"/>
      <c r="BP60" s="366"/>
      <c r="BQ60" s="366"/>
      <c r="BR60" s="367"/>
    </row>
    <row r="61" spans="8:8" ht="18.0" customHeight="1">
      <c r="A61" s="425"/>
      <c r="B61" s="447" t="s">
        <v>90</v>
      </c>
      <c r="C61" s="448"/>
      <c r="D61" s="448"/>
      <c r="E61" s="448"/>
      <c r="F61" s="448" t="s">
        <v>176</v>
      </c>
      <c r="G61" s="448"/>
      <c r="H61" s="448"/>
      <c r="I61" s="448" t="s">
        <v>177</v>
      </c>
      <c r="J61" s="448"/>
      <c r="K61" s="449"/>
      <c r="L61" s="450" t="s">
        <v>178</v>
      </c>
      <c r="M61" s="448"/>
      <c r="N61" s="448"/>
      <c r="O61" s="448" t="s">
        <v>179</v>
      </c>
      <c r="P61" s="448"/>
      <c r="Q61" s="448"/>
      <c r="R61" s="448"/>
      <c r="S61" s="448" t="s">
        <v>180</v>
      </c>
      <c r="T61" s="448"/>
      <c r="U61" s="451"/>
      <c r="W61" s="452" t="s">
        <v>181</v>
      </c>
      <c r="X61" s="453"/>
      <c r="Y61" s="453"/>
      <c r="Z61" s="453"/>
      <c r="AA61" s="454"/>
      <c r="AB61" s="454"/>
      <c r="AC61" s="454"/>
      <c r="AD61" s="454"/>
      <c r="AE61" s="454"/>
      <c r="AF61" s="454"/>
      <c r="AG61" s="454"/>
      <c r="AH61" s="454"/>
      <c r="AI61" s="454"/>
      <c r="AJ61" s="454"/>
      <c r="AK61" s="454"/>
      <c r="AL61" s="454"/>
      <c r="AM61" s="454"/>
      <c r="AN61" s="454"/>
      <c r="AO61" s="454"/>
      <c r="AP61" s="454"/>
      <c r="AQ61" s="454"/>
      <c r="AR61" s="455" t="s">
        <v>56</v>
      </c>
      <c r="AS61" s="456"/>
      <c r="AT61" s="1"/>
      <c r="AU61" s="457"/>
      <c r="AV61" s="458"/>
      <c r="AW61" s="458"/>
      <c r="AX61" s="458"/>
      <c r="AY61" s="458"/>
      <c r="AZ61" s="458"/>
      <c r="BA61" s="458"/>
      <c r="BB61" s="458"/>
      <c r="BC61" s="458"/>
      <c r="BD61" s="458"/>
      <c r="BE61" s="458"/>
      <c r="BF61" s="458"/>
      <c r="BG61" s="458"/>
      <c r="BH61" s="458"/>
      <c r="BI61" s="458"/>
      <c r="BJ61" s="458"/>
      <c r="BK61" s="458"/>
      <c r="BL61" s="458"/>
      <c r="BM61" s="458"/>
      <c r="BN61" s="458"/>
      <c r="BO61" s="458"/>
      <c r="BP61" s="458"/>
      <c r="BQ61" s="458"/>
      <c r="BR61" s="459"/>
    </row>
    <row r="62" spans="8:8" ht="18.0" customHeight="1">
      <c r="A62" s="425"/>
      <c r="B62" s="460" t="str">
        <f>附表!Z223</f>
        <v>0%/0%/0%</v>
      </c>
      <c r="C62" s="410"/>
      <c r="D62" s="410"/>
      <c r="E62" s="410"/>
      <c r="F62" s="410" t="str">
        <f>附表!Z225</f>
        <v>身无分文</v>
      </c>
      <c r="G62" s="410"/>
      <c r="H62" s="410"/>
      <c r="I62" s="409" t="str">
        <f>附表!AE240</f>
        <v>0.5</v>
      </c>
      <c r="J62" s="409"/>
      <c r="K62" s="461"/>
      <c r="L62" s="462" t="str">
        <f>附表!AG240</f>
        <v>没有</v>
      </c>
      <c r="M62" s="409"/>
      <c r="N62" s="409"/>
      <c r="O62" s="409" t="str">
        <f>附表!AF240</f>
        <v>0.5</v>
      </c>
      <c r="P62" s="409"/>
      <c r="Q62" s="409"/>
      <c r="R62" s="409"/>
      <c r="S62" s="463" t="s">
        <v>182</v>
      </c>
      <c r="T62" s="463"/>
      <c r="U62" s="464"/>
      <c r="W62" s="452"/>
      <c r="X62" s="453"/>
      <c r="Y62" s="453"/>
      <c r="Z62" s="453"/>
      <c r="AA62" s="454"/>
      <c r="AB62" s="454"/>
      <c r="AC62" s="454"/>
      <c r="AD62" s="454"/>
      <c r="AE62" s="454"/>
      <c r="AF62" s="454"/>
      <c r="AG62" s="454"/>
      <c r="AH62" s="454"/>
      <c r="AI62" s="454"/>
      <c r="AJ62" s="454"/>
      <c r="AK62" s="454"/>
      <c r="AL62" s="454"/>
      <c r="AM62" s="454"/>
      <c r="AN62" s="454"/>
      <c r="AO62" s="454"/>
      <c r="AP62" s="454"/>
      <c r="AQ62" s="454"/>
      <c r="AR62" s="465"/>
      <c r="AS62" s="466"/>
      <c r="AT62" s="467"/>
      <c r="AU62" s="16" t="str">
        <f>IF(附表!AE22="仅显示1890_2012","时代介绍仅显示1890_2012这段时间","时代介绍")</f>
        <v>时代介绍</v>
      </c>
      <c r="AV62" s="17"/>
      <c r="AW62" s="17"/>
      <c r="AX62" s="17"/>
      <c r="AY62" s="17"/>
      <c r="AZ62" s="17"/>
      <c r="BA62" s="17"/>
      <c r="BB62" s="17"/>
      <c r="BC62" s="17"/>
      <c r="BD62" s="17"/>
      <c r="BE62" s="17"/>
      <c r="BF62" s="17"/>
      <c r="BG62" s="17"/>
      <c r="BH62" s="17"/>
      <c r="BI62" s="17"/>
      <c r="BJ62" s="17"/>
      <c r="BK62" s="17"/>
      <c r="BL62" s="17"/>
      <c r="BM62" s="17"/>
      <c r="BN62" s="17"/>
      <c r="BO62" s="17"/>
      <c r="BP62" s="17"/>
      <c r="BQ62" s="17"/>
      <c r="BR62" s="18"/>
    </row>
    <row r="63" spans="8:8" ht="18.0" customHeight="1">
      <c r="A63" s="425"/>
      <c r="B63" s="468" t="str">
        <f>IF(R26&lt;=0,"连贫穷都够不上的人才能够叫做身无分文。住所：大概只有睡大街。旅行：步行，扒车或逃票上火车轮船。",IF(R26&lt;=9,"刚好买得起最廉价的屋顶，每天能够吃到一餐廉价食物。住所：最最最廉价的出租屋或睡袋旅馆。旅行：最便宜的公众运输方式。反正只要赶便宜就对了，与之相伴的是不可靠。",IF(R26&lt;=49,"舒适的生活水平，一日三餐，偶尔下馆子。住所：普通的家或公寓，无论是租赁还是自购。外出住普通的旅馆。旅行：会使用普通的旅行方式，不会用最高级。在现代来看，大概会有一辆自己的小车。",IF(R26&lt;=89,"小康级别已经可以享受奢侈品的舒适了。住所：真材实料的住地，也许会有一些仆人（管家，主妇，清洁工，园丁，等等）。乡下估计还有小别墅。会住昂贵的宾馆。旅行：头等舱。会买高档车或同等的交通工具。",IF(R26&lt;=98,"富裕级别就是享受超级奢侈品的时候了。住所：豪华住所和有着大量仆人的庭院。乡下和别处有着别墅是定番。住总统套房。旅行：头等舱。现代社会估摸还会有很多豪车。",IF(R26=99,"与富裕差不多，但钱已经只是一个代号了。你将是世界上最富有的人。","请正确分配您的技能点！"))))))</f>
        <v>连贫穷都够不上的人才能够叫做身无分文。住所：大概只有睡大街。旅行：步行，扒车或逃票上火车轮船。</v>
      </c>
      <c r="C63" s="469"/>
      <c r="D63" s="469"/>
      <c r="E63" s="469"/>
      <c r="F63" s="469"/>
      <c r="G63" s="469"/>
      <c r="H63" s="469"/>
      <c r="I63" s="469"/>
      <c r="J63" s="469"/>
      <c r="K63" s="470"/>
      <c r="L63" s="471" t="s">
        <v>183</v>
      </c>
      <c r="M63" s="472"/>
      <c r="N63" s="472"/>
      <c r="O63" s="472"/>
      <c r="P63" s="472"/>
      <c r="Q63" s="472"/>
      <c r="R63" s="472"/>
      <c r="S63" s="472"/>
      <c r="T63" s="472"/>
      <c r="U63" s="473"/>
      <c r="W63" s="19" t="s">
        <v>184</v>
      </c>
      <c r="X63" s="20"/>
      <c r="Y63" s="20"/>
      <c r="Z63" s="20"/>
      <c r="AA63" s="474"/>
      <c r="AB63" s="474"/>
      <c r="AC63" s="474"/>
      <c r="AD63" s="474"/>
      <c r="AE63" s="474"/>
      <c r="AF63" s="474"/>
      <c r="AG63" s="474"/>
      <c r="AH63" s="474"/>
      <c r="AI63" s="474"/>
      <c r="AJ63" s="474"/>
      <c r="AK63" s="474"/>
      <c r="AL63" s="474"/>
      <c r="AM63" s="474"/>
      <c r="AN63" s="474"/>
      <c r="AO63" s="474"/>
      <c r="AP63" s="474"/>
      <c r="AQ63" s="474"/>
      <c r="AR63" s="475" t="s">
        <v>56</v>
      </c>
      <c r="AS63" s="476"/>
      <c r="AT63" s="1"/>
      <c r="AU63" s="477" t="s">
        <v>185</v>
      </c>
      <c r="AV63" s="478"/>
      <c r="AW63" s="478"/>
      <c r="AX63" s="478"/>
      <c r="AY63" s="478"/>
      <c r="AZ63" s="478" t="s">
        <v>186</v>
      </c>
      <c r="BA63" s="478"/>
      <c r="BB63" s="478"/>
      <c r="BC63" s="478"/>
      <c r="BD63" s="478"/>
      <c r="BE63" s="478"/>
      <c r="BF63" s="478" t="s">
        <v>187</v>
      </c>
      <c r="BG63" s="478"/>
      <c r="BH63" s="478"/>
      <c r="BI63" s="478"/>
      <c r="BJ63" s="478"/>
      <c r="BK63" s="478"/>
      <c r="BL63" s="478" t="s">
        <v>185</v>
      </c>
      <c r="BM63" s="478"/>
      <c r="BN63" s="478"/>
      <c r="BO63" s="478"/>
      <c r="BP63" s="478"/>
      <c r="BQ63" s="478"/>
      <c r="BR63" s="479"/>
    </row>
    <row r="64" spans="8:8" ht="18.0" customHeight="1">
      <c r="A64" s="425"/>
      <c r="B64" s="468"/>
      <c r="C64" s="469"/>
      <c r="D64" s="469"/>
      <c r="E64" s="469"/>
      <c r="F64" s="469"/>
      <c r="G64" s="469"/>
      <c r="H64" s="469"/>
      <c r="I64" s="469"/>
      <c r="J64" s="469"/>
      <c r="K64" s="470"/>
      <c r="L64" s="471"/>
      <c r="M64" s="472"/>
      <c r="N64" s="472"/>
      <c r="O64" s="472"/>
      <c r="P64" s="472"/>
      <c r="Q64" s="472"/>
      <c r="R64" s="472"/>
      <c r="S64" s="472"/>
      <c r="T64" s="472"/>
      <c r="U64" s="473"/>
      <c r="W64" s="19"/>
      <c r="X64" s="20"/>
      <c r="Y64" s="20"/>
      <c r="Z64" s="20"/>
      <c r="AA64" s="474"/>
      <c r="AB64" s="474"/>
      <c r="AC64" s="474"/>
      <c r="AD64" s="474"/>
      <c r="AE64" s="474"/>
      <c r="AF64" s="474"/>
      <c r="AG64" s="474"/>
      <c r="AH64" s="474"/>
      <c r="AI64" s="474"/>
      <c r="AJ64" s="474"/>
      <c r="AK64" s="474"/>
      <c r="AL64" s="474"/>
      <c r="AM64" s="474"/>
      <c r="AN64" s="474"/>
      <c r="AO64" s="474"/>
      <c r="AP64" s="474"/>
      <c r="AQ64" s="474"/>
      <c r="AR64" s="480"/>
      <c r="AS64" s="481"/>
      <c r="AT64" s="1"/>
      <c r="AU64" s="482" t="str">
        <f>IF(E8="公元","A.C."&amp;G8,"B.C."&amp;G8)</f>
        <v>A.C.</v>
      </c>
      <c r="AV64" s="483"/>
      <c r="AW64" s="483"/>
      <c r="AX64" s="483"/>
      <c r="AY64" s="483"/>
      <c r="AZ64" s="484" t="str">
        <f>_xlfn.IFNA(附表!AF22,"")</f>
        <v/>
      </c>
      <c r="BA64" s="484"/>
      <c r="BB64" s="484"/>
      <c r="BC64" s="484"/>
      <c r="BD64" s="484"/>
      <c r="BE64" s="484"/>
      <c r="BF64" s="485" t="str">
        <f>_xlfn.IFNA(附表!AI22,"")</f>
        <v/>
      </c>
      <c r="BG64" s="485"/>
      <c r="BH64" s="485"/>
      <c r="BI64" s="485"/>
      <c r="BJ64" s="485"/>
      <c r="BK64" s="485"/>
      <c r="BL64" s="484" t="str">
        <f>_xlfn.IFNA(附表!AL22,"")</f>
        <v/>
      </c>
      <c r="BM64" s="484"/>
      <c r="BN64" s="484"/>
      <c r="BO64" s="484"/>
      <c r="BP64" s="484"/>
      <c r="BQ64" s="484"/>
      <c r="BR64" s="486"/>
    </row>
    <row r="65" spans="8:8" ht="18.0" customHeight="1">
      <c r="A65" s="425"/>
      <c r="B65" s="468"/>
      <c r="C65" s="469"/>
      <c r="D65" s="469"/>
      <c r="E65" s="469"/>
      <c r="F65" s="469"/>
      <c r="G65" s="469"/>
      <c r="H65" s="469"/>
      <c r="I65" s="469"/>
      <c r="J65" s="469"/>
      <c r="K65" s="470"/>
      <c r="L65" s="471"/>
      <c r="M65" s="472"/>
      <c r="N65" s="472"/>
      <c r="O65" s="472"/>
      <c r="P65" s="472"/>
      <c r="Q65" s="472"/>
      <c r="R65" s="472"/>
      <c r="S65" s="472"/>
      <c r="T65" s="472"/>
      <c r="U65" s="473"/>
      <c r="W65" s="38" t="s">
        <v>188</v>
      </c>
      <c r="X65" s="39"/>
      <c r="Y65" s="39"/>
      <c r="Z65" s="39"/>
      <c r="AA65" s="487"/>
      <c r="AB65" s="487"/>
      <c r="AC65" s="487"/>
      <c r="AD65" s="487"/>
      <c r="AE65" s="487"/>
      <c r="AF65" s="487"/>
      <c r="AG65" s="487"/>
      <c r="AH65" s="487"/>
      <c r="AI65" s="487"/>
      <c r="AJ65" s="487"/>
      <c r="AK65" s="487"/>
      <c r="AL65" s="487"/>
      <c r="AM65" s="487"/>
      <c r="AN65" s="487"/>
      <c r="AO65" s="487"/>
      <c r="AP65" s="487"/>
      <c r="AQ65" s="487"/>
      <c r="AR65" s="488" t="s">
        <v>56</v>
      </c>
      <c r="AS65" s="489"/>
      <c r="AT65" s="1"/>
      <c r="AU65" s="482"/>
      <c r="AV65" s="483"/>
      <c r="AW65" s="483"/>
      <c r="AX65" s="490"/>
      <c r="AY65" s="490"/>
      <c r="AZ65" s="491" t="str">
        <f>_xlfn.IFNA(附表!AG22,"")</f>
        <v/>
      </c>
      <c r="BA65" s="491"/>
      <c r="BB65" s="491"/>
      <c r="BC65" s="491"/>
      <c r="BD65" s="491"/>
      <c r="BE65" s="491"/>
      <c r="BF65" s="491" t="str">
        <f>_xlfn.IFNA(附表!AJ22,"")</f>
        <v/>
      </c>
      <c r="BG65" s="491"/>
      <c r="BH65" s="491"/>
      <c r="BI65" s="491"/>
      <c r="BJ65" s="491"/>
      <c r="BK65" s="491"/>
      <c r="BL65" s="491" t="str">
        <f>_xlfn.IFNA(附表!AM22,"")</f>
        <v/>
      </c>
      <c r="BM65" s="491"/>
      <c r="BN65" s="491"/>
      <c r="BO65" s="491"/>
      <c r="BP65" s="491"/>
      <c r="BQ65" s="491"/>
      <c r="BR65" s="492"/>
    </row>
    <row r="66" spans="8:8" ht="18.0" customHeight="1">
      <c r="A66" s="425"/>
      <c r="B66" s="468"/>
      <c r="C66" s="469"/>
      <c r="D66" s="469"/>
      <c r="E66" s="469"/>
      <c r="F66" s="469"/>
      <c r="G66" s="469"/>
      <c r="H66" s="469"/>
      <c r="I66" s="469"/>
      <c r="J66" s="469"/>
      <c r="K66" s="470"/>
      <c r="L66" s="471"/>
      <c r="M66" s="472"/>
      <c r="N66" s="472"/>
      <c r="O66" s="472"/>
      <c r="P66" s="472"/>
      <c r="Q66" s="472"/>
      <c r="R66" s="472"/>
      <c r="S66" s="472"/>
      <c r="T66" s="472"/>
      <c r="U66" s="473"/>
      <c r="W66" s="38"/>
      <c r="X66" s="39"/>
      <c r="Y66" s="39"/>
      <c r="Z66" s="39"/>
      <c r="AA66" s="487"/>
      <c r="AB66" s="487"/>
      <c r="AC66" s="487"/>
      <c r="AD66" s="487"/>
      <c r="AE66" s="487"/>
      <c r="AF66" s="487"/>
      <c r="AG66" s="487"/>
      <c r="AH66" s="487"/>
      <c r="AI66" s="487"/>
      <c r="AJ66" s="487"/>
      <c r="AK66" s="487"/>
      <c r="AL66" s="487"/>
      <c r="AM66" s="487"/>
      <c r="AN66" s="487"/>
      <c r="AO66" s="487"/>
      <c r="AP66" s="487"/>
      <c r="AQ66" s="487"/>
      <c r="AR66" s="488"/>
      <c r="AS66" s="489"/>
      <c r="AT66" s="1"/>
      <c r="AU66" s="482"/>
      <c r="AV66" s="483"/>
      <c r="AW66" s="483"/>
      <c r="AX66" s="493"/>
      <c r="AY66" s="493"/>
      <c r="AZ66" s="494" t="str">
        <f>_xlfn.IFNA(附表!AH22,"")</f>
        <v/>
      </c>
      <c r="BA66" s="494"/>
      <c r="BB66" s="494"/>
      <c r="BC66" s="494"/>
      <c r="BD66" s="494"/>
      <c r="BE66" s="494"/>
      <c r="BF66" s="494" t="str">
        <f>_xlfn.IFNA(附表!AK22,"")</f>
        <v/>
      </c>
      <c r="BG66" s="494"/>
      <c r="BH66" s="494"/>
      <c r="BI66" s="494"/>
      <c r="BJ66" s="494"/>
      <c r="BK66" s="494"/>
      <c r="BL66" s="494" t="str">
        <f>_xlfn.IFNA(附表!AN22,"")</f>
        <v/>
      </c>
      <c r="BM66" s="494"/>
      <c r="BN66" s="494"/>
      <c r="BO66" s="494"/>
      <c r="BP66" s="494"/>
      <c r="BQ66" s="494"/>
      <c r="BR66" s="495"/>
    </row>
    <row r="67" spans="8:8" ht="18.0" customHeight="1">
      <c r="A67" s="425"/>
      <c r="B67" s="496"/>
      <c r="C67" s="497"/>
      <c r="D67" s="497"/>
      <c r="E67" s="497"/>
      <c r="F67" s="497"/>
      <c r="G67" s="497"/>
      <c r="H67" s="497"/>
      <c r="I67" s="497"/>
      <c r="J67" s="497"/>
      <c r="K67" s="498"/>
      <c r="L67" s="499"/>
      <c r="M67" s="500"/>
      <c r="N67" s="500"/>
      <c r="O67" s="500"/>
      <c r="P67" s="500"/>
      <c r="Q67" s="500"/>
      <c r="R67" s="500"/>
      <c r="S67" s="500"/>
      <c r="T67" s="500"/>
      <c r="U67" s="501"/>
      <c r="W67" s="53" t="s">
        <v>189</v>
      </c>
      <c r="X67" s="46"/>
      <c r="Y67" s="46"/>
      <c r="Z67" s="46"/>
      <c r="AA67" s="474"/>
      <c r="AB67" s="474"/>
      <c r="AC67" s="474"/>
      <c r="AD67" s="474"/>
      <c r="AE67" s="474"/>
      <c r="AF67" s="474"/>
      <c r="AG67" s="474"/>
      <c r="AH67" s="474"/>
      <c r="AI67" s="474"/>
      <c r="AJ67" s="474"/>
      <c r="AK67" s="474"/>
      <c r="AL67" s="474"/>
      <c r="AM67" s="474"/>
      <c r="AN67" s="474"/>
      <c r="AO67" s="474"/>
      <c r="AP67" s="474"/>
      <c r="AQ67" s="474"/>
      <c r="AR67" s="502" t="s">
        <v>56</v>
      </c>
      <c r="AS67" s="503"/>
      <c r="AT67" s="1"/>
      <c r="AU67" s="504" t="s">
        <v>190</v>
      </c>
      <c r="AV67" s="505"/>
      <c r="AW67" s="505"/>
      <c r="AX67" s="505"/>
      <c r="AY67" s="505"/>
      <c r="AZ67" s="505"/>
      <c r="BA67" s="505"/>
      <c r="BB67" s="505"/>
      <c r="BC67" s="505"/>
      <c r="BD67" s="505"/>
      <c r="BE67" s="505"/>
      <c r="BF67" s="505"/>
      <c r="BG67" s="505"/>
      <c r="BH67" s="505"/>
      <c r="BI67" s="505"/>
      <c r="BJ67" s="505"/>
      <c r="BK67" s="505"/>
      <c r="BL67" s="505"/>
      <c r="BM67" s="505"/>
      <c r="BN67" s="505"/>
      <c r="BO67" s="505"/>
      <c r="BP67" s="505"/>
      <c r="BQ67" s="505"/>
      <c r="BR67" s="506"/>
    </row>
    <row r="68" spans="8:8" ht="18.0" customHeight="1">
      <c r="A68" s="467"/>
      <c r="B68" s="3" t="s">
        <v>191</v>
      </c>
      <c r="C68" s="4"/>
      <c r="D68" s="4"/>
      <c r="E68" s="4"/>
      <c r="F68" s="4"/>
      <c r="G68" s="4"/>
      <c r="H68" s="4"/>
      <c r="I68" s="4"/>
      <c r="J68" s="4"/>
      <c r="K68" s="4"/>
      <c r="L68" s="4"/>
      <c r="M68" s="4"/>
      <c r="N68" s="4"/>
      <c r="O68" s="4"/>
      <c r="P68" s="4"/>
      <c r="Q68" s="4"/>
      <c r="R68" s="4"/>
      <c r="S68" s="4"/>
      <c r="T68" s="4"/>
      <c r="U68" s="5"/>
      <c r="W68" s="53"/>
      <c r="X68" s="46"/>
      <c r="Y68" s="46"/>
      <c r="Z68" s="46"/>
      <c r="AA68" s="474"/>
      <c r="AB68" s="474"/>
      <c r="AC68" s="474"/>
      <c r="AD68" s="474"/>
      <c r="AE68" s="474"/>
      <c r="AF68" s="474"/>
      <c r="AG68" s="474"/>
      <c r="AH68" s="474"/>
      <c r="AI68" s="474"/>
      <c r="AJ68" s="474"/>
      <c r="AK68" s="474"/>
      <c r="AL68" s="474"/>
      <c r="AM68" s="474"/>
      <c r="AN68" s="474"/>
      <c r="AO68" s="474"/>
      <c r="AP68" s="474"/>
      <c r="AQ68" s="474"/>
      <c r="AR68" s="502"/>
      <c r="AS68" s="503"/>
      <c r="AT68" s="1"/>
      <c r="AU68" s="507" t="str">
        <f>_xlfn.IFNA(附表!AO22,"")</f>
        <v/>
      </c>
      <c r="AV68" s="508"/>
      <c r="AW68" s="508"/>
      <c r="AX68" s="508"/>
      <c r="AY68" s="508"/>
      <c r="AZ68" s="508"/>
      <c r="BA68" s="508"/>
      <c r="BB68" s="508"/>
      <c r="BC68" s="508"/>
      <c r="BD68" s="508"/>
      <c r="BE68" s="508"/>
      <c r="BF68" s="508"/>
      <c r="BG68" s="508"/>
      <c r="BH68" s="508"/>
      <c r="BI68" s="508"/>
      <c r="BJ68" s="508"/>
      <c r="BK68" s="508"/>
      <c r="BL68" s="508"/>
      <c r="BM68" s="508"/>
      <c r="BN68" s="508"/>
      <c r="BO68" s="508"/>
      <c r="BP68" s="508"/>
      <c r="BQ68" s="508"/>
      <c r="BR68" s="509"/>
    </row>
    <row r="69" spans="8:8" ht="18.0" customHeight="1">
      <c r="A69" s="467"/>
      <c r="B69" s="510" t="s">
        <v>192</v>
      </c>
      <c r="C69" s="208"/>
      <c r="D69" s="208"/>
      <c r="E69" s="208"/>
      <c r="F69" s="208" t="s">
        <v>193</v>
      </c>
      <c r="G69" s="208"/>
      <c r="H69" s="208"/>
      <c r="I69" s="208"/>
      <c r="J69" s="208" t="s">
        <v>194</v>
      </c>
      <c r="K69" s="208"/>
      <c r="L69" s="208"/>
      <c r="M69" s="208"/>
      <c r="N69" s="208" t="s">
        <v>195</v>
      </c>
      <c r="O69" s="208"/>
      <c r="P69" s="208"/>
      <c r="Q69" s="208"/>
      <c r="R69" s="208" t="s">
        <v>196</v>
      </c>
      <c r="S69" s="208"/>
      <c r="T69" s="208"/>
      <c r="U69" s="212"/>
      <c r="W69" s="38" t="s">
        <v>197</v>
      </c>
      <c r="X69" s="39"/>
      <c r="Y69" s="39"/>
      <c r="Z69" s="39"/>
      <c r="AA69" s="487"/>
      <c r="AB69" s="487"/>
      <c r="AC69" s="487"/>
      <c r="AD69" s="487"/>
      <c r="AE69" s="487"/>
      <c r="AF69" s="487"/>
      <c r="AG69" s="487"/>
      <c r="AH69" s="487"/>
      <c r="AI69" s="487"/>
      <c r="AJ69" s="487"/>
      <c r="AK69" s="487"/>
      <c r="AL69" s="487"/>
      <c r="AM69" s="487"/>
      <c r="AN69" s="487"/>
      <c r="AO69" s="487"/>
      <c r="AP69" s="487"/>
      <c r="AQ69" s="487"/>
      <c r="AR69" s="488" t="s">
        <v>56</v>
      </c>
      <c r="AS69" s="489"/>
      <c r="AT69" s="1"/>
      <c r="AU69" s="511"/>
      <c r="AV69" s="512"/>
      <c r="AW69" s="512"/>
      <c r="AX69" s="512"/>
      <c r="AY69" s="512"/>
      <c r="AZ69" s="512"/>
      <c r="BA69" s="512"/>
      <c r="BB69" s="512"/>
      <c r="BC69" s="512"/>
      <c r="BD69" s="512"/>
      <c r="BE69" s="512"/>
      <c r="BF69" s="512"/>
      <c r="BG69" s="512"/>
      <c r="BH69" s="512"/>
      <c r="BI69" s="512"/>
      <c r="BJ69" s="512"/>
      <c r="BK69" s="512"/>
      <c r="BL69" s="512"/>
      <c r="BM69" s="512"/>
      <c r="BN69" s="512"/>
      <c r="BO69" s="512"/>
      <c r="BP69" s="512"/>
      <c r="BQ69" s="512"/>
      <c r="BR69" s="513"/>
    </row>
    <row r="70" spans="8:8" ht="18.0" customHeight="1">
      <c r="A70" s="467"/>
      <c r="B70" s="514"/>
      <c r="C70" s="515"/>
      <c r="D70" s="515"/>
      <c r="E70" s="515"/>
      <c r="F70" s="515"/>
      <c r="G70" s="515"/>
      <c r="H70" s="515"/>
      <c r="I70" s="515"/>
      <c r="J70" s="515"/>
      <c r="K70" s="515"/>
      <c r="L70" s="515"/>
      <c r="M70" s="515"/>
      <c r="N70" s="515"/>
      <c r="O70" s="515"/>
      <c r="P70" s="515"/>
      <c r="Q70" s="515"/>
      <c r="R70" s="50"/>
      <c r="S70" s="50"/>
      <c r="T70" s="50"/>
      <c r="U70" s="21"/>
      <c r="W70" s="38"/>
      <c r="X70" s="39"/>
      <c r="Y70" s="39"/>
      <c r="Z70" s="39"/>
      <c r="AA70" s="487"/>
      <c r="AB70" s="487"/>
      <c r="AC70" s="487"/>
      <c r="AD70" s="487"/>
      <c r="AE70" s="487"/>
      <c r="AF70" s="487"/>
      <c r="AG70" s="487"/>
      <c r="AH70" s="487"/>
      <c r="AI70" s="487"/>
      <c r="AJ70" s="487"/>
      <c r="AK70" s="487"/>
      <c r="AL70" s="487"/>
      <c r="AM70" s="487"/>
      <c r="AN70" s="487"/>
      <c r="AO70" s="487"/>
      <c r="AP70" s="487"/>
      <c r="AQ70" s="487"/>
      <c r="AR70" s="488"/>
      <c r="AS70" s="489"/>
      <c r="AT70" s="1"/>
      <c r="AU70" s="511"/>
      <c r="AV70" s="512"/>
      <c r="AW70" s="512"/>
      <c r="AX70" s="512"/>
      <c r="AY70" s="512"/>
      <c r="AZ70" s="512"/>
      <c r="BA70" s="512"/>
      <c r="BB70" s="512"/>
      <c r="BC70" s="512"/>
      <c r="BD70" s="512"/>
      <c r="BE70" s="512"/>
      <c r="BF70" s="512"/>
      <c r="BG70" s="512"/>
      <c r="BH70" s="512"/>
      <c r="BI70" s="512"/>
      <c r="BJ70" s="512"/>
      <c r="BK70" s="512"/>
      <c r="BL70" s="512"/>
      <c r="BM70" s="512"/>
      <c r="BN70" s="512"/>
      <c r="BO70" s="512"/>
      <c r="BP70" s="512"/>
      <c r="BQ70" s="512"/>
      <c r="BR70" s="513"/>
    </row>
    <row r="71" spans="8:8" ht="18.0" customHeight="1">
      <c r="A71" s="467"/>
      <c r="B71" s="514"/>
      <c r="C71" s="515"/>
      <c r="D71" s="515"/>
      <c r="E71" s="515"/>
      <c r="F71" s="515"/>
      <c r="G71" s="515"/>
      <c r="H71" s="515"/>
      <c r="I71" s="515"/>
      <c r="J71" s="515"/>
      <c r="K71" s="515"/>
      <c r="L71" s="515"/>
      <c r="M71" s="515"/>
      <c r="N71" s="515"/>
      <c r="O71" s="515"/>
      <c r="P71" s="515"/>
      <c r="Q71" s="515"/>
      <c r="R71" s="50"/>
      <c r="S71" s="50"/>
      <c r="T71" s="50"/>
      <c r="U71" s="21"/>
      <c r="W71" s="19" t="s">
        <v>198</v>
      </c>
      <c r="X71" s="20"/>
      <c r="Y71" s="20"/>
      <c r="Z71" s="20"/>
      <c r="AA71" s="474"/>
      <c r="AB71" s="474"/>
      <c r="AC71" s="474"/>
      <c r="AD71" s="474"/>
      <c r="AE71" s="474"/>
      <c r="AF71" s="474"/>
      <c r="AG71" s="474"/>
      <c r="AH71" s="474"/>
      <c r="AI71" s="474"/>
      <c r="AJ71" s="474"/>
      <c r="AK71" s="474"/>
      <c r="AL71" s="474"/>
      <c r="AM71" s="474"/>
      <c r="AN71" s="474"/>
      <c r="AO71" s="474"/>
      <c r="AP71" s="474"/>
      <c r="AQ71" s="474"/>
      <c r="AR71" s="502" t="s">
        <v>56</v>
      </c>
      <c r="AS71" s="503"/>
      <c r="AT71" s="1"/>
      <c r="AU71" s="511"/>
      <c r="AV71" s="512"/>
      <c r="AW71" s="512"/>
      <c r="AX71" s="512"/>
      <c r="AY71" s="512"/>
      <c r="AZ71" s="512"/>
      <c r="BA71" s="512"/>
      <c r="BB71" s="512"/>
      <c r="BC71" s="512"/>
      <c r="BD71" s="512"/>
      <c r="BE71" s="512"/>
      <c r="BF71" s="512"/>
      <c r="BG71" s="512"/>
      <c r="BH71" s="512"/>
      <c r="BI71" s="512"/>
      <c r="BJ71" s="512"/>
      <c r="BK71" s="512"/>
      <c r="BL71" s="512"/>
      <c r="BM71" s="512"/>
      <c r="BN71" s="512"/>
      <c r="BO71" s="512"/>
      <c r="BP71" s="512"/>
      <c r="BQ71" s="512"/>
      <c r="BR71" s="513"/>
    </row>
    <row r="72" spans="8:8" ht="18.0" customHeight="1">
      <c r="A72" s="467"/>
      <c r="B72" s="514"/>
      <c r="C72" s="515"/>
      <c r="D72" s="515"/>
      <c r="E72" s="515"/>
      <c r="F72" s="515"/>
      <c r="G72" s="515"/>
      <c r="H72" s="515"/>
      <c r="I72" s="515"/>
      <c r="J72" s="515"/>
      <c r="K72" s="515"/>
      <c r="L72" s="515"/>
      <c r="M72" s="515"/>
      <c r="N72" s="515"/>
      <c r="O72" s="515"/>
      <c r="P72" s="515"/>
      <c r="Q72" s="515"/>
      <c r="R72" s="50"/>
      <c r="S72" s="50"/>
      <c r="T72" s="50"/>
      <c r="U72" s="21"/>
      <c r="W72" s="19"/>
      <c r="X72" s="20"/>
      <c r="Y72" s="20"/>
      <c r="Z72" s="20"/>
      <c r="AA72" s="474"/>
      <c r="AB72" s="474"/>
      <c r="AC72" s="474"/>
      <c r="AD72" s="474"/>
      <c r="AE72" s="474"/>
      <c r="AF72" s="474"/>
      <c r="AG72" s="474"/>
      <c r="AH72" s="474"/>
      <c r="AI72" s="474"/>
      <c r="AJ72" s="474"/>
      <c r="AK72" s="474"/>
      <c r="AL72" s="474"/>
      <c r="AM72" s="474"/>
      <c r="AN72" s="474"/>
      <c r="AO72" s="474"/>
      <c r="AP72" s="474"/>
      <c r="AQ72" s="474"/>
      <c r="AR72" s="502"/>
      <c r="AS72" s="503"/>
      <c r="AT72" s="516"/>
      <c r="AU72" s="511"/>
      <c r="AV72" s="512"/>
      <c r="AW72" s="512"/>
      <c r="AX72" s="512"/>
      <c r="AY72" s="512"/>
      <c r="AZ72" s="512"/>
      <c r="BA72" s="512"/>
      <c r="BB72" s="512"/>
      <c r="BC72" s="512"/>
      <c r="BD72" s="512"/>
      <c r="BE72" s="512"/>
      <c r="BF72" s="512"/>
      <c r="BG72" s="512"/>
      <c r="BH72" s="512"/>
      <c r="BI72" s="512"/>
      <c r="BJ72" s="512"/>
      <c r="BK72" s="512"/>
      <c r="BL72" s="512"/>
      <c r="BM72" s="512"/>
      <c r="BN72" s="512"/>
      <c r="BO72" s="512"/>
      <c r="BP72" s="512"/>
      <c r="BQ72" s="512"/>
      <c r="BR72" s="513"/>
    </row>
    <row r="73" spans="8:8" ht="18.0" customHeight="1">
      <c r="A73" s="467"/>
      <c r="B73" s="514"/>
      <c r="C73" s="515"/>
      <c r="D73" s="515"/>
      <c r="E73" s="515"/>
      <c r="F73" s="515"/>
      <c r="G73" s="515"/>
      <c r="H73" s="515"/>
      <c r="I73" s="515"/>
      <c r="J73" s="515"/>
      <c r="K73" s="515"/>
      <c r="L73" s="515"/>
      <c r="M73" s="515"/>
      <c r="N73" s="515"/>
      <c r="O73" s="515"/>
      <c r="P73" s="515"/>
      <c r="Q73" s="515"/>
      <c r="R73" s="50"/>
      <c r="S73" s="50"/>
      <c r="T73" s="50"/>
      <c r="U73" s="21"/>
      <c r="W73" s="38" t="s">
        <v>199</v>
      </c>
      <c r="X73" s="39"/>
      <c r="Y73" s="39"/>
      <c r="Z73" s="39"/>
      <c r="AA73" s="487"/>
      <c r="AB73" s="487"/>
      <c r="AC73" s="487"/>
      <c r="AD73" s="487"/>
      <c r="AE73" s="487"/>
      <c r="AF73" s="487"/>
      <c r="AG73" s="487"/>
      <c r="AH73" s="487"/>
      <c r="AI73" s="487"/>
      <c r="AJ73" s="487"/>
      <c r="AK73" s="487"/>
      <c r="AL73" s="487"/>
      <c r="AM73" s="487"/>
      <c r="AN73" s="487"/>
      <c r="AO73" s="487"/>
      <c r="AP73" s="487"/>
      <c r="AQ73" s="487"/>
      <c r="AR73" s="488" t="s">
        <v>56</v>
      </c>
      <c r="AS73" s="489"/>
      <c r="AT73" s="516"/>
      <c r="AU73" s="511"/>
      <c r="AV73" s="512"/>
      <c r="AW73" s="512"/>
      <c r="AX73" s="512"/>
      <c r="AY73" s="512"/>
      <c r="AZ73" s="512"/>
      <c r="BA73" s="512"/>
      <c r="BB73" s="512"/>
      <c r="BC73" s="512"/>
      <c r="BD73" s="512"/>
      <c r="BE73" s="512"/>
      <c r="BF73" s="512"/>
      <c r="BG73" s="512"/>
      <c r="BH73" s="512"/>
      <c r="BI73" s="512"/>
      <c r="BJ73" s="512"/>
      <c r="BK73" s="512"/>
      <c r="BL73" s="512"/>
      <c r="BM73" s="512"/>
      <c r="BN73" s="512"/>
      <c r="BO73" s="512"/>
      <c r="BP73" s="512"/>
      <c r="BQ73" s="512"/>
      <c r="BR73" s="513"/>
    </row>
    <row r="74" spans="8:8" ht="18.0" customHeight="1">
      <c r="A74" s="1"/>
      <c r="B74" s="514"/>
      <c r="C74" s="515"/>
      <c r="D74" s="515"/>
      <c r="E74" s="515"/>
      <c r="F74" s="515"/>
      <c r="G74" s="515"/>
      <c r="H74" s="515"/>
      <c r="I74" s="515"/>
      <c r="J74" s="515"/>
      <c r="K74" s="515"/>
      <c r="L74" s="515"/>
      <c r="M74" s="515"/>
      <c r="N74" s="515"/>
      <c r="O74" s="515"/>
      <c r="P74" s="515"/>
      <c r="Q74" s="515"/>
      <c r="R74" s="50"/>
      <c r="S74" s="50"/>
      <c r="T74" s="50"/>
      <c r="U74" s="21"/>
      <c r="W74" s="38"/>
      <c r="X74" s="39"/>
      <c r="Y74" s="39"/>
      <c r="Z74" s="39"/>
      <c r="AA74" s="487"/>
      <c r="AB74" s="487"/>
      <c r="AC74" s="487"/>
      <c r="AD74" s="487"/>
      <c r="AE74" s="487"/>
      <c r="AF74" s="487"/>
      <c r="AG74" s="487"/>
      <c r="AH74" s="487"/>
      <c r="AI74" s="487"/>
      <c r="AJ74" s="487"/>
      <c r="AK74" s="487"/>
      <c r="AL74" s="487"/>
      <c r="AM74" s="487"/>
      <c r="AN74" s="487"/>
      <c r="AO74" s="487"/>
      <c r="AP74" s="487"/>
      <c r="AQ74" s="487"/>
      <c r="AR74" s="488"/>
      <c r="AS74" s="489"/>
      <c r="AT74" s="516"/>
      <c r="AU74" s="511"/>
      <c r="AV74" s="512"/>
      <c r="AW74" s="512"/>
      <c r="AX74" s="512"/>
      <c r="AY74" s="512"/>
      <c r="AZ74" s="512"/>
      <c r="BA74" s="512"/>
      <c r="BB74" s="512"/>
      <c r="BC74" s="512"/>
      <c r="BD74" s="512"/>
      <c r="BE74" s="512"/>
      <c r="BF74" s="512"/>
      <c r="BG74" s="512"/>
      <c r="BH74" s="512"/>
      <c r="BI74" s="512"/>
      <c r="BJ74" s="512"/>
      <c r="BK74" s="512"/>
      <c r="BL74" s="512"/>
      <c r="BM74" s="512"/>
      <c r="BN74" s="512"/>
      <c r="BO74" s="512"/>
      <c r="BP74" s="512"/>
      <c r="BQ74" s="512"/>
      <c r="BR74" s="513"/>
    </row>
    <row r="75" spans="8:8" ht="18.0" customHeight="1">
      <c r="A75" s="1"/>
      <c r="B75" s="517">
        <v>0.0</v>
      </c>
      <c r="C75" s="518"/>
      <c r="D75" s="518"/>
      <c r="E75" s="518"/>
      <c r="F75" s="518">
        <v>0.0</v>
      </c>
      <c r="G75" s="518"/>
      <c r="H75" s="518"/>
      <c r="I75" s="518"/>
      <c r="J75" s="518">
        <v>0.0</v>
      </c>
      <c r="K75" s="518"/>
      <c r="L75" s="518"/>
      <c r="M75" s="518"/>
      <c r="N75" s="518">
        <v>0.0</v>
      </c>
      <c r="O75" s="518"/>
      <c r="P75" s="518"/>
      <c r="Q75" s="518"/>
      <c r="R75" s="518">
        <v>0.0</v>
      </c>
      <c r="S75" s="518"/>
      <c r="T75" s="518"/>
      <c r="U75" s="519"/>
      <c r="W75" s="19" t="s">
        <v>200</v>
      </c>
      <c r="X75" s="20"/>
      <c r="Y75" s="20"/>
      <c r="Z75" s="20"/>
      <c r="AA75" s="474"/>
      <c r="AB75" s="474"/>
      <c r="AC75" s="474"/>
      <c r="AD75" s="474"/>
      <c r="AE75" s="474"/>
      <c r="AF75" s="474"/>
      <c r="AG75" s="474"/>
      <c r="AH75" s="474"/>
      <c r="AI75" s="474"/>
      <c r="AJ75" s="474"/>
      <c r="AK75" s="474"/>
      <c r="AL75" s="474"/>
      <c r="AM75" s="474"/>
      <c r="AN75" s="474"/>
      <c r="AO75" s="474"/>
      <c r="AP75" s="474"/>
      <c r="AQ75" s="474"/>
      <c r="AR75" s="502" t="s">
        <v>56</v>
      </c>
      <c r="AS75" s="503"/>
      <c r="AT75" s="516"/>
      <c r="AU75" s="511"/>
      <c r="AV75" s="512"/>
      <c r="AW75" s="512"/>
      <c r="AX75" s="512"/>
      <c r="AY75" s="512"/>
      <c r="AZ75" s="512"/>
      <c r="BA75" s="512"/>
      <c r="BB75" s="512"/>
      <c r="BC75" s="512"/>
      <c r="BD75" s="512"/>
      <c r="BE75" s="512"/>
      <c r="BF75" s="512"/>
      <c r="BG75" s="512"/>
      <c r="BH75" s="512"/>
      <c r="BI75" s="512"/>
      <c r="BJ75" s="512"/>
      <c r="BK75" s="512"/>
      <c r="BL75" s="512"/>
      <c r="BM75" s="512"/>
      <c r="BN75" s="512"/>
      <c r="BO75" s="512"/>
      <c r="BP75" s="512"/>
      <c r="BQ75" s="512"/>
      <c r="BR75" s="513"/>
    </row>
    <row r="76" spans="8:8" ht="18.0" customHeight="1">
      <c r="A76" s="1"/>
      <c r="B76" s="520" t="str">
        <f>"资产总和："&amp;SUM(B75:U75)</f>
        <v>资产总和：0</v>
      </c>
      <c r="C76" s="520"/>
      <c r="D76" s="520"/>
      <c r="E76" s="520"/>
      <c r="F76" s="520"/>
      <c r="G76" s="520"/>
      <c r="H76" s="520"/>
      <c r="I76" s="520"/>
      <c r="J76" s="521"/>
      <c r="K76" s="521"/>
      <c r="L76" s="521"/>
      <c r="M76" s="521"/>
      <c r="N76" s="520" t="str">
        <f>"剩余资产值："&amp;IF(附表!AG230="没有",0-SUM(B75:U75),附表!AG230-SUM(B75:U75))</f>
        <v>剩余资产值：0</v>
      </c>
      <c r="O76" s="520"/>
      <c r="P76" s="520"/>
      <c r="Q76" s="520"/>
      <c r="R76" s="520"/>
      <c r="S76" s="520"/>
      <c r="T76" s="520"/>
      <c r="U76" s="520"/>
      <c r="W76" s="522"/>
      <c r="X76" s="523"/>
      <c r="Y76" s="523"/>
      <c r="Z76" s="523"/>
      <c r="AA76" s="524"/>
      <c r="AB76" s="524"/>
      <c r="AC76" s="524"/>
      <c r="AD76" s="524"/>
      <c r="AE76" s="524"/>
      <c r="AF76" s="524"/>
      <c r="AG76" s="524"/>
      <c r="AH76" s="524"/>
      <c r="AI76" s="524"/>
      <c r="AJ76" s="524"/>
      <c r="AK76" s="524"/>
      <c r="AL76" s="524"/>
      <c r="AM76" s="524"/>
      <c r="AN76" s="524"/>
      <c r="AO76" s="524"/>
      <c r="AP76" s="524"/>
      <c r="AQ76" s="524"/>
      <c r="AR76" s="525"/>
      <c r="AS76" s="526"/>
      <c r="AT76" s="516"/>
      <c r="AU76" s="511"/>
      <c r="AV76" s="512"/>
      <c r="AW76" s="512"/>
      <c r="AX76" s="512"/>
      <c r="AY76" s="512"/>
      <c r="AZ76" s="512"/>
      <c r="BA76" s="512"/>
      <c r="BB76" s="512"/>
      <c r="BC76" s="512"/>
      <c r="BD76" s="512"/>
      <c r="BE76" s="512"/>
      <c r="BF76" s="512"/>
      <c r="BG76" s="512"/>
      <c r="BH76" s="512"/>
      <c r="BI76" s="512"/>
      <c r="BJ76" s="512"/>
      <c r="BK76" s="512"/>
      <c r="BL76" s="512"/>
      <c r="BM76" s="512"/>
      <c r="BN76" s="512"/>
      <c r="BO76" s="512"/>
      <c r="BP76" s="512"/>
      <c r="BQ76" s="512"/>
      <c r="BR76" s="513"/>
    </row>
    <row r="77" spans="8:8" ht="18.0" customHeight="1">
      <c r="A77" s="1"/>
      <c r="B77" s="3" t="s">
        <v>201</v>
      </c>
      <c r="C77" s="4"/>
      <c r="D77" s="4"/>
      <c r="E77" s="4"/>
      <c r="F77" s="4"/>
      <c r="G77" s="4"/>
      <c r="H77" s="4"/>
      <c r="I77" s="4"/>
      <c r="J77" s="4"/>
      <c r="K77" s="4"/>
      <c r="L77" s="4"/>
      <c r="M77" s="4"/>
      <c r="N77" s="4"/>
      <c r="O77" s="4"/>
      <c r="P77" s="4"/>
      <c r="Q77" s="4"/>
      <c r="R77" s="4"/>
      <c r="S77" s="4"/>
      <c r="T77" s="4"/>
      <c r="U77" s="5"/>
      <c r="W77" s="527" t="s">
        <v>5833</v>
      </c>
      <c r="X77" s="527"/>
      <c r="Y77" s="527"/>
      <c r="Z77" s="527"/>
      <c r="AA77" s="527"/>
      <c r="AB77" s="527"/>
      <c r="AC77" s="527"/>
      <c r="AD77" s="527"/>
      <c r="AE77" s="527"/>
      <c r="AF77" s="527"/>
      <c r="AG77" s="527"/>
      <c r="AH77" s="527"/>
      <c r="AI77" s="527"/>
      <c r="AJ77" s="527"/>
      <c r="AK77" s="527"/>
      <c r="AL77" s="527"/>
      <c r="AM77" s="527"/>
      <c r="AN77" s="527"/>
      <c r="AO77" s="527"/>
      <c r="AP77" s="527"/>
      <c r="AQ77" s="527"/>
      <c r="AR77" s="527"/>
      <c r="AS77" s="527"/>
      <c r="AT77" s="516"/>
      <c r="AU77" s="511"/>
      <c r="AV77" s="512"/>
      <c r="AW77" s="512"/>
      <c r="AX77" s="512"/>
      <c r="AY77" s="512"/>
      <c r="AZ77" s="512"/>
      <c r="BA77" s="512"/>
      <c r="BB77" s="512"/>
      <c r="BC77" s="512"/>
      <c r="BD77" s="512"/>
      <c r="BE77" s="512"/>
      <c r="BF77" s="512"/>
      <c r="BG77" s="512"/>
      <c r="BH77" s="512"/>
      <c r="BI77" s="512"/>
      <c r="BJ77" s="512"/>
      <c r="BK77" s="512"/>
      <c r="BL77" s="512"/>
      <c r="BM77" s="512"/>
      <c r="BN77" s="512"/>
      <c r="BO77" s="512"/>
      <c r="BP77" s="512"/>
      <c r="BQ77" s="512"/>
      <c r="BR77" s="513"/>
    </row>
    <row r="78" spans="8:8" ht="18.0" customHeight="1">
      <c r="A78" s="1"/>
      <c r="B78" s="528" t="s">
        <v>202</v>
      </c>
      <c r="C78" s="529"/>
      <c r="D78" s="529" t="s">
        <v>203</v>
      </c>
      <c r="E78" s="529"/>
      <c r="F78" s="529" t="s">
        <v>204</v>
      </c>
      <c r="G78" s="529"/>
      <c r="H78" s="529"/>
      <c r="I78" s="529"/>
      <c r="J78" s="529"/>
      <c r="K78" s="529"/>
      <c r="L78" s="529"/>
      <c r="M78" s="529"/>
      <c r="N78" s="530" t="s">
        <v>205</v>
      </c>
      <c r="O78" s="529"/>
      <c r="P78" s="529"/>
      <c r="Q78" s="529"/>
      <c r="R78" s="529"/>
      <c r="S78" s="529"/>
      <c r="T78" s="529"/>
      <c r="U78" s="531"/>
      <c r="W78" s="527"/>
      <c r="X78" s="527"/>
      <c r="Y78" s="527"/>
      <c r="Z78" s="527"/>
      <c r="AA78" s="527"/>
      <c r="AB78" s="527"/>
      <c r="AC78" s="527"/>
      <c r="AD78" s="527"/>
      <c r="AE78" s="527"/>
      <c r="AF78" s="527"/>
      <c r="AG78" s="527"/>
      <c r="AH78" s="527"/>
      <c r="AI78" s="527"/>
      <c r="AJ78" s="527"/>
      <c r="AK78" s="527"/>
      <c r="AL78" s="527"/>
      <c r="AM78" s="527"/>
      <c r="AN78" s="527"/>
      <c r="AO78" s="527"/>
      <c r="AP78" s="527"/>
      <c r="AQ78" s="527"/>
      <c r="AR78" s="527"/>
      <c r="AS78" s="527"/>
      <c r="AT78" s="516"/>
      <c r="AU78" s="511"/>
      <c r="AV78" s="512"/>
      <c r="AW78" s="512"/>
      <c r="AX78" s="512"/>
      <c r="AY78" s="512"/>
      <c r="AZ78" s="512"/>
      <c r="BA78" s="512"/>
      <c r="BB78" s="512"/>
      <c r="BC78" s="512"/>
      <c r="BD78" s="512"/>
      <c r="BE78" s="512"/>
      <c r="BF78" s="512"/>
      <c r="BG78" s="512"/>
      <c r="BH78" s="512"/>
      <c r="BI78" s="512"/>
      <c r="BJ78" s="512"/>
      <c r="BK78" s="512"/>
      <c r="BL78" s="512"/>
      <c r="BM78" s="512"/>
      <c r="BN78" s="512"/>
      <c r="BO78" s="512"/>
      <c r="BP78" s="512"/>
      <c r="BQ78" s="512"/>
      <c r="BR78" s="513"/>
    </row>
    <row r="79" spans="8:8" ht="18.0" customHeight="1">
      <c r="A79" s="1"/>
      <c r="B79" s="532" t="s">
        <v>206</v>
      </c>
      <c r="C79" s="533"/>
      <c r="D79" s="534"/>
      <c r="E79" s="535"/>
      <c r="F79" s="536"/>
      <c r="G79" s="537"/>
      <c r="H79" s="537"/>
      <c r="I79" s="537"/>
      <c r="J79" s="537"/>
      <c r="K79" s="537"/>
      <c r="L79" s="537"/>
      <c r="M79" s="538"/>
      <c r="N79" s="537"/>
      <c r="O79" s="537"/>
      <c r="P79" s="537"/>
      <c r="Q79" s="537"/>
      <c r="R79" s="537"/>
      <c r="S79" s="537"/>
      <c r="T79" s="537"/>
      <c r="U79" s="539"/>
      <c r="W79" s="527"/>
      <c r="X79" s="527"/>
      <c r="Y79" s="527"/>
      <c r="Z79" s="527"/>
      <c r="AA79" s="527"/>
      <c r="AB79" s="527"/>
      <c r="AC79" s="527"/>
      <c r="AD79" s="527"/>
      <c r="AE79" s="527"/>
      <c r="AF79" s="527"/>
      <c r="AG79" s="527"/>
      <c r="AH79" s="527"/>
      <c r="AI79" s="527"/>
      <c r="AJ79" s="527"/>
      <c r="AK79" s="527"/>
      <c r="AL79" s="527"/>
      <c r="AM79" s="527"/>
      <c r="AN79" s="527"/>
      <c r="AO79" s="527"/>
      <c r="AP79" s="527"/>
      <c r="AQ79" s="527"/>
      <c r="AR79" s="527"/>
      <c r="AS79" s="527"/>
      <c r="AT79" s="516"/>
      <c r="AU79" s="511"/>
      <c r="AV79" s="512"/>
      <c r="AW79" s="512"/>
      <c r="AX79" s="512"/>
      <c r="AY79" s="512"/>
      <c r="AZ79" s="512"/>
      <c r="BA79" s="512"/>
      <c r="BB79" s="512"/>
      <c r="BC79" s="512"/>
      <c r="BD79" s="512"/>
      <c r="BE79" s="512"/>
      <c r="BF79" s="512"/>
      <c r="BG79" s="512"/>
      <c r="BH79" s="512"/>
      <c r="BI79" s="512"/>
      <c r="BJ79" s="512"/>
      <c r="BK79" s="512"/>
      <c r="BL79" s="512"/>
      <c r="BM79" s="512"/>
      <c r="BN79" s="512"/>
      <c r="BO79" s="512"/>
      <c r="BP79" s="512"/>
      <c r="BQ79" s="512"/>
      <c r="BR79" s="513"/>
    </row>
    <row r="80" spans="8:8" ht="18.0" customHeight="1">
      <c r="A80" s="1"/>
      <c r="B80" s="540"/>
      <c r="C80" s="541"/>
      <c r="D80" s="542"/>
      <c r="E80" s="543"/>
      <c r="F80" s="544"/>
      <c r="G80" s="545"/>
      <c r="H80" s="545"/>
      <c r="I80" s="545"/>
      <c r="J80" s="545"/>
      <c r="K80" s="545"/>
      <c r="L80" s="545"/>
      <c r="M80" s="546"/>
      <c r="N80" s="545"/>
      <c r="O80" s="545"/>
      <c r="P80" s="545"/>
      <c r="Q80" s="545"/>
      <c r="R80" s="545"/>
      <c r="S80" s="545"/>
      <c r="T80" s="545"/>
      <c r="U80" s="547"/>
      <c r="W80" s="527"/>
      <c r="X80" s="527"/>
      <c r="Y80" s="527"/>
      <c r="Z80" s="527"/>
      <c r="AA80" s="527"/>
      <c r="AB80" s="527"/>
      <c r="AC80" s="527"/>
      <c r="AD80" s="527"/>
      <c r="AE80" s="527"/>
      <c r="AF80" s="527"/>
      <c r="AG80" s="527"/>
      <c r="AH80" s="527"/>
      <c r="AI80" s="527"/>
      <c r="AJ80" s="527"/>
      <c r="AK80" s="527"/>
      <c r="AL80" s="527"/>
      <c r="AM80" s="527"/>
      <c r="AN80" s="527"/>
      <c r="AO80" s="527"/>
      <c r="AP80" s="527"/>
      <c r="AQ80" s="527"/>
      <c r="AR80" s="527"/>
      <c r="AS80" s="527"/>
      <c r="AT80" s="516"/>
      <c r="AU80" s="511"/>
      <c r="AV80" s="512"/>
      <c r="AW80" s="512"/>
      <c r="AX80" s="512"/>
      <c r="AY80" s="512"/>
      <c r="AZ80" s="512"/>
      <c r="BA80" s="512"/>
      <c r="BB80" s="512"/>
      <c r="BC80" s="512"/>
      <c r="BD80" s="512"/>
      <c r="BE80" s="512"/>
      <c r="BF80" s="512"/>
      <c r="BG80" s="512"/>
      <c r="BH80" s="512"/>
      <c r="BI80" s="512"/>
      <c r="BJ80" s="512"/>
      <c r="BK80" s="512"/>
      <c r="BL80" s="512"/>
      <c r="BM80" s="512"/>
      <c r="BN80" s="512"/>
      <c r="BO80" s="512"/>
      <c r="BP80" s="512"/>
      <c r="BQ80" s="512"/>
      <c r="BR80" s="513"/>
    </row>
    <row r="81" spans="8:8" ht="18.0" customHeight="1">
      <c r="A81" s="1"/>
      <c r="B81" s="532"/>
      <c r="C81" s="533"/>
      <c r="D81" s="534"/>
      <c r="E81" s="535"/>
      <c r="F81" s="536"/>
      <c r="G81" s="537"/>
      <c r="H81" s="537"/>
      <c r="I81" s="537"/>
      <c r="J81" s="537"/>
      <c r="K81" s="537"/>
      <c r="L81" s="537"/>
      <c r="M81" s="538"/>
      <c r="N81" s="537"/>
      <c r="O81" s="537"/>
      <c r="P81" s="537"/>
      <c r="Q81" s="537"/>
      <c r="R81" s="537"/>
      <c r="S81" s="537"/>
      <c r="T81" s="537"/>
      <c r="U81" s="539"/>
      <c r="W81" s="527"/>
      <c r="X81" s="527"/>
      <c r="Y81" s="527"/>
      <c r="Z81" s="527"/>
      <c r="AA81" s="527"/>
      <c r="AB81" s="527"/>
      <c r="AC81" s="527"/>
      <c r="AD81" s="527"/>
      <c r="AE81" s="527"/>
      <c r="AF81" s="527"/>
      <c r="AG81" s="527"/>
      <c r="AH81" s="527"/>
      <c r="AI81" s="527"/>
      <c r="AJ81" s="527"/>
      <c r="AK81" s="527"/>
      <c r="AL81" s="527"/>
      <c r="AM81" s="527"/>
      <c r="AN81" s="527"/>
      <c r="AO81" s="527"/>
      <c r="AP81" s="527"/>
      <c r="AQ81" s="527"/>
      <c r="AR81" s="527"/>
      <c r="AS81" s="527"/>
      <c r="AT81" s="516"/>
      <c r="AU81" s="511"/>
      <c r="AV81" s="512"/>
      <c r="AW81" s="512"/>
      <c r="AX81" s="512"/>
      <c r="AY81" s="512"/>
      <c r="AZ81" s="512"/>
      <c r="BA81" s="512"/>
      <c r="BB81" s="512"/>
      <c r="BC81" s="512"/>
      <c r="BD81" s="512"/>
      <c r="BE81" s="512"/>
      <c r="BF81" s="512"/>
      <c r="BG81" s="512"/>
      <c r="BH81" s="512"/>
      <c r="BI81" s="512"/>
      <c r="BJ81" s="512"/>
      <c r="BK81" s="512"/>
      <c r="BL81" s="512"/>
      <c r="BM81" s="512"/>
      <c r="BN81" s="512"/>
      <c r="BO81" s="512"/>
      <c r="BP81" s="512"/>
      <c r="BQ81" s="512"/>
      <c r="BR81" s="513"/>
    </row>
    <row r="82" spans="8:8" ht="18.0" customHeight="1">
      <c r="A82" s="1"/>
      <c r="B82" s="540"/>
      <c r="C82" s="541"/>
      <c r="D82" s="542"/>
      <c r="E82" s="543"/>
      <c r="F82" s="544"/>
      <c r="G82" s="545"/>
      <c r="H82" s="545"/>
      <c r="I82" s="545"/>
      <c r="J82" s="545"/>
      <c r="K82" s="545"/>
      <c r="L82" s="545"/>
      <c r="M82" s="546"/>
      <c r="N82" s="545"/>
      <c r="O82" s="545"/>
      <c r="P82" s="545"/>
      <c r="Q82" s="545"/>
      <c r="R82" s="545"/>
      <c r="S82" s="545"/>
      <c r="T82" s="545"/>
      <c r="U82" s="547"/>
      <c r="W82" s="527"/>
      <c r="X82" s="527"/>
      <c r="Y82" s="527"/>
      <c r="Z82" s="527"/>
      <c r="AA82" s="527"/>
      <c r="AB82" s="527"/>
      <c r="AC82" s="527"/>
      <c r="AD82" s="527"/>
      <c r="AE82" s="527"/>
      <c r="AF82" s="527"/>
      <c r="AG82" s="527"/>
      <c r="AH82" s="527"/>
      <c r="AI82" s="527"/>
      <c r="AJ82" s="527"/>
      <c r="AK82" s="527"/>
      <c r="AL82" s="527"/>
      <c r="AM82" s="527"/>
      <c r="AN82" s="527"/>
      <c r="AO82" s="527"/>
      <c r="AP82" s="527"/>
      <c r="AQ82" s="527"/>
      <c r="AR82" s="527"/>
      <c r="AS82" s="527"/>
      <c r="AT82" s="397"/>
      <c r="AU82" s="511"/>
      <c r="AV82" s="512"/>
      <c r="AW82" s="512"/>
      <c r="AX82" s="512"/>
      <c r="AY82" s="512"/>
      <c r="AZ82" s="512"/>
      <c r="BA82" s="512"/>
      <c r="BB82" s="512"/>
      <c r="BC82" s="512"/>
      <c r="BD82" s="512"/>
      <c r="BE82" s="512"/>
      <c r="BF82" s="512"/>
      <c r="BG82" s="512"/>
      <c r="BH82" s="512"/>
      <c r="BI82" s="512"/>
      <c r="BJ82" s="512"/>
      <c r="BK82" s="512"/>
      <c r="BL82" s="512"/>
      <c r="BM82" s="512"/>
      <c r="BN82" s="512"/>
      <c r="BO82" s="512"/>
      <c r="BP82" s="512"/>
      <c r="BQ82" s="512"/>
      <c r="BR82" s="513"/>
    </row>
    <row r="83" spans="8:8" ht="18.0" customHeight="1">
      <c r="A83" s="1"/>
      <c r="B83" s="532"/>
      <c r="C83" s="533"/>
      <c r="D83" s="534"/>
      <c r="E83" s="535"/>
      <c r="F83" s="536"/>
      <c r="G83" s="537"/>
      <c r="H83" s="537"/>
      <c r="I83" s="537"/>
      <c r="J83" s="537"/>
      <c r="K83" s="537"/>
      <c r="L83" s="537"/>
      <c r="M83" s="538"/>
      <c r="N83" s="537"/>
      <c r="O83" s="537"/>
      <c r="P83" s="537"/>
      <c r="Q83" s="537"/>
      <c r="R83" s="537"/>
      <c r="S83" s="537"/>
      <c r="T83" s="537"/>
      <c r="U83" s="539"/>
      <c r="W83" s="527"/>
      <c r="X83" s="527"/>
      <c r="Y83" s="527"/>
      <c r="Z83" s="527"/>
      <c r="AA83" s="527"/>
      <c r="AB83" s="527"/>
      <c r="AC83" s="527"/>
      <c r="AD83" s="527"/>
      <c r="AE83" s="527"/>
      <c r="AF83" s="527"/>
      <c r="AG83" s="527"/>
      <c r="AH83" s="527"/>
      <c r="AI83" s="527"/>
      <c r="AJ83" s="527"/>
      <c r="AK83" s="527"/>
      <c r="AL83" s="527"/>
      <c r="AM83" s="527"/>
      <c r="AN83" s="527"/>
      <c r="AO83" s="527"/>
      <c r="AP83" s="527"/>
      <c r="AQ83" s="527"/>
      <c r="AR83" s="527"/>
      <c r="AS83" s="527"/>
      <c r="AT83" s="397"/>
      <c r="AU83" s="511"/>
      <c r="AV83" s="512"/>
      <c r="AW83" s="512"/>
      <c r="AX83" s="512"/>
      <c r="AY83" s="512"/>
      <c r="AZ83" s="512"/>
      <c r="BA83" s="512"/>
      <c r="BB83" s="512"/>
      <c r="BC83" s="512"/>
      <c r="BD83" s="512"/>
      <c r="BE83" s="512"/>
      <c r="BF83" s="512"/>
      <c r="BG83" s="512"/>
      <c r="BH83" s="512"/>
      <c r="BI83" s="512"/>
      <c r="BJ83" s="512"/>
      <c r="BK83" s="512"/>
      <c r="BL83" s="512"/>
      <c r="BM83" s="512"/>
      <c r="BN83" s="512"/>
      <c r="BO83" s="512"/>
      <c r="BP83" s="512"/>
      <c r="BQ83" s="512"/>
      <c r="BR83" s="513"/>
    </row>
    <row r="84" spans="8:8" ht="18.0" customHeight="1">
      <c r="A84" s="1"/>
      <c r="B84" s="540"/>
      <c r="C84" s="541"/>
      <c r="D84" s="542"/>
      <c r="E84" s="543"/>
      <c r="F84" s="544"/>
      <c r="G84" s="545"/>
      <c r="H84" s="545"/>
      <c r="I84" s="545"/>
      <c r="J84" s="545"/>
      <c r="K84" s="545"/>
      <c r="L84" s="545"/>
      <c r="M84" s="546"/>
      <c r="N84" s="545"/>
      <c r="O84" s="545"/>
      <c r="P84" s="545"/>
      <c r="Q84" s="545"/>
      <c r="R84" s="545"/>
      <c r="S84" s="545"/>
      <c r="T84" s="545"/>
      <c r="U84" s="547"/>
      <c r="W84" s="527"/>
      <c r="X84" s="527"/>
      <c r="Y84" s="527"/>
      <c r="Z84" s="527"/>
      <c r="AA84" s="527"/>
      <c r="AB84" s="527"/>
      <c r="AC84" s="527"/>
      <c r="AD84" s="527"/>
      <c r="AE84" s="527"/>
      <c r="AF84" s="527"/>
      <c r="AG84" s="527"/>
      <c r="AH84" s="527"/>
      <c r="AI84" s="527"/>
      <c r="AJ84" s="527"/>
      <c r="AK84" s="527"/>
      <c r="AL84" s="527"/>
      <c r="AM84" s="527"/>
      <c r="AN84" s="527"/>
      <c r="AO84" s="527"/>
      <c r="AP84" s="527"/>
      <c r="AQ84" s="527"/>
      <c r="AR84" s="527"/>
      <c r="AS84" s="527"/>
      <c r="AT84" s="397"/>
      <c r="AU84" s="511"/>
      <c r="AV84" s="512"/>
      <c r="AW84" s="512"/>
      <c r="AX84" s="512"/>
      <c r="AY84" s="512"/>
      <c r="AZ84" s="512"/>
      <c r="BA84" s="512"/>
      <c r="BB84" s="512"/>
      <c r="BC84" s="512"/>
      <c r="BD84" s="512"/>
      <c r="BE84" s="512"/>
      <c r="BF84" s="512"/>
      <c r="BG84" s="512"/>
      <c r="BH84" s="512"/>
      <c r="BI84" s="512"/>
      <c r="BJ84" s="512"/>
      <c r="BK84" s="512"/>
      <c r="BL84" s="512"/>
      <c r="BM84" s="512"/>
      <c r="BN84" s="512"/>
      <c r="BO84" s="512"/>
      <c r="BP84" s="512"/>
      <c r="BQ84" s="512"/>
      <c r="BR84" s="513"/>
    </row>
    <row r="85" spans="8:8" ht="18.0" customHeight="1">
      <c r="A85" s="548"/>
      <c r="B85" s="532"/>
      <c r="C85" s="533"/>
      <c r="D85" s="534"/>
      <c r="E85" s="535"/>
      <c r="F85" s="536"/>
      <c r="G85" s="537"/>
      <c r="H85" s="537"/>
      <c r="I85" s="537"/>
      <c r="J85" s="537"/>
      <c r="K85" s="537"/>
      <c r="L85" s="537"/>
      <c r="M85" s="538"/>
      <c r="N85" s="537"/>
      <c r="O85" s="537"/>
      <c r="P85" s="537"/>
      <c r="Q85" s="537"/>
      <c r="R85" s="537"/>
      <c r="S85" s="537"/>
      <c r="T85" s="537"/>
      <c r="U85" s="539"/>
      <c r="W85" s="527"/>
      <c r="X85" s="527"/>
      <c r="Y85" s="527"/>
      <c r="Z85" s="527"/>
      <c r="AA85" s="527"/>
      <c r="AB85" s="527"/>
      <c r="AC85" s="527"/>
      <c r="AD85" s="527"/>
      <c r="AE85" s="527"/>
      <c r="AF85" s="527"/>
      <c r="AG85" s="527"/>
      <c r="AH85" s="527"/>
      <c r="AI85" s="527"/>
      <c r="AJ85" s="527"/>
      <c r="AK85" s="527"/>
      <c r="AL85" s="527"/>
      <c r="AM85" s="527"/>
      <c r="AN85" s="527"/>
      <c r="AO85" s="527"/>
      <c r="AP85" s="527"/>
      <c r="AQ85" s="527"/>
      <c r="AR85" s="527"/>
      <c r="AS85" s="527"/>
      <c r="AT85" s="440"/>
      <c r="AU85" s="511"/>
      <c r="AV85" s="512"/>
      <c r="AW85" s="512"/>
      <c r="AX85" s="512"/>
      <c r="AY85" s="512"/>
      <c r="AZ85" s="512"/>
      <c r="BA85" s="512"/>
      <c r="BB85" s="512"/>
      <c r="BC85" s="512"/>
      <c r="BD85" s="512"/>
      <c r="BE85" s="512"/>
      <c r="BF85" s="512"/>
      <c r="BG85" s="512"/>
      <c r="BH85" s="512"/>
      <c r="BI85" s="512"/>
      <c r="BJ85" s="512"/>
      <c r="BK85" s="512"/>
      <c r="BL85" s="512"/>
      <c r="BM85" s="512"/>
      <c r="BN85" s="512"/>
      <c r="BO85" s="512"/>
      <c r="BP85" s="512"/>
      <c r="BQ85" s="512"/>
      <c r="BR85" s="513"/>
    </row>
    <row r="86" spans="8:8" ht="18.0" customHeight="1">
      <c r="A86" s="548"/>
      <c r="B86" s="540"/>
      <c r="C86" s="541"/>
      <c r="D86" s="542"/>
      <c r="E86" s="543"/>
      <c r="F86" s="544"/>
      <c r="G86" s="545"/>
      <c r="H86" s="545"/>
      <c r="I86" s="545"/>
      <c r="J86" s="545"/>
      <c r="K86" s="545"/>
      <c r="L86" s="545"/>
      <c r="M86" s="546"/>
      <c r="N86" s="545"/>
      <c r="O86" s="545"/>
      <c r="P86" s="545"/>
      <c r="Q86" s="545"/>
      <c r="R86" s="545"/>
      <c r="S86" s="545"/>
      <c r="T86" s="545"/>
      <c r="U86" s="547"/>
      <c r="W86" s="527"/>
      <c r="X86" s="527"/>
      <c r="Y86" s="527"/>
      <c r="Z86" s="527"/>
      <c r="AA86" s="527"/>
      <c r="AB86" s="527"/>
      <c r="AC86" s="527"/>
      <c r="AD86" s="527"/>
      <c r="AE86" s="527"/>
      <c r="AF86" s="527"/>
      <c r="AG86" s="527"/>
      <c r="AH86" s="527"/>
      <c r="AI86" s="527"/>
      <c r="AJ86" s="527"/>
      <c r="AK86" s="527"/>
      <c r="AL86" s="527"/>
      <c r="AM86" s="527"/>
      <c r="AN86" s="527"/>
      <c r="AO86" s="527"/>
      <c r="AP86" s="527"/>
      <c r="AQ86" s="527"/>
      <c r="AR86" s="527"/>
      <c r="AS86" s="527"/>
      <c r="AT86" s="440"/>
      <c r="AU86" s="511"/>
      <c r="AV86" s="512"/>
      <c r="AW86" s="512"/>
      <c r="AX86" s="512"/>
      <c r="AY86" s="512"/>
      <c r="AZ86" s="512"/>
      <c r="BA86" s="512"/>
      <c r="BB86" s="512"/>
      <c r="BC86" s="512"/>
      <c r="BD86" s="512"/>
      <c r="BE86" s="512"/>
      <c r="BF86" s="512"/>
      <c r="BG86" s="512"/>
      <c r="BH86" s="512"/>
      <c r="BI86" s="512"/>
      <c r="BJ86" s="512"/>
      <c r="BK86" s="512"/>
      <c r="BL86" s="512"/>
      <c r="BM86" s="512"/>
      <c r="BN86" s="512"/>
      <c r="BO86" s="512"/>
      <c r="BP86" s="512"/>
      <c r="BQ86" s="512"/>
      <c r="BR86" s="513"/>
    </row>
    <row r="87" spans="8:8" ht="18.0" customHeight="1">
      <c r="A87" s="548"/>
      <c r="B87" s="532"/>
      <c r="C87" s="533"/>
      <c r="D87" s="534"/>
      <c r="E87" s="535"/>
      <c r="F87" s="536"/>
      <c r="G87" s="537"/>
      <c r="H87" s="537"/>
      <c r="I87" s="537"/>
      <c r="J87" s="537"/>
      <c r="K87" s="537"/>
      <c r="L87" s="537"/>
      <c r="M87" s="538"/>
      <c r="N87" s="537"/>
      <c r="O87" s="537"/>
      <c r="P87" s="537"/>
      <c r="Q87" s="537"/>
      <c r="R87" s="537"/>
      <c r="S87" s="537"/>
      <c r="T87" s="537"/>
      <c r="U87" s="539"/>
      <c r="W87" s="527"/>
      <c r="X87" s="527"/>
      <c r="Y87" s="527"/>
      <c r="Z87" s="527"/>
      <c r="AA87" s="527"/>
      <c r="AB87" s="527"/>
      <c r="AC87" s="527"/>
      <c r="AD87" s="527"/>
      <c r="AE87" s="527"/>
      <c r="AF87" s="527"/>
      <c r="AG87" s="527"/>
      <c r="AH87" s="527"/>
      <c r="AI87" s="527"/>
      <c r="AJ87" s="527"/>
      <c r="AK87" s="527"/>
      <c r="AL87" s="527"/>
      <c r="AM87" s="527"/>
      <c r="AN87" s="527"/>
      <c r="AO87" s="527"/>
      <c r="AP87" s="527"/>
      <c r="AQ87" s="527"/>
      <c r="AR87" s="527"/>
      <c r="AS87" s="527"/>
      <c r="AT87" s="440"/>
      <c r="AU87" s="511"/>
      <c r="AV87" s="512"/>
      <c r="AW87" s="512"/>
      <c r="AX87" s="512"/>
      <c r="AY87" s="512"/>
      <c r="AZ87" s="512"/>
      <c r="BA87" s="512"/>
      <c r="BB87" s="512"/>
      <c r="BC87" s="512"/>
      <c r="BD87" s="512"/>
      <c r="BE87" s="512"/>
      <c r="BF87" s="512"/>
      <c r="BG87" s="512"/>
      <c r="BH87" s="512"/>
      <c r="BI87" s="512"/>
      <c r="BJ87" s="512"/>
      <c r="BK87" s="512"/>
      <c r="BL87" s="512"/>
      <c r="BM87" s="512"/>
      <c r="BN87" s="512"/>
      <c r="BO87" s="512"/>
      <c r="BP87" s="512"/>
      <c r="BQ87" s="512"/>
      <c r="BR87" s="513"/>
    </row>
    <row r="88" spans="8:8" ht="18.0" customHeight="1">
      <c r="A88" s="548"/>
      <c r="B88" s="540"/>
      <c r="C88" s="541"/>
      <c r="D88" s="542"/>
      <c r="E88" s="543"/>
      <c r="F88" s="544"/>
      <c r="G88" s="545"/>
      <c r="H88" s="545"/>
      <c r="I88" s="545"/>
      <c r="J88" s="545"/>
      <c r="K88" s="545"/>
      <c r="L88" s="545"/>
      <c r="M88" s="546"/>
      <c r="N88" s="545"/>
      <c r="O88" s="545"/>
      <c r="P88" s="545"/>
      <c r="Q88" s="545"/>
      <c r="R88" s="545"/>
      <c r="S88" s="545"/>
      <c r="T88" s="545"/>
      <c r="U88" s="547"/>
      <c r="W88" s="527"/>
      <c r="X88" s="527"/>
      <c r="Y88" s="527"/>
      <c r="Z88" s="527"/>
      <c r="AA88" s="527"/>
      <c r="AB88" s="527"/>
      <c r="AC88" s="527"/>
      <c r="AD88" s="527"/>
      <c r="AE88" s="527"/>
      <c r="AF88" s="527"/>
      <c r="AG88" s="527"/>
      <c r="AH88" s="527"/>
      <c r="AI88" s="527"/>
      <c r="AJ88" s="527"/>
      <c r="AK88" s="527"/>
      <c r="AL88" s="527"/>
      <c r="AM88" s="527"/>
      <c r="AN88" s="527"/>
      <c r="AO88" s="527"/>
      <c r="AP88" s="527"/>
      <c r="AQ88" s="527"/>
      <c r="AR88" s="527"/>
      <c r="AS88" s="527"/>
      <c r="AT88" s="440"/>
      <c r="AU88" s="511"/>
      <c r="AV88" s="512"/>
      <c r="AW88" s="512"/>
      <c r="AX88" s="512"/>
      <c r="AY88" s="512"/>
      <c r="AZ88" s="512"/>
      <c r="BA88" s="512"/>
      <c r="BB88" s="512"/>
      <c r="BC88" s="512"/>
      <c r="BD88" s="512"/>
      <c r="BE88" s="512"/>
      <c r="BF88" s="512"/>
      <c r="BG88" s="512"/>
      <c r="BH88" s="512"/>
      <c r="BI88" s="512"/>
      <c r="BJ88" s="512"/>
      <c r="BK88" s="512"/>
      <c r="BL88" s="512"/>
      <c r="BM88" s="512"/>
      <c r="BN88" s="512"/>
      <c r="BO88" s="512"/>
      <c r="BP88" s="512"/>
      <c r="BQ88" s="512"/>
      <c r="BR88" s="513"/>
    </row>
    <row r="89" spans="8:8" ht="18.0" customHeight="1">
      <c r="A89" s="548"/>
      <c r="B89" s="532"/>
      <c r="C89" s="533"/>
      <c r="D89" s="534"/>
      <c r="E89" s="535"/>
      <c r="F89" s="536"/>
      <c r="G89" s="537"/>
      <c r="H89" s="537"/>
      <c r="I89" s="537"/>
      <c r="J89" s="537"/>
      <c r="K89" s="537"/>
      <c r="L89" s="537"/>
      <c r="M89" s="538"/>
      <c r="N89" s="537"/>
      <c r="O89" s="537"/>
      <c r="P89" s="537"/>
      <c r="Q89" s="537"/>
      <c r="R89" s="537"/>
      <c r="S89" s="537"/>
      <c r="T89" s="537"/>
      <c r="U89" s="539"/>
      <c r="W89" s="527"/>
      <c r="X89" s="527"/>
      <c r="Y89" s="527"/>
      <c r="Z89" s="527"/>
      <c r="AA89" s="527"/>
      <c r="AB89" s="527"/>
      <c r="AC89" s="527"/>
      <c r="AD89" s="527"/>
      <c r="AE89" s="527"/>
      <c r="AF89" s="527"/>
      <c r="AG89" s="527"/>
      <c r="AH89" s="527"/>
      <c r="AI89" s="527"/>
      <c r="AJ89" s="527"/>
      <c r="AK89" s="527"/>
      <c r="AL89" s="527"/>
      <c r="AM89" s="527"/>
      <c r="AN89" s="527"/>
      <c r="AO89" s="527"/>
      <c r="AP89" s="527"/>
      <c r="AQ89" s="527"/>
      <c r="AR89" s="527"/>
      <c r="AS89" s="527"/>
      <c r="AT89" s="440"/>
      <c r="AU89" s="511"/>
      <c r="AV89" s="512"/>
      <c r="AW89" s="512"/>
      <c r="AX89" s="512"/>
      <c r="AY89" s="512"/>
      <c r="AZ89" s="512"/>
      <c r="BA89" s="512"/>
      <c r="BB89" s="512"/>
      <c r="BC89" s="512"/>
      <c r="BD89" s="512"/>
      <c r="BE89" s="512"/>
      <c r="BF89" s="512"/>
      <c r="BG89" s="512"/>
      <c r="BH89" s="512"/>
      <c r="BI89" s="512"/>
      <c r="BJ89" s="512"/>
      <c r="BK89" s="512"/>
      <c r="BL89" s="512"/>
      <c r="BM89" s="512"/>
      <c r="BN89" s="512"/>
      <c r="BO89" s="512"/>
      <c r="BP89" s="512"/>
      <c r="BQ89" s="512"/>
      <c r="BR89" s="513"/>
    </row>
    <row r="90" spans="8:8" ht="18.0" customHeight="1">
      <c r="A90" s="548"/>
      <c r="B90" s="540"/>
      <c r="C90" s="541"/>
      <c r="D90" s="542"/>
      <c r="E90" s="543"/>
      <c r="F90" s="544"/>
      <c r="G90" s="545"/>
      <c r="H90" s="545"/>
      <c r="I90" s="545"/>
      <c r="J90" s="545"/>
      <c r="K90" s="545"/>
      <c r="L90" s="545"/>
      <c r="M90" s="546"/>
      <c r="N90" s="545"/>
      <c r="O90" s="545"/>
      <c r="P90" s="545"/>
      <c r="Q90" s="545"/>
      <c r="R90" s="545"/>
      <c r="S90" s="545"/>
      <c r="T90" s="545"/>
      <c r="U90" s="547"/>
      <c r="W90" s="527"/>
      <c r="X90" s="527"/>
      <c r="Y90" s="527"/>
      <c r="Z90" s="527"/>
      <c r="AA90" s="527"/>
      <c r="AB90" s="527"/>
      <c r="AC90" s="527"/>
      <c r="AD90" s="527"/>
      <c r="AE90" s="527"/>
      <c r="AF90" s="527"/>
      <c r="AG90" s="527"/>
      <c r="AH90" s="527"/>
      <c r="AI90" s="527"/>
      <c r="AJ90" s="527"/>
      <c r="AK90" s="527"/>
      <c r="AL90" s="527"/>
      <c r="AM90" s="527"/>
      <c r="AN90" s="527"/>
      <c r="AO90" s="527"/>
      <c r="AP90" s="527"/>
      <c r="AQ90" s="527"/>
      <c r="AR90" s="527"/>
      <c r="AS90" s="527"/>
      <c r="AT90" s="440"/>
      <c r="AU90" s="511"/>
      <c r="AV90" s="512"/>
      <c r="AW90" s="512"/>
      <c r="AX90" s="512"/>
      <c r="AY90" s="512"/>
      <c r="AZ90" s="512"/>
      <c r="BA90" s="512"/>
      <c r="BB90" s="512"/>
      <c r="BC90" s="512"/>
      <c r="BD90" s="512"/>
      <c r="BE90" s="512"/>
      <c r="BF90" s="512"/>
      <c r="BG90" s="512"/>
      <c r="BH90" s="512"/>
      <c r="BI90" s="512"/>
      <c r="BJ90" s="512"/>
      <c r="BK90" s="512"/>
      <c r="BL90" s="512"/>
      <c r="BM90" s="512"/>
      <c r="BN90" s="512"/>
      <c r="BO90" s="512"/>
      <c r="BP90" s="512"/>
      <c r="BQ90" s="512"/>
      <c r="BR90" s="513"/>
    </row>
    <row r="91" spans="8:8" ht="18.0" customHeight="1">
      <c r="A91" s="548"/>
      <c r="B91" s="549"/>
      <c r="C91" s="550"/>
      <c r="D91" s="551"/>
      <c r="E91" s="552"/>
      <c r="F91" s="553"/>
      <c r="G91" s="554"/>
      <c r="H91" s="554"/>
      <c r="I91" s="554"/>
      <c r="J91" s="554"/>
      <c r="K91" s="554"/>
      <c r="L91" s="554"/>
      <c r="M91" s="555"/>
      <c r="N91" s="554"/>
      <c r="O91" s="554"/>
      <c r="P91" s="554"/>
      <c r="Q91" s="554"/>
      <c r="R91" s="554"/>
      <c r="S91" s="554"/>
      <c r="T91" s="554"/>
      <c r="U91" s="556"/>
      <c r="W91" s="527"/>
      <c r="X91" s="527"/>
      <c r="Y91" s="527"/>
      <c r="Z91" s="527"/>
      <c r="AA91" s="527"/>
      <c r="AB91" s="527"/>
      <c r="AC91" s="527"/>
      <c r="AD91" s="527"/>
      <c r="AE91" s="527"/>
      <c r="AF91" s="527"/>
      <c r="AG91" s="527"/>
      <c r="AH91" s="527"/>
      <c r="AI91" s="527"/>
      <c r="AJ91" s="527"/>
      <c r="AK91" s="527"/>
      <c r="AL91" s="527"/>
      <c r="AM91" s="527"/>
      <c r="AN91" s="527"/>
      <c r="AO91" s="527"/>
      <c r="AP91" s="527"/>
      <c r="AQ91" s="527"/>
      <c r="AR91" s="527"/>
      <c r="AS91" s="527"/>
      <c r="AT91" s="440"/>
      <c r="AU91" s="511"/>
      <c r="AV91" s="512"/>
      <c r="AW91" s="512"/>
      <c r="AX91" s="512"/>
      <c r="AY91" s="512"/>
      <c r="AZ91" s="512"/>
      <c r="BA91" s="512"/>
      <c r="BB91" s="512"/>
      <c r="BC91" s="512"/>
      <c r="BD91" s="512"/>
      <c r="BE91" s="512"/>
      <c r="BF91" s="512"/>
      <c r="BG91" s="512"/>
      <c r="BH91" s="512"/>
      <c r="BI91" s="512"/>
      <c r="BJ91" s="512"/>
      <c r="BK91" s="512"/>
      <c r="BL91" s="512"/>
      <c r="BM91" s="512"/>
      <c r="BN91" s="512"/>
      <c r="BO91" s="512"/>
      <c r="BP91" s="512"/>
      <c r="BQ91" s="512"/>
      <c r="BR91" s="513"/>
    </row>
    <row r="92" spans="8:8" ht="18.0" customHeight="1">
      <c r="A92" s="548"/>
      <c r="B92" s="540"/>
      <c r="C92" s="541"/>
      <c r="D92" s="542"/>
      <c r="E92" s="543"/>
      <c r="F92" s="544"/>
      <c r="G92" s="545"/>
      <c r="H92" s="545"/>
      <c r="I92" s="545"/>
      <c r="J92" s="545"/>
      <c r="K92" s="545"/>
      <c r="L92" s="545"/>
      <c r="M92" s="546"/>
      <c r="N92" s="545"/>
      <c r="O92" s="545"/>
      <c r="P92" s="545"/>
      <c r="Q92" s="545"/>
      <c r="R92" s="545"/>
      <c r="S92" s="545"/>
      <c r="T92" s="545"/>
      <c r="U92" s="547"/>
      <c r="W92" s="527"/>
      <c r="X92" s="527"/>
      <c r="Y92" s="527"/>
      <c r="Z92" s="527"/>
      <c r="AA92" s="527"/>
      <c r="AB92" s="527"/>
      <c r="AC92" s="527"/>
      <c r="AD92" s="527"/>
      <c r="AE92" s="527"/>
      <c r="AF92" s="527"/>
      <c r="AG92" s="527"/>
      <c r="AH92" s="527"/>
      <c r="AI92" s="527"/>
      <c r="AJ92" s="527"/>
      <c r="AK92" s="527"/>
      <c r="AL92" s="527"/>
      <c r="AM92" s="527"/>
      <c r="AN92" s="527"/>
      <c r="AO92" s="527"/>
      <c r="AP92" s="527"/>
      <c r="AQ92" s="527"/>
      <c r="AR92" s="527"/>
      <c r="AS92" s="527"/>
      <c r="AT92" s="440"/>
      <c r="AU92" s="511"/>
      <c r="AV92" s="512"/>
      <c r="AW92" s="512"/>
      <c r="AX92" s="512"/>
      <c r="AY92" s="512"/>
      <c r="AZ92" s="512"/>
      <c r="BA92" s="512"/>
      <c r="BB92" s="512"/>
      <c r="BC92" s="512"/>
      <c r="BD92" s="512"/>
      <c r="BE92" s="512"/>
      <c r="BF92" s="512"/>
      <c r="BG92" s="512"/>
      <c r="BH92" s="512"/>
      <c r="BI92" s="512"/>
      <c r="BJ92" s="512"/>
      <c r="BK92" s="512"/>
      <c r="BL92" s="512"/>
      <c r="BM92" s="512"/>
      <c r="BN92" s="512"/>
      <c r="BO92" s="512"/>
      <c r="BP92" s="512"/>
      <c r="BQ92" s="512"/>
      <c r="BR92" s="513"/>
    </row>
    <row r="93" spans="8:8" ht="18.0" customHeight="1">
      <c r="A93" s="548"/>
      <c r="B93" s="557"/>
      <c r="C93" s="558"/>
      <c r="D93" s="559"/>
      <c r="E93" s="560"/>
      <c r="F93" s="561"/>
      <c r="G93" s="562"/>
      <c r="H93" s="562"/>
      <c r="I93" s="562"/>
      <c r="J93" s="562"/>
      <c r="K93" s="562"/>
      <c r="L93" s="562"/>
      <c r="M93" s="563"/>
      <c r="N93" s="562"/>
      <c r="O93" s="562"/>
      <c r="P93" s="562"/>
      <c r="Q93" s="562"/>
      <c r="R93" s="562"/>
      <c r="S93" s="562"/>
      <c r="T93" s="562"/>
      <c r="U93" s="564"/>
      <c r="W93" s="527"/>
      <c r="X93" s="527"/>
      <c r="Y93" s="527"/>
      <c r="Z93" s="527"/>
      <c r="AA93" s="527"/>
      <c r="AB93" s="527"/>
      <c r="AC93" s="527"/>
      <c r="AD93" s="527"/>
      <c r="AE93" s="527"/>
      <c r="AF93" s="527"/>
      <c r="AG93" s="527"/>
      <c r="AH93" s="527"/>
      <c r="AI93" s="527"/>
      <c r="AJ93" s="527"/>
      <c r="AK93" s="527"/>
      <c r="AL93" s="527"/>
      <c r="AM93" s="527"/>
      <c r="AN93" s="527"/>
      <c r="AO93" s="527"/>
      <c r="AP93" s="527"/>
      <c r="AQ93" s="527"/>
      <c r="AR93" s="527"/>
      <c r="AS93" s="527"/>
      <c r="AT93" s="440"/>
      <c r="AU93" s="511"/>
      <c r="AV93" s="512"/>
      <c r="AW93" s="512"/>
      <c r="AX93" s="512"/>
      <c r="AY93" s="512"/>
      <c r="AZ93" s="512"/>
      <c r="BA93" s="512"/>
      <c r="BB93" s="512"/>
      <c r="BC93" s="512"/>
      <c r="BD93" s="512"/>
      <c r="BE93" s="512"/>
      <c r="BF93" s="512"/>
      <c r="BG93" s="512"/>
      <c r="BH93" s="512"/>
      <c r="BI93" s="512"/>
      <c r="BJ93" s="512"/>
      <c r="BK93" s="512"/>
      <c r="BL93" s="512"/>
      <c r="BM93" s="512"/>
      <c r="BN93" s="512"/>
      <c r="BO93" s="512"/>
      <c r="BP93" s="512"/>
      <c r="BQ93" s="512"/>
      <c r="BR93" s="513"/>
    </row>
    <row r="94" spans="8:8" ht="18.0" customHeight="1">
      <c r="AH94" s="440"/>
      <c r="AS94" s="440"/>
      <c r="AT94" s="397"/>
      <c r="AU94" s="511"/>
      <c r="AV94" s="512"/>
      <c r="AW94" s="512"/>
      <c r="AX94" s="512"/>
      <c r="AY94" s="512"/>
      <c r="AZ94" s="512"/>
      <c r="BA94" s="512"/>
      <c r="BB94" s="512"/>
      <c r="BC94" s="512"/>
      <c r="BD94" s="512"/>
      <c r="BE94" s="512"/>
      <c r="BF94" s="512"/>
      <c r="BG94" s="512"/>
      <c r="BH94" s="512"/>
      <c r="BI94" s="512"/>
      <c r="BJ94" s="512"/>
      <c r="BK94" s="512"/>
      <c r="BL94" s="512"/>
      <c r="BM94" s="512"/>
      <c r="BN94" s="512"/>
      <c r="BO94" s="512"/>
      <c r="BP94" s="512"/>
      <c r="BQ94" s="512"/>
      <c r="BR94" s="513"/>
    </row>
    <row r="95" spans="8:8" ht="18.0" customHeight="1">
      <c r="B95" s="3" t="s">
        <v>207</v>
      </c>
      <c r="C95" s="4"/>
      <c r="D95" s="4"/>
      <c r="E95" s="4"/>
      <c r="F95" s="4"/>
      <c r="G95" s="4"/>
      <c r="H95" s="4"/>
      <c r="I95" s="4"/>
      <c r="J95" s="4"/>
      <c r="K95" s="4"/>
      <c r="L95" s="4"/>
      <c r="M95" s="4"/>
      <c r="N95" s="4"/>
      <c r="O95" s="4"/>
      <c r="P95" s="4"/>
      <c r="Q95" s="4"/>
      <c r="R95" s="4"/>
      <c r="S95" s="4"/>
      <c r="T95" s="4"/>
      <c r="U95" s="5"/>
      <c r="W95" s="565" t="s">
        <v>208</v>
      </c>
      <c r="X95" s="566"/>
      <c r="Y95" s="566"/>
      <c r="Z95" s="566"/>
      <c r="AA95" s="566"/>
      <c r="AB95" s="566"/>
      <c r="AC95" s="566"/>
      <c r="AD95" s="566"/>
      <c r="AE95" s="566"/>
      <c r="AF95" s="566"/>
      <c r="AG95" s="566"/>
      <c r="AH95" s="566"/>
      <c r="AI95" s="566"/>
      <c r="AJ95" s="566"/>
      <c r="AK95" s="566"/>
      <c r="AL95" s="566"/>
      <c r="AM95" s="566"/>
      <c r="AN95" s="566"/>
      <c r="AO95" s="566"/>
      <c r="AP95" s="566"/>
      <c r="AQ95" s="566"/>
      <c r="AR95" s="566"/>
      <c r="AS95" s="567"/>
      <c r="AT95" s="397"/>
      <c r="AU95" s="511"/>
      <c r="AV95" s="512"/>
      <c r="AW95" s="512"/>
      <c r="AX95" s="512"/>
      <c r="AY95" s="512"/>
      <c r="AZ95" s="512"/>
      <c r="BA95" s="512"/>
      <c r="BB95" s="512"/>
      <c r="BC95" s="512"/>
      <c r="BD95" s="512"/>
      <c r="BE95" s="512"/>
      <c r="BF95" s="512"/>
      <c r="BG95" s="512"/>
      <c r="BH95" s="512"/>
      <c r="BI95" s="512"/>
      <c r="BJ95" s="512"/>
      <c r="BK95" s="512"/>
      <c r="BL95" s="512"/>
      <c r="BM95" s="512"/>
      <c r="BN95" s="512"/>
      <c r="BO95" s="512"/>
      <c r="BP95" s="512"/>
      <c r="BQ95" s="512"/>
      <c r="BR95" s="513"/>
    </row>
    <row r="96" spans="8:8" ht="18.0" customHeight="1">
      <c r="B96" s="568" t="s">
        <v>209</v>
      </c>
      <c r="C96" s="569"/>
      <c r="D96" s="569"/>
      <c r="E96" s="569"/>
      <c r="F96" s="569"/>
      <c r="G96" s="569"/>
      <c r="H96" s="569"/>
      <c r="I96" s="569"/>
      <c r="J96" s="570" t="s">
        <v>210</v>
      </c>
      <c r="K96" s="571"/>
      <c r="L96" s="571"/>
      <c r="M96" s="571"/>
      <c r="N96" s="571"/>
      <c r="O96" s="571"/>
      <c r="P96" s="571"/>
      <c r="Q96" s="571"/>
      <c r="R96" s="571"/>
      <c r="S96" s="571"/>
      <c r="T96" s="571"/>
      <c r="U96" s="572"/>
      <c r="W96" s="573" t="s">
        <v>211</v>
      </c>
      <c r="X96" s="574"/>
      <c r="Y96" s="574"/>
      <c r="Z96" s="575"/>
      <c r="AA96" s="574"/>
      <c r="AB96" s="574"/>
      <c r="AC96" s="574"/>
      <c r="AD96" s="574"/>
      <c r="AE96" s="574"/>
      <c r="AF96" s="574"/>
      <c r="AG96" s="574"/>
      <c r="AH96" s="574"/>
      <c r="AI96" s="574"/>
      <c r="AJ96" s="574"/>
      <c r="AK96" s="574"/>
      <c r="AL96" s="574"/>
      <c r="AM96" s="574"/>
      <c r="AN96" s="574"/>
      <c r="AO96" s="574"/>
      <c r="AP96" s="574"/>
      <c r="AQ96" s="574"/>
      <c r="AR96" s="574"/>
      <c r="AS96" s="576"/>
      <c r="AT96" s="397"/>
      <c r="AU96" s="511"/>
      <c r="AV96" s="512"/>
      <c r="AW96" s="512"/>
      <c r="AX96" s="512"/>
      <c r="AY96" s="512"/>
      <c r="AZ96" s="512"/>
      <c r="BA96" s="512"/>
      <c r="BB96" s="512"/>
      <c r="BC96" s="512"/>
      <c r="BD96" s="512"/>
      <c r="BE96" s="512"/>
      <c r="BF96" s="512"/>
      <c r="BG96" s="512"/>
      <c r="BH96" s="512"/>
      <c r="BI96" s="512"/>
      <c r="BJ96" s="512"/>
      <c r="BK96" s="512"/>
      <c r="BL96" s="512"/>
      <c r="BM96" s="512"/>
      <c r="BN96" s="512"/>
      <c r="BO96" s="512"/>
      <c r="BP96" s="512"/>
      <c r="BQ96" s="512"/>
      <c r="BR96" s="513"/>
    </row>
    <row r="97" spans="8:8" ht="18.0" customHeight="1">
      <c r="B97" s="577"/>
      <c r="C97" s="578"/>
      <c r="D97" s="578"/>
      <c r="E97" s="578"/>
      <c r="F97" s="578"/>
      <c r="G97" s="578"/>
      <c r="H97" s="578"/>
      <c r="I97" s="579"/>
      <c r="J97" s="578"/>
      <c r="K97" s="578"/>
      <c r="L97" s="578"/>
      <c r="M97" s="578"/>
      <c r="N97" s="578"/>
      <c r="O97" s="578"/>
      <c r="P97" s="578"/>
      <c r="Q97" s="578"/>
      <c r="R97" s="578"/>
      <c r="S97" s="578"/>
      <c r="T97" s="578"/>
      <c r="U97" s="580"/>
      <c r="W97" s="581" t="s">
        <v>214</v>
      </c>
      <c r="X97" s="582"/>
      <c r="Y97" s="582"/>
      <c r="Z97" s="583"/>
      <c r="AA97" s="582" t="s">
        <v>215</v>
      </c>
      <c r="AB97" s="582"/>
      <c r="AC97" s="582"/>
      <c r="AD97" s="582"/>
      <c r="AE97" s="582"/>
      <c r="AF97" s="582"/>
      <c r="AG97" s="582"/>
      <c r="AH97" s="582"/>
      <c r="AI97" s="582"/>
      <c r="AJ97" s="584"/>
      <c r="AK97" s="585" t="s">
        <v>104</v>
      </c>
      <c r="AL97" s="586"/>
      <c r="AM97" s="586"/>
      <c r="AN97" s="586"/>
      <c r="AO97" s="586"/>
      <c r="AP97" s="586"/>
      <c r="AQ97" s="587"/>
      <c r="AR97" s="586" t="s">
        <v>216</v>
      </c>
      <c r="AS97" s="588"/>
      <c r="AT97" s="397"/>
      <c r="AU97" s="511"/>
      <c r="AV97" s="512"/>
      <c r="AW97" s="512"/>
      <c r="AX97" s="512"/>
      <c r="AY97" s="512"/>
      <c r="AZ97" s="512"/>
      <c r="BA97" s="512"/>
      <c r="BB97" s="512"/>
      <c r="BC97" s="512"/>
      <c r="BD97" s="512"/>
      <c r="BE97" s="512"/>
      <c r="BF97" s="512"/>
      <c r="BG97" s="512"/>
      <c r="BH97" s="512"/>
      <c r="BI97" s="512"/>
      <c r="BJ97" s="512"/>
      <c r="BK97" s="512"/>
      <c r="BL97" s="512"/>
      <c r="BM97" s="512"/>
      <c r="BN97" s="512"/>
      <c r="BO97" s="512"/>
      <c r="BP97" s="512"/>
      <c r="BQ97" s="512"/>
      <c r="BR97" s="513"/>
    </row>
    <row r="98" spans="8:8" ht="18.0" customHeight="1">
      <c r="B98" s="589"/>
      <c r="C98" s="590"/>
      <c r="D98" s="590"/>
      <c r="E98" s="590"/>
      <c r="F98" s="590"/>
      <c r="G98" s="590"/>
      <c r="H98" s="590"/>
      <c r="I98" s="591"/>
      <c r="J98" s="590"/>
      <c r="K98" s="590"/>
      <c r="L98" s="590"/>
      <c r="M98" s="590"/>
      <c r="N98" s="590"/>
      <c r="O98" s="590"/>
      <c r="P98" s="590"/>
      <c r="Q98" s="590"/>
      <c r="R98" s="590"/>
      <c r="S98" s="590"/>
      <c r="T98" s="590"/>
      <c r="U98" s="592"/>
      <c r="W98" s="589"/>
      <c r="X98" s="590"/>
      <c r="Y98" s="590"/>
      <c r="Z98" s="591"/>
      <c r="AA98" s="593"/>
      <c r="AB98" s="593"/>
      <c r="AC98" s="593"/>
      <c r="AD98" s="593"/>
      <c r="AE98" s="593"/>
      <c r="AF98" s="593"/>
      <c r="AG98" s="593"/>
      <c r="AH98" s="593"/>
      <c r="AI98" s="593"/>
      <c r="AJ98" s="594"/>
      <c r="AK98" s="595"/>
      <c r="AL98" s="593"/>
      <c r="AM98" s="593"/>
      <c r="AN98" s="593"/>
      <c r="AO98" s="593"/>
      <c r="AP98" s="593"/>
      <c r="AQ98" s="596"/>
      <c r="AR98" s="590"/>
      <c r="AS98" s="592"/>
      <c r="AT98" s="397"/>
      <c r="AU98" s="511"/>
      <c r="AV98" s="512"/>
      <c r="AW98" s="512"/>
      <c r="AX98" s="512"/>
      <c r="AY98" s="512"/>
      <c r="AZ98" s="512"/>
      <c r="BA98" s="512"/>
      <c r="BB98" s="512"/>
      <c r="BC98" s="512"/>
      <c r="BD98" s="512"/>
      <c r="BE98" s="512"/>
      <c r="BF98" s="512"/>
      <c r="BG98" s="512"/>
      <c r="BH98" s="512"/>
      <c r="BI98" s="512"/>
      <c r="BJ98" s="512"/>
      <c r="BK98" s="512"/>
      <c r="BL98" s="512"/>
      <c r="BM98" s="512"/>
      <c r="BN98" s="512"/>
      <c r="BO98" s="512"/>
      <c r="BP98" s="512"/>
      <c r="BQ98" s="512"/>
      <c r="BR98" s="513"/>
    </row>
    <row r="99" spans="8:8" ht="18.0" customHeight="1">
      <c r="B99" s="577"/>
      <c r="C99" s="578"/>
      <c r="D99" s="578"/>
      <c r="E99" s="578"/>
      <c r="F99" s="578"/>
      <c r="G99" s="578"/>
      <c r="H99" s="578"/>
      <c r="I99" s="579"/>
      <c r="J99" s="578"/>
      <c r="K99" s="578"/>
      <c r="L99" s="578"/>
      <c r="M99" s="578"/>
      <c r="N99" s="578"/>
      <c r="O99" s="578"/>
      <c r="P99" s="578"/>
      <c r="Q99" s="578"/>
      <c r="R99" s="578"/>
      <c r="S99" s="578"/>
      <c r="T99" s="578"/>
      <c r="U99" s="580"/>
      <c r="W99" s="577"/>
      <c r="X99" s="578"/>
      <c r="Y99" s="578"/>
      <c r="Z99" s="579"/>
      <c r="AA99" s="597"/>
      <c r="AB99" s="597"/>
      <c r="AC99" s="597"/>
      <c r="AD99" s="597"/>
      <c r="AE99" s="597"/>
      <c r="AF99" s="597"/>
      <c r="AG99" s="597"/>
      <c r="AH99" s="597"/>
      <c r="AI99" s="597"/>
      <c r="AJ99" s="598"/>
      <c r="AK99" s="599"/>
      <c r="AL99" s="597"/>
      <c r="AM99" s="597"/>
      <c r="AN99" s="597"/>
      <c r="AO99" s="597"/>
      <c r="AP99" s="597"/>
      <c r="AQ99" s="600"/>
      <c r="AR99" s="578"/>
      <c r="AS99" s="580"/>
      <c r="AT99" s="397"/>
      <c r="AU99" s="511"/>
      <c r="AV99" s="512"/>
      <c r="AW99" s="512"/>
      <c r="AX99" s="512"/>
      <c r="AY99" s="512"/>
      <c r="AZ99" s="512"/>
      <c r="BA99" s="512"/>
      <c r="BB99" s="512"/>
      <c r="BC99" s="512"/>
      <c r="BD99" s="512"/>
      <c r="BE99" s="512"/>
      <c r="BF99" s="512"/>
      <c r="BG99" s="512"/>
      <c r="BH99" s="512"/>
      <c r="BI99" s="512"/>
      <c r="BJ99" s="512"/>
      <c r="BK99" s="512"/>
      <c r="BL99" s="512"/>
      <c r="BM99" s="512"/>
      <c r="BN99" s="512"/>
      <c r="BO99" s="512"/>
      <c r="BP99" s="512"/>
      <c r="BQ99" s="512"/>
      <c r="BR99" s="513"/>
    </row>
    <row r="100" spans="8:8" ht="18.0" customHeight="1">
      <c r="B100" s="589"/>
      <c r="C100" s="590"/>
      <c r="D100" s="590"/>
      <c r="E100" s="590"/>
      <c r="F100" s="590"/>
      <c r="G100" s="590"/>
      <c r="H100" s="590"/>
      <c r="I100" s="591"/>
      <c r="J100" s="590"/>
      <c r="K100" s="590"/>
      <c r="L100" s="590"/>
      <c r="M100" s="590"/>
      <c r="N100" s="590"/>
      <c r="O100" s="590"/>
      <c r="P100" s="590"/>
      <c r="Q100" s="590"/>
      <c r="R100" s="590"/>
      <c r="S100" s="590"/>
      <c r="T100" s="590"/>
      <c r="U100" s="592"/>
      <c r="W100" s="589"/>
      <c r="X100" s="590"/>
      <c r="Y100" s="590"/>
      <c r="Z100" s="591"/>
      <c r="AA100" s="601"/>
      <c r="AB100" s="601"/>
      <c r="AC100" s="601"/>
      <c r="AD100" s="601"/>
      <c r="AE100" s="601"/>
      <c r="AF100" s="601"/>
      <c r="AG100" s="601"/>
      <c r="AH100" s="601"/>
      <c r="AI100" s="601"/>
      <c r="AJ100" s="602"/>
      <c r="AK100" s="603"/>
      <c r="AL100" s="601"/>
      <c r="AM100" s="601"/>
      <c r="AN100" s="601"/>
      <c r="AO100" s="601"/>
      <c r="AP100" s="601"/>
      <c r="AQ100" s="604"/>
      <c r="AR100" s="590"/>
      <c r="AS100" s="592"/>
      <c r="AT100" s="397"/>
      <c r="AU100" s="511"/>
      <c r="AV100" s="512"/>
      <c r="AW100" s="512"/>
      <c r="AX100" s="512"/>
      <c r="AY100" s="512"/>
      <c r="AZ100" s="512"/>
      <c r="BA100" s="512"/>
      <c r="BB100" s="512"/>
      <c r="BC100" s="512"/>
      <c r="BD100" s="512"/>
      <c r="BE100" s="512"/>
      <c r="BF100" s="512"/>
      <c r="BG100" s="512"/>
      <c r="BH100" s="512"/>
      <c r="BI100" s="512"/>
      <c r="BJ100" s="512"/>
      <c r="BK100" s="512"/>
      <c r="BL100" s="512"/>
      <c r="BM100" s="512"/>
      <c r="BN100" s="512"/>
      <c r="BO100" s="512"/>
      <c r="BP100" s="512"/>
      <c r="BQ100" s="512"/>
      <c r="BR100" s="513"/>
    </row>
    <row r="101" spans="8:8" ht="18.0" customHeight="1">
      <c r="B101" s="577"/>
      <c r="C101" s="578"/>
      <c r="D101" s="578"/>
      <c r="E101" s="578"/>
      <c r="F101" s="578"/>
      <c r="G101" s="578"/>
      <c r="H101" s="578"/>
      <c r="I101" s="579"/>
      <c r="J101" s="578"/>
      <c r="K101" s="578"/>
      <c r="L101" s="578"/>
      <c r="M101" s="578"/>
      <c r="N101" s="578"/>
      <c r="O101" s="578"/>
      <c r="P101" s="578"/>
      <c r="Q101" s="578"/>
      <c r="R101" s="578"/>
      <c r="S101" s="578"/>
      <c r="T101" s="578"/>
      <c r="U101" s="580"/>
      <c r="W101" s="577"/>
      <c r="X101" s="578"/>
      <c r="Y101" s="578"/>
      <c r="Z101" s="579"/>
      <c r="AA101" s="605"/>
      <c r="AB101" s="605"/>
      <c r="AC101" s="605"/>
      <c r="AD101" s="605"/>
      <c r="AE101" s="605"/>
      <c r="AF101" s="605"/>
      <c r="AG101" s="605"/>
      <c r="AH101" s="605"/>
      <c r="AI101" s="605"/>
      <c r="AJ101" s="606"/>
      <c r="AK101" s="607"/>
      <c r="AL101" s="605"/>
      <c r="AM101" s="605"/>
      <c r="AN101" s="605"/>
      <c r="AO101" s="605"/>
      <c r="AP101" s="605"/>
      <c r="AQ101" s="608"/>
      <c r="AR101" s="578"/>
      <c r="AS101" s="580"/>
      <c r="AT101" s="397"/>
      <c r="AU101" s="511"/>
      <c r="AV101" s="512"/>
      <c r="AW101" s="512"/>
      <c r="AX101" s="512"/>
      <c r="AY101" s="512"/>
      <c r="AZ101" s="512"/>
      <c r="BA101" s="512"/>
      <c r="BB101" s="512"/>
      <c r="BC101" s="512"/>
      <c r="BD101" s="512"/>
      <c r="BE101" s="512"/>
      <c r="BF101" s="512"/>
      <c r="BG101" s="512"/>
      <c r="BH101" s="512"/>
      <c r="BI101" s="512"/>
      <c r="BJ101" s="512"/>
      <c r="BK101" s="512"/>
      <c r="BL101" s="512"/>
      <c r="BM101" s="512"/>
      <c r="BN101" s="512"/>
      <c r="BO101" s="512"/>
      <c r="BP101" s="512"/>
      <c r="BQ101" s="512"/>
      <c r="BR101" s="513"/>
    </row>
    <row r="102" spans="8:8" ht="18.0" customHeight="1">
      <c r="B102" s="589"/>
      <c r="C102" s="590"/>
      <c r="D102" s="590"/>
      <c r="E102" s="590"/>
      <c r="F102" s="590"/>
      <c r="G102" s="590"/>
      <c r="H102" s="590"/>
      <c r="I102" s="591"/>
      <c r="J102" s="590"/>
      <c r="K102" s="590"/>
      <c r="L102" s="590"/>
      <c r="M102" s="590"/>
      <c r="N102" s="590"/>
      <c r="O102" s="590"/>
      <c r="P102" s="590"/>
      <c r="Q102" s="590"/>
      <c r="R102" s="590"/>
      <c r="S102" s="590"/>
      <c r="T102" s="590"/>
      <c r="U102" s="592"/>
      <c r="W102" s="589"/>
      <c r="X102" s="590"/>
      <c r="Y102" s="590"/>
      <c r="Z102" s="591"/>
      <c r="AA102" s="601"/>
      <c r="AB102" s="601"/>
      <c r="AC102" s="601"/>
      <c r="AD102" s="601"/>
      <c r="AE102" s="601"/>
      <c r="AF102" s="601"/>
      <c r="AG102" s="601"/>
      <c r="AH102" s="601"/>
      <c r="AI102" s="601"/>
      <c r="AJ102" s="602"/>
      <c r="AK102" s="603"/>
      <c r="AL102" s="601"/>
      <c r="AM102" s="601"/>
      <c r="AN102" s="601"/>
      <c r="AO102" s="601"/>
      <c r="AP102" s="601"/>
      <c r="AQ102" s="604"/>
      <c r="AR102" s="590"/>
      <c r="AS102" s="592"/>
      <c r="AT102" s="397"/>
      <c r="AU102" s="511"/>
      <c r="AV102" s="512"/>
      <c r="AW102" s="512"/>
      <c r="AX102" s="512"/>
      <c r="AY102" s="512"/>
      <c r="AZ102" s="512"/>
      <c r="BA102" s="512"/>
      <c r="BB102" s="512"/>
      <c r="BC102" s="512"/>
      <c r="BD102" s="512"/>
      <c r="BE102" s="512"/>
      <c r="BF102" s="512"/>
      <c r="BG102" s="512"/>
      <c r="BH102" s="512"/>
      <c r="BI102" s="512"/>
      <c r="BJ102" s="512"/>
      <c r="BK102" s="512"/>
      <c r="BL102" s="512"/>
      <c r="BM102" s="512"/>
      <c r="BN102" s="512"/>
      <c r="BO102" s="512"/>
      <c r="BP102" s="512"/>
      <c r="BQ102" s="512"/>
      <c r="BR102" s="513"/>
    </row>
    <row r="103" spans="8:8" ht="18.0" customHeight="1">
      <c r="B103" s="577"/>
      <c r="C103" s="578"/>
      <c r="D103" s="578"/>
      <c r="E103" s="578"/>
      <c r="F103" s="578"/>
      <c r="G103" s="578"/>
      <c r="H103" s="578"/>
      <c r="I103" s="579"/>
      <c r="J103" s="578"/>
      <c r="K103" s="578"/>
      <c r="L103" s="578"/>
      <c r="M103" s="578"/>
      <c r="N103" s="578"/>
      <c r="O103" s="578"/>
      <c r="P103" s="578"/>
      <c r="Q103" s="578"/>
      <c r="R103" s="578"/>
      <c r="S103" s="578"/>
      <c r="T103" s="578"/>
      <c r="U103" s="580"/>
      <c r="W103" s="577"/>
      <c r="X103" s="578"/>
      <c r="Y103" s="578"/>
      <c r="Z103" s="579"/>
      <c r="AA103" s="605"/>
      <c r="AB103" s="605"/>
      <c r="AC103" s="605"/>
      <c r="AD103" s="605"/>
      <c r="AE103" s="605"/>
      <c r="AF103" s="605"/>
      <c r="AG103" s="605"/>
      <c r="AH103" s="605"/>
      <c r="AI103" s="605"/>
      <c r="AJ103" s="606"/>
      <c r="AK103" s="607"/>
      <c r="AL103" s="605"/>
      <c r="AM103" s="605"/>
      <c r="AN103" s="605"/>
      <c r="AO103" s="605"/>
      <c r="AP103" s="605"/>
      <c r="AQ103" s="608"/>
      <c r="AR103" s="578"/>
      <c r="AS103" s="580"/>
      <c r="AT103" s="609"/>
      <c r="AU103" s="610"/>
      <c r="AV103" s="611"/>
      <c r="AW103" s="611"/>
      <c r="AX103" s="611"/>
      <c r="AY103" s="611"/>
      <c r="AZ103" s="611"/>
      <c r="BA103" s="611"/>
      <c r="BB103" s="611"/>
      <c r="BC103" s="611"/>
      <c r="BD103" s="611"/>
      <c r="BE103" s="611"/>
      <c r="BF103" s="611"/>
      <c r="BG103" s="611"/>
      <c r="BH103" s="611"/>
      <c r="BI103" s="611"/>
      <c r="BJ103" s="611"/>
      <c r="BK103" s="611"/>
      <c r="BL103" s="611"/>
      <c r="BM103" s="611"/>
      <c r="BN103" s="611"/>
      <c r="BO103" s="611"/>
      <c r="BP103" s="611"/>
      <c r="BQ103" s="611"/>
      <c r="BR103" s="612"/>
    </row>
    <row r="104" spans="8:8" ht="18.0" customHeight="1">
      <c r="B104" s="589"/>
      <c r="C104" s="590"/>
      <c r="D104" s="590"/>
      <c r="E104" s="590"/>
      <c r="F104" s="590"/>
      <c r="G104" s="590"/>
      <c r="H104" s="590"/>
      <c r="I104" s="591"/>
      <c r="J104" s="590"/>
      <c r="K104" s="590"/>
      <c r="L104" s="590"/>
      <c r="M104" s="590"/>
      <c r="N104" s="590"/>
      <c r="O104" s="590"/>
      <c r="P104" s="590"/>
      <c r="Q104" s="590"/>
      <c r="R104" s="590"/>
      <c r="S104" s="590"/>
      <c r="T104" s="590"/>
      <c r="U104" s="592"/>
      <c r="W104" s="589"/>
      <c r="X104" s="590"/>
      <c r="Y104" s="590"/>
      <c r="Z104" s="591"/>
      <c r="AA104" s="601"/>
      <c r="AB104" s="601"/>
      <c r="AC104" s="601"/>
      <c r="AD104" s="601"/>
      <c r="AE104" s="601"/>
      <c r="AF104" s="601"/>
      <c r="AG104" s="601"/>
      <c r="AH104" s="601"/>
      <c r="AI104" s="601"/>
      <c r="AJ104" s="602"/>
      <c r="AK104" s="603"/>
      <c r="AL104" s="601"/>
      <c r="AM104" s="601"/>
      <c r="AN104" s="601"/>
      <c r="AO104" s="601"/>
      <c r="AP104" s="601"/>
      <c r="AQ104" s="604"/>
      <c r="AR104" s="590"/>
      <c r="AS104" s="592"/>
      <c r="AT104" s="609"/>
      <c r="AU104" s="613" t="s">
        <v>224</v>
      </c>
      <c r="AV104" s="614"/>
      <c r="AW104" s="614"/>
      <c r="AX104" s="614"/>
      <c r="AY104" s="614"/>
      <c r="AZ104" s="614"/>
      <c r="BA104" s="614"/>
      <c r="BB104" s="614"/>
      <c r="BC104" s="614"/>
      <c r="BD104" s="614"/>
      <c r="BE104" s="614"/>
      <c r="BF104" s="614"/>
      <c r="BG104" s="614"/>
      <c r="BH104" s="614"/>
      <c r="BI104" s="614"/>
      <c r="BJ104" s="614"/>
      <c r="BK104" s="614"/>
      <c r="BL104" s="614"/>
      <c r="BM104" s="614"/>
      <c r="BN104" s="614"/>
      <c r="BO104" s="614"/>
      <c r="BP104" s="614"/>
      <c r="BQ104" s="614"/>
      <c r="BR104" s="615"/>
    </row>
    <row r="105" spans="8:8" ht="18.0" customHeight="1">
      <c r="B105" s="577"/>
      <c r="C105" s="578"/>
      <c r="D105" s="578"/>
      <c r="E105" s="578"/>
      <c r="F105" s="578"/>
      <c r="G105" s="578"/>
      <c r="H105" s="578"/>
      <c r="I105" s="579"/>
      <c r="J105" s="578"/>
      <c r="K105" s="578"/>
      <c r="L105" s="578"/>
      <c r="M105" s="578"/>
      <c r="N105" s="578"/>
      <c r="O105" s="578"/>
      <c r="P105" s="578"/>
      <c r="Q105" s="578"/>
      <c r="R105" s="578"/>
      <c r="S105" s="578"/>
      <c r="T105" s="578"/>
      <c r="U105" s="580"/>
      <c r="W105" s="577"/>
      <c r="X105" s="578"/>
      <c r="Y105" s="578"/>
      <c r="Z105" s="579"/>
      <c r="AA105" s="605"/>
      <c r="AB105" s="605"/>
      <c r="AC105" s="605"/>
      <c r="AD105" s="605"/>
      <c r="AE105" s="605"/>
      <c r="AF105" s="605"/>
      <c r="AG105" s="605"/>
      <c r="AH105" s="605"/>
      <c r="AI105" s="605"/>
      <c r="AJ105" s="606"/>
      <c r="AK105" s="607"/>
      <c r="AL105" s="605"/>
      <c r="AM105" s="605"/>
      <c r="AN105" s="605"/>
      <c r="AO105" s="605"/>
      <c r="AP105" s="605"/>
      <c r="AQ105" s="608"/>
      <c r="AR105" s="578"/>
      <c r="AS105" s="580"/>
      <c r="AT105" s="609"/>
      <c r="AU105" s="616" t="str">
        <f>_xlfn.IFNA(附表!AP22,"")</f>
        <v/>
      </c>
      <c r="AV105" s="617"/>
      <c r="AW105" s="617"/>
      <c r="AX105" s="617"/>
      <c r="AY105" s="617"/>
      <c r="AZ105" s="617"/>
      <c r="BA105" s="617"/>
      <c r="BB105" s="617"/>
      <c r="BC105" s="617"/>
      <c r="BD105" s="617"/>
      <c r="BE105" s="617"/>
      <c r="BF105" s="617"/>
      <c r="BG105" s="617"/>
      <c r="BH105" s="617"/>
      <c r="BI105" s="617"/>
      <c r="BJ105" s="617"/>
      <c r="BK105" s="617"/>
      <c r="BL105" s="617"/>
      <c r="BM105" s="617"/>
      <c r="BN105" s="617"/>
      <c r="BO105" s="617"/>
      <c r="BP105" s="617"/>
      <c r="BQ105" s="617"/>
      <c r="BR105" s="618"/>
    </row>
    <row r="106" spans="8:8" ht="18.0" customHeight="1">
      <c r="B106" s="589"/>
      <c r="C106" s="590"/>
      <c r="D106" s="590"/>
      <c r="E106" s="590"/>
      <c r="F106" s="590"/>
      <c r="G106" s="590"/>
      <c r="H106" s="590"/>
      <c r="I106" s="591"/>
      <c r="J106" s="590"/>
      <c r="K106" s="590"/>
      <c r="L106" s="590"/>
      <c r="M106" s="590"/>
      <c r="N106" s="590"/>
      <c r="O106" s="590"/>
      <c r="P106" s="590"/>
      <c r="Q106" s="590"/>
      <c r="R106" s="590"/>
      <c r="S106" s="590"/>
      <c r="T106" s="590"/>
      <c r="U106" s="592"/>
      <c r="W106" s="589"/>
      <c r="X106" s="590"/>
      <c r="Y106" s="590"/>
      <c r="Z106" s="591"/>
      <c r="AA106" s="601"/>
      <c r="AB106" s="601"/>
      <c r="AC106" s="601"/>
      <c r="AD106" s="601"/>
      <c r="AE106" s="601"/>
      <c r="AF106" s="601"/>
      <c r="AG106" s="601"/>
      <c r="AH106" s="601"/>
      <c r="AI106" s="601"/>
      <c r="AJ106" s="602"/>
      <c r="AK106" s="603"/>
      <c r="AL106" s="601"/>
      <c r="AM106" s="601"/>
      <c r="AN106" s="601"/>
      <c r="AO106" s="601"/>
      <c r="AP106" s="601"/>
      <c r="AQ106" s="604"/>
      <c r="AR106" s="590"/>
      <c r="AS106" s="592"/>
      <c r="AT106" s="609"/>
      <c r="AU106" s="619"/>
      <c r="AV106" s="620"/>
      <c r="AW106" s="620"/>
      <c r="AX106" s="620"/>
      <c r="AY106" s="620"/>
      <c r="AZ106" s="620"/>
      <c r="BA106" s="620"/>
      <c r="BB106" s="620"/>
      <c r="BC106" s="620"/>
      <c r="BD106" s="620"/>
      <c r="BE106" s="620"/>
      <c r="BF106" s="620"/>
      <c r="BG106" s="620"/>
      <c r="BH106" s="620"/>
      <c r="BI106" s="620"/>
      <c r="BJ106" s="620"/>
      <c r="BK106" s="620"/>
      <c r="BL106" s="620"/>
      <c r="BM106" s="620"/>
      <c r="BN106" s="620"/>
      <c r="BO106" s="620"/>
      <c r="BP106" s="620"/>
      <c r="BQ106" s="620"/>
      <c r="BR106" s="621"/>
    </row>
    <row r="107" spans="8:8" ht="18.0" customHeight="1">
      <c r="B107" s="577"/>
      <c r="C107" s="578"/>
      <c r="D107" s="578"/>
      <c r="E107" s="578"/>
      <c r="F107" s="578"/>
      <c r="G107" s="578"/>
      <c r="H107" s="578"/>
      <c r="I107" s="579"/>
      <c r="J107" s="578"/>
      <c r="K107" s="578"/>
      <c r="L107" s="578"/>
      <c r="M107" s="578"/>
      <c r="N107" s="578"/>
      <c r="O107" s="578"/>
      <c r="P107" s="578"/>
      <c r="Q107" s="578"/>
      <c r="R107" s="578"/>
      <c r="S107" s="578"/>
      <c r="T107" s="578"/>
      <c r="U107" s="580"/>
      <c r="W107" s="577"/>
      <c r="X107" s="578"/>
      <c r="Y107" s="578"/>
      <c r="Z107" s="579"/>
      <c r="AA107" s="605"/>
      <c r="AB107" s="605"/>
      <c r="AC107" s="605"/>
      <c r="AD107" s="605"/>
      <c r="AE107" s="605"/>
      <c r="AF107" s="605"/>
      <c r="AG107" s="605"/>
      <c r="AH107" s="605"/>
      <c r="AI107" s="605"/>
      <c r="AJ107" s="606"/>
      <c r="AK107" s="607"/>
      <c r="AL107" s="605"/>
      <c r="AM107" s="605"/>
      <c r="AN107" s="605"/>
      <c r="AO107" s="605"/>
      <c r="AP107" s="605"/>
      <c r="AQ107" s="608"/>
      <c r="AR107" s="578"/>
      <c r="AS107" s="580"/>
      <c r="AT107" s="397"/>
      <c r="AU107" s="619"/>
      <c r="AV107" s="620"/>
      <c r="AW107" s="620"/>
      <c r="AX107" s="620"/>
      <c r="AY107" s="620"/>
      <c r="AZ107" s="620"/>
      <c r="BA107" s="620"/>
      <c r="BB107" s="620"/>
      <c r="BC107" s="620"/>
      <c r="BD107" s="620"/>
      <c r="BE107" s="620"/>
      <c r="BF107" s="620"/>
      <c r="BG107" s="620"/>
      <c r="BH107" s="620"/>
      <c r="BI107" s="620"/>
      <c r="BJ107" s="620"/>
      <c r="BK107" s="620"/>
      <c r="BL107" s="620"/>
      <c r="BM107" s="620"/>
      <c r="BN107" s="620"/>
      <c r="BO107" s="620"/>
      <c r="BP107" s="620"/>
      <c r="BQ107" s="620"/>
      <c r="BR107" s="621"/>
    </row>
    <row r="108" spans="8:8" ht="18.0" customHeight="1">
      <c r="B108" s="589"/>
      <c r="C108" s="590"/>
      <c r="D108" s="590"/>
      <c r="E108" s="590"/>
      <c r="F108" s="590"/>
      <c r="G108" s="590"/>
      <c r="H108" s="590"/>
      <c r="I108" s="591"/>
      <c r="J108" s="590"/>
      <c r="K108" s="590"/>
      <c r="L108" s="590"/>
      <c r="M108" s="590"/>
      <c r="N108" s="590"/>
      <c r="O108" s="590"/>
      <c r="P108" s="590"/>
      <c r="Q108" s="590"/>
      <c r="R108" s="590"/>
      <c r="S108" s="590"/>
      <c r="T108" s="590"/>
      <c r="U108" s="592"/>
      <c r="W108" s="589"/>
      <c r="X108" s="590"/>
      <c r="Y108" s="590"/>
      <c r="Z108" s="591"/>
      <c r="AA108" s="601"/>
      <c r="AB108" s="601"/>
      <c r="AC108" s="601"/>
      <c r="AD108" s="601"/>
      <c r="AE108" s="601"/>
      <c r="AF108" s="601"/>
      <c r="AG108" s="601"/>
      <c r="AH108" s="601"/>
      <c r="AI108" s="601"/>
      <c r="AJ108" s="602"/>
      <c r="AK108" s="603"/>
      <c r="AL108" s="601"/>
      <c r="AM108" s="601"/>
      <c r="AN108" s="601"/>
      <c r="AO108" s="601"/>
      <c r="AP108" s="601"/>
      <c r="AQ108" s="604"/>
      <c r="AR108" s="590"/>
      <c r="AS108" s="592"/>
      <c r="AT108" s="397"/>
      <c r="AU108" s="619"/>
      <c r="AV108" s="620"/>
      <c r="AW108" s="620"/>
      <c r="AX108" s="620"/>
      <c r="AY108" s="620"/>
      <c r="AZ108" s="620"/>
      <c r="BA108" s="620"/>
      <c r="BB108" s="620"/>
      <c r="BC108" s="620"/>
      <c r="BD108" s="620"/>
      <c r="BE108" s="620"/>
      <c r="BF108" s="620"/>
      <c r="BG108" s="620"/>
      <c r="BH108" s="620"/>
      <c r="BI108" s="620"/>
      <c r="BJ108" s="620"/>
      <c r="BK108" s="620"/>
      <c r="BL108" s="620"/>
      <c r="BM108" s="620"/>
      <c r="BN108" s="620"/>
      <c r="BO108" s="620"/>
      <c r="BP108" s="620"/>
      <c r="BQ108" s="620"/>
      <c r="BR108" s="621"/>
    </row>
    <row r="109" spans="8:8" ht="18.0" customHeight="1">
      <c r="B109" s="577"/>
      <c r="C109" s="578"/>
      <c r="D109" s="578"/>
      <c r="E109" s="578"/>
      <c r="F109" s="578"/>
      <c r="G109" s="578"/>
      <c r="H109" s="578"/>
      <c r="I109" s="579"/>
      <c r="J109" s="578"/>
      <c r="K109" s="578"/>
      <c r="L109" s="578"/>
      <c r="M109" s="578"/>
      <c r="N109" s="578"/>
      <c r="O109" s="578"/>
      <c r="P109" s="578"/>
      <c r="Q109" s="578"/>
      <c r="R109" s="578"/>
      <c r="S109" s="578"/>
      <c r="T109" s="578"/>
      <c r="U109" s="580"/>
      <c r="W109" s="577"/>
      <c r="X109" s="578"/>
      <c r="Y109" s="578"/>
      <c r="Z109" s="579"/>
      <c r="AA109" s="605"/>
      <c r="AB109" s="605"/>
      <c r="AC109" s="605"/>
      <c r="AD109" s="605"/>
      <c r="AE109" s="605"/>
      <c r="AF109" s="605"/>
      <c r="AG109" s="605"/>
      <c r="AH109" s="605"/>
      <c r="AI109" s="605"/>
      <c r="AJ109" s="606"/>
      <c r="AK109" s="607"/>
      <c r="AL109" s="605"/>
      <c r="AM109" s="605"/>
      <c r="AN109" s="605"/>
      <c r="AO109" s="605"/>
      <c r="AP109" s="605"/>
      <c r="AQ109" s="608"/>
      <c r="AR109" s="578"/>
      <c r="AS109" s="580"/>
      <c r="AT109" s="609"/>
      <c r="AU109" s="619"/>
      <c r="AV109" s="620"/>
      <c r="AW109" s="620"/>
      <c r="AX109" s="620"/>
      <c r="AY109" s="620"/>
      <c r="AZ109" s="620"/>
      <c r="BA109" s="620"/>
      <c r="BB109" s="620"/>
      <c r="BC109" s="620"/>
      <c r="BD109" s="620"/>
      <c r="BE109" s="620"/>
      <c r="BF109" s="620"/>
      <c r="BG109" s="620"/>
      <c r="BH109" s="620"/>
      <c r="BI109" s="620"/>
      <c r="BJ109" s="620"/>
      <c r="BK109" s="620"/>
      <c r="BL109" s="620"/>
      <c r="BM109" s="620"/>
      <c r="BN109" s="620"/>
      <c r="BO109" s="620"/>
      <c r="BP109" s="620"/>
      <c r="BQ109" s="620"/>
      <c r="BR109" s="621"/>
    </row>
    <row r="110" spans="8:8" ht="18.0" customHeight="1">
      <c r="B110" s="589"/>
      <c r="C110" s="590"/>
      <c r="D110" s="590"/>
      <c r="E110" s="590"/>
      <c r="F110" s="590"/>
      <c r="G110" s="590"/>
      <c r="H110" s="590"/>
      <c r="I110" s="591"/>
      <c r="J110" s="590"/>
      <c r="K110" s="590"/>
      <c r="L110" s="590"/>
      <c r="M110" s="590"/>
      <c r="N110" s="590"/>
      <c r="O110" s="590"/>
      <c r="P110" s="590"/>
      <c r="Q110" s="590"/>
      <c r="R110" s="590"/>
      <c r="S110" s="590"/>
      <c r="T110" s="590"/>
      <c r="U110" s="592"/>
      <c r="W110" s="622"/>
      <c r="X110" s="623"/>
      <c r="Y110" s="623"/>
      <c r="Z110" s="624"/>
      <c r="AA110" s="625"/>
      <c r="AB110" s="625"/>
      <c r="AC110" s="625"/>
      <c r="AD110" s="625"/>
      <c r="AE110" s="625"/>
      <c r="AF110" s="625"/>
      <c r="AG110" s="625"/>
      <c r="AH110" s="625"/>
      <c r="AI110" s="625"/>
      <c r="AJ110" s="625"/>
      <c r="AK110" s="626"/>
      <c r="AL110" s="625"/>
      <c r="AM110" s="625"/>
      <c r="AN110" s="625"/>
      <c r="AO110" s="625"/>
      <c r="AP110" s="625"/>
      <c r="AQ110" s="627"/>
      <c r="AR110" s="623"/>
      <c r="AS110" s="628"/>
      <c r="AT110" s="609"/>
      <c r="AU110" s="619"/>
      <c r="AV110" s="620"/>
      <c r="AW110" s="620"/>
      <c r="AX110" s="620"/>
      <c r="AY110" s="620"/>
      <c r="AZ110" s="620"/>
      <c r="BA110" s="620"/>
      <c r="BB110" s="620"/>
      <c r="BC110" s="620"/>
      <c r="BD110" s="620"/>
      <c r="BE110" s="620"/>
      <c r="BF110" s="620"/>
      <c r="BG110" s="620"/>
      <c r="BH110" s="620"/>
      <c r="BI110" s="620"/>
      <c r="BJ110" s="620"/>
      <c r="BK110" s="620"/>
      <c r="BL110" s="620"/>
      <c r="BM110" s="620"/>
      <c r="BN110" s="620"/>
      <c r="BO110" s="620"/>
      <c r="BP110" s="620"/>
      <c r="BQ110" s="620"/>
      <c r="BR110" s="621"/>
    </row>
    <row r="111" spans="8:8" ht="18.0" customHeight="1">
      <c r="B111" s="577"/>
      <c r="C111" s="578"/>
      <c r="D111" s="578"/>
      <c r="E111" s="578"/>
      <c r="F111" s="578"/>
      <c r="G111" s="578"/>
      <c r="H111" s="578"/>
      <c r="I111" s="579"/>
      <c r="J111" s="578"/>
      <c r="K111" s="578"/>
      <c r="L111" s="578"/>
      <c r="M111" s="578"/>
      <c r="N111" s="578"/>
      <c r="O111" s="578"/>
      <c r="P111" s="578"/>
      <c r="Q111" s="578"/>
      <c r="R111" s="578"/>
      <c r="S111" s="578"/>
      <c r="T111" s="578"/>
      <c r="U111" s="580"/>
      <c r="Y111" s="629"/>
      <c r="AT111" s="609"/>
      <c r="AU111" s="619"/>
      <c r="AV111" s="620"/>
      <c r="AW111" s="620"/>
      <c r="AX111" s="620"/>
      <c r="AY111" s="620"/>
      <c r="AZ111" s="620"/>
      <c r="BA111" s="620"/>
      <c r="BB111" s="620"/>
      <c r="BC111" s="620"/>
      <c r="BD111" s="620"/>
      <c r="BE111" s="620"/>
      <c r="BF111" s="620"/>
      <c r="BG111" s="620"/>
      <c r="BH111" s="620"/>
      <c r="BI111" s="620"/>
      <c r="BJ111" s="620"/>
      <c r="BK111" s="620"/>
      <c r="BL111" s="620"/>
      <c r="BM111" s="620"/>
      <c r="BN111" s="620"/>
      <c r="BO111" s="620"/>
      <c r="BP111" s="620"/>
      <c r="BQ111" s="620"/>
      <c r="BR111" s="621"/>
    </row>
    <row r="112" spans="8:8" ht="18.0" customHeight="1">
      <c r="B112" s="630"/>
      <c r="C112" s="631"/>
      <c r="D112" s="631"/>
      <c r="E112" s="631"/>
      <c r="F112" s="631"/>
      <c r="G112" s="631"/>
      <c r="H112" s="631"/>
      <c r="I112" s="632"/>
      <c r="J112" s="631"/>
      <c r="K112" s="631"/>
      <c r="L112" s="631"/>
      <c r="M112" s="631"/>
      <c r="N112" s="631"/>
      <c r="O112" s="631"/>
      <c r="P112" s="631"/>
      <c r="Q112" s="631"/>
      <c r="R112" s="631"/>
      <c r="S112" s="631"/>
      <c r="T112" s="631"/>
      <c r="U112" s="633"/>
      <c r="W112" s="634" t="s">
        <v>225</v>
      </c>
      <c r="X112" s="635"/>
      <c r="Y112" s="635"/>
      <c r="Z112" s="635"/>
      <c r="AA112" s="635"/>
      <c r="AB112" s="635"/>
      <c r="AC112" s="635"/>
      <c r="AD112" s="635"/>
      <c r="AE112" s="635"/>
      <c r="AF112" s="635"/>
      <c r="AG112" s="635"/>
      <c r="AH112" s="635"/>
      <c r="AI112" s="635"/>
      <c r="AJ112" s="635"/>
      <c r="AK112" s="635"/>
      <c r="AL112" s="635"/>
      <c r="AM112" s="635"/>
      <c r="AN112" s="635"/>
      <c r="AO112" s="635"/>
      <c r="AP112" s="635"/>
      <c r="AQ112" s="635"/>
      <c r="AR112" s="635"/>
      <c r="AS112" s="636"/>
      <c r="AT112" s="609"/>
      <c r="AU112" s="619"/>
      <c r="AV112" s="620"/>
      <c r="AW112" s="620"/>
      <c r="AX112" s="620"/>
      <c r="AY112" s="620"/>
      <c r="AZ112" s="620"/>
      <c r="BA112" s="620"/>
      <c r="BB112" s="620"/>
      <c r="BC112" s="620"/>
      <c r="BD112" s="620"/>
      <c r="BE112" s="620"/>
      <c r="BF112" s="620"/>
      <c r="BG112" s="620"/>
      <c r="BH112" s="620"/>
      <c r="BI112" s="620"/>
      <c r="BJ112" s="620"/>
      <c r="BK112" s="620"/>
      <c r="BL112" s="620"/>
      <c r="BM112" s="620"/>
      <c r="BN112" s="620"/>
      <c r="BO112" s="620"/>
      <c r="BP112" s="620"/>
      <c r="BQ112" s="620"/>
      <c r="BR112" s="621"/>
    </row>
    <row r="113" spans="8:8" ht="18.0" customHeight="1">
      <c r="B113" s="637" t="s">
        <v>226</v>
      </c>
      <c r="C113" s="638"/>
      <c r="D113" s="638"/>
      <c r="E113" s="639"/>
      <c r="F113" s="640" t="s">
        <v>168</v>
      </c>
      <c r="G113" s="641"/>
      <c r="H113" s="641"/>
      <c r="I113" s="641"/>
      <c r="J113" s="642" t="str">
        <f>"SAN值减少"&amp;附表!C34&amp;"        备注："&amp;附表!E34</f>
        <v>SAN值减少        备注：</v>
      </c>
      <c r="K113" s="643"/>
      <c r="L113" s="643"/>
      <c r="M113" s="643"/>
      <c r="N113" s="643"/>
      <c r="O113" s="643"/>
      <c r="P113" s="643"/>
      <c r="Q113" s="643"/>
      <c r="R113" s="643"/>
      <c r="S113" s="643"/>
      <c r="T113" s="643"/>
      <c r="U113" s="644"/>
      <c r="W113" s="645" t="s">
        <v>227</v>
      </c>
      <c r="X113" s="646"/>
      <c r="Y113" s="647" t="s">
        <v>228</v>
      </c>
      <c r="Z113" s="646"/>
      <c r="AA113" s="646"/>
      <c r="AB113" s="648"/>
      <c r="AC113" s="646" t="s">
        <v>229</v>
      </c>
      <c r="AD113" s="646"/>
      <c r="AE113" s="646"/>
      <c r="AF113" s="646"/>
      <c r="AG113" s="646"/>
      <c r="AH113" s="649" t="s">
        <v>230</v>
      </c>
      <c r="AI113" s="650"/>
      <c r="AJ113" s="650"/>
      <c r="AK113" s="650"/>
      <c r="AL113" s="650"/>
      <c r="AM113" s="650"/>
      <c r="AN113" s="650"/>
      <c r="AO113" s="650"/>
      <c r="AP113" s="650"/>
      <c r="AQ113" s="650"/>
      <c r="AR113" s="650"/>
      <c r="AS113" s="651"/>
      <c r="AT113" s="609"/>
      <c r="AU113" s="619"/>
      <c r="AV113" s="620"/>
      <c r="AW113" s="620"/>
      <c r="AX113" s="620"/>
      <c r="AY113" s="620"/>
      <c r="AZ113" s="620"/>
      <c r="BA113" s="620"/>
      <c r="BB113" s="620"/>
      <c r="BC113" s="620"/>
      <c r="BD113" s="620"/>
      <c r="BE113" s="620"/>
      <c r="BF113" s="620"/>
      <c r="BG113" s="620"/>
      <c r="BH113" s="620"/>
      <c r="BI113" s="620"/>
      <c r="BJ113" s="620"/>
      <c r="BK113" s="620"/>
      <c r="BL113" s="620"/>
      <c r="BM113" s="620"/>
      <c r="BN113" s="620"/>
      <c r="BO113" s="620"/>
      <c r="BP113" s="620"/>
      <c r="BQ113" s="620"/>
      <c r="BR113" s="621"/>
    </row>
    <row r="114" spans="8:8" ht="18.0" customHeight="1">
      <c r="B114" s="652"/>
      <c r="C114" s="653"/>
      <c r="D114" s="653"/>
      <c r="E114" s="654"/>
      <c r="F114" s="655"/>
      <c r="G114" s="656"/>
      <c r="H114" s="656"/>
      <c r="I114" s="656"/>
      <c r="J114" s="657"/>
      <c r="K114" s="657"/>
      <c r="L114" s="657"/>
      <c r="M114" s="657"/>
      <c r="N114" s="657"/>
      <c r="O114" s="657"/>
      <c r="P114" s="657"/>
      <c r="Q114" s="657"/>
      <c r="R114" s="657"/>
      <c r="S114" s="657"/>
      <c r="T114" s="657"/>
      <c r="U114" s="658"/>
      <c r="W114" s="659"/>
      <c r="X114" s="607"/>
      <c r="Y114" s="607"/>
      <c r="Z114" s="607"/>
      <c r="AA114" s="607"/>
      <c r="AB114" s="607"/>
      <c r="AC114" s="607"/>
      <c r="AD114" s="607"/>
      <c r="AE114" s="607"/>
      <c r="AF114" s="607"/>
      <c r="AG114" s="607"/>
      <c r="AH114" s="607"/>
      <c r="AI114" s="607"/>
      <c r="AJ114" s="607"/>
      <c r="AK114" s="607"/>
      <c r="AL114" s="607"/>
      <c r="AM114" s="607"/>
      <c r="AN114" s="607"/>
      <c r="AO114" s="607"/>
      <c r="AP114" s="607"/>
      <c r="AQ114" s="607"/>
      <c r="AR114" s="607"/>
      <c r="AS114" s="660"/>
      <c r="AT114" s="609"/>
      <c r="AU114" s="619"/>
      <c r="AV114" s="620"/>
      <c r="AW114" s="620"/>
      <c r="AX114" s="620"/>
      <c r="AY114" s="620"/>
      <c r="AZ114" s="620"/>
      <c r="BA114" s="620"/>
      <c r="BB114" s="620"/>
      <c r="BC114" s="620"/>
      <c r="BD114" s="620"/>
      <c r="BE114" s="620"/>
      <c r="BF114" s="620"/>
      <c r="BG114" s="620"/>
      <c r="BH114" s="620"/>
      <c r="BI114" s="620"/>
      <c r="BJ114" s="620"/>
      <c r="BK114" s="620"/>
      <c r="BL114" s="620"/>
      <c r="BM114" s="620"/>
      <c r="BN114" s="620"/>
      <c r="BO114" s="620"/>
      <c r="BP114" s="620"/>
      <c r="BQ114" s="620"/>
      <c r="BR114" s="621"/>
    </row>
    <row r="115" spans="8:8" ht="18.0" customHeight="1">
      <c r="B115" s="652"/>
      <c r="C115" s="653"/>
      <c r="D115" s="653"/>
      <c r="E115" s="654"/>
      <c r="F115" s="655"/>
      <c r="G115" s="656"/>
      <c r="H115" s="656"/>
      <c r="I115" s="656"/>
      <c r="J115" s="657"/>
      <c r="K115" s="657"/>
      <c r="L115" s="657"/>
      <c r="M115" s="657"/>
      <c r="N115" s="657"/>
      <c r="O115" s="657"/>
      <c r="P115" s="657"/>
      <c r="Q115" s="657"/>
      <c r="R115" s="657"/>
      <c r="S115" s="657"/>
      <c r="T115" s="657"/>
      <c r="U115" s="658"/>
      <c r="W115" s="661"/>
      <c r="X115" s="603"/>
      <c r="Y115" s="603"/>
      <c r="Z115" s="603"/>
      <c r="AA115" s="603"/>
      <c r="AB115" s="603"/>
      <c r="AC115" s="603"/>
      <c r="AD115" s="603"/>
      <c r="AE115" s="603"/>
      <c r="AF115" s="603"/>
      <c r="AG115" s="603"/>
      <c r="AH115" s="603"/>
      <c r="AI115" s="603"/>
      <c r="AJ115" s="603"/>
      <c r="AK115" s="603"/>
      <c r="AL115" s="603"/>
      <c r="AM115" s="603"/>
      <c r="AN115" s="603"/>
      <c r="AO115" s="603"/>
      <c r="AP115" s="603"/>
      <c r="AQ115" s="603"/>
      <c r="AR115" s="603"/>
      <c r="AS115" s="662"/>
      <c r="AT115" s="609"/>
      <c r="AU115" s="619"/>
      <c r="AV115" s="620"/>
      <c r="AW115" s="620"/>
      <c r="AX115" s="620"/>
      <c r="AY115" s="620"/>
      <c r="AZ115" s="620"/>
      <c r="BA115" s="620"/>
      <c r="BB115" s="620"/>
      <c r="BC115" s="620"/>
      <c r="BD115" s="620"/>
      <c r="BE115" s="620"/>
      <c r="BF115" s="620"/>
      <c r="BG115" s="620"/>
      <c r="BH115" s="620"/>
      <c r="BI115" s="620"/>
      <c r="BJ115" s="620"/>
      <c r="BK115" s="620"/>
      <c r="BL115" s="620"/>
      <c r="BM115" s="620"/>
      <c r="BN115" s="620"/>
      <c r="BO115" s="620"/>
      <c r="BP115" s="620"/>
      <c r="BQ115" s="620"/>
      <c r="BR115" s="621"/>
    </row>
    <row r="116" spans="8:8" ht="18.0" customHeight="1">
      <c r="B116" s="663"/>
      <c r="C116" s="664"/>
      <c r="D116" s="664"/>
      <c r="E116" s="665"/>
      <c r="F116" s="666"/>
      <c r="G116" s="667"/>
      <c r="H116" s="667"/>
      <c r="I116" s="667"/>
      <c r="J116" s="668"/>
      <c r="K116" s="668"/>
      <c r="L116" s="668"/>
      <c r="M116" s="668"/>
      <c r="N116" s="668"/>
      <c r="O116" s="668"/>
      <c r="P116" s="668"/>
      <c r="Q116" s="668"/>
      <c r="R116" s="668"/>
      <c r="S116" s="668"/>
      <c r="T116" s="668"/>
      <c r="U116" s="669"/>
      <c r="W116" s="659"/>
      <c r="X116" s="607"/>
      <c r="Y116" s="607"/>
      <c r="Z116" s="607"/>
      <c r="AA116" s="607"/>
      <c r="AB116" s="607"/>
      <c r="AC116" s="607"/>
      <c r="AD116" s="607"/>
      <c r="AE116" s="607"/>
      <c r="AF116" s="607"/>
      <c r="AG116" s="607"/>
      <c r="AH116" s="607"/>
      <c r="AI116" s="607"/>
      <c r="AJ116" s="607"/>
      <c r="AK116" s="607"/>
      <c r="AL116" s="607"/>
      <c r="AM116" s="607"/>
      <c r="AN116" s="607"/>
      <c r="AO116" s="607"/>
      <c r="AP116" s="607"/>
      <c r="AQ116" s="607"/>
      <c r="AR116" s="607"/>
      <c r="AS116" s="660"/>
      <c r="AT116" s="609"/>
      <c r="AU116" s="619"/>
      <c r="AV116" s="620"/>
      <c r="AW116" s="620"/>
      <c r="AX116" s="620"/>
      <c r="AY116" s="620"/>
      <c r="AZ116" s="620"/>
      <c r="BA116" s="620"/>
      <c r="BB116" s="620"/>
      <c r="BC116" s="620"/>
      <c r="BD116" s="620"/>
      <c r="BE116" s="620"/>
      <c r="BF116" s="620"/>
      <c r="BG116" s="620"/>
      <c r="BH116" s="620"/>
      <c r="BI116" s="620"/>
      <c r="BJ116" s="620"/>
      <c r="BK116" s="620"/>
      <c r="BL116" s="620"/>
      <c r="BM116" s="620"/>
      <c r="BN116" s="620"/>
      <c r="BO116" s="620"/>
      <c r="BP116" s="620"/>
      <c r="BQ116" s="620"/>
      <c r="BR116" s="621"/>
    </row>
    <row r="117" spans="8:8" ht="18.0" customHeight="1">
      <c r="L117" s="629"/>
      <c r="W117" s="661"/>
      <c r="X117" s="603"/>
      <c r="Y117" s="603"/>
      <c r="Z117" s="603"/>
      <c r="AA117" s="603"/>
      <c r="AB117" s="603"/>
      <c r="AC117" s="603"/>
      <c r="AD117" s="603"/>
      <c r="AE117" s="603"/>
      <c r="AF117" s="603"/>
      <c r="AG117" s="603"/>
      <c r="AH117" s="603"/>
      <c r="AI117" s="603"/>
      <c r="AJ117" s="603"/>
      <c r="AK117" s="603"/>
      <c r="AL117" s="603"/>
      <c r="AM117" s="603"/>
      <c r="AN117" s="603"/>
      <c r="AO117" s="603"/>
      <c r="AP117" s="603"/>
      <c r="AQ117" s="603"/>
      <c r="AR117" s="603"/>
      <c r="AS117" s="662"/>
      <c r="AT117" s="609"/>
      <c r="AU117" s="619"/>
      <c r="AV117" s="620"/>
      <c r="AW117" s="620"/>
      <c r="AX117" s="620"/>
      <c r="AY117" s="620"/>
      <c r="AZ117" s="620"/>
      <c r="BA117" s="620"/>
      <c r="BB117" s="620"/>
      <c r="BC117" s="620"/>
      <c r="BD117" s="620"/>
      <c r="BE117" s="620"/>
      <c r="BF117" s="620"/>
      <c r="BG117" s="620"/>
      <c r="BH117" s="620"/>
      <c r="BI117" s="620"/>
      <c r="BJ117" s="620"/>
      <c r="BK117" s="620"/>
      <c r="BL117" s="620"/>
      <c r="BM117" s="620"/>
      <c r="BN117" s="620"/>
      <c r="BO117" s="620"/>
      <c r="BP117" s="620"/>
      <c r="BQ117" s="620"/>
      <c r="BR117" s="621"/>
    </row>
    <row r="118" spans="8:8" ht="18.0" customHeight="1">
      <c r="B118" s="3" t="s">
        <v>235</v>
      </c>
      <c r="C118" s="4"/>
      <c r="D118" s="4"/>
      <c r="E118" s="4"/>
      <c r="F118" s="4"/>
      <c r="G118" s="4"/>
      <c r="H118" s="4"/>
      <c r="I118" s="4"/>
      <c r="J118" s="4"/>
      <c r="K118" s="4"/>
      <c r="L118" s="4"/>
      <c r="M118" s="4"/>
      <c r="N118" s="4"/>
      <c r="O118" s="4"/>
      <c r="P118" s="4"/>
      <c r="Q118" s="4"/>
      <c r="R118" s="4"/>
      <c r="S118" s="4"/>
      <c r="T118" s="4"/>
      <c r="U118" s="5"/>
      <c r="W118" s="659"/>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60"/>
      <c r="AT118" s="609"/>
      <c r="AU118" s="619"/>
      <c r="AV118" s="620"/>
      <c r="AW118" s="620"/>
      <c r="AX118" s="620"/>
      <c r="AY118" s="620"/>
      <c r="AZ118" s="620"/>
      <c r="BA118" s="620"/>
      <c r="BB118" s="620"/>
      <c r="BC118" s="620"/>
      <c r="BD118" s="620"/>
      <c r="BE118" s="620"/>
      <c r="BF118" s="620"/>
      <c r="BG118" s="620"/>
      <c r="BH118" s="620"/>
      <c r="BI118" s="620"/>
      <c r="BJ118" s="620"/>
      <c r="BK118" s="620"/>
      <c r="BL118" s="620"/>
      <c r="BM118" s="620"/>
      <c r="BN118" s="620"/>
      <c r="BO118" s="620"/>
      <c r="BP118" s="620"/>
      <c r="BQ118" s="620"/>
      <c r="BR118" s="621"/>
    </row>
    <row r="119" spans="8:8" ht="18.0" customHeight="1">
      <c r="B119" s="403" t="s">
        <v>236</v>
      </c>
      <c r="C119" s="404"/>
      <c r="D119" s="404"/>
      <c r="E119" s="404"/>
      <c r="F119" s="670" t="s">
        <v>237</v>
      </c>
      <c r="G119" s="670"/>
      <c r="H119" s="670"/>
      <c r="I119" s="670"/>
      <c r="J119" s="670"/>
      <c r="K119" s="670"/>
      <c r="L119" s="670" t="s">
        <v>238</v>
      </c>
      <c r="M119" s="670"/>
      <c r="N119" s="670" t="s">
        <v>239</v>
      </c>
      <c r="O119" s="670"/>
      <c r="P119" s="670" t="s">
        <v>240</v>
      </c>
      <c r="Q119" s="670"/>
      <c r="R119" s="670" t="s">
        <v>241</v>
      </c>
      <c r="S119" s="670"/>
      <c r="T119" s="670" t="s">
        <v>242</v>
      </c>
      <c r="U119" s="671"/>
      <c r="W119" s="661"/>
      <c r="X119" s="603"/>
      <c r="Y119" s="603"/>
      <c r="Z119" s="603"/>
      <c r="AA119" s="603"/>
      <c r="AB119" s="603"/>
      <c r="AC119" s="603"/>
      <c r="AD119" s="603"/>
      <c r="AE119" s="603"/>
      <c r="AF119" s="603"/>
      <c r="AG119" s="603"/>
      <c r="AH119" s="603"/>
      <c r="AI119" s="603"/>
      <c r="AJ119" s="603"/>
      <c r="AK119" s="603"/>
      <c r="AL119" s="603"/>
      <c r="AM119" s="603"/>
      <c r="AN119" s="603"/>
      <c r="AO119" s="603"/>
      <c r="AP119" s="603"/>
      <c r="AQ119" s="603"/>
      <c r="AR119" s="603"/>
      <c r="AS119" s="662"/>
      <c r="AT119" s="609"/>
      <c r="AU119" s="619"/>
      <c r="AV119" s="620"/>
      <c r="AW119" s="620"/>
      <c r="AX119" s="620"/>
      <c r="AY119" s="620"/>
      <c r="AZ119" s="620"/>
      <c r="BA119" s="620"/>
      <c r="BB119" s="620"/>
      <c r="BC119" s="620"/>
      <c r="BD119" s="620"/>
      <c r="BE119" s="620"/>
      <c r="BF119" s="620"/>
      <c r="BG119" s="620"/>
      <c r="BH119" s="620"/>
      <c r="BI119" s="620"/>
      <c r="BJ119" s="620"/>
      <c r="BK119" s="620"/>
      <c r="BL119" s="620"/>
      <c r="BM119" s="620"/>
      <c r="BN119" s="620"/>
      <c r="BO119" s="620"/>
      <c r="BP119" s="620"/>
      <c r="BQ119" s="620"/>
      <c r="BR119" s="621"/>
    </row>
    <row r="120" spans="8:8" ht="18.0" customHeight="1">
      <c r="B120" s="403"/>
      <c r="C120" s="404"/>
      <c r="D120" s="404"/>
      <c r="E120" s="404"/>
      <c r="F120" s="404" t="s">
        <v>243</v>
      </c>
      <c r="G120" s="404"/>
      <c r="H120" s="404"/>
      <c r="I120" s="404"/>
      <c r="J120" s="404"/>
      <c r="K120" s="404"/>
      <c r="L120" s="20" t="s">
        <v>244</v>
      </c>
      <c r="M120" s="20"/>
      <c r="N120" s="20" t="s">
        <v>245</v>
      </c>
      <c r="O120" s="20"/>
      <c r="P120" s="20" t="s">
        <v>246</v>
      </c>
      <c r="Q120" s="20"/>
      <c r="R120" s="20" t="s">
        <v>247</v>
      </c>
      <c r="S120" s="20"/>
      <c r="T120" s="672">
        <v>1.0</v>
      </c>
      <c r="U120" s="673"/>
      <c r="W120" s="659"/>
      <c r="X120" s="607"/>
      <c r="Y120" s="607"/>
      <c r="Z120" s="607"/>
      <c r="AA120" s="607"/>
      <c r="AB120" s="607"/>
      <c r="AC120" s="607"/>
      <c r="AD120" s="607"/>
      <c r="AE120" s="607"/>
      <c r="AF120" s="607"/>
      <c r="AG120" s="607"/>
      <c r="AH120" s="607"/>
      <c r="AI120" s="607"/>
      <c r="AJ120" s="607"/>
      <c r="AK120" s="607"/>
      <c r="AL120" s="607"/>
      <c r="AM120" s="607"/>
      <c r="AN120" s="607"/>
      <c r="AO120" s="607"/>
      <c r="AP120" s="607"/>
      <c r="AQ120" s="607"/>
      <c r="AR120" s="607"/>
      <c r="AS120" s="660"/>
      <c r="AT120" s="609"/>
      <c r="AU120" s="619"/>
      <c r="AV120" s="620"/>
      <c r="AW120" s="620"/>
      <c r="AX120" s="620"/>
      <c r="AY120" s="620"/>
      <c r="AZ120" s="620"/>
      <c r="BA120" s="620"/>
      <c r="BB120" s="620"/>
      <c r="BC120" s="620"/>
      <c r="BD120" s="620"/>
      <c r="BE120" s="620"/>
      <c r="BF120" s="620"/>
      <c r="BG120" s="620"/>
      <c r="BH120" s="620"/>
      <c r="BI120" s="620"/>
      <c r="BJ120" s="620"/>
      <c r="BK120" s="620"/>
      <c r="BL120" s="620"/>
      <c r="BM120" s="620"/>
      <c r="BN120" s="620"/>
      <c r="BO120" s="620"/>
      <c r="BP120" s="620"/>
      <c r="BQ120" s="620"/>
      <c r="BR120" s="621"/>
    </row>
    <row r="121" spans="8:8" ht="18.0" customHeight="1">
      <c r="B121" s="403"/>
      <c r="C121" s="404"/>
      <c r="D121" s="404"/>
      <c r="E121" s="404"/>
      <c r="F121" s="404"/>
      <c r="G121" s="404"/>
      <c r="H121" s="404"/>
      <c r="I121" s="404"/>
      <c r="J121" s="404"/>
      <c r="K121" s="404"/>
      <c r="L121" s="20"/>
      <c r="M121" s="20"/>
      <c r="N121" s="20"/>
      <c r="O121" s="20"/>
      <c r="P121" s="20"/>
      <c r="Q121" s="20"/>
      <c r="R121" s="20"/>
      <c r="S121" s="20"/>
      <c r="T121" s="672"/>
      <c r="U121" s="673"/>
      <c r="W121" s="661"/>
      <c r="X121" s="603"/>
      <c r="Y121" s="603"/>
      <c r="Z121" s="603"/>
      <c r="AA121" s="603"/>
      <c r="AB121" s="603"/>
      <c r="AC121" s="603"/>
      <c r="AD121" s="603"/>
      <c r="AE121" s="603"/>
      <c r="AF121" s="603"/>
      <c r="AG121" s="603"/>
      <c r="AH121" s="603"/>
      <c r="AI121" s="603"/>
      <c r="AJ121" s="603"/>
      <c r="AK121" s="603"/>
      <c r="AL121" s="603"/>
      <c r="AM121" s="603"/>
      <c r="AN121" s="603"/>
      <c r="AO121" s="603"/>
      <c r="AP121" s="603"/>
      <c r="AQ121" s="603"/>
      <c r="AR121" s="603"/>
      <c r="AS121" s="662"/>
      <c r="AT121" s="674"/>
      <c r="AU121" s="619"/>
      <c r="AV121" s="620"/>
      <c r="AW121" s="620"/>
      <c r="AX121" s="620"/>
      <c r="AY121" s="620"/>
      <c r="AZ121" s="620"/>
      <c r="BA121" s="620"/>
      <c r="BB121" s="620"/>
      <c r="BC121" s="620"/>
      <c r="BD121" s="620"/>
      <c r="BE121" s="620"/>
      <c r="BF121" s="620"/>
      <c r="BG121" s="620"/>
      <c r="BH121" s="620"/>
      <c r="BI121" s="620"/>
      <c r="BJ121" s="620"/>
      <c r="BK121" s="620"/>
      <c r="BL121" s="620"/>
      <c r="BM121" s="620"/>
      <c r="BN121" s="620"/>
      <c r="BO121" s="620"/>
      <c r="BP121" s="620"/>
      <c r="BQ121" s="620"/>
      <c r="BR121" s="621"/>
    </row>
    <row r="122" spans="8:8" ht="18.0" customHeight="1">
      <c r="B122" s="403" t="s">
        <v>248</v>
      </c>
      <c r="C122" s="404"/>
      <c r="D122" s="404"/>
      <c r="E122" s="404"/>
      <c r="F122" s="404"/>
      <c r="G122" s="404"/>
      <c r="H122" s="404"/>
      <c r="I122" s="404"/>
      <c r="J122" s="404"/>
      <c r="K122" s="404"/>
      <c r="L122" s="404"/>
      <c r="M122" s="404"/>
      <c r="N122" s="404"/>
      <c r="O122" s="404"/>
      <c r="P122" s="404"/>
      <c r="Q122" s="404"/>
      <c r="R122" s="404"/>
      <c r="S122" s="404"/>
      <c r="T122" s="404"/>
      <c r="U122" s="675"/>
      <c r="W122" s="659"/>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60"/>
      <c r="AT122" s="674"/>
      <c r="AU122" s="619"/>
      <c r="AV122" s="620"/>
      <c r="AW122" s="620"/>
      <c r="AX122" s="620"/>
      <c r="AY122" s="620"/>
      <c r="AZ122" s="620"/>
      <c r="BA122" s="620"/>
      <c r="BB122" s="620"/>
      <c r="BC122" s="620"/>
      <c r="BD122" s="620"/>
      <c r="BE122" s="620"/>
      <c r="BF122" s="620"/>
      <c r="BG122" s="620"/>
      <c r="BH122" s="620"/>
      <c r="BI122" s="620"/>
      <c r="BJ122" s="620"/>
      <c r="BK122" s="620"/>
      <c r="BL122" s="620"/>
      <c r="BM122" s="620"/>
      <c r="BN122" s="620"/>
      <c r="BO122" s="620"/>
      <c r="BP122" s="620"/>
      <c r="BQ122" s="620"/>
      <c r="BR122" s="621"/>
    </row>
    <row r="123" spans="8:8" ht="18.0" customHeight="1">
      <c r="B123" s="403"/>
      <c r="C123" s="404"/>
      <c r="D123" s="404"/>
      <c r="E123" s="404"/>
      <c r="F123" s="404"/>
      <c r="G123" s="404"/>
      <c r="H123" s="404"/>
      <c r="I123" s="404"/>
      <c r="J123" s="404"/>
      <c r="K123" s="404"/>
      <c r="L123" s="404"/>
      <c r="M123" s="404"/>
      <c r="N123" s="404"/>
      <c r="O123" s="404"/>
      <c r="P123" s="404"/>
      <c r="Q123" s="404"/>
      <c r="R123" s="404"/>
      <c r="S123" s="404"/>
      <c r="T123" s="404"/>
      <c r="U123" s="675"/>
      <c r="W123" s="661"/>
      <c r="X123" s="603"/>
      <c r="Y123" s="603"/>
      <c r="Z123" s="603"/>
      <c r="AA123" s="603"/>
      <c r="AB123" s="603"/>
      <c r="AC123" s="603"/>
      <c r="AD123" s="603"/>
      <c r="AE123" s="603"/>
      <c r="AF123" s="603"/>
      <c r="AG123" s="603"/>
      <c r="AH123" s="603"/>
      <c r="AI123" s="603"/>
      <c r="AJ123" s="603"/>
      <c r="AK123" s="603"/>
      <c r="AL123" s="603"/>
      <c r="AM123" s="603"/>
      <c r="AN123" s="603"/>
      <c r="AO123" s="603"/>
      <c r="AP123" s="603"/>
      <c r="AQ123" s="603"/>
      <c r="AR123" s="603"/>
      <c r="AS123" s="662"/>
      <c r="AT123" s="609"/>
      <c r="AU123" s="619"/>
      <c r="AV123" s="620"/>
      <c r="AW123" s="620"/>
      <c r="AX123" s="620"/>
      <c r="AY123" s="620"/>
      <c r="AZ123" s="620"/>
      <c r="BA123" s="620"/>
      <c r="BB123" s="620"/>
      <c r="BC123" s="620"/>
      <c r="BD123" s="620"/>
      <c r="BE123" s="620"/>
      <c r="BF123" s="620"/>
      <c r="BG123" s="620"/>
      <c r="BH123" s="620"/>
      <c r="BI123" s="620"/>
      <c r="BJ123" s="620"/>
      <c r="BK123" s="620"/>
      <c r="BL123" s="620"/>
      <c r="BM123" s="620"/>
      <c r="BN123" s="620"/>
      <c r="BO123" s="620"/>
      <c r="BP123" s="620"/>
      <c r="BQ123" s="620"/>
      <c r="BR123" s="621"/>
    </row>
    <row r="124" spans="8:8" ht="18.0" customHeight="1">
      <c r="B124" s="676" t="s">
        <v>249</v>
      </c>
      <c r="C124" s="670"/>
      <c r="D124" s="670"/>
      <c r="E124" s="670"/>
      <c r="F124" s="670"/>
      <c r="G124" s="670"/>
      <c r="H124" s="670"/>
      <c r="I124" s="670"/>
      <c r="J124" s="670"/>
      <c r="K124" s="670"/>
      <c r="L124" s="670" t="s">
        <v>250</v>
      </c>
      <c r="M124" s="670"/>
      <c r="N124" s="670"/>
      <c r="O124" s="670"/>
      <c r="P124" s="670"/>
      <c r="Q124" s="670"/>
      <c r="R124" s="670"/>
      <c r="S124" s="670"/>
      <c r="T124" s="670"/>
      <c r="U124" s="677"/>
      <c r="W124" s="659"/>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60"/>
      <c r="AT124" s="609"/>
      <c r="AU124" s="619"/>
      <c r="AV124" s="620"/>
      <c r="AW124" s="620"/>
      <c r="AX124" s="620"/>
      <c r="AY124" s="620"/>
      <c r="AZ124" s="620"/>
      <c r="BA124" s="620"/>
      <c r="BB124" s="620"/>
      <c r="BC124" s="620"/>
      <c r="BD124" s="620"/>
      <c r="BE124" s="620"/>
      <c r="BF124" s="620"/>
      <c r="BG124" s="620"/>
      <c r="BH124" s="620"/>
      <c r="BI124" s="620"/>
      <c r="BJ124" s="620"/>
      <c r="BK124" s="620"/>
      <c r="BL124" s="620"/>
      <c r="BM124" s="620"/>
      <c r="BN124" s="620"/>
      <c r="BO124" s="620"/>
      <c r="BP124" s="620"/>
      <c r="BQ124" s="620"/>
      <c r="BR124" s="621"/>
    </row>
    <row r="125" spans="8:8" ht="18.0" customHeight="1">
      <c r="B125" s="676" t="s">
        <v>251</v>
      </c>
      <c r="C125" s="670"/>
      <c r="D125" s="670" t="s">
        <v>252</v>
      </c>
      <c r="E125" s="670"/>
      <c r="F125" s="670"/>
      <c r="G125" s="670"/>
      <c r="H125" s="670"/>
      <c r="I125" s="670"/>
      <c r="J125" s="670"/>
      <c r="K125" s="670"/>
      <c r="L125" s="670"/>
      <c r="M125" s="670"/>
      <c r="N125" s="670"/>
      <c r="O125" s="670"/>
      <c r="P125" s="670"/>
      <c r="Q125" s="670"/>
      <c r="R125" s="670"/>
      <c r="S125" s="670"/>
      <c r="T125" s="670"/>
      <c r="U125" s="677"/>
      <c r="W125" s="661"/>
      <c r="X125" s="603"/>
      <c r="Y125" s="603"/>
      <c r="Z125" s="603"/>
      <c r="AA125" s="603"/>
      <c r="AB125" s="603"/>
      <c r="AC125" s="603"/>
      <c r="AD125" s="603"/>
      <c r="AE125" s="603"/>
      <c r="AF125" s="603"/>
      <c r="AG125" s="603"/>
      <c r="AH125" s="603"/>
      <c r="AI125" s="603"/>
      <c r="AJ125" s="603"/>
      <c r="AK125" s="603"/>
      <c r="AL125" s="603"/>
      <c r="AM125" s="603"/>
      <c r="AN125" s="603"/>
      <c r="AO125" s="603"/>
      <c r="AP125" s="603"/>
      <c r="AQ125" s="603"/>
      <c r="AR125" s="603"/>
      <c r="AS125" s="662"/>
      <c r="AT125" s="609"/>
      <c r="AU125" s="619"/>
      <c r="AV125" s="620"/>
      <c r="AW125" s="620"/>
      <c r="AX125" s="620"/>
      <c r="AY125" s="620"/>
      <c r="AZ125" s="620"/>
      <c r="BA125" s="620"/>
      <c r="BB125" s="620"/>
      <c r="BC125" s="620"/>
      <c r="BD125" s="620"/>
      <c r="BE125" s="620"/>
      <c r="BF125" s="620"/>
      <c r="BG125" s="620"/>
      <c r="BH125" s="620"/>
      <c r="BI125" s="620"/>
      <c r="BJ125" s="620"/>
      <c r="BK125" s="620"/>
      <c r="BL125" s="620"/>
      <c r="BM125" s="620"/>
      <c r="BN125" s="620"/>
      <c r="BO125" s="620"/>
      <c r="BP125" s="620"/>
      <c r="BQ125" s="620"/>
      <c r="BR125" s="621"/>
    </row>
    <row r="126" spans="8:8" ht="18.0" customHeight="1">
      <c r="B126" s="676" t="s">
        <v>253</v>
      </c>
      <c r="C126" s="670"/>
      <c r="D126" s="670" t="s">
        <v>254</v>
      </c>
      <c r="E126" s="670"/>
      <c r="F126" s="670"/>
      <c r="G126" s="670"/>
      <c r="H126" s="670"/>
      <c r="I126" s="670"/>
      <c r="J126" s="670"/>
      <c r="K126" s="670"/>
      <c r="L126" s="670"/>
      <c r="M126" s="670"/>
      <c r="N126" s="670"/>
      <c r="O126" s="670"/>
      <c r="P126" s="670"/>
      <c r="Q126" s="670"/>
      <c r="R126" s="670"/>
      <c r="S126" s="670"/>
      <c r="T126" s="670"/>
      <c r="U126" s="677"/>
      <c r="W126" s="678"/>
      <c r="X126" s="679"/>
      <c r="Y126" s="679"/>
      <c r="Z126" s="679"/>
      <c r="AA126" s="679"/>
      <c r="AB126" s="679"/>
      <c r="AC126" s="679"/>
      <c r="AD126" s="679"/>
      <c r="AE126" s="679"/>
      <c r="AF126" s="679"/>
      <c r="AG126" s="679"/>
      <c r="AH126" s="679"/>
      <c r="AI126" s="679"/>
      <c r="AJ126" s="679"/>
      <c r="AK126" s="679"/>
      <c r="AL126" s="679"/>
      <c r="AM126" s="679"/>
      <c r="AN126" s="679"/>
      <c r="AO126" s="679"/>
      <c r="AP126" s="679"/>
      <c r="AQ126" s="679"/>
      <c r="AR126" s="679"/>
      <c r="AS126" s="680"/>
      <c r="AT126" s="609"/>
      <c r="AU126" s="619"/>
      <c r="AV126" s="620"/>
      <c r="AW126" s="620"/>
      <c r="AX126" s="620"/>
      <c r="AY126" s="620"/>
      <c r="AZ126" s="620"/>
      <c r="BA126" s="620"/>
      <c r="BB126" s="620"/>
      <c r="BC126" s="620"/>
      <c r="BD126" s="620"/>
      <c r="BE126" s="620"/>
      <c r="BF126" s="620"/>
      <c r="BG126" s="620"/>
      <c r="BH126" s="620"/>
      <c r="BI126" s="620"/>
      <c r="BJ126" s="620"/>
      <c r="BK126" s="620"/>
      <c r="BL126" s="620"/>
      <c r="BM126" s="620"/>
      <c r="BN126" s="620"/>
      <c r="BO126" s="620"/>
      <c r="BP126" s="620"/>
      <c r="BQ126" s="620"/>
      <c r="BR126" s="621"/>
    </row>
    <row r="127" spans="8:8" ht="18.0" customHeight="1">
      <c r="B127" s="676" t="s">
        <v>255</v>
      </c>
      <c r="C127" s="670"/>
      <c r="D127" s="404" t="s">
        <v>256</v>
      </c>
      <c r="E127" s="404"/>
      <c r="F127" s="404"/>
      <c r="G127" s="404"/>
      <c r="H127" s="404"/>
      <c r="I127" s="404"/>
      <c r="J127" s="404"/>
      <c r="K127" s="404"/>
      <c r="L127" s="404"/>
      <c r="M127" s="404"/>
      <c r="N127" s="404"/>
      <c r="O127" s="404"/>
      <c r="P127" s="404"/>
      <c r="Q127" s="404"/>
      <c r="R127" s="404"/>
      <c r="S127" s="404"/>
      <c r="T127" s="404"/>
      <c r="U127" s="675"/>
      <c r="Y127" s="117"/>
      <c r="AM127" s="440"/>
      <c r="AN127" s="440"/>
      <c r="AO127" s="440"/>
      <c r="AP127" s="440"/>
      <c r="AQ127" s="440"/>
      <c r="AR127" s="440"/>
      <c r="AS127" s="440"/>
      <c r="AT127" s="609"/>
      <c r="AU127" s="681"/>
      <c r="AV127" s="682"/>
      <c r="AW127" s="682"/>
      <c r="AX127" s="682"/>
      <c r="AY127" s="682"/>
      <c r="AZ127" s="682"/>
      <c r="BA127" s="682"/>
      <c r="BB127" s="682"/>
      <c r="BC127" s="682"/>
      <c r="BD127" s="682"/>
      <c r="BE127" s="682"/>
      <c r="BF127" s="682"/>
      <c r="BG127" s="682"/>
      <c r="BH127" s="682"/>
      <c r="BI127" s="682"/>
      <c r="BJ127" s="682"/>
      <c r="BK127" s="682"/>
      <c r="BL127" s="682"/>
      <c r="BM127" s="682"/>
      <c r="BN127" s="682"/>
      <c r="BO127" s="682"/>
      <c r="BP127" s="682"/>
      <c r="BQ127" s="682"/>
      <c r="BR127" s="683"/>
    </row>
    <row r="128" spans="8:8" ht="18.0" customHeight="1">
      <c r="B128" s="676"/>
      <c r="C128" s="670"/>
      <c r="D128" s="404"/>
      <c r="E128" s="404"/>
      <c r="F128" s="404"/>
      <c r="G128" s="404"/>
      <c r="H128" s="404"/>
      <c r="I128" s="404"/>
      <c r="J128" s="404"/>
      <c r="K128" s="404"/>
      <c r="L128" s="404"/>
      <c r="M128" s="404"/>
      <c r="N128" s="404"/>
      <c r="O128" s="404"/>
      <c r="P128" s="404"/>
      <c r="Q128" s="404"/>
      <c r="R128" s="404"/>
      <c r="S128" s="404"/>
      <c r="T128" s="404"/>
      <c r="U128" s="675"/>
      <c r="W128" s="3" t="s">
        <v>257</v>
      </c>
      <c r="X128" s="4"/>
      <c r="Y128" s="4"/>
      <c r="Z128" s="4"/>
      <c r="AA128" s="4"/>
      <c r="AB128" s="4"/>
      <c r="AC128" s="4"/>
      <c r="AD128" s="4"/>
      <c r="AE128" s="4"/>
      <c r="AF128" s="4"/>
      <c r="AG128" s="4"/>
      <c r="AH128" s="4"/>
      <c r="AI128" s="4"/>
      <c r="AJ128" s="4"/>
      <c r="AK128" s="4"/>
      <c r="AL128" s="4"/>
      <c r="AM128" s="4"/>
      <c r="AN128" s="4"/>
      <c r="AO128" s="4"/>
      <c r="AP128" s="4"/>
      <c r="AQ128" s="4"/>
      <c r="AR128" s="4"/>
      <c r="AS128" s="5"/>
      <c r="AT128" s="609"/>
      <c r="AU128" s="504" t="s">
        <v>258</v>
      </c>
      <c r="AV128" s="505"/>
      <c r="AW128" s="505"/>
      <c r="AX128" s="505"/>
      <c r="AY128" s="505"/>
      <c r="AZ128" s="505"/>
      <c r="BA128" s="505"/>
      <c r="BB128" s="505"/>
      <c r="BC128" s="505"/>
      <c r="BD128" s="505"/>
      <c r="BE128" s="505"/>
      <c r="BF128" s="505"/>
      <c r="BG128" s="505"/>
      <c r="BH128" s="505"/>
      <c r="BI128" s="505"/>
      <c r="BJ128" s="505"/>
      <c r="BK128" s="505"/>
      <c r="BL128" s="505"/>
      <c r="BM128" s="505"/>
      <c r="BN128" s="505"/>
      <c r="BO128" s="505"/>
      <c r="BP128" s="505"/>
      <c r="BQ128" s="505"/>
      <c r="BR128" s="506"/>
    </row>
    <row r="129" spans="8:8" ht="18.0" customHeight="1">
      <c r="B129" s="684" t="s">
        <v>259</v>
      </c>
      <c r="C129" s="685"/>
      <c r="D129" s="685"/>
      <c r="E129" s="685"/>
      <c r="F129" s="685"/>
      <c r="G129" s="685"/>
      <c r="H129" s="685"/>
      <c r="I129" s="685"/>
      <c r="J129" s="685"/>
      <c r="K129" s="685"/>
      <c r="L129" s="685" t="s">
        <v>260</v>
      </c>
      <c r="M129" s="685"/>
      <c r="N129" s="685"/>
      <c r="O129" s="685"/>
      <c r="P129" s="685"/>
      <c r="Q129" s="685"/>
      <c r="R129" s="685"/>
      <c r="S129" s="685"/>
      <c r="T129" s="685"/>
      <c r="U129" s="686"/>
      <c r="W129" s="687" t="s">
        <v>5</v>
      </c>
      <c r="X129" s="688"/>
      <c r="Y129" s="688"/>
      <c r="Z129" s="688"/>
      <c r="AA129" s="689" t="s">
        <v>9</v>
      </c>
      <c r="AB129" s="689"/>
      <c r="AC129" s="689"/>
      <c r="AD129" s="688" t="s">
        <v>261</v>
      </c>
      <c r="AE129" s="688"/>
      <c r="AF129" s="688"/>
      <c r="AG129" s="688"/>
      <c r="AH129" s="688"/>
      <c r="AI129" s="688"/>
      <c r="AJ129" s="688"/>
      <c r="AK129" s="688"/>
      <c r="AL129" s="689" t="s">
        <v>262</v>
      </c>
      <c r="AM129" s="689"/>
      <c r="AN129" s="689"/>
      <c r="AO129" s="689"/>
      <c r="AP129" s="689" t="s">
        <v>263</v>
      </c>
      <c r="AQ129" s="689"/>
      <c r="AR129" s="689"/>
      <c r="AS129" s="690"/>
      <c r="AT129" s="609"/>
      <c r="AU129" s="691" t="s">
        <v>264</v>
      </c>
      <c r="AV129" s="692"/>
      <c r="AW129" s="692"/>
      <c r="AX129" s="692"/>
      <c r="AY129" s="693"/>
      <c r="AZ129" s="694" t="s">
        <v>265</v>
      </c>
      <c r="BA129" s="695"/>
      <c r="BB129" s="695"/>
      <c r="BC129" s="695"/>
      <c r="BD129" s="695"/>
      <c r="BE129" s="695"/>
      <c r="BF129" s="696"/>
      <c r="BG129" s="697" t="str">
        <f>IF(AZ129=附表!AT29,"要搜索的年份：","当前年份"&amp;G8&amp;"年")</f>
        <v>要搜索的年份：</v>
      </c>
      <c r="BH129" s="692"/>
      <c r="BI129" s="692"/>
      <c r="BJ129" s="692"/>
      <c r="BK129" s="693"/>
      <c r="BL129" s="698">
        <v>1920.0</v>
      </c>
      <c r="BM129" s="699"/>
      <c r="BN129" s="699"/>
      <c r="BO129" s="699"/>
      <c r="BP129" s="699"/>
      <c r="BQ129" s="699"/>
      <c r="BR129" s="700"/>
    </row>
    <row r="130" spans="8:8" ht="18.0" customHeight="1">
      <c r="A130" s="397"/>
      <c r="B130" s="634" t="s">
        <v>266</v>
      </c>
      <c r="C130" s="635"/>
      <c r="D130" s="635"/>
      <c r="E130" s="635"/>
      <c r="F130" s="635"/>
      <c r="G130" s="635"/>
      <c r="H130" s="635"/>
      <c r="I130" s="635"/>
      <c r="J130" s="635"/>
      <c r="K130" s="635"/>
      <c r="L130" s="635"/>
      <c r="M130" s="635"/>
      <c r="N130" s="635"/>
      <c r="O130" s="635"/>
      <c r="P130" s="635"/>
      <c r="Q130" s="635"/>
      <c r="R130" s="635"/>
      <c r="S130" s="635"/>
      <c r="T130" s="635"/>
      <c r="U130" s="636"/>
      <c r="W130" s="701"/>
      <c r="X130" s="702"/>
      <c r="Y130" s="702"/>
      <c r="Z130" s="703"/>
      <c r="AA130" s="702"/>
      <c r="AB130" s="702"/>
      <c r="AC130" s="702"/>
      <c r="AD130" s="704"/>
      <c r="AE130" s="702"/>
      <c r="AF130" s="702"/>
      <c r="AG130" s="702"/>
      <c r="AH130" s="702"/>
      <c r="AI130" s="702"/>
      <c r="AJ130" s="702"/>
      <c r="AK130" s="703"/>
      <c r="AL130" s="702"/>
      <c r="AM130" s="702"/>
      <c r="AN130" s="702"/>
      <c r="AO130" s="702"/>
      <c r="AP130" s="704"/>
      <c r="AQ130" s="702"/>
      <c r="AR130" s="702"/>
      <c r="AS130" s="705"/>
      <c r="AT130" s="609"/>
      <c r="AU130" s="706" t="str">
        <f>附表!BA14</f>
        <v>广播电台
茶包</v>
      </c>
      <c r="AV130" s="707"/>
      <c r="AW130" s="707"/>
      <c r="AX130" s="707"/>
      <c r="AY130" s="707"/>
      <c r="AZ130" s="707"/>
      <c r="BA130" s="707"/>
      <c r="BB130" s="707"/>
      <c r="BC130" s="707"/>
      <c r="BD130" s="707"/>
      <c r="BE130" s="707"/>
      <c r="BF130" s="707"/>
      <c r="BG130" s="707"/>
      <c r="BH130" s="707"/>
      <c r="BI130" s="707"/>
      <c r="BJ130" s="707"/>
      <c r="BK130" s="707"/>
      <c r="BL130" s="707"/>
      <c r="BM130" s="707"/>
      <c r="BN130" s="707"/>
      <c r="BO130" s="707"/>
      <c r="BP130" s="707"/>
      <c r="BQ130" s="707"/>
      <c r="BR130" s="708"/>
    </row>
    <row r="131" spans="8:8" ht="18.0" customHeight="1">
      <c r="A131" s="397"/>
      <c r="B131" s="53" t="s">
        <v>270</v>
      </c>
      <c r="C131" s="46"/>
      <c r="D131" s="46"/>
      <c r="E131" s="46"/>
      <c r="F131" s="46"/>
      <c r="G131" s="670" t="s">
        <v>237</v>
      </c>
      <c r="H131" s="670"/>
      <c r="I131" s="670"/>
      <c r="J131" s="670"/>
      <c r="K131" s="670"/>
      <c r="L131" s="670"/>
      <c r="M131" s="670"/>
      <c r="N131" s="20" t="s">
        <v>238</v>
      </c>
      <c r="O131" s="20"/>
      <c r="P131" s="20"/>
      <c r="Q131" s="20"/>
      <c r="R131" s="20" t="s">
        <v>239</v>
      </c>
      <c r="S131" s="20"/>
      <c r="T131" s="20"/>
      <c r="U131" s="709"/>
      <c r="W131" s="710"/>
      <c r="X131" s="711"/>
      <c r="Y131" s="711"/>
      <c r="Z131" s="712"/>
      <c r="AA131" s="711"/>
      <c r="AB131" s="711"/>
      <c r="AC131" s="711"/>
      <c r="AD131" s="591"/>
      <c r="AE131" s="711"/>
      <c r="AF131" s="711"/>
      <c r="AG131" s="711"/>
      <c r="AH131" s="711"/>
      <c r="AI131" s="711"/>
      <c r="AJ131" s="711"/>
      <c r="AK131" s="712"/>
      <c r="AL131" s="711"/>
      <c r="AM131" s="711"/>
      <c r="AN131" s="711"/>
      <c r="AO131" s="711"/>
      <c r="AP131" s="591"/>
      <c r="AQ131" s="711"/>
      <c r="AR131" s="711"/>
      <c r="AS131" s="713"/>
      <c r="AT131" s="609"/>
      <c r="AU131" s="714"/>
      <c r="AV131" s="715"/>
      <c r="AW131" s="715"/>
      <c r="AX131" s="715"/>
      <c r="AY131" s="715"/>
      <c r="AZ131" s="715"/>
      <c r="BA131" s="715"/>
      <c r="BB131" s="715"/>
      <c r="BC131" s="715"/>
      <c r="BD131" s="715"/>
      <c r="BE131" s="715"/>
      <c r="BF131" s="715"/>
      <c r="BG131" s="715"/>
      <c r="BH131" s="715"/>
      <c r="BI131" s="715"/>
      <c r="BJ131" s="715"/>
      <c r="BK131" s="715"/>
      <c r="BL131" s="715"/>
      <c r="BM131" s="715"/>
      <c r="BN131" s="715"/>
      <c r="BO131" s="715"/>
      <c r="BP131" s="715"/>
      <c r="BQ131" s="715"/>
      <c r="BR131" s="716"/>
    </row>
    <row r="132" spans="8:8" ht="18.0" customHeight="1">
      <c r="A132" s="397"/>
      <c r="B132" s="53"/>
      <c r="C132" s="46"/>
      <c r="D132" s="46"/>
      <c r="E132" s="46"/>
      <c r="F132" s="46"/>
      <c r="G132" s="404" t="s">
        <v>271</v>
      </c>
      <c r="H132" s="404"/>
      <c r="I132" s="404"/>
      <c r="J132" s="404"/>
      <c r="K132" s="404"/>
      <c r="L132" s="404"/>
      <c r="M132" s="404"/>
      <c r="N132" s="20" t="s">
        <v>272</v>
      </c>
      <c r="O132" s="20"/>
      <c r="P132" s="20"/>
      <c r="Q132" s="20"/>
      <c r="R132" s="20" t="s">
        <v>273</v>
      </c>
      <c r="S132" s="20"/>
      <c r="T132" s="20"/>
      <c r="U132" s="709"/>
      <c r="W132" s="717"/>
      <c r="X132" s="718"/>
      <c r="Y132" s="718"/>
      <c r="Z132" s="719"/>
      <c r="AA132" s="718"/>
      <c r="AB132" s="718"/>
      <c r="AC132" s="718"/>
      <c r="AD132" s="579"/>
      <c r="AE132" s="718"/>
      <c r="AF132" s="718"/>
      <c r="AG132" s="718"/>
      <c r="AH132" s="718"/>
      <c r="AI132" s="718"/>
      <c r="AJ132" s="718"/>
      <c r="AK132" s="719"/>
      <c r="AL132" s="718"/>
      <c r="AM132" s="718"/>
      <c r="AN132" s="718"/>
      <c r="AO132" s="718"/>
      <c r="AP132" s="579"/>
      <c r="AQ132" s="718"/>
      <c r="AR132" s="718"/>
      <c r="AS132" s="720"/>
      <c r="AT132" s="609"/>
      <c r="AU132" s="714"/>
      <c r="AV132" s="715"/>
      <c r="AW132" s="715"/>
      <c r="AX132" s="715"/>
      <c r="AY132" s="715"/>
      <c r="AZ132" s="715"/>
      <c r="BA132" s="715"/>
      <c r="BB132" s="715"/>
      <c r="BC132" s="715"/>
      <c r="BD132" s="715"/>
      <c r="BE132" s="715"/>
      <c r="BF132" s="715"/>
      <c r="BG132" s="715"/>
      <c r="BH132" s="715"/>
      <c r="BI132" s="715"/>
      <c r="BJ132" s="715"/>
      <c r="BK132" s="715"/>
      <c r="BL132" s="715"/>
      <c r="BM132" s="715"/>
      <c r="BN132" s="715"/>
      <c r="BO132" s="715"/>
      <c r="BP132" s="715"/>
      <c r="BQ132" s="715"/>
      <c r="BR132" s="716"/>
    </row>
    <row r="133" spans="8:8" ht="18.0" customHeight="1">
      <c r="A133" s="397"/>
      <c r="B133" s="53"/>
      <c r="C133" s="46"/>
      <c r="D133" s="46"/>
      <c r="E133" s="46"/>
      <c r="F133" s="46"/>
      <c r="G133" s="404"/>
      <c r="H133" s="404"/>
      <c r="I133" s="404"/>
      <c r="J133" s="404"/>
      <c r="K133" s="404"/>
      <c r="L133" s="404"/>
      <c r="M133" s="404"/>
      <c r="N133" s="20"/>
      <c r="O133" s="20"/>
      <c r="P133" s="20"/>
      <c r="Q133" s="20"/>
      <c r="R133" s="20"/>
      <c r="S133" s="20"/>
      <c r="T133" s="20"/>
      <c r="U133" s="709"/>
      <c r="W133" s="710"/>
      <c r="X133" s="711"/>
      <c r="Y133" s="711"/>
      <c r="Z133" s="712"/>
      <c r="AA133" s="711"/>
      <c r="AB133" s="711"/>
      <c r="AC133" s="711"/>
      <c r="AD133" s="591"/>
      <c r="AE133" s="711"/>
      <c r="AF133" s="711"/>
      <c r="AG133" s="711"/>
      <c r="AH133" s="711"/>
      <c r="AI133" s="711"/>
      <c r="AJ133" s="711"/>
      <c r="AK133" s="712"/>
      <c r="AL133" s="711"/>
      <c r="AM133" s="711"/>
      <c r="AN133" s="711"/>
      <c r="AO133" s="711"/>
      <c r="AP133" s="591"/>
      <c r="AQ133" s="711"/>
      <c r="AR133" s="711"/>
      <c r="AS133" s="713"/>
      <c r="AT133" s="609"/>
      <c r="AU133" s="714"/>
      <c r="AV133" s="715"/>
      <c r="AW133" s="715"/>
      <c r="AX133" s="715"/>
      <c r="AY133" s="715"/>
      <c r="AZ133" s="715"/>
      <c r="BA133" s="715"/>
      <c r="BB133" s="715"/>
      <c r="BC133" s="715"/>
      <c r="BD133" s="715"/>
      <c r="BE133" s="715"/>
      <c r="BF133" s="715"/>
      <c r="BG133" s="715"/>
      <c r="BH133" s="715"/>
      <c r="BI133" s="715"/>
      <c r="BJ133" s="715"/>
      <c r="BK133" s="715"/>
      <c r="BL133" s="715"/>
      <c r="BM133" s="715"/>
      <c r="BN133" s="715"/>
      <c r="BO133" s="715"/>
      <c r="BP133" s="715"/>
      <c r="BQ133" s="715"/>
      <c r="BR133" s="716"/>
    </row>
    <row r="134" spans="8:8" ht="18.0" customHeight="1">
      <c r="A134" s="397"/>
      <c r="B134" s="19" t="s">
        <v>274</v>
      </c>
      <c r="C134" s="20"/>
      <c r="D134" s="20"/>
      <c r="E134" s="20"/>
      <c r="F134" s="20"/>
      <c r="G134" s="46" t="s">
        <v>275</v>
      </c>
      <c r="H134" s="46"/>
      <c r="I134" s="46"/>
      <c r="J134" s="46"/>
      <c r="K134" s="46"/>
      <c r="L134" s="46"/>
      <c r="M134" s="46"/>
      <c r="N134" s="46" t="s">
        <v>276</v>
      </c>
      <c r="O134" s="46"/>
      <c r="P134" s="46"/>
      <c r="Q134" s="46"/>
      <c r="R134" s="46" t="s">
        <v>277</v>
      </c>
      <c r="S134" s="46"/>
      <c r="T134" s="46"/>
      <c r="U134" s="721"/>
      <c r="W134" s="717"/>
      <c r="X134" s="718"/>
      <c r="Y134" s="718"/>
      <c r="Z134" s="719"/>
      <c r="AA134" s="718"/>
      <c r="AB134" s="718"/>
      <c r="AC134" s="718"/>
      <c r="AD134" s="579"/>
      <c r="AE134" s="718"/>
      <c r="AF134" s="718"/>
      <c r="AG134" s="718"/>
      <c r="AH134" s="718"/>
      <c r="AI134" s="718"/>
      <c r="AJ134" s="718"/>
      <c r="AK134" s="719"/>
      <c r="AL134" s="718"/>
      <c r="AM134" s="718"/>
      <c r="AN134" s="718"/>
      <c r="AO134" s="718"/>
      <c r="AP134" s="579"/>
      <c r="AQ134" s="718"/>
      <c r="AR134" s="718"/>
      <c r="AS134" s="720"/>
      <c r="AT134" s="609"/>
      <c r="AU134" s="714"/>
      <c r="AV134" s="715"/>
      <c r="AW134" s="715"/>
      <c r="AX134" s="715"/>
      <c r="AY134" s="715"/>
      <c r="AZ134" s="715"/>
      <c r="BA134" s="715"/>
      <c r="BB134" s="715"/>
      <c r="BC134" s="715"/>
      <c r="BD134" s="715"/>
      <c r="BE134" s="715"/>
      <c r="BF134" s="715"/>
      <c r="BG134" s="715"/>
      <c r="BH134" s="715"/>
      <c r="BI134" s="715"/>
      <c r="BJ134" s="715"/>
      <c r="BK134" s="715"/>
      <c r="BL134" s="715"/>
      <c r="BM134" s="715"/>
      <c r="BN134" s="715"/>
      <c r="BO134" s="715"/>
      <c r="BP134" s="715"/>
      <c r="BQ134" s="715"/>
      <c r="BR134" s="716"/>
    </row>
    <row r="135" spans="8:8" ht="18.0" customHeight="1">
      <c r="A135" s="397"/>
      <c r="B135" s="19"/>
      <c r="C135" s="20"/>
      <c r="D135" s="20"/>
      <c r="E135" s="20"/>
      <c r="F135" s="20"/>
      <c r="G135" s="46"/>
      <c r="H135" s="46"/>
      <c r="I135" s="46"/>
      <c r="J135" s="46"/>
      <c r="K135" s="46"/>
      <c r="L135" s="46"/>
      <c r="M135" s="46"/>
      <c r="N135" s="46"/>
      <c r="O135" s="46"/>
      <c r="P135" s="46"/>
      <c r="Q135" s="46"/>
      <c r="R135" s="46"/>
      <c r="S135" s="46"/>
      <c r="T135" s="46"/>
      <c r="U135" s="721"/>
      <c r="W135" s="710"/>
      <c r="X135" s="711"/>
      <c r="Y135" s="711"/>
      <c r="Z135" s="712"/>
      <c r="AA135" s="711"/>
      <c r="AB135" s="711"/>
      <c r="AC135" s="711"/>
      <c r="AD135" s="591"/>
      <c r="AE135" s="711"/>
      <c r="AF135" s="711"/>
      <c r="AG135" s="711"/>
      <c r="AH135" s="711"/>
      <c r="AI135" s="711"/>
      <c r="AJ135" s="711"/>
      <c r="AK135" s="712"/>
      <c r="AL135" s="711"/>
      <c r="AM135" s="711"/>
      <c r="AN135" s="711"/>
      <c r="AO135" s="711"/>
      <c r="AP135" s="591"/>
      <c r="AQ135" s="711"/>
      <c r="AR135" s="711"/>
      <c r="AS135" s="713"/>
      <c r="AT135" s="609"/>
      <c r="AU135" s="714"/>
      <c r="AV135" s="715"/>
      <c r="AW135" s="715"/>
      <c r="AX135" s="715"/>
      <c r="AY135" s="715"/>
      <c r="AZ135" s="715"/>
      <c r="BA135" s="715"/>
      <c r="BB135" s="715"/>
      <c r="BC135" s="715"/>
      <c r="BD135" s="715"/>
      <c r="BE135" s="715"/>
      <c r="BF135" s="715"/>
      <c r="BG135" s="715"/>
      <c r="BH135" s="715"/>
      <c r="BI135" s="715"/>
      <c r="BJ135" s="715"/>
      <c r="BK135" s="715"/>
      <c r="BL135" s="715"/>
      <c r="BM135" s="715"/>
      <c r="BN135" s="715"/>
      <c r="BO135" s="715"/>
      <c r="BP135" s="715"/>
      <c r="BQ135" s="715"/>
      <c r="BR135" s="716"/>
    </row>
    <row r="136" spans="8:8" ht="18.0" customHeight="1">
      <c r="A136" s="397"/>
      <c r="B136" s="722" t="s">
        <v>278</v>
      </c>
      <c r="C136" s="723"/>
      <c r="D136" s="723"/>
      <c r="E136" s="723" t="s">
        <v>279</v>
      </c>
      <c r="F136" s="723"/>
      <c r="G136" s="723"/>
      <c r="H136" s="723"/>
      <c r="I136" s="723"/>
      <c r="J136" s="723"/>
      <c r="K136" s="723"/>
      <c r="L136" s="723"/>
      <c r="M136" s="723"/>
      <c r="N136" s="723"/>
      <c r="O136" s="723"/>
      <c r="P136" s="723"/>
      <c r="Q136" s="723"/>
      <c r="R136" s="723"/>
      <c r="S136" s="723"/>
      <c r="T136" s="723"/>
      <c r="U136" s="724"/>
      <c r="W136" s="577"/>
      <c r="X136" s="578"/>
      <c r="Y136" s="578"/>
      <c r="Z136" s="578"/>
      <c r="AA136" s="719"/>
      <c r="AB136" s="578"/>
      <c r="AC136" s="579"/>
      <c r="AD136" s="578"/>
      <c r="AE136" s="578"/>
      <c r="AF136" s="578"/>
      <c r="AG136" s="578"/>
      <c r="AH136" s="578"/>
      <c r="AI136" s="578"/>
      <c r="AJ136" s="578"/>
      <c r="AK136" s="578"/>
      <c r="AL136" s="719"/>
      <c r="AM136" s="578"/>
      <c r="AN136" s="578"/>
      <c r="AO136" s="579"/>
      <c r="AP136" s="578"/>
      <c r="AQ136" s="578"/>
      <c r="AR136" s="578"/>
      <c r="AS136" s="580"/>
      <c r="AT136" s="425"/>
      <c r="AU136" s="714"/>
      <c r="AV136" s="715"/>
      <c r="AW136" s="715"/>
      <c r="AX136" s="715"/>
      <c r="AY136" s="715"/>
      <c r="AZ136" s="715"/>
      <c r="BA136" s="715"/>
      <c r="BB136" s="715"/>
      <c r="BC136" s="715"/>
      <c r="BD136" s="715"/>
      <c r="BE136" s="715"/>
      <c r="BF136" s="715"/>
      <c r="BG136" s="715"/>
      <c r="BH136" s="715"/>
      <c r="BI136" s="715"/>
      <c r="BJ136" s="715"/>
      <c r="BK136" s="715"/>
      <c r="BL136" s="715"/>
      <c r="BM136" s="715"/>
      <c r="BN136" s="715"/>
      <c r="BO136" s="715"/>
      <c r="BP136" s="715"/>
      <c r="BQ136" s="715"/>
      <c r="BR136" s="716"/>
    </row>
    <row r="137" spans="8:8" ht="18.0" customHeight="1">
      <c r="A137" s="397"/>
      <c r="B137" s="722" t="s">
        <v>280</v>
      </c>
      <c r="C137" s="723"/>
      <c r="D137" s="723"/>
      <c r="E137" s="723" t="s">
        <v>281</v>
      </c>
      <c r="F137" s="723"/>
      <c r="G137" s="723"/>
      <c r="H137" s="723"/>
      <c r="I137" s="723"/>
      <c r="J137" s="723"/>
      <c r="K137" s="723"/>
      <c r="L137" s="723"/>
      <c r="M137" s="723"/>
      <c r="N137" s="723"/>
      <c r="O137" s="723"/>
      <c r="P137" s="723"/>
      <c r="Q137" s="723"/>
      <c r="R137" s="723"/>
      <c r="S137" s="723"/>
      <c r="T137" s="723"/>
      <c r="U137" s="724"/>
      <c r="W137" s="589"/>
      <c r="X137" s="590"/>
      <c r="Y137" s="590"/>
      <c r="Z137" s="590"/>
      <c r="AA137" s="712"/>
      <c r="AB137" s="590"/>
      <c r="AC137" s="591"/>
      <c r="AD137" s="590"/>
      <c r="AE137" s="590"/>
      <c r="AF137" s="590"/>
      <c r="AG137" s="590"/>
      <c r="AH137" s="590"/>
      <c r="AI137" s="590"/>
      <c r="AJ137" s="590"/>
      <c r="AK137" s="590"/>
      <c r="AL137" s="712"/>
      <c r="AM137" s="590"/>
      <c r="AN137" s="590"/>
      <c r="AO137" s="591"/>
      <c r="AP137" s="590"/>
      <c r="AQ137" s="590"/>
      <c r="AR137" s="590"/>
      <c r="AS137" s="592"/>
      <c r="AT137" s="425"/>
      <c r="AU137" s="714"/>
      <c r="AV137" s="715"/>
      <c r="AW137" s="715"/>
      <c r="AX137" s="715"/>
      <c r="AY137" s="715"/>
      <c r="AZ137" s="715"/>
      <c r="BA137" s="715"/>
      <c r="BB137" s="715"/>
      <c r="BC137" s="715"/>
      <c r="BD137" s="715"/>
      <c r="BE137" s="715"/>
      <c r="BF137" s="715"/>
      <c r="BG137" s="715"/>
      <c r="BH137" s="715"/>
      <c r="BI137" s="715"/>
      <c r="BJ137" s="715"/>
      <c r="BK137" s="715"/>
      <c r="BL137" s="715"/>
      <c r="BM137" s="715"/>
      <c r="BN137" s="715"/>
      <c r="BO137" s="715"/>
      <c r="BP137" s="715"/>
      <c r="BQ137" s="715"/>
      <c r="BR137" s="716"/>
    </row>
    <row r="138" spans="8:8" ht="18.0" customHeight="1">
      <c r="A138" s="397"/>
      <c r="B138" s="722" t="s">
        <v>282</v>
      </c>
      <c r="C138" s="723"/>
      <c r="D138" s="723"/>
      <c r="E138" s="723" t="s">
        <v>283</v>
      </c>
      <c r="F138" s="723"/>
      <c r="G138" s="723"/>
      <c r="H138" s="723"/>
      <c r="I138" s="723"/>
      <c r="J138" s="723"/>
      <c r="K138" s="723"/>
      <c r="L138" s="723"/>
      <c r="M138" s="723"/>
      <c r="N138" s="723"/>
      <c r="O138" s="723"/>
      <c r="P138" s="723"/>
      <c r="Q138" s="723"/>
      <c r="R138" s="723"/>
      <c r="S138" s="723"/>
      <c r="T138" s="723"/>
      <c r="U138" s="724"/>
      <c r="W138" s="577"/>
      <c r="X138" s="578"/>
      <c r="Y138" s="578"/>
      <c r="Z138" s="578"/>
      <c r="AA138" s="719"/>
      <c r="AB138" s="578"/>
      <c r="AC138" s="579"/>
      <c r="AD138" s="578"/>
      <c r="AE138" s="578"/>
      <c r="AF138" s="578"/>
      <c r="AG138" s="578"/>
      <c r="AH138" s="578"/>
      <c r="AI138" s="578"/>
      <c r="AJ138" s="578"/>
      <c r="AK138" s="578"/>
      <c r="AL138" s="719"/>
      <c r="AM138" s="578"/>
      <c r="AN138" s="578"/>
      <c r="AO138" s="579"/>
      <c r="AP138" s="578"/>
      <c r="AQ138" s="578"/>
      <c r="AR138" s="578"/>
      <c r="AS138" s="580"/>
      <c r="AT138" s="425"/>
      <c r="AU138" s="714"/>
      <c r="AV138" s="715"/>
      <c r="AW138" s="715"/>
      <c r="AX138" s="715"/>
      <c r="AY138" s="715"/>
      <c r="AZ138" s="715"/>
      <c r="BA138" s="715"/>
      <c r="BB138" s="715"/>
      <c r="BC138" s="715"/>
      <c r="BD138" s="715"/>
      <c r="BE138" s="715"/>
      <c r="BF138" s="715"/>
      <c r="BG138" s="715"/>
      <c r="BH138" s="715"/>
      <c r="BI138" s="715"/>
      <c r="BJ138" s="715"/>
      <c r="BK138" s="715"/>
      <c r="BL138" s="715"/>
      <c r="BM138" s="715"/>
      <c r="BN138" s="715"/>
      <c r="BO138" s="715"/>
      <c r="BP138" s="715"/>
      <c r="BQ138" s="715"/>
      <c r="BR138" s="716"/>
    </row>
    <row r="139" spans="8:8" ht="18.0" customHeight="1">
      <c r="A139" s="397"/>
      <c r="B139" s="19" t="s">
        <v>284</v>
      </c>
      <c r="C139" s="20"/>
      <c r="D139" s="20"/>
      <c r="E139" s="20"/>
      <c r="F139" s="20"/>
      <c r="G139" s="20"/>
      <c r="H139" s="20" t="s">
        <v>280</v>
      </c>
      <c r="I139" s="20"/>
      <c r="J139" s="20"/>
      <c r="K139" s="20"/>
      <c r="L139" s="20"/>
      <c r="M139" s="20" t="s">
        <v>282</v>
      </c>
      <c r="N139" s="20"/>
      <c r="O139" s="20"/>
      <c r="P139" s="20"/>
      <c r="Q139" s="725" t="s">
        <v>285</v>
      </c>
      <c r="R139" s="725"/>
      <c r="S139" s="726">
        <v>1.0</v>
      </c>
      <c r="T139" s="726"/>
      <c r="U139" s="727"/>
      <c r="W139" s="589"/>
      <c r="X139" s="590"/>
      <c r="Y139" s="590"/>
      <c r="Z139" s="590"/>
      <c r="AA139" s="712"/>
      <c r="AB139" s="590"/>
      <c r="AC139" s="591"/>
      <c r="AD139" s="590"/>
      <c r="AE139" s="590"/>
      <c r="AF139" s="590"/>
      <c r="AG139" s="590"/>
      <c r="AH139" s="590"/>
      <c r="AI139" s="590"/>
      <c r="AJ139" s="590"/>
      <c r="AK139" s="590"/>
      <c r="AL139" s="712"/>
      <c r="AM139" s="590"/>
      <c r="AN139" s="590"/>
      <c r="AO139" s="591"/>
      <c r="AP139" s="590"/>
      <c r="AQ139" s="590"/>
      <c r="AR139" s="590"/>
      <c r="AS139" s="592"/>
      <c r="AT139" s="425"/>
      <c r="AU139" s="714"/>
      <c r="AV139" s="715"/>
      <c r="AW139" s="715"/>
      <c r="AX139" s="715"/>
      <c r="AY139" s="715"/>
      <c r="AZ139" s="715"/>
      <c r="BA139" s="715"/>
      <c r="BB139" s="715"/>
      <c r="BC139" s="715"/>
      <c r="BD139" s="715"/>
      <c r="BE139" s="715"/>
      <c r="BF139" s="715"/>
      <c r="BG139" s="715"/>
      <c r="BH139" s="715"/>
      <c r="BI139" s="715"/>
      <c r="BJ139" s="715"/>
      <c r="BK139" s="715"/>
      <c r="BL139" s="715"/>
      <c r="BM139" s="715"/>
      <c r="BN139" s="715"/>
      <c r="BO139" s="715"/>
      <c r="BP139" s="715"/>
      <c r="BQ139" s="715"/>
      <c r="BR139" s="716"/>
    </row>
    <row r="140" spans="8:8" ht="18.0" customHeight="1">
      <c r="A140" s="397"/>
      <c r="B140" s="728" t="s">
        <v>286</v>
      </c>
      <c r="C140" s="729"/>
      <c r="D140" s="729"/>
      <c r="E140" s="729"/>
      <c r="F140" s="729"/>
      <c r="G140" s="729"/>
      <c r="H140" s="729" t="s">
        <v>287</v>
      </c>
      <c r="I140" s="729"/>
      <c r="J140" s="729"/>
      <c r="K140" s="729"/>
      <c r="L140" s="729"/>
      <c r="M140" s="729" t="s">
        <v>288</v>
      </c>
      <c r="N140" s="729"/>
      <c r="O140" s="729"/>
      <c r="P140" s="729"/>
      <c r="Q140" s="730" t="s">
        <v>289</v>
      </c>
      <c r="R140" s="730"/>
      <c r="S140" s="730"/>
      <c r="T140" s="730"/>
      <c r="U140" s="731"/>
      <c r="W140" s="577"/>
      <c r="X140" s="578"/>
      <c r="Y140" s="578"/>
      <c r="Z140" s="578"/>
      <c r="AA140" s="719"/>
      <c r="AB140" s="578"/>
      <c r="AC140" s="579"/>
      <c r="AD140" s="578"/>
      <c r="AE140" s="578"/>
      <c r="AF140" s="578"/>
      <c r="AG140" s="578"/>
      <c r="AH140" s="578"/>
      <c r="AI140" s="578"/>
      <c r="AJ140" s="578"/>
      <c r="AK140" s="578"/>
      <c r="AL140" s="719"/>
      <c r="AM140" s="578"/>
      <c r="AN140" s="578"/>
      <c r="AO140" s="579"/>
      <c r="AP140" s="578"/>
      <c r="AQ140" s="578"/>
      <c r="AR140" s="578"/>
      <c r="AS140" s="580"/>
      <c r="AT140" s="425"/>
      <c r="AU140" s="714"/>
      <c r="AV140" s="715"/>
      <c r="AW140" s="715"/>
      <c r="AX140" s="715"/>
      <c r="AY140" s="715"/>
      <c r="AZ140" s="715"/>
      <c r="BA140" s="715"/>
      <c r="BB140" s="715"/>
      <c r="BC140" s="715"/>
      <c r="BD140" s="715"/>
      <c r="BE140" s="715"/>
      <c r="BF140" s="715"/>
      <c r="BG140" s="715"/>
      <c r="BH140" s="715"/>
      <c r="BI140" s="715"/>
      <c r="BJ140" s="715"/>
      <c r="BK140" s="715"/>
      <c r="BL140" s="715"/>
      <c r="BM140" s="715"/>
      <c r="BN140" s="715"/>
      <c r="BO140" s="715"/>
      <c r="BP140" s="715"/>
      <c r="BQ140" s="715"/>
      <c r="BR140" s="716"/>
    </row>
    <row r="141" spans="8:8" ht="18.0" customHeight="1">
      <c r="A141" s="397"/>
      <c r="B141" s="728"/>
      <c r="C141" s="729"/>
      <c r="D141" s="729"/>
      <c r="E141" s="729"/>
      <c r="F141" s="729"/>
      <c r="G141" s="729"/>
      <c r="H141" s="729"/>
      <c r="I141" s="729"/>
      <c r="J141" s="729"/>
      <c r="K141" s="729"/>
      <c r="L141" s="729"/>
      <c r="M141" s="729"/>
      <c r="N141" s="729"/>
      <c r="O141" s="729"/>
      <c r="P141" s="729"/>
      <c r="Q141" s="732" t="str">
        <f>IF(S139=1,"失忆",IF(S139=2,"假性残疾",IF(S139=3,"暴力倾向",IF(S139=4,"偏执",IF(S139=5,"人际依赖",IF(S139=6,"昏厥",IF(S139=7,"逃避行为",IF(S139=8,"歇斯底里",IF(S139=9,"恐惧",IF(S139=10,"躁狂", ))))))))))</f>
        <v>失忆</v>
      </c>
      <c r="R141" s="732"/>
      <c r="S141" s="732"/>
      <c r="T141" s="732"/>
      <c r="U141" s="733"/>
      <c r="W141" s="589"/>
      <c r="X141" s="590"/>
      <c r="Y141" s="590"/>
      <c r="Z141" s="590"/>
      <c r="AA141" s="712"/>
      <c r="AB141" s="590"/>
      <c r="AC141" s="591"/>
      <c r="AD141" s="590"/>
      <c r="AE141" s="590"/>
      <c r="AF141" s="590"/>
      <c r="AG141" s="590"/>
      <c r="AH141" s="590"/>
      <c r="AI141" s="590"/>
      <c r="AJ141" s="590"/>
      <c r="AK141" s="590"/>
      <c r="AL141" s="712"/>
      <c r="AM141" s="590"/>
      <c r="AN141" s="590"/>
      <c r="AO141" s="591"/>
      <c r="AP141" s="590"/>
      <c r="AQ141" s="590"/>
      <c r="AR141" s="590"/>
      <c r="AS141" s="592"/>
      <c r="AT141" s="425"/>
      <c r="AU141" s="714"/>
      <c r="AV141" s="715"/>
      <c r="AW141" s="715"/>
      <c r="AX141" s="715"/>
      <c r="AY141" s="715"/>
      <c r="AZ141" s="715"/>
      <c r="BA141" s="715"/>
      <c r="BB141" s="715"/>
      <c r="BC141" s="715"/>
      <c r="BD141" s="715"/>
      <c r="BE141" s="715"/>
      <c r="BF141" s="715"/>
      <c r="BG141" s="715"/>
      <c r="BH141" s="715"/>
      <c r="BI141" s="715"/>
      <c r="BJ141" s="715"/>
      <c r="BK141" s="715"/>
      <c r="BL141" s="715"/>
      <c r="BM141" s="715"/>
      <c r="BN141" s="715"/>
      <c r="BO141" s="715"/>
      <c r="BP141" s="715"/>
      <c r="BQ141" s="715"/>
      <c r="BR141" s="716"/>
    </row>
    <row r="142" spans="8:8" ht="18.0" customHeight="1">
      <c r="A142" s="397"/>
      <c r="B142" s="728"/>
      <c r="C142" s="729"/>
      <c r="D142" s="729"/>
      <c r="E142" s="729"/>
      <c r="F142" s="729"/>
      <c r="G142" s="729"/>
      <c r="H142" s="729"/>
      <c r="I142" s="729"/>
      <c r="J142" s="729"/>
      <c r="K142" s="729"/>
      <c r="L142" s="729"/>
      <c r="M142" s="729"/>
      <c r="N142" s="729"/>
      <c r="O142" s="729"/>
      <c r="P142" s="729"/>
      <c r="Q142" s="732"/>
      <c r="R142" s="732"/>
      <c r="S142" s="732"/>
      <c r="T142" s="732"/>
      <c r="U142" s="733"/>
      <c r="W142" s="577"/>
      <c r="X142" s="578"/>
      <c r="Y142" s="578"/>
      <c r="Z142" s="578"/>
      <c r="AA142" s="719"/>
      <c r="AB142" s="578"/>
      <c r="AC142" s="579"/>
      <c r="AD142" s="578"/>
      <c r="AE142" s="578"/>
      <c r="AF142" s="578"/>
      <c r="AG142" s="578"/>
      <c r="AH142" s="578"/>
      <c r="AI142" s="578"/>
      <c r="AJ142" s="578"/>
      <c r="AK142" s="578"/>
      <c r="AL142" s="719"/>
      <c r="AM142" s="578"/>
      <c r="AN142" s="578"/>
      <c r="AO142" s="579"/>
      <c r="AP142" s="578"/>
      <c r="AQ142" s="578"/>
      <c r="AR142" s="578"/>
      <c r="AS142" s="580"/>
      <c r="AT142" s="425"/>
      <c r="AU142" s="734"/>
      <c r="AV142" s="735"/>
      <c r="AW142" s="735"/>
      <c r="AX142" s="735"/>
      <c r="AY142" s="735"/>
      <c r="AZ142" s="735"/>
      <c r="BA142" s="735"/>
      <c r="BB142" s="735"/>
      <c r="BC142" s="735"/>
      <c r="BD142" s="735"/>
      <c r="BE142" s="735"/>
      <c r="BF142" s="735"/>
      <c r="BG142" s="735"/>
      <c r="BH142" s="735"/>
      <c r="BI142" s="735"/>
      <c r="BJ142" s="735"/>
      <c r="BK142" s="735"/>
      <c r="BL142" s="735"/>
      <c r="BM142" s="735"/>
      <c r="BN142" s="735"/>
      <c r="BO142" s="735"/>
      <c r="BP142" s="735"/>
      <c r="BQ142" s="735"/>
      <c r="BR142" s="736"/>
    </row>
    <row r="143" spans="8:8" ht="18.0" customHeight="1">
      <c r="A143" s="397"/>
      <c r="B143" s="728"/>
      <c r="C143" s="729"/>
      <c r="D143" s="729"/>
      <c r="E143" s="729"/>
      <c r="F143" s="729"/>
      <c r="G143" s="729"/>
      <c r="H143" s="729"/>
      <c r="I143" s="729"/>
      <c r="J143" s="729"/>
      <c r="K143" s="729"/>
      <c r="L143" s="729"/>
      <c r="M143" s="729"/>
      <c r="N143" s="729"/>
      <c r="O143" s="729"/>
      <c r="P143" s="729"/>
      <c r="Q143" s="732"/>
      <c r="R143" s="732"/>
      <c r="S143" s="732"/>
      <c r="T143" s="732"/>
      <c r="U143" s="733"/>
      <c r="W143" s="589"/>
      <c r="X143" s="590"/>
      <c r="Y143" s="590"/>
      <c r="Z143" s="590"/>
      <c r="AA143" s="712"/>
      <c r="AB143" s="590"/>
      <c r="AC143" s="591"/>
      <c r="AD143" s="590"/>
      <c r="AE143" s="590"/>
      <c r="AF143" s="590"/>
      <c r="AG143" s="590"/>
      <c r="AH143" s="590"/>
      <c r="AI143" s="590"/>
      <c r="AJ143" s="590"/>
      <c r="AK143" s="590"/>
      <c r="AL143" s="712"/>
      <c r="AM143" s="590"/>
      <c r="AN143" s="590"/>
      <c r="AO143" s="591"/>
      <c r="AP143" s="590"/>
      <c r="AQ143" s="590"/>
      <c r="AR143" s="590"/>
      <c r="AS143" s="592"/>
      <c r="AT143" s="425"/>
      <c r="AU143" s="737" t="s">
        <v>290</v>
      </c>
      <c r="AV143" s="738"/>
      <c r="AW143" s="738"/>
      <c r="AX143" s="738"/>
      <c r="AY143" s="738"/>
      <c r="AZ143" s="738"/>
      <c r="BA143" s="738"/>
      <c r="BB143" s="739"/>
      <c r="BC143" s="209" t="s">
        <v>291</v>
      </c>
      <c r="BD143" s="738"/>
      <c r="BE143" s="738"/>
      <c r="BF143" s="738"/>
      <c r="BG143" s="738"/>
      <c r="BH143" s="738"/>
      <c r="BI143" s="738"/>
      <c r="BJ143" s="739"/>
      <c r="BK143" s="209" t="s">
        <v>292</v>
      </c>
      <c r="BL143" s="738"/>
      <c r="BM143" s="738"/>
      <c r="BN143" s="738"/>
      <c r="BO143" s="738"/>
      <c r="BP143" s="738"/>
      <c r="BQ143" s="738"/>
      <c r="BR143" s="740"/>
    </row>
    <row r="144" spans="8:8" ht="18.0" customHeight="1">
      <c r="B144" s="741" t="s">
        <v>293</v>
      </c>
      <c r="C144" s="742"/>
      <c r="D144" s="742"/>
      <c r="E144" s="742"/>
      <c r="F144" s="742"/>
      <c r="G144" s="742"/>
      <c r="H144" s="742"/>
      <c r="I144" s="742"/>
      <c r="J144" s="742"/>
      <c r="K144" s="742"/>
      <c r="L144" s="742"/>
      <c r="M144" s="742"/>
      <c r="N144" s="742"/>
      <c r="O144" s="742"/>
      <c r="P144" s="742"/>
      <c r="Q144" s="742"/>
      <c r="R144" s="742"/>
      <c r="S144" s="742"/>
      <c r="T144" s="742"/>
      <c r="U144" s="743"/>
      <c r="W144" s="744"/>
      <c r="X144" s="745"/>
      <c r="Y144" s="745"/>
      <c r="Z144" s="745"/>
      <c r="AA144" s="746"/>
      <c r="AB144" s="745"/>
      <c r="AC144" s="747"/>
      <c r="AD144" s="745"/>
      <c r="AE144" s="745"/>
      <c r="AF144" s="745"/>
      <c r="AG144" s="745"/>
      <c r="AH144" s="745"/>
      <c r="AI144" s="745"/>
      <c r="AJ144" s="745"/>
      <c r="AK144" s="745"/>
      <c r="AL144" s="746"/>
      <c r="AM144" s="745"/>
      <c r="AN144" s="745"/>
      <c r="AO144" s="747"/>
      <c r="AP144" s="745"/>
      <c r="AQ144" s="745"/>
      <c r="AR144" s="745"/>
      <c r="AS144" s="748"/>
      <c r="AT144" s="425"/>
      <c r="AU144" s="749" t="s">
        <v>294</v>
      </c>
      <c r="AV144" s="750"/>
      <c r="AW144" s="750"/>
      <c r="AX144" s="750"/>
      <c r="AY144" s="750"/>
      <c r="AZ144" s="750"/>
      <c r="BA144" s="750"/>
      <c r="BB144" s="751"/>
      <c r="BC144" s="752" t="s">
        <v>294</v>
      </c>
      <c r="BD144" s="750"/>
      <c r="BE144" s="750"/>
      <c r="BF144" s="750"/>
      <c r="BG144" s="750"/>
      <c r="BH144" s="750"/>
      <c r="BI144" s="750"/>
      <c r="BJ144" s="751"/>
      <c r="BK144" s="752" t="s">
        <v>294</v>
      </c>
      <c r="BL144" s="750"/>
      <c r="BM144" s="750"/>
      <c r="BN144" s="750"/>
      <c r="BO144" s="750"/>
      <c r="BP144" s="750"/>
      <c r="BQ144" s="750"/>
      <c r="BR144" s="751"/>
    </row>
    <row r="145" spans="8:8" ht="18.0" customHeight="1">
      <c r="B145" s="753" t="s">
        <v>295</v>
      </c>
      <c r="C145" s="753"/>
      <c r="D145" s="753"/>
      <c r="E145" s="753"/>
      <c r="F145" s="753"/>
      <c r="G145" s="753"/>
      <c r="H145" s="753"/>
      <c r="I145" s="753"/>
      <c r="J145" s="753"/>
      <c r="K145" s="753"/>
      <c r="L145" s="754" t="s">
        <v>296</v>
      </c>
      <c r="M145" s="754"/>
      <c r="N145" s="754"/>
      <c r="O145" s="754"/>
      <c r="P145" s="754"/>
      <c r="Q145" s="754"/>
      <c r="R145" s="754"/>
      <c r="S145" s="754"/>
      <c r="T145" s="754"/>
      <c r="U145" s="754"/>
      <c r="V145" s="609"/>
      <c r="W145" s="609"/>
      <c r="X145" s="609"/>
      <c r="Y145" s="609"/>
      <c r="Z145" s="609"/>
      <c r="AA145" s="609"/>
      <c r="AB145" s="609"/>
      <c r="AC145" s="609"/>
      <c r="AD145" s="609"/>
      <c r="AE145" s="609"/>
      <c r="AF145" s="609"/>
      <c r="AG145" s="609"/>
      <c r="AH145" s="609"/>
      <c r="AI145" s="755"/>
      <c r="AJ145" s="755"/>
      <c r="AK145" s="755"/>
      <c r="AL145" s="755"/>
      <c r="AM145" s="755"/>
      <c r="AN145" s="755"/>
      <c r="AO145" s="755"/>
      <c r="AP145" s="755"/>
      <c r="AQ145" s="425"/>
      <c r="AR145" s="609"/>
      <c r="AS145" s="609"/>
      <c r="AT145" s="609"/>
      <c r="AU145" s="756" t="s">
        <v>297</v>
      </c>
      <c r="AV145" s="756"/>
      <c r="AW145" s="756"/>
      <c r="AX145" s="756"/>
      <c r="AY145" s="756"/>
      <c r="AZ145" s="756"/>
      <c r="BA145" s="756"/>
      <c r="BB145" s="756"/>
      <c r="BC145" s="756"/>
      <c r="BD145" s="756"/>
      <c r="BE145" s="756"/>
      <c r="BF145" s="756"/>
      <c r="BG145" s="756"/>
      <c r="BH145" s="756"/>
      <c r="BI145" s="756"/>
      <c r="BJ145" s="756"/>
      <c r="BK145" s="756"/>
      <c r="BL145" s="756"/>
      <c r="BM145" s="756"/>
      <c r="BN145" s="756"/>
      <c r="BO145" s="756"/>
      <c r="BP145" s="756"/>
      <c r="BQ145" s="756"/>
      <c r="BR145" s="756"/>
    </row>
    <row r="146" spans="8:8" ht="18.0" customHeight="1">
      <c r="B146" s="609"/>
      <c r="C146" s="609"/>
      <c r="D146" s="609"/>
      <c r="E146" s="609"/>
      <c r="F146" s="609"/>
      <c r="G146" s="609"/>
      <c r="H146" s="609"/>
      <c r="I146" s="609"/>
      <c r="J146" s="609"/>
      <c r="K146" s="609"/>
      <c r="L146" s="609"/>
      <c r="M146" s="609"/>
      <c r="N146" s="609"/>
      <c r="O146" s="609"/>
      <c r="P146" s="609"/>
      <c r="Q146" s="609"/>
      <c r="R146" s="609"/>
      <c r="S146" s="609"/>
      <c r="T146" s="609"/>
      <c r="U146" s="609"/>
      <c r="V146" s="609"/>
      <c r="W146" s="609"/>
      <c r="X146" s="609"/>
      <c r="Y146" s="609"/>
      <c r="Z146" s="609"/>
      <c r="AA146" s="609"/>
      <c r="AB146" s="609"/>
      <c r="AC146" s="609"/>
      <c r="AD146" s="609"/>
      <c r="AE146" s="609"/>
      <c r="AF146" s="609"/>
      <c r="AG146" s="609"/>
      <c r="AH146" s="609"/>
      <c r="AI146" s="609"/>
      <c r="AJ146" s="609"/>
      <c r="AK146" s="609"/>
      <c r="AL146" s="609"/>
      <c r="AM146" s="609"/>
      <c r="AN146" s="755"/>
      <c r="AO146" s="755"/>
      <c r="AP146" s="755"/>
      <c r="AQ146" s="425"/>
      <c r="AR146" s="609"/>
      <c r="AS146" s="609"/>
      <c r="AT146" s="609"/>
      <c r="AU146" s="609"/>
      <c r="AV146" s="609"/>
      <c r="AW146" s="609"/>
      <c r="AX146" s="609"/>
      <c r="AY146" s="609"/>
      <c r="AZ146" s="609"/>
      <c r="BA146" s="609"/>
      <c r="BB146" s="609"/>
      <c r="BC146" s="609"/>
      <c r="BD146" s="609"/>
      <c r="BE146" s="609"/>
      <c r="BF146" s="609"/>
      <c r="BG146" s="609"/>
      <c r="BH146" s="609"/>
      <c r="BI146" s="609"/>
      <c r="BJ146" s="609"/>
      <c r="BK146" s="609"/>
      <c r="BL146" s="609"/>
      <c r="BM146" s="609"/>
      <c r="BN146" s="609"/>
      <c r="BO146" s="609"/>
      <c r="BP146" s="609"/>
      <c r="BQ146" s="609"/>
      <c r="BR146" s="609"/>
    </row>
    <row r="147" spans="8:8" ht="18.0" customHeight="1">
      <c r="B147" s="757" t="s">
        <v>6008</v>
      </c>
      <c r="C147" s="757"/>
      <c r="D147" s="757"/>
      <c r="E147" s="757"/>
      <c r="F147" s="757"/>
      <c r="G147" s="757"/>
      <c r="H147" s="757"/>
      <c r="I147" s="757"/>
      <c r="J147" s="757"/>
      <c r="K147" s="757"/>
      <c r="L147" s="757"/>
      <c r="M147" s="757"/>
      <c r="N147" s="609"/>
      <c r="O147" s="758" t="s">
        <v>298</v>
      </c>
      <c r="P147" s="758"/>
      <c r="Q147" s="758"/>
      <c r="R147" s="758"/>
      <c r="S147" s="758"/>
      <c r="T147" s="758"/>
      <c r="U147" s="758"/>
      <c r="V147" s="758"/>
      <c r="W147" s="758"/>
      <c r="X147" s="758"/>
      <c r="Y147" s="758"/>
      <c r="Z147" s="609"/>
      <c r="AA147" s="609"/>
      <c r="AB147" s="759" t="s">
        <v>299</v>
      </c>
      <c r="AC147" s="759"/>
      <c r="AD147" s="759"/>
      <c r="AE147" s="759"/>
      <c r="AF147" s="759"/>
      <c r="AG147" s="759"/>
      <c r="AH147" s="759"/>
      <c r="AI147" s="759"/>
      <c r="AJ147" s="759"/>
      <c r="AK147" s="759"/>
      <c r="AL147" s="759"/>
      <c r="AM147" s="609"/>
      <c r="AN147" s="609"/>
      <c r="AO147" s="609"/>
      <c r="AP147" s="759" t="s">
        <v>300</v>
      </c>
      <c r="AQ147" s="759"/>
      <c r="AR147" s="759"/>
      <c r="AS147" s="759"/>
      <c r="AT147" s="759"/>
      <c r="AU147" s="759"/>
      <c r="AV147" s="759"/>
      <c r="AW147" s="759"/>
      <c r="AX147" s="759"/>
      <c r="AY147" s="759"/>
      <c r="AZ147" s="759"/>
      <c r="BA147" s="759"/>
      <c r="BB147" s="759"/>
      <c r="BC147" s="759"/>
      <c r="BD147" s="759"/>
      <c r="BE147" s="609"/>
      <c r="BF147" s="609"/>
      <c r="BG147" s="609"/>
      <c r="BH147" s="609"/>
      <c r="BI147" s="609"/>
      <c r="BJ147" s="609"/>
      <c r="BK147" s="609"/>
      <c r="BL147" s="609"/>
      <c r="BM147" s="609"/>
      <c r="BN147" s="609"/>
      <c r="BO147" s="609"/>
      <c r="BP147" s="609"/>
      <c r="BQ147" s="609"/>
      <c r="BR147" s="609"/>
    </row>
    <row r="148" spans="8:8" ht="18.0" customHeight="1">
      <c r="B148" s="757"/>
      <c r="C148" s="757"/>
      <c r="D148" s="757"/>
      <c r="E148" s="757"/>
      <c r="F148" s="757"/>
      <c r="G148" s="757"/>
      <c r="H148" s="757"/>
      <c r="I148" s="757"/>
      <c r="J148" s="757"/>
      <c r="K148" s="757"/>
      <c r="L148" s="757"/>
      <c r="M148" s="757"/>
      <c r="N148" s="609"/>
      <c r="O148" s="758"/>
      <c r="P148" s="758"/>
      <c r="Q148" s="758"/>
      <c r="R148" s="758"/>
      <c r="S148" s="758"/>
      <c r="T148" s="758"/>
      <c r="U148" s="758"/>
      <c r="V148" s="758"/>
      <c r="W148" s="758"/>
      <c r="X148" s="758"/>
      <c r="Y148" s="758"/>
      <c r="Z148" s="609"/>
      <c r="AA148" s="609"/>
      <c r="AB148" s="759"/>
      <c r="AC148" s="759"/>
      <c r="AD148" s="759"/>
      <c r="AE148" s="759"/>
      <c r="AF148" s="759"/>
      <c r="AG148" s="759"/>
      <c r="AH148" s="759"/>
      <c r="AI148" s="759"/>
      <c r="AJ148" s="759"/>
      <c r="AK148" s="759"/>
      <c r="AL148" s="759"/>
      <c r="AM148" s="609"/>
      <c r="AN148" s="609"/>
      <c r="AO148" s="609"/>
      <c r="AP148" s="759"/>
      <c r="AQ148" s="759"/>
      <c r="AR148" s="759"/>
      <c r="AS148" s="759"/>
      <c r="AT148" s="759"/>
      <c r="AU148" s="759"/>
      <c r="AV148" s="759"/>
      <c r="AW148" s="759"/>
      <c r="AX148" s="759"/>
      <c r="AY148" s="759"/>
      <c r="AZ148" s="759"/>
      <c r="BA148" s="759"/>
      <c r="BB148" s="759"/>
      <c r="BC148" s="759"/>
      <c r="BD148" s="759"/>
      <c r="BE148" s="609"/>
      <c r="BF148" s="609"/>
      <c r="BG148" s="609"/>
      <c r="BH148" s="609"/>
      <c r="BI148" s="609"/>
      <c r="BJ148" s="609"/>
      <c r="BK148" s="609"/>
      <c r="BL148" s="609"/>
      <c r="BM148" s="609"/>
      <c r="BN148" s="609"/>
      <c r="BO148" s="609"/>
      <c r="BP148" s="609"/>
      <c r="BQ148" s="609"/>
      <c r="BR148" s="609"/>
    </row>
    <row r="150" spans="8:8" ht="18.0" customHeight="1">
      <c r="B150" s="760"/>
      <c r="C150" s="760"/>
      <c r="D150" s="760"/>
      <c r="E150" s="760"/>
      <c r="F150" s="760"/>
      <c r="G150" s="760"/>
      <c r="H150" s="760"/>
      <c r="I150" s="760"/>
      <c r="J150" s="609"/>
      <c r="K150" s="609"/>
      <c r="L150" s="760"/>
      <c r="M150" s="609"/>
      <c r="N150" s="609"/>
      <c r="O150" s="609"/>
      <c r="P150" s="609"/>
      <c r="Q150" s="609"/>
      <c r="R150" s="760"/>
      <c r="S150" s="760"/>
      <c r="T150" s="760"/>
      <c r="U150" s="760"/>
      <c r="V150" s="760"/>
      <c r="W150" s="760"/>
      <c r="X150" s="760"/>
      <c r="Y150" s="760"/>
      <c r="Z150" s="609"/>
      <c r="AA150" s="609"/>
      <c r="AB150" s="609"/>
      <c r="AC150" s="609"/>
      <c r="AD150" s="609"/>
      <c r="AE150" s="609"/>
      <c r="AF150" s="609"/>
      <c r="AG150" s="609"/>
      <c r="AH150" s="609"/>
      <c r="AI150" s="609"/>
      <c r="AJ150" s="609"/>
      <c r="AK150" s="609"/>
      <c r="AL150" s="609"/>
      <c r="AM150" s="609"/>
      <c r="AN150" s="609"/>
      <c r="AO150" s="609"/>
      <c r="AP150" s="609"/>
      <c r="AQ150" s="609"/>
      <c r="AR150" s="609"/>
      <c r="AS150" s="609"/>
      <c r="AT150" s="609"/>
      <c r="AU150" s="609"/>
      <c r="AV150" s="609"/>
      <c r="AW150" s="609"/>
      <c r="AX150" s="609"/>
      <c r="AY150" s="609"/>
      <c r="AZ150" s="609"/>
      <c r="BA150" s="609"/>
      <c r="BB150" s="609"/>
      <c r="BC150" s="609"/>
      <c r="BD150" s="609"/>
      <c r="BE150" s="609"/>
      <c r="BF150" s="609"/>
      <c r="BG150" s="609"/>
      <c r="BH150" s="609"/>
      <c r="BI150" s="609"/>
      <c r="BJ150" s="609"/>
      <c r="BK150" s="609"/>
      <c r="BL150" s="609"/>
      <c r="BM150" s="609"/>
      <c r="BN150" s="609"/>
      <c r="BO150" s="609"/>
      <c r="BP150" s="609"/>
      <c r="BQ150" s="609"/>
      <c r="BR150" s="609"/>
    </row>
    <row r="151" spans="8:8" ht="18.0" customHeight="1">
      <c r="B151" s="609"/>
      <c r="C151" s="609"/>
      <c r="D151" s="609"/>
      <c r="E151" s="609"/>
      <c r="F151" s="609"/>
      <c r="G151" s="609"/>
      <c r="H151" s="609"/>
      <c r="I151" s="609"/>
      <c r="J151" s="609"/>
      <c r="K151" s="609"/>
      <c r="L151" s="609"/>
      <c r="M151" s="609"/>
      <c r="N151" s="609"/>
      <c r="O151" s="609"/>
      <c r="P151" s="609"/>
      <c r="Q151" s="609"/>
      <c r="R151" s="609"/>
      <c r="S151" s="609"/>
      <c r="T151" s="609"/>
      <c r="U151" s="609"/>
      <c r="V151" s="609"/>
      <c r="W151" s="609"/>
      <c r="X151" s="609"/>
      <c r="Y151" s="609"/>
      <c r="Z151" s="609"/>
      <c r="AA151" s="609"/>
      <c r="AB151" s="609"/>
      <c r="AC151" s="609"/>
      <c r="AD151" s="609"/>
      <c r="AE151" s="761"/>
      <c r="AF151" s="609"/>
      <c r="AG151" s="609"/>
      <c r="AH151" s="609"/>
      <c r="AI151" s="609"/>
      <c r="AJ151" s="609"/>
      <c r="AK151" s="609"/>
      <c r="AL151" s="609"/>
      <c r="AM151" s="609"/>
      <c r="AN151" s="609"/>
      <c r="AO151" s="609"/>
      <c r="AP151" s="609"/>
      <c r="AQ151" s="609"/>
      <c r="AR151" s="609"/>
      <c r="AS151" s="609"/>
      <c r="AT151" s="609"/>
      <c r="AU151" s="609"/>
      <c r="AV151" s="609"/>
      <c r="AW151" s="609"/>
      <c r="AX151" s="609"/>
      <c r="AY151" s="609"/>
      <c r="AZ151" s="609"/>
      <c r="BA151" s="609"/>
      <c r="BB151" s="609"/>
      <c r="BC151" s="609"/>
      <c r="BD151" s="609"/>
      <c r="BE151" s="609"/>
      <c r="BF151" s="609"/>
      <c r="BG151" s="609"/>
      <c r="BH151" s="609"/>
      <c r="BI151" s="609"/>
      <c r="BJ151" s="609"/>
      <c r="BK151" s="609"/>
      <c r="BL151" s="609"/>
      <c r="BM151" s="609"/>
      <c r="BN151" s="609"/>
      <c r="BO151" s="609"/>
      <c r="BP151" s="609"/>
      <c r="BQ151" s="609"/>
      <c r="BR151" s="609"/>
    </row>
    <row r="158" spans="8:8" ht="18.0" customHeight="1">
      <c r="B158" s="609"/>
      <c r="D158" s="762"/>
      <c r="E158" s="762"/>
      <c r="F158" s="609"/>
      <c r="G158" s="609"/>
      <c r="H158" s="609"/>
      <c r="I158" s="609"/>
      <c r="J158" s="609"/>
      <c r="K158" s="609"/>
      <c r="L158" s="609"/>
      <c r="M158" s="609"/>
      <c r="N158" s="609"/>
      <c r="O158" s="609"/>
      <c r="P158" s="609"/>
      <c r="Q158" s="609"/>
      <c r="R158" s="609"/>
      <c r="S158" s="609"/>
      <c r="T158" s="609"/>
      <c r="U158" s="609"/>
      <c r="V158" s="609"/>
      <c r="W158" s="609"/>
      <c r="X158" s="609"/>
      <c r="Y158" s="609"/>
      <c r="Z158" s="609"/>
      <c r="AA158" s="609"/>
      <c r="AB158" s="609"/>
      <c r="AC158" s="609"/>
      <c r="AD158" s="609"/>
      <c r="AE158" s="609"/>
      <c r="AF158" s="609"/>
      <c r="AG158" s="609"/>
      <c r="AH158" s="609"/>
      <c r="AI158" s="609"/>
      <c r="AJ158" s="609"/>
      <c r="AK158" s="609"/>
      <c r="AL158" s="609"/>
      <c r="AM158" s="609"/>
      <c r="AN158" s="609"/>
      <c r="AO158" s="609"/>
      <c r="AP158" s="609"/>
      <c r="AQ158" s="609"/>
      <c r="AR158" s="609"/>
      <c r="AS158" s="609"/>
      <c r="AT158" s="609"/>
      <c r="AU158" s="609"/>
      <c r="AV158" s="609"/>
      <c r="AW158" s="609"/>
      <c r="AX158" s="609"/>
      <c r="AY158" s="609"/>
      <c r="AZ158" s="609"/>
      <c r="BA158" s="609"/>
      <c r="BB158" s="609"/>
      <c r="BC158" s="609"/>
      <c r="BD158" s="609"/>
      <c r="BE158" s="609"/>
      <c r="BF158" s="609"/>
      <c r="BG158" s="609"/>
      <c r="BH158" s="609"/>
      <c r="BI158" s="609"/>
      <c r="BJ158" s="609"/>
      <c r="BK158" s="609"/>
      <c r="BL158" s="609"/>
      <c r="BM158" s="609"/>
      <c r="BN158" s="609"/>
      <c r="BO158" s="609"/>
      <c r="BP158" s="609"/>
      <c r="BQ158" s="609"/>
    </row>
    <row r="164" spans="8:8" ht="18.0" customHeight="1">
      <c r="AW164" s="397"/>
      <c r="AX164" s="397"/>
    </row>
    <row r="165" spans="8:8" ht="18.0" customHeight="1">
      <c r="AW165" s="397"/>
      <c r="AX165" s="397"/>
    </row>
    <row r="166" spans="8:8" ht="18.0" customHeight="1">
      <c r="AW166" s="397"/>
      <c r="AX166" s="397"/>
    </row>
    <row r="167" spans="8:8" ht="18.0" customHeight="1">
      <c r="AW167" s="397"/>
      <c r="AX167" s="397"/>
    </row>
    <row r="168" spans="8:8" ht="18.0" customHeight="1">
      <c r="AW168" s="397"/>
      <c r="AX168" s="397"/>
    </row>
    <row r="169" spans="8:8" ht="18.0" customHeight="1">
      <c r="AW169" s="397"/>
      <c r="AX169" s="397"/>
    </row>
    <row r="170" spans="8:8" ht="18.0" customHeight="1">
      <c r="AW170" s="397"/>
      <c r="AX170" s="397"/>
    </row>
    <row r="171" spans="8:8" ht="18.0" customHeight="1">
      <c r="AW171" s="397"/>
      <c r="AX171" s="397"/>
    </row>
    <row r="172" spans="8:8" ht="18.0" customHeight="1">
      <c r="AG172" s="397"/>
      <c r="AH172" s="397"/>
      <c r="AI172" s="397"/>
      <c r="AJ172" s="397"/>
      <c r="AK172" s="397"/>
      <c r="AL172" s="397"/>
      <c r="AM172" s="397"/>
      <c r="AN172" s="397"/>
      <c r="AO172" s="397"/>
      <c r="AP172" s="397"/>
      <c r="AQ172" s="397"/>
      <c r="AR172" s="397"/>
      <c r="AS172" s="397"/>
      <c r="AU172" s="397"/>
      <c r="AV172" s="397"/>
      <c r="AW172" s="397"/>
      <c r="AX172" s="397"/>
    </row>
    <row r="173" spans="8:8" ht="18.0" customHeight="1">
      <c r="AG173" s="397"/>
      <c r="AH173" s="397"/>
      <c r="AI173" s="397"/>
      <c r="AJ173" s="397"/>
      <c r="AK173" s="397"/>
      <c r="AL173" s="397"/>
      <c r="AM173" s="397"/>
      <c r="AN173" s="397"/>
      <c r="AO173" s="397"/>
      <c r="AP173" s="397"/>
      <c r="AQ173" s="397"/>
      <c r="AR173" s="397"/>
      <c r="AS173" s="397"/>
      <c r="AU173" s="397"/>
      <c r="AV173" s="397"/>
      <c r="AW173" s="397"/>
      <c r="AX173" s="397"/>
    </row>
    <row r="174" spans="8:8" ht="18.0" customHeight="1">
      <c r="AG174" s="397"/>
      <c r="AH174" s="397"/>
      <c r="AI174" s="397"/>
      <c r="AJ174" s="397"/>
      <c r="AK174" s="397"/>
      <c r="AL174" s="397"/>
      <c r="AM174" s="397"/>
      <c r="AN174" s="397"/>
      <c r="AO174" s="397"/>
      <c r="AP174" s="397"/>
      <c r="AQ174" s="397"/>
      <c r="AR174" s="397"/>
      <c r="AS174" s="397"/>
      <c r="AU174" s="397"/>
      <c r="AV174" s="397"/>
      <c r="AW174" s="397"/>
      <c r="AX174" s="397"/>
    </row>
    <row r="175" spans="8:8" ht="18.0" customHeight="1">
      <c r="AG175" s="397"/>
      <c r="AH175" s="397"/>
      <c r="AI175" s="397"/>
      <c r="AJ175" s="397"/>
      <c r="AK175" s="397"/>
      <c r="AL175" s="397"/>
      <c r="AM175" s="397"/>
      <c r="AN175" s="397"/>
      <c r="AO175" s="397"/>
      <c r="AP175" s="397"/>
      <c r="AQ175" s="397"/>
      <c r="AR175" s="397"/>
      <c r="AS175" s="397"/>
      <c r="AU175" s="397"/>
      <c r="AV175" s="397"/>
      <c r="AW175" s="397"/>
      <c r="AX175" s="397"/>
    </row>
    <row r="176" spans="8:8" ht="18.0" customHeight="1">
      <c r="AG176" s="397"/>
      <c r="AH176" s="397"/>
      <c r="AI176" s="397"/>
      <c r="AJ176" s="397"/>
      <c r="AK176" s="397"/>
      <c r="AL176" s="397"/>
      <c r="AM176" s="397"/>
      <c r="AN176" s="397"/>
      <c r="AO176" s="397"/>
      <c r="AP176" s="397"/>
      <c r="AQ176" s="397"/>
      <c r="AR176" s="397"/>
      <c r="AS176" s="397"/>
      <c r="AU176" s="397"/>
      <c r="AV176" s="397"/>
      <c r="AW176" s="397"/>
      <c r="AX176" s="397"/>
    </row>
    <row r="177" spans="8:8" ht="18.0" customHeight="1">
      <c r="AG177" s="397"/>
      <c r="AH177" s="397"/>
      <c r="AI177" s="397"/>
      <c r="AJ177" s="397"/>
      <c r="AK177" s="397"/>
      <c r="AL177" s="397"/>
      <c r="AM177" s="397"/>
      <c r="AN177" s="397"/>
      <c r="AO177" s="397"/>
      <c r="AP177" s="397"/>
      <c r="AQ177" s="397"/>
      <c r="AR177" s="397"/>
      <c r="AS177" s="397"/>
      <c r="AU177" s="397"/>
      <c r="AV177" s="397"/>
      <c r="AW177" s="397"/>
      <c r="AX177" s="397"/>
    </row>
    <row r="178" spans="8:8" ht="18.0" customHeight="1">
      <c r="AG178" s="397"/>
      <c r="AH178" s="397"/>
      <c r="AI178" s="397"/>
      <c r="AJ178" s="397"/>
      <c r="AK178" s="397"/>
      <c r="AL178" s="397"/>
      <c r="AM178" s="397"/>
      <c r="AN178" s="397"/>
      <c r="AO178" s="397"/>
      <c r="AP178" s="397"/>
      <c r="AQ178" s="397"/>
      <c r="AR178" s="397"/>
      <c r="AS178" s="397"/>
    </row>
    <row r="179" spans="8:8" ht="18.0" customHeight="1">
      <c r="AG179" s="397"/>
      <c r="AH179" s="397"/>
      <c r="AI179" s="397"/>
      <c r="AJ179" s="397"/>
      <c r="AK179" s="397"/>
      <c r="AL179" s="397"/>
      <c r="AM179" s="397"/>
      <c r="AN179" s="397"/>
      <c r="AO179" s="397"/>
      <c r="AP179" s="397"/>
      <c r="AQ179" s="397"/>
      <c r="AR179" s="397"/>
      <c r="AS179" s="397"/>
    </row>
    <row r="180" spans="8:8" ht="18.0" customHeight="1">
      <c r="AG180" s="397"/>
      <c r="AH180" s="397"/>
      <c r="AI180" s="397"/>
      <c r="AJ180" s="397"/>
      <c r="AK180" s="397"/>
      <c r="AL180" s="397"/>
      <c r="AM180" s="397"/>
      <c r="AN180" s="397"/>
      <c r="AO180" s="397"/>
      <c r="AP180" s="397"/>
      <c r="AQ180" s="397"/>
      <c r="AR180" s="397"/>
      <c r="AS180" s="397"/>
    </row>
    <row r="181" spans="8:8" ht="18.0" customHeight="1">
      <c r="AG181" s="397"/>
      <c r="AH181" s="397"/>
      <c r="AI181" s="397"/>
      <c r="AJ181" s="397"/>
      <c r="AK181" s="397"/>
      <c r="AL181" s="397"/>
      <c r="AM181" s="397"/>
      <c r="AN181" s="397"/>
      <c r="AO181" s="397"/>
      <c r="AP181" s="397"/>
      <c r="AQ181" s="397"/>
      <c r="AR181" s="397"/>
      <c r="AS181" s="397"/>
    </row>
  </sheetData>
  <sheetProtection sheet="1" selectLockedCells="1"/>
  <protectedRanges>
    <protectedRange sqref="AB37 AB34:AC36 AB31:AB33 AB28:AC30 AB27 AB16:AC26 L27:P27 F46:F49 F42:G45 H34 H38 F23:G33 F20:F22 F16:G19 Q10:S11 I10:S10 B10 AA3:AH8 W3:Y8 K4:K6 AB2:AB8 B1:B8 K12:R12 Y10:Y11 B13:X14 B15:L15 R15:AE15 AN15:AS15 J42:J49 F34:F41 AG12:AI12 T12:AD12 J38 J16:J34 AB38:AC40 AF16:AF40 AF44:AF46 T37:V37 U38:W40 U16:W36 T41:V41 U42:W49 AQ16:AS46 AJ3:AJ6 AJ7:AK8" name="技能表以上"/>
    <protectedRange sqref="B50:AS50 AM51:AS51 AM58 W60 B77 B101 W119 AH95:AM96 W128 X61:Y78 C60:K60 W121 W123" name="技能表往下"/>
    <protectedRange sqref="AA10:AA11" name="技能表以上_2"/>
    <protectedRange sqref="B51:S53" name="技能表往下_1"/>
    <protectedRange sqref="G54:AJ56" name="技能表往下_2"/>
    <protectedRange sqref="AC41:AC46" name="技能表以上_1"/>
    <protectedRange sqref="AB41:AB46" name="技能表以上_1_1"/>
    <protectedRange sqref="S16:S49" name="技能表以上_3"/>
    <protectedRange sqref="AO16:AO46" name="技能表以上_4"/>
  </protectedRanges>
  <mergeCells count="1455">
    <mergeCell ref="BA34:BB34"/>
    <mergeCell ref="J46:K46"/>
    <mergeCell ref="T26:U26"/>
    <mergeCell ref="AU28:AZ28"/>
    <mergeCell ref="BK28:BN34"/>
    <mergeCell ref="BA22:BI22"/>
    <mergeCell ref="BC5:BJ6"/>
    <mergeCell ref="AU2:BR2"/>
    <mergeCell ref="L46:M46"/>
    <mergeCell ref="AL19:AM19"/>
    <mergeCell ref="AJ23:AK23"/>
    <mergeCell ref="V40:W40"/>
    <mergeCell ref="AB44:AE44"/>
    <mergeCell ref="D92:E92"/>
    <mergeCell ref="B80:C80"/>
    <mergeCell ref="U55:V55"/>
    <mergeCell ref="AC6:AD6"/>
    <mergeCell ref="AJ40:AK40"/>
    <mergeCell ref="P32:Q32"/>
    <mergeCell ref="M53:P53"/>
    <mergeCell ref="AD32:AE32"/>
    <mergeCell ref="J27:K27"/>
    <mergeCell ref="AH48:AI48"/>
    <mergeCell ref="X41:Y41"/>
    <mergeCell ref="V41:W41"/>
    <mergeCell ref="BL65:BR65"/>
    <mergeCell ref="AR65:AS66"/>
    <mergeCell ref="AB17:AE17"/>
    <mergeCell ref="V35:W35"/>
    <mergeCell ref="AJ53:AK53"/>
    <mergeCell ref="P25:Q25"/>
    <mergeCell ref="F46:G46"/>
    <mergeCell ref="BO26:BR26"/>
    <mergeCell ref="AE54:AF54"/>
    <mergeCell ref="L32:M32"/>
    <mergeCell ref="AU23:BR23"/>
    <mergeCell ref="BA17:BR17"/>
    <mergeCell ref="AL142:AO142"/>
    <mergeCell ref="Z48:AA48"/>
    <mergeCell ref="AR38:AS38"/>
    <mergeCell ref="AP31:AQ31"/>
    <mergeCell ref="AF29:AG29"/>
    <mergeCell ref="AP52:AS54"/>
    <mergeCell ref="J21:K21"/>
    <mergeCell ref="Y3:Z4"/>
    <mergeCell ref="B33:C33"/>
    <mergeCell ref="AJ41:AK41"/>
    <mergeCell ref="H22:I22"/>
    <mergeCell ref="V2:Z2"/>
    <mergeCell ref="P31:Q31"/>
    <mergeCell ref="N34:O34"/>
    <mergeCell ref="AA106:AJ106"/>
    <mergeCell ref="AP129:AS129"/>
    <mergeCell ref="AH121:AS121"/>
    <mergeCell ref="AC115:AG115"/>
    <mergeCell ref="AA110:AJ110"/>
    <mergeCell ref="AC113:AG113"/>
    <mergeCell ref="AP147:BD148"/>
    <mergeCell ref="H20:I20"/>
    <mergeCell ref="AM57:AO58"/>
    <mergeCell ref="S56:T56"/>
    <mergeCell ref="AD27:AE27"/>
    <mergeCell ref="J76:M76"/>
    <mergeCell ref="F37:G37"/>
    <mergeCell ref="AF49:AG49"/>
    <mergeCell ref="P28:Q28"/>
    <mergeCell ref="AK101:AQ101"/>
    <mergeCell ref="AR98:AS98"/>
    <mergeCell ref="AA97:AJ97"/>
    <mergeCell ref="AH122:AS122"/>
    <mergeCell ref="J97:U97"/>
    <mergeCell ref="J75:M75"/>
    <mergeCell ref="W106:Z106"/>
    <mergeCell ref="W128:AS128"/>
    <mergeCell ref="T120:U121"/>
    <mergeCell ref="P119:Q119"/>
    <mergeCell ref="B102:I102"/>
    <mergeCell ref="F88:M88"/>
    <mergeCell ref="AC121:AG121"/>
    <mergeCell ref="AR107:AS107"/>
    <mergeCell ref="Y124:AB124"/>
    <mergeCell ref="G132:M133"/>
    <mergeCell ref="AA109:AJ109"/>
    <mergeCell ref="AH114:AS114"/>
    <mergeCell ref="AP41:AQ41"/>
    <mergeCell ref="J96:U96"/>
    <mergeCell ref="Y125:AB125"/>
    <mergeCell ref="AD133:AK133"/>
    <mergeCell ref="N70:Q74"/>
    <mergeCell ref="J98:U98"/>
    <mergeCell ref="D87:E87"/>
    <mergeCell ref="AJ20:AK20"/>
    <mergeCell ref="B5:D5"/>
    <mergeCell ref="AN27:AO27"/>
    <mergeCell ref="J112:U112"/>
    <mergeCell ref="AD130:AK130"/>
    <mergeCell ref="AA100:AJ100"/>
    <mergeCell ref="Y118:AB118"/>
    <mergeCell ref="W118:X118"/>
    <mergeCell ref="V33:W33"/>
    <mergeCell ref="R31:S31"/>
    <mergeCell ref="D45:E45"/>
    <mergeCell ref="E8:F8"/>
    <mergeCell ref="W53:Z53"/>
    <mergeCell ref="AP21:AQ21"/>
    <mergeCell ref="AP46:AQ46"/>
    <mergeCell ref="AJ57:AK57"/>
    <mergeCell ref="U7:V8"/>
    <mergeCell ref="D34:E34"/>
    <mergeCell ref="AB36:AE36"/>
    <mergeCell ref="AH43:AI43"/>
    <mergeCell ref="AH16:AI16"/>
    <mergeCell ref="J49:K49"/>
    <mergeCell ref="F15:I15"/>
    <mergeCell ref="B30:C30"/>
    <mergeCell ref="T35:U35"/>
    <mergeCell ref="Z32:AA32"/>
    <mergeCell ref="B68:U68"/>
    <mergeCell ref="AA71:AQ72"/>
    <mergeCell ref="D78:E78"/>
    <mergeCell ref="Y10:Z11"/>
    <mergeCell ref="Z30:AA30"/>
    <mergeCell ref="D80:E80"/>
    <mergeCell ref="L22:M22"/>
    <mergeCell ref="H40:I40"/>
    <mergeCell ref="F39:G39"/>
    <mergeCell ref="W61:Z62"/>
    <mergeCell ref="T23:U23"/>
    <mergeCell ref="AB27:AC27"/>
    <mergeCell ref="Z15:AA15"/>
    <mergeCell ref="R40:S40"/>
    <mergeCell ref="R29:S29"/>
    <mergeCell ref="AJ37:AK37"/>
    <mergeCell ref="L61:N61"/>
    <mergeCell ref="F83:M83"/>
    <mergeCell ref="W137:Z137"/>
    <mergeCell ref="B139:G139"/>
    <mergeCell ref="M140:P143"/>
    <mergeCell ref="AN19:AO19"/>
    <mergeCell ref="N49:O49"/>
    <mergeCell ref="D17:E17"/>
    <mergeCell ref="F45:I45"/>
    <mergeCell ref="AB15:AE15"/>
    <mergeCell ref="D27:E27"/>
    <mergeCell ref="X37:Y37"/>
    <mergeCell ref="V38:W38"/>
    <mergeCell ref="L21:M21"/>
    <mergeCell ref="AB41:AE41"/>
    <mergeCell ref="S58:T58"/>
    <mergeCell ref="W3:X3"/>
    <mergeCell ref="AJ43:AK43"/>
    <mergeCell ref="AL27:AM27"/>
    <mergeCell ref="Z46:AA46"/>
    <mergeCell ref="AP44:AQ44"/>
    <mergeCell ref="X17:Y17"/>
    <mergeCell ref="V34:W34"/>
    <mergeCell ref="AH21:AI21"/>
    <mergeCell ref="AB21:AE21"/>
    <mergeCell ref="AA131:AC131"/>
    <mergeCell ref="D93:E93"/>
    <mergeCell ref="B108:I108"/>
    <mergeCell ref="J99:U99"/>
    <mergeCell ref="B95:U95"/>
    <mergeCell ref="B104:I104"/>
    <mergeCell ref="AD136:AK136"/>
    <mergeCell ref="AD141:AK141"/>
    <mergeCell ref="W142:Z142"/>
    <mergeCell ref="G134:M135"/>
    <mergeCell ref="Y115:AB115"/>
    <mergeCell ref="B137:D137"/>
    <mergeCell ref="B134:F135"/>
    <mergeCell ref="AD142:AK142"/>
    <mergeCell ref="AA142:AC142"/>
    <mergeCell ref="B140:G143"/>
    <mergeCell ref="H21:I21"/>
    <mergeCell ref="AR41:AS41"/>
    <mergeCell ref="Z49:AA49"/>
    <mergeCell ref="BA25:BB25"/>
    <mergeCell ref="AR29:AS29"/>
    <mergeCell ref="AP30:AQ30"/>
    <mergeCell ref="BA32:BB32"/>
    <mergeCell ref="N88:U88"/>
    <mergeCell ref="AK106:AQ106"/>
    <mergeCell ref="N131:Q131"/>
    <mergeCell ref="B63:K67"/>
    <mergeCell ref="AB31:AC31"/>
    <mergeCell ref="B16:C16"/>
    <mergeCell ref="W102:Z102"/>
    <mergeCell ref="Y113:AB113"/>
    <mergeCell ref="AZ63:BE63"/>
    <mergeCell ref="L25:M25"/>
    <mergeCell ref="F48:G48"/>
    <mergeCell ref="B127:C128"/>
    <mergeCell ref="V32:W32"/>
    <mergeCell ref="D19:E19"/>
    <mergeCell ref="L119:M119"/>
    <mergeCell ref="P46:Q46"/>
    <mergeCell ref="J40:K40"/>
    <mergeCell ref="B103:I103"/>
    <mergeCell ref="N39:O39"/>
    <mergeCell ref="AR71:AS72"/>
    <mergeCell ref="AJ34:AK34"/>
    <mergeCell ref="AR69:AS70"/>
    <mergeCell ref="T46:U46"/>
    <mergeCell ref="AF37:AG37"/>
    <mergeCell ref="U53:V53"/>
    <mergeCell ref="B15:C15"/>
    <mergeCell ref="AF28:AG28"/>
    <mergeCell ref="N38:O38"/>
    <mergeCell ref="Y5:Z6"/>
    <mergeCell ref="AR26:AS26"/>
    <mergeCell ref="AB37:AC37"/>
    <mergeCell ref="J23:K23"/>
    <mergeCell ref="Z20:AA20"/>
    <mergeCell ref="T29:U29"/>
    <mergeCell ref="AR18:AS18"/>
    <mergeCell ref="B6:D6"/>
    <mergeCell ref="AB39:AE39"/>
    <mergeCell ref="AN17:AO17"/>
    <mergeCell ref="W132:Z132"/>
    <mergeCell ref="AK110:AQ110"/>
    <mergeCell ref="X15:Y15"/>
    <mergeCell ref="F43:I43"/>
    <mergeCell ref="X23:Y23"/>
    <mergeCell ref="AP35:AQ35"/>
    <mergeCell ref="AR37:AS37"/>
    <mergeCell ref="AL38:AM38"/>
    <mergeCell ref="J44:K44"/>
    <mergeCell ref="AA65:AQ66"/>
    <mergeCell ref="AH49:AI49"/>
    <mergeCell ref="D89:E89"/>
    <mergeCell ref="W143:Z143"/>
    <mergeCell ref="AA143:AC143"/>
    <mergeCell ref="AP48:AQ48"/>
    <mergeCell ref="Z19:AA19"/>
    <mergeCell ref="L36:M36"/>
    <mergeCell ref="B38:C38"/>
    <mergeCell ref="AR32:AS32"/>
    <mergeCell ref="AF45:AG45"/>
    <mergeCell ref="J38:K38"/>
    <mergeCell ref="AC58:AD58"/>
    <mergeCell ref="L62:N62"/>
    <mergeCell ref="AP140:AS140"/>
    <mergeCell ref="AP16:AQ16"/>
    <mergeCell ref="T39:U39"/>
    <mergeCell ref="AC52:AD52"/>
    <mergeCell ref="L24:M24"/>
    <mergeCell ref="P38:Q38"/>
    <mergeCell ref="Z43:AA43"/>
    <mergeCell ref="AF43:AG43"/>
    <mergeCell ref="AH42:AI42"/>
    <mergeCell ref="B113:E116"/>
    <mergeCell ref="X34:Y34"/>
    <mergeCell ref="W114:X114"/>
    <mergeCell ref="W113:X113"/>
    <mergeCell ref="N90:U90"/>
    <mergeCell ref="N93:U93"/>
    <mergeCell ref="E138:U138"/>
    <mergeCell ref="W140:Z140"/>
    <mergeCell ref="V19:W19"/>
    <mergeCell ref="AJ56:AK56"/>
    <mergeCell ref="AN46:AO46"/>
    <mergeCell ref="AH15:AI15"/>
    <mergeCell ref="AF39:AG39"/>
    <mergeCell ref="M4:Q4"/>
    <mergeCell ref="J103:U103"/>
    <mergeCell ref="AU31:AZ31"/>
    <mergeCell ref="E6:I6"/>
    <mergeCell ref="N46:O46"/>
    <mergeCell ref="BA33:BB33"/>
    <mergeCell ref="BC28:BF28"/>
    <mergeCell ref="BA18:BI18"/>
    <mergeCell ref="BC26:BJ26"/>
    <mergeCell ref="AR20:AS20"/>
    <mergeCell ref="Q55:R55"/>
    <mergeCell ref="B35:C35"/>
    <mergeCell ref="N15:O15"/>
    <mergeCell ref="V23:W23"/>
    <mergeCell ref="AF26:AG26"/>
    <mergeCell ref="AR34:AS34"/>
    <mergeCell ref="B14:AS14"/>
    <mergeCell ref="AU24:BB24"/>
    <mergeCell ref="J41:K41"/>
    <mergeCell ref="AN49:AO49"/>
    <mergeCell ref="D35:E35"/>
    <mergeCell ref="BC30:BJ37"/>
    <mergeCell ref="BA20:BI20"/>
    <mergeCell ref="BC25:BJ25"/>
    <mergeCell ref="AB35:AE35"/>
    <mergeCell ref="D84:E84"/>
    <mergeCell ref="V16:W16"/>
    <mergeCell ref="B48:C48"/>
    <mergeCell ref="F85:M85"/>
    <mergeCell ref="B84:C84"/>
    <mergeCell ref="B82:C82"/>
    <mergeCell ref="B93:C93"/>
    <mergeCell ref="AC10:AE11"/>
    <mergeCell ref="P48:Q48"/>
    <mergeCell ref="L28:M28"/>
    <mergeCell ref="AP34:AQ34"/>
    <mergeCell ref="W10:X11"/>
    <mergeCell ref="AG12:AH12"/>
    <mergeCell ref="B4:D4"/>
    <mergeCell ref="F25:I25"/>
    <mergeCell ref="W108:Z108"/>
    <mergeCell ref="AB49:AE49"/>
    <mergeCell ref="D91:E91"/>
    <mergeCell ref="J101:U101"/>
    <mergeCell ref="W103:Z103"/>
    <mergeCell ref="BG129:BK129"/>
    <mergeCell ref="B50:H50"/>
    <mergeCell ref="L43:M43"/>
    <mergeCell ref="W4:X4"/>
    <mergeCell ref="G131:M131"/>
    <mergeCell ref="F31:I31"/>
    <mergeCell ref="G55:L55"/>
    <mergeCell ref="Z29:AA29"/>
    <mergeCell ref="D24:E24"/>
    <mergeCell ref="G58:L58"/>
    <mergeCell ref="F49:G49"/>
    <mergeCell ref="AE57:AF57"/>
    <mergeCell ref="AA63:AQ64"/>
    <mergeCell ref="AL132:AO132"/>
    <mergeCell ref="X29:Y29"/>
    <mergeCell ref="AB24:AE24"/>
    <mergeCell ref="AH38:AI38"/>
    <mergeCell ref="AB43:AE43"/>
    <mergeCell ref="AC126:AG126"/>
    <mergeCell ref="AA130:AC130"/>
    <mergeCell ref="W112:AS112"/>
    <mergeCell ref="B62:E62"/>
    <mergeCell ref="R12:S12"/>
    <mergeCell ref="Z31:AA31"/>
    <mergeCell ref="J109:U109"/>
    <mergeCell ref="B112:I112"/>
    <mergeCell ref="AA11:AB11"/>
    <mergeCell ref="AP143:AS143"/>
    <mergeCell ref="AR102:AS102"/>
    <mergeCell ref="AL141:AO141"/>
    <mergeCell ref="AB45:AE45"/>
    <mergeCell ref="AP23:AQ23"/>
    <mergeCell ref="AR43:AS43"/>
    <mergeCell ref="L17:M17"/>
    <mergeCell ref="B28:C28"/>
    <mergeCell ref="P16:Q16"/>
    <mergeCell ref="D36:E36"/>
    <mergeCell ref="AR21:AS21"/>
    <mergeCell ref="B12:C12"/>
    <mergeCell ref="B10:D11"/>
    <mergeCell ref="N8:Q8"/>
    <mergeCell ref="AE52:AF52"/>
    <mergeCell ref="AH36:AI36"/>
    <mergeCell ref="AH44:AI44"/>
    <mergeCell ref="AL32:AM32"/>
    <mergeCell ref="N76:U76"/>
    <mergeCell ref="N119:O119"/>
    <mergeCell ref="W97:Z97"/>
    <mergeCell ref="B21:C21"/>
    <mergeCell ref="AH46:AI46"/>
    <mergeCell ref="W52:Z52"/>
    <mergeCell ref="AP22:AQ22"/>
    <mergeCell ref="M56:P56"/>
    <mergeCell ref="AJ52:AK52"/>
    <mergeCell ref="T30:U30"/>
    <mergeCell ref="F42:I42"/>
    <mergeCell ref="V18:W18"/>
    <mergeCell ref="AN24:AO24"/>
    <mergeCell ref="AF22:AG22"/>
    <mergeCell ref="S55:T55"/>
    <mergeCell ref="AP55:AS56"/>
    <mergeCell ref="AN23:AO23"/>
    <mergeCell ref="T34:U34"/>
    <mergeCell ref="D28:E28"/>
    <mergeCell ref="AF38:AG38"/>
    <mergeCell ref="L18:M18"/>
    <mergeCell ref="AR49:AS49"/>
    <mergeCell ref="B39:C39"/>
    <mergeCell ref="AL23:AM23"/>
    <mergeCell ref="L20:M20"/>
    <mergeCell ref="AH35:AI35"/>
    <mergeCell ref="AC53:AD53"/>
    <mergeCell ref="D32:E32"/>
    <mergeCell ref="AL33:AM33"/>
    <mergeCell ref="F78:M78"/>
    <mergeCell ref="AU143:BB143"/>
    <mergeCell ref="AH18:AI18"/>
    <mergeCell ref="AA75:AQ76"/>
    <mergeCell ref="AU144:BB144"/>
    <mergeCell ref="BC143:BJ143"/>
    <mergeCell ref="BC144:BJ144"/>
    <mergeCell ref="AN47:AO47"/>
    <mergeCell ref="AC5:AD5"/>
    <mergeCell ref="J45:K45"/>
    <mergeCell ref="V46:W46"/>
    <mergeCell ref="B91:C91"/>
    <mergeCell ref="N134:Q135"/>
    <mergeCell ref="E136:U136"/>
    <mergeCell ref="AA136:AC136"/>
    <mergeCell ref="AA137:AC137"/>
    <mergeCell ref="AH116:AS116"/>
    <mergeCell ref="Z25:AA25"/>
    <mergeCell ref="AE7:AF8"/>
    <mergeCell ref="X31:Y31"/>
    <mergeCell ref="AH117:AS117"/>
    <mergeCell ref="AP137:AS137"/>
    <mergeCell ref="AD138:AK138"/>
    <mergeCell ref="F75:I75"/>
    <mergeCell ref="AA135:AC135"/>
    <mergeCell ref="N132:Q133"/>
    <mergeCell ref="AA132:AC132"/>
    <mergeCell ref="W131:Z131"/>
    <mergeCell ref="W126:X126"/>
    <mergeCell ref="AL136:AO136"/>
    <mergeCell ref="J24:K24"/>
    <mergeCell ref="AH41:AI41"/>
    <mergeCell ref="D46:E46"/>
    <mergeCell ref="AP24:AQ24"/>
    <mergeCell ref="AR27:AS27"/>
    <mergeCell ref="AR61:AS62"/>
    <mergeCell ref="M5:Q5"/>
    <mergeCell ref="AF48:AG48"/>
    <mergeCell ref="AH22:AI22"/>
    <mergeCell ref="AC4:AD4"/>
    <mergeCell ref="Z39:AA39"/>
    <mergeCell ref="B51:AK51"/>
    <mergeCell ref="AD134:AK134"/>
    <mergeCell ref="N81:U81"/>
    <mergeCell ref="B97:I97"/>
    <mergeCell ref="W136:Z136"/>
    <mergeCell ref="AR46:AS46"/>
    <mergeCell ref="N27:O27"/>
    <mergeCell ref="D38:E38"/>
    <mergeCell ref="Z22:AA22"/>
    <mergeCell ref="AA3:AB4"/>
    <mergeCell ref="H46:I46"/>
    <mergeCell ref="AD37:AE37"/>
    <mergeCell ref="F40:G40"/>
    <mergeCell ref="V48:W48"/>
    <mergeCell ref="J35:K35"/>
    <mergeCell ref="M54:P54"/>
    <mergeCell ref="W125:X125"/>
    <mergeCell ref="P39:Q39"/>
    <mergeCell ref="AC118:AG118"/>
    <mergeCell ref="W124:X124"/>
    <mergeCell ref="J104:U104"/>
    <mergeCell ref="J106:U106"/>
    <mergeCell ref="AC114:AG114"/>
    <mergeCell ref="J111:U111"/>
    <mergeCell ref="B98:I98"/>
    <mergeCell ref="AH29:AI29"/>
    <mergeCell ref="B23:C23"/>
    <mergeCell ref="B99:I99"/>
    <mergeCell ref="B107:I107"/>
    <mergeCell ref="AA108:AJ108"/>
    <mergeCell ref="N10:O11"/>
    <mergeCell ref="AC122:AG122"/>
    <mergeCell ref="AJ47:AK47"/>
    <mergeCell ref="L124:U124"/>
    <mergeCell ref="F87:M87"/>
    <mergeCell ref="AB40:AE40"/>
    <mergeCell ref="V21:W21"/>
    <mergeCell ref="AF46:AG46"/>
    <mergeCell ref="N91:U91"/>
    <mergeCell ref="AK97:AQ97"/>
    <mergeCell ref="N89:U89"/>
    <mergeCell ref="T21:U21"/>
    <mergeCell ref="Z45:AA45"/>
    <mergeCell ref="B41:C41"/>
    <mergeCell ref="AC54:AD54"/>
    <mergeCell ref="J31:K31"/>
    <mergeCell ref="AC125:AG125"/>
    <mergeCell ref="R75:U75"/>
    <mergeCell ref="J113:U116"/>
    <mergeCell ref="W73:Z74"/>
    <mergeCell ref="R119:S119"/>
    <mergeCell ref="J7:L7"/>
    <mergeCell ref="AL46:AM46"/>
    <mergeCell ref="B46:C46"/>
    <mergeCell ref="AE5:AF6"/>
    <mergeCell ref="AG2:AJ2"/>
    <mergeCell ref="N83:U83"/>
    <mergeCell ref="AK105:AQ105"/>
    <mergeCell ref="AH115:AS115"/>
    <mergeCell ref="AC119:AG119"/>
    <mergeCell ref="B89:C89"/>
    <mergeCell ref="AR75:AS76"/>
    <mergeCell ref="B92:C92"/>
    <mergeCell ref="AN16:AO16"/>
    <mergeCell ref="N43:O43"/>
    <mergeCell ref="F19:I19"/>
    <mergeCell ref="BA30:BB30"/>
    <mergeCell ref="AZ64:BE64"/>
    <mergeCell ref="K12:M12"/>
    <mergeCell ref="AH30:AI30"/>
    <mergeCell ref="D49:E49"/>
    <mergeCell ref="BA19:BI19"/>
    <mergeCell ref="B147:M148"/>
    <mergeCell ref="AL138:AO138"/>
    <mergeCell ref="E137:U137"/>
    <mergeCell ref="M55:P55"/>
    <mergeCell ref="AJ15:AK15"/>
    <mergeCell ref="AN35:AO35"/>
    <mergeCell ref="AC9:AJ9"/>
    <mergeCell ref="P34:Q34"/>
    <mergeCell ref="N26:O26"/>
    <mergeCell ref="AU7:BB8"/>
    <mergeCell ref="W141:Z141"/>
    <mergeCell ref="AP134:AS134"/>
    <mergeCell ref="Y122:AB122"/>
    <mergeCell ref="W123:X123"/>
    <mergeCell ref="AD139:AK139"/>
    <mergeCell ref="D126:U126"/>
    <mergeCell ref="B88:C88"/>
    <mergeCell ref="AL143:AO143"/>
    <mergeCell ref="P44:Q44"/>
    <mergeCell ref="H140:L143"/>
    <mergeCell ref="H41:I41"/>
    <mergeCell ref="G8:I8"/>
    <mergeCell ref="AR44:AS44"/>
    <mergeCell ref="S3:T4"/>
    <mergeCell ref="L16:M16"/>
    <mergeCell ref="P22:Q22"/>
    <mergeCell ref="AA139:AC139"/>
    <mergeCell ref="AP33:AQ33"/>
    <mergeCell ref="G10:H11"/>
    <mergeCell ref="AF47:AG47"/>
    <mergeCell ref="J108:U108"/>
    <mergeCell ref="B45:C45"/>
    <mergeCell ref="F17:I17"/>
    <mergeCell ref="S57:T57"/>
    <mergeCell ref="B124:K124"/>
    <mergeCell ref="W121:X121"/>
    <mergeCell ref="W133:Z133"/>
    <mergeCell ref="W116:X116"/>
    <mergeCell ref="Y119:AB119"/>
    <mergeCell ref="AA138:AC138"/>
    <mergeCell ref="AM52:AO54"/>
    <mergeCell ref="X24:Y24"/>
    <mergeCell ref="AP11:AS11"/>
    <mergeCell ref="X40:Y40"/>
    <mergeCell ref="Z33:AA33"/>
    <mergeCell ref="AF24:AG24"/>
    <mergeCell ref="AR63:AS64"/>
    <mergeCell ref="AB147:AL148"/>
    <mergeCell ref="B3:D3"/>
    <mergeCell ref="AL39:AM39"/>
    <mergeCell ref="AR25:AS25"/>
    <mergeCell ref="R44:S44"/>
    <mergeCell ref="BK27:BN27"/>
    <mergeCell ref="BK37:BN37"/>
    <mergeCell ref="D79:E79"/>
    <mergeCell ref="J105:U105"/>
    <mergeCell ref="B126:C126"/>
    <mergeCell ref="B61:E61"/>
    <mergeCell ref="AR39:AS39"/>
    <mergeCell ref="M7:Q7"/>
    <mergeCell ref="AF40:AG40"/>
    <mergeCell ref="P23:Q23"/>
    <mergeCell ref="AJ19:AK19"/>
    <mergeCell ref="BC7:BJ8"/>
    <mergeCell ref="BF63:BK63"/>
    <mergeCell ref="E3:Q3"/>
    <mergeCell ref="BK35:BR35"/>
    <mergeCell ref="AH37:AI37"/>
    <mergeCell ref="J37:K37"/>
    <mergeCell ref="Z23:AA23"/>
    <mergeCell ref="AN41:AO41"/>
    <mergeCell ref="Z36:AA36"/>
    <mergeCell ref="N31:O31"/>
    <mergeCell ref="B96:I96"/>
    <mergeCell ref="BL63:BR63"/>
    <mergeCell ref="L26:M26"/>
    <mergeCell ref="V20:W20"/>
    <mergeCell ref="AU68:BR103"/>
    <mergeCell ref="T33:U33"/>
    <mergeCell ref="BJ18:BR18"/>
    <mergeCell ref="BO37:BR37"/>
    <mergeCell ref="BO28:BR34"/>
    <mergeCell ref="BK26:BN26"/>
    <mergeCell ref="BK25:BR25"/>
    <mergeCell ref="AU27:AZ27"/>
    <mergeCell ref="BX9:BY10"/>
    <mergeCell ref="AF36:AG36"/>
    <mergeCell ref="AP40:AQ40"/>
    <mergeCell ref="W129:Z129"/>
    <mergeCell ref="T42:U42"/>
    <mergeCell ref="AC117:AG117"/>
    <mergeCell ref="AA98:AJ98"/>
    <mergeCell ref="W105:Z105"/>
    <mergeCell ref="AF10:AH11"/>
    <mergeCell ref="AP45:AQ45"/>
    <mergeCell ref="B18:C18"/>
    <mergeCell ref="AA53:AB53"/>
    <mergeCell ref="F22:G22"/>
    <mergeCell ref="X43:Y43"/>
    <mergeCell ref="AR28:AS28"/>
    <mergeCell ref="F35:G35"/>
    <mergeCell ref="L48:M48"/>
    <mergeCell ref="J70:M74"/>
    <mergeCell ref="R134:U135"/>
    <mergeCell ref="AA10:AB10"/>
    <mergeCell ref="AD129:AK129"/>
    <mergeCell ref="AR106:AS106"/>
    <mergeCell ref="W96:AS96"/>
    <mergeCell ref="AI12:AJ12"/>
    <mergeCell ref="BL129:BR129"/>
    <mergeCell ref="B77:U77"/>
    <mergeCell ref="AP36:AQ36"/>
    <mergeCell ref="B26:C26"/>
    <mergeCell ref="B86:C86"/>
    <mergeCell ref="P47:Q47"/>
    <mergeCell ref="N78:U78"/>
    <mergeCell ref="D42:E42"/>
    <mergeCell ref="R36:S36"/>
    <mergeCell ref="AB29:AE29"/>
    <mergeCell ref="D20:E20"/>
    <mergeCell ref="AH34:AI34"/>
    <mergeCell ref="AF33:AG33"/>
    <mergeCell ref="AD33:AE33"/>
    <mergeCell ref="AA58:AB58"/>
    <mergeCell ref="AA102:AJ102"/>
    <mergeCell ref="AL21:AM21"/>
    <mergeCell ref="B85:C85"/>
    <mergeCell ref="V42:W42"/>
    <mergeCell ref="D83:E83"/>
    <mergeCell ref="H48:I48"/>
    <mergeCell ref="F70:I74"/>
    <mergeCell ref="J26:K26"/>
    <mergeCell ref="B55:F55"/>
    <mergeCell ref="AL20:AM20"/>
    <mergeCell ref="Z18:AA18"/>
    <mergeCell ref="G52:L52"/>
    <mergeCell ref="AG56:AI56"/>
    <mergeCell ref="AG55:AI55"/>
    <mergeCell ref="I61:K61"/>
    <mergeCell ref="U57:V57"/>
    <mergeCell ref="AR16:AS16"/>
    <mergeCell ref="N33:O33"/>
    <mergeCell ref="X39:Y39"/>
    <mergeCell ref="AK104:AQ104"/>
    <mergeCell ref="N84:U84"/>
    <mergeCell ref="AL44:AM44"/>
    <mergeCell ref="W8:X8"/>
    <mergeCell ref="B90:C90"/>
    <mergeCell ref="AF19:AG19"/>
    <mergeCell ref="D90:E90"/>
    <mergeCell ref="B110:I110"/>
    <mergeCell ref="H49:I49"/>
    <mergeCell ref="T20:U20"/>
    <mergeCell ref="AN40:AO40"/>
    <mergeCell ref="Z34:AA34"/>
    <mergeCell ref="AJ44:AK44"/>
    <mergeCell ref="N69:Q69"/>
    <mergeCell ref="W77:AS93"/>
    <mergeCell ref="AJ24:AK24"/>
    <mergeCell ref="D39:E39"/>
    <mergeCell ref="J19:K19"/>
    <mergeCell ref="X44:Y44"/>
    <mergeCell ref="P41:Q41"/>
    <mergeCell ref="AR105:AS105"/>
    <mergeCell ref="AK107:AQ107"/>
    <mergeCell ref="AR99:AS99"/>
    <mergeCell ref="AR73:AS74"/>
    <mergeCell ref="AP57:AQ58"/>
    <mergeCell ref="B40:C40"/>
    <mergeCell ref="X16:Y16"/>
    <mergeCell ref="N22:O22"/>
    <mergeCell ref="D29:E29"/>
    <mergeCell ref="R30:S30"/>
    <mergeCell ref="D26:E26"/>
    <mergeCell ref="F69:I69"/>
    <mergeCell ref="AI5:AJ5"/>
    <mergeCell ref="R70:U74"/>
    <mergeCell ref="J30:K30"/>
    <mergeCell ref="T22:U22"/>
    <mergeCell ref="X48:Y48"/>
    <mergeCell ref="T48:U48"/>
    <mergeCell ref="AJ18:AK18"/>
    <mergeCell ref="AJ16:AK16"/>
    <mergeCell ref="AI7:AJ7"/>
    <mergeCell ref="T28:U28"/>
    <mergeCell ref="AP37:AQ37"/>
    <mergeCell ref="F12:H12"/>
    <mergeCell ref="F89:M89"/>
    <mergeCell ref="AM51:AS51"/>
    <mergeCell ref="V26:W26"/>
    <mergeCell ref="AH118:AS118"/>
    <mergeCell ref="N120:O121"/>
    <mergeCell ref="AL129:AO129"/>
    <mergeCell ref="W119:X119"/>
    <mergeCell ref="F23:I23"/>
    <mergeCell ref="AJ49:AK49"/>
    <mergeCell ref="AP39:AQ39"/>
    <mergeCell ref="F34:G34"/>
    <mergeCell ref="B20:C20"/>
    <mergeCell ref="B43:C43"/>
    <mergeCell ref="B118:U118"/>
    <mergeCell ref="B125:C125"/>
    <mergeCell ref="AR42:AS42"/>
    <mergeCell ref="W67:Z68"/>
    <mergeCell ref="T32:U32"/>
    <mergeCell ref="S54:T54"/>
    <mergeCell ref="U56:V56"/>
    <mergeCell ref="AJ58:AK58"/>
    <mergeCell ref="AH124:AS124"/>
    <mergeCell ref="AD131:AK131"/>
    <mergeCell ref="J15:K15"/>
    <mergeCell ref="Z35:AA35"/>
    <mergeCell ref="AN21:AO21"/>
    <mergeCell ref="V36:W36"/>
    <mergeCell ref="T25:U25"/>
    <mergeCell ref="AJ27:AK27"/>
    <mergeCell ref="L39:M39"/>
    <mergeCell ref="S7:T8"/>
    <mergeCell ref="AL34:AM34"/>
    <mergeCell ref="AB42:AE42"/>
    <mergeCell ref="P24:Q24"/>
    <mergeCell ref="AE12:AF12"/>
    <mergeCell ref="J43:K43"/>
    <mergeCell ref="AL30:AM30"/>
    <mergeCell ref="B27:C27"/>
    <mergeCell ref="X20:Y20"/>
    <mergeCell ref="AP43:AQ43"/>
    <mergeCell ref="P21:Q21"/>
    <mergeCell ref="X18:Y18"/>
    <mergeCell ref="N40:O40"/>
    <mergeCell ref="AR36:AS36"/>
    <mergeCell ref="V22:W22"/>
    <mergeCell ref="AF15:AG15"/>
    <mergeCell ref="AN37:AO37"/>
    <mergeCell ref="N28:O28"/>
    <mergeCell ref="AJ45:AK45"/>
    <mergeCell ref="AR48:AS48"/>
    <mergeCell ref="M58:P58"/>
    <mergeCell ref="D41:E41"/>
    <mergeCell ref="N32:O32"/>
    <mergeCell ref="W54:Z54"/>
    <mergeCell ref="J8:K8"/>
    <mergeCell ref="K9:R9"/>
    <mergeCell ref="J4:L4"/>
    <mergeCell ref="D44:E44"/>
    <mergeCell ref="BG28:BJ28"/>
    <mergeCell ref="AH23:AI23"/>
    <mergeCell ref="AU44:BR61"/>
    <mergeCell ref="AP27:AQ27"/>
    <mergeCell ref="N42:O42"/>
    <mergeCell ref="D22:E22"/>
    <mergeCell ref="AP20:AQ20"/>
    <mergeCell ref="AL35:AM35"/>
    <mergeCell ref="AV38:BR42"/>
    <mergeCell ref="BO27:BR27"/>
    <mergeCell ref="T18:U18"/>
    <mergeCell ref="AL43:AM43"/>
    <mergeCell ref="AP28:AQ28"/>
    <mergeCell ref="P18:Q18"/>
    <mergeCell ref="I11:J11"/>
    <mergeCell ref="BK5:BR6"/>
    <mergeCell ref="AJ22:AK22"/>
    <mergeCell ref="X36:Y36"/>
    <mergeCell ref="D25:E25"/>
    <mergeCell ref="AN43:AO43"/>
    <mergeCell ref="AB33:AC33"/>
    <mergeCell ref="AB30:AE30"/>
    <mergeCell ref="J39:K39"/>
    <mergeCell ref="AF16:AG16"/>
    <mergeCell ref="AB28:AE28"/>
    <mergeCell ref="F47:G47"/>
    <mergeCell ref="R48:S48"/>
    <mergeCell ref="H47:I47"/>
    <mergeCell ref="J48:K48"/>
    <mergeCell ref="L45:M45"/>
    <mergeCell ref="AL18:AM18"/>
    <mergeCell ref="AL15:AM15"/>
    <mergeCell ref="L41:M41"/>
    <mergeCell ref="H37:I37"/>
    <mergeCell ref="AC55:AD55"/>
    <mergeCell ref="N87:U87"/>
    <mergeCell ref="F93:M93"/>
    <mergeCell ref="AN29:AO29"/>
    <mergeCell ref="B42:C42"/>
    <mergeCell ref="S61:U61"/>
    <mergeCell ref="N19:O19"/>
    <mergeCell ref="B69:E69"/>
    <mergeCell ref="F62:H62"/>
    <mergeCell ref="AU38:AU42"/>
    <mergeCell ref="V25:W25"/>
    <mergeCell ref="AU130:BR142"/>
    <mergeCell ref="BK143:BR143"/>
    <mergeCell ref="AU145:BR145"/>
    <mergeCell ref="W110:Z110"/>
    <mergeCell ref="AN25:AO25"/>
    <mergeCell ref="R11:S11"/>
    <mergeCell ref="AP38:AQ38"/>
    <mergeCell ref="P35:Q35"/>
    <mergeCell ref="AL133:AO133"/>
    <mergeCell ref="AR108:AS108"/>
    <mergeCell ref="W104:Z104"/>
    <mergeCell ref="B122:U123"/>
    <mergeCell ref="AC124:AG124"/>
    <mergeCell ref="W130:Z130"/>
    <mergeCell ref="AN26:AO26"/>
    <mergeCell ref="R47:S47"/>
    <mergeCell ref="D30:E30"/>
    <mergeCell ref="AL48:AM48"/>
    <mergeCell ref="V29:W29"/>
    <mergeCell ref="AF42:AG42"/>
    <mergeCell ref="L37:M37"/>
    <mergeCell ref="AN20:AO20"/>
    <mergeCell ref="AA101:AJ101"/>
    <mergeCell ref="V37:W37"/>
    <mergeCell ref="AC56:AD56"/>
    <mergeCell ref="AL49:AM49"/>
    <mergeCell ref="Q141:U143"/>
    <mergeCell ref="B57:F57"/>
    <mergeCell ref="AR30:AS30"/>
    <mergeCell ref="D15:E15"/>
    <mergeCell ref="N82:U82"/>
    <mergeCell ref="AN33:AO33"/>
    <mergeCell ref="B25:C25"/>
    <mergeCell ref="B106:I106"/>
    <mergeCell ref="Y114:AB114"/>
    <mergeCell ref="J36:K36"/>
    <mergeCell ref="Z21:AA21"/>
    <mergeCell ref="W109:Z109"/>
    <mergeCell ref="N47:O47"/>
    <mergeCell ref="B56:F56"/>
    <mergeCell ref="AH32:AI32"/>
    <mergeCell ref="AH113:AS113"/>
    <mergeCell ref="J17:K17"/>
    <mergeCell ref="T36:U36"/>
    <mergeCell ref="B49:C49"/>
    <mergeCell ref="AN32:AO32"/>
    <mergeCell ref="F21:G21"/>
    <mergeCell ref="AR60:AS60"/>
    <mergeCell ref="V31:W31"/>
    <mergeCell ref="R37:S37"/>
    <mergeCell ref="AR57:AS57"/>
    <mergeCell ref="AA67:AQ68"/>
    <mergeCell ref="AR97:AS97"/>
    <mergeCell ref="AU104:BR104"/>
    <mergeCell ref="L15:M15"/>
    <mergeCell ref="AF25:AG25"/>
    <mergeCell ref="L47:M47"/>
    <mergeCell ref="AL17:AM17"/>
    <mergeCell ref="AH19:AI19"/>
    <mergeCell ref="N45:O45"/>
    <mergeCell ref="J28:K28"/>
    <mergeCell ref="AN34:AO34"/>
    <mergeCell ref="X46:Y46"/>
    <mergeCell ref="AG54:AI54"/>
    <mergeCell ref="R23:S23"/>
    <mergeCell ref="AG53:AI53"/>
    <mergeCell ref="AB47:AC47"/>
    <mergeCell ref="AE56:AF56"/>
    <mergeCell ref="T24:U24"/>
    <mergeCell ref="AP26:AQ26"/>
    <mergeCell ref="W98:Z98"/>
    <mergeCell ref="BK24:BR24"/>
    <mergeCell ref="F38:G38"/>
    <mergeCell ref="D23:E23"/>
    <mergeCell ref="AR33:AS33"/>
    <mergeCell ref="AH25:AI25"/>
    <mergeCell ref="AN38:AO38"/>
    <mergeCell ref="V24:W24"/>
    <mergeCell ref="AN45:AO45"/>
    <mergeCell ref="R35:S35"/>
    <mergeCell ref="AN31:AO31"/>
    <mergeCell ref="AL42:AM42"/>
    <mergeCell ref="M6:Q6"/>
    <mergeCell ref="AN10:AO11"/>
    <mergeCell ref="J50:AS50"/>
    <mergeCell ref="AN30:AO30"/>
    <mergeCell ref="U54:V54"/>
    <mergeCell ref="D47:E47"/>
    <mergeCell ref="W56:Z56"/>
    <mergeCell ref="BF65:BK65"/>
    <mergeCell ref="B8:D8"/>
    <mergeCell ref="R49:S49"/>
    <mergeCell ref="AP25:AQ25"/>
    <mergeCell ref="B131:F133"/>
    <mergeCell ref="G56:L56"/>
    <mergeCell ref="W99:Z99"/>
    <mergeCell ref="B101:I101"/>
    <mergeCell ref="P120:Q121"/>
    <mergeCell ref="AL137:AO137"/>
    <mergeCell ref="W144:Z144"/>
    <mergeCell ref="AE3:AF4"/>
    <mergeCell ref="B87:C87"/>
    <mergeCell ref="AC8:AD8"/>
    <mergeCell ref="L63:U67"/>
    <mergeCell ref="H35:I35"/>
    <mergeCell ref="AG58:AI58"/>
    <mergeCell ref="T38:U38"/>
    <mergeCell ref="T47:U47"/>
    <mergeCell ref="D86:E86"/>
    <mergeCell ref="AF31:AG31"/>
    <mergeCell ref="N23:O23"/>
    <mergeCell ref="Y116:AB116"/>
    <mergeCell ref="Y121:AB121"/>
    <mergeCell ref="W115:X115"/>
    <mergeCell ref="AP142:AS142"/>
    <mergeCell ref="Y123:AB123"/>
    <mergeCell ref="B136:D136"/>
    <mergeCell ref="AD143:AK143"/>
    <mergeCell ref="AA107:AJ107"/>
    <mergeCell ref="AK100:AQ100"/>
    <mergeCell ref="N85:U85"/>
    <mergeCell ref="T41:U41"/>
    <mergeCell ref="BJ21:BR21"/>
    <mergeCell ref="BO36:BR36"/>
    <mergeCell ref="BC27:BF27"/>
    <mergeCell ref="X22:Y22"/>
    <mergeCell ref="AL28:AM28"/>
    <mergeCell ref="AP19:AQ19"/>
    <mergeCell ref="F36:G36"/>
    <mergeCell ref="Y7:Z8"/>
    <mergeCell ref="B1:BR1"/>
    <mergeCell ref="AU129:AY129"/>
    <mergeCell ref="B145:K145"/>
    <mergeCell ref="J102:U102"/>
    <mergeCell ref="D127:U128"/>
    <mergeCell ref="Q53:R53"/>
    <mergeCell ref="AH24:AI24"/>
    <mergeCell ref="AN39:AO39"/>
    <mergeCell ref="AB16:AE16"/>
    <mergeCell ref="AJ35:AK35"/>
    <mergeCell ref="T12:W12"/>
    <mergeCell ref="G54:L54"/>
    <mergeCell ref="Q58:R58"/>
    <mergeCell ref="AC2:AF2"/>
    <mergeCell ref="N30:O30"/>
    <mergeCell ref="T40:U40"/>
    <mergeCell ref="AC12:AD12"/>
    <mergeCell ref="T17:U17"/>
    <mergeCell ref="F79:M79"/>
    <mergeCell ref="D88:E88"/>
    <mergeCell ref="F91:M91"/>
    <mergeCell ref="BJ20:BR20"/>
    <mergeCell ref="X30:Y30"/>
    <mergeCell ref="AU43:BR43"/>
    <mergeCell ref="BJ19:BR19"/>
    <mergeCell ref="BK7:BR8"/>
    <mergeCell ref="N48:O48"/>
    <mergeCell ref="AA133:AC133"/>
    <mergeCell ref="AN48:AO48"/>
    <mergeCell ref="AF34:AG34"/>
    <mergeCell ref="W139:Z139"/>
    <mergeCell ref="D18:E18"/>
    <mergeCell ref="W58:Z58"/>
    <mergeCell ref="AH33:AI33"/>
    <mergeCell ref="N35:O35"/>
    <mergeCell ref="V17:W17"/>
    <mergeCell ref="V27:W27"/>
    <mergeCell ref="AU105:BR127"/>
    <mergeCell ref="AL131:AO131"/>
    <mergeCell ref="V28:W28"/>
    <mergeCell ref="X25:Y25"/>
    <mergeCell ref="W138:Z138"/>
    <mergeCell ref="AN22:AO22"/>
    <mergeCell ref="T44:U44"/>
    <mergeCell ref="Q57:R57"/>
    <mergeCell ref="N24:O24"/>
    <mergeCell ref="F20:G20"/>
    <mergeCell ref="AU128:BR128"/>
    <mergeCell ref="X26:Y26"/>
    <mergeCell ref="AU62:BR62"/>
    <mergeCell ref="AU67:BR67"/>
    <mergeCell ref="AL37:AM37"/>
    <mergeCell ref="AJ33:AK33"/>
    <mergeCell ref="AA55:AB55"/>
    <mergeCell ref="BK144:BR144"/>
    <mergeCell ref="AF18:AG18"/>
    <mergeCell ref="S139:U139"/>
    <mergeCell ref="AP130:AS130"/>
    <mergeCell ref="AL140:AO140"/>
    <mergeCell ref="AN18:AO18"/>
    <mergeCell ref="F113:I116"/>
    <mergeCell ref="B29:C29"/>
    <mergeCell ref="D33:E33"/>
    <mergeCell ref="P43:Q43"/>
    <mergeCell ref="W55:Z55"/>
    <mergeCell ref="AG7:AH8"/>
    <mergeCell ref="L29:M29"/>
    <mergeCell ref="X49:Y49"/>
    <mergeCell ref="AA99:AJ99"/>
    <mergeCell ref="J100:U100"/>
    <mergeCell ref="AA105:AJ105"/>
    <mergeCell ref="B109:I109"/>
    <mergeCell ref="B138:D138"/>
    <mergeCell ref="B130:U130"/>
    <mergeCell ref="AN28:AO28"/>
    <mergeCell ref="X19:Y19"/>
    <mergeCell ref="R132:U133"/>
    <mergeCell ref="AC120:AG120"/>
    <mergeCell ref="AL139:AO139"/>
    <mergeCell ref="W117:X117"/>
    <mergeCell ref="AL134:AO134"/>
    <mergeCell ref="D125:U125"/>
    <mergeCell ref="H139:L139"/>
    <mergeCell ref="AR110:AS110"/>
    <mergeCell ref="BC24:BJ24"/>
    <mergeCell ref="AB46:AE46"/>
    <mergeCell ref="AZ66:BE66"/>
    <mergeCell ref="D12:E12"/>
    <mergeCell ref="AL26:AM26"/>
    <mergeCell ref="R39:S39"/>
    <mergeCell ref="AG5:AH6"/>
    <mergeCell ref="D48:E48"/>
    <mergeCell ref="AH45:AI45"/>
    <mergeCell ref="AN12:AS12"/>
    <mergeCell ref="AL2:AS8"/>
    <mergeCell ref="R17:S17"/>
    <mergeCell ref="B75:E75"/>
    <mergeCell ref="F84:M84"/>
    <mergeCell ref="W95:AS95"/>
    <mergeCell ref="AA73:AQ74"/>
    <mergeCell ref="BA29:BB29"/>
    <mergeCell ref="W7:X7"/>
    <mergeCell ref="B17:C17"/>
    <mergeCell ref="AH17:AI17"/>
    <mergeCell ref="N79:U79"/>
    <mergeCell ref="D40:E40"/>
    <mergeCell ref="AJ17:AK17"/>
    <mergeCell ref="H36:I36"/>
    <mergeCell ref="E4:I4"/>
    <mergeCell ref="R69:U69"/>
    <mergeCell ref="AJ39:AK39"/>
    <mergeCell ref="BF64:BK64"/>
    <mergeCell ref="X38:Y38"/>
    <mergeCell ref="D81:E81"/>
    <mergeCell ref="AF23:AG23"/>
    <mergeCell ref="R16:S16"/>
    <mergeCell ref="Z28:AA28"/>
    <mergeCell ref="F29:I29"/>
    <mergeCell ref="J42:K42"/>
    <mergeCell ref="N17:O17"/>
    <mergeCell ref="AN36:AO36"/>
    <mergeCell ref="Z42:AA42"/>
    <mergeCell ref="X27:Y27"/>
    <mergeCell ref="AJ28:AK28"/>
    <mergeCell ref="AB34:AE34"/>
    <mergeCell ref="Z26:AA26"/>
    <mergeCell ref="AH47:AI47"/>
    <mergeCell ref="P36:Q36"/>
    <mergeCell ref="D82:E82"/>
    <mergeCell ref="F92:M92"/>
    <mergeCell ref="F86:M86"/>
    <mergeCell ref="J69:M69"/>
    <mergeCell ref="N86:U86"/>
    <mergeCell ref="W100:Z100"/>
    <mergeCell ref="AR100:AS100"/>
    <mergeCell ref="W6:X6"/>
    <mergeCell ref="M52:P52"/>
    <mergeCell ref="AA5:AB6"/>
    <mergeCell ref="AK99:AQ99"/>
    <mergeCell ref="AR109:AS109"/>
    <mergeCell ref="T9:AA9"/>
    <mergeCell ref="AH39:AI39"/>
    <mergeCell ref="N41:O41"/>
    <mergeCell ref="AJ32:AK32"/>
    <mergeCell ref="AI10:AJ10"/>
    <mergeCell ref="R21:S21"/>
    <mergeCell ref="B78:C78"/>
    <mergeCell ref="F18:I18"/>
    <mergeCell ref="F82:M82"/>
    <mergeCell ref="F90:M90"/>
    <mergeCell ref="B79:C79"/>
    <mergeCell ref="B100:I100"/>
    <mergeCell ref="F120:K121"/>
    <mergeCell ref="T37:U37"/>
    <mergeCell ref="AH126:AS126"/>
    <mergeCell ref="AD135:AK135"/>
    <mergeCell ref="AP131:AS131"/>
    <mergeCell ref="AB25:AE25"/>
    <mergeCell ref="AH123:AS123"/>
    <mergeCell ref="AH119:AS119"/>
    <mergeCell ref="AR101:AS101"/>
    <mergeCell ref="AR103:AS103"/>
    <mergeCell ref="AP141:AS141"/>
    <mergeCell ref="AP136:AS136"/>
    <mergeCell ref="AR58:AS58"/>
    <mergeCell ref="F41:G41"/>
    <mergeCell ref="S62:U62"/>
    <mergeCell ref="AK98:AQ98"/>
    <mergeCell ref="AK103:AQ103"/>
    <mergeCell ref="W101:Z101"/>
    <mergeCell ref="BF66:BK66"/>
    <mergeCell ref="X12:AB12"/>
    <mergeCell ref="L31:M31"/>
    <mergeCell ref="P15:Q15"/>
    <mergeCell ref="W60:AQ60"/>
    <mergeCell ref="AL9:AS9"/>
    <mergeCell ref="B70:E74"/>
    <mergeCell ref="BA28:BB28"/>
    <mergeCell ref="AU32:AZ32"/>
    <mergeCell ref="K10:M11"/>
    <mergeCell ref="U3:V4"/>
    <mergeCell ref="B13:AS13"/>
    <mergeCell ref="AP10:AS10"/>
    <mergeCell ref="BC3:BJ4"/>
    <mergeCell ref="B58:F58"/>
    <mergeCell ref="V45:W45"/>
    <mergeCell ref="AE55:AF55"/>
    <mergeCell ref="AA52:AB52"/>
    <mergeCell ref="S53:T53"/>
    <mergeCell ref="R45:S45"/>
    <mergeCell ref="AU26:AZ26"/>
    <mergeCell ref="W63:Z64"/>
    <mergeCell ref="AR31:AS31"/>
    <mergeCell ref="AU25:AZ25"/>
    <mergeCell ref="BG27:BJ27"/>
    <mergeCell ref="AJ55:AK55"/>
    <mergeCell ref="J25:K25"/>
    <mergeCell ref="AJ21:AK21"/>
    <mergeCell ref="L23:M23"/>
    <mergeCell ref="L34:M34"/>
    <mergeCell ref="N12:O12"/>
    <mergeCell ref="J22:K22"/>
    <mergeCell ref="AL45:AM45"/>
    <mergeCell ref="AA57:AB57"/>
    <mergeCell ref="R18:S18"/>
    <mergeCell ref="AL25:AM25"/>
    <mergeCell ref="AP17:AQ17"/>
    <mergeCell ref="AC57:AD57"/>
    <mergeCell ref="R33:S33"/>
    <mergeCell ref="T43:U43"/>
    <mergeCell ref="T49:U49"/>
    <mergeCell ref="Z40:AA40"/>
    <mergeCell ref="S5:T6"/>
    <mergeCell ref="S2:U2"/>
    <mergeCell ref="J5:L5"/>
    <mergeCell ref="R10:S10"/>
    <mergeCell ref="AJ38:AK38"/>
    <mergeCell ref="Q54:R54"/>
    <mergeCell ref="L49:M49"/>
    <mergeCell ref="AF35:AG35"/>
    <mergeCell ref="AB22:AE22"/>
    <mergeCell ref="B36:C36"/>
    <mergeCell ref="AA56:AB56"/>
    <mergeCell ref="AM55:AO56"/>
    <mergeCell ref="Z38:AA38"/>
    <mergeCell ref="AR19:AS19"/>
    <mergeCell ref="V47:W47"/>
    <mergeCell ref="B76:I76"/>
    <mergeCell ref="J16:K16"/>
    <mergeCell ref="AI3:AJ3"/>
    <mergeCell ref="P29:Q29"/>
    <mergeCell ref="AA54:AB54"/>
    <mergeCell ref="F9:I9"/>
    <mergeCell ref="AJ46:AK46"/>
    <mergeCell ref="X21:Y21"/>
    <mergeCell ref="AN42:AO42"/>
    <mergeCell ref="AK12:AM12"/>
    <mergeCell ref="AJ26:AK26"/>
    <mergeCell ref="AL40:AM40"/>
    <mergeCell ref="AH20:AI20"/>
    <mergeCell ref="J6:L6"/>
    <mergeCell ref="G53:L53"/>
    <mergeCell ref="B31:C31"/>
    <mergeCell ref="L40:M40"/>
    <mergeCell ref="N21:O21"/>
    <mergeCell ref="R42:S42"/>
    <mergeCell ref="B9:E9"/>
    <mergeCell ref="N44:O44"/>
    <mergeCell ref="B60:U60"/>
    <mergeCell ref="AJ25:AK25"/>
    <mergeCell ref="AR47:AS47"/>
    <mergeCell ref="AH120:AS120"/>
    <mergeCell ref="AA141:AC141"/>
    <mergeCell ref="AP144:AS144"/>
    <mergeCell ref="W134:Z134"/>
    <mergeCell ref="B47:C47"/>
    <mergeCell ref="AL31:AM31"/>
    <mergeCell ref="B19:C19"/>
    <mergeCell ref="AK10:AM11"/>
    <mergeCell ref="W122:X122"/>
    <mergeCell ref="AP138:AS138"/>
    <mergeCell ref="AL144:AO144"/>
    <mergeCell ref="AL24:AM24"/>
    <mergeCell ref="Z47:AA47"/>
    <mergeCell ref="F33:I33"/>
    <mergeCell ref="O61:R61"/>
    <mergeCell ref="F81:M81"/>
    <mergeCell ref="J33:K33"/>
    <mergeCell ref="AB23:AE23"/>
    <mergeCell ref="AJ29:AK29"/>
    <mergeCell ref="R41:S41"/>
    <mergeCell ref="R34:S34"/>
    <mergeCell ref="B105:I105"/>
    <mergeCell ref="B144:U144"/>
    <mergeCell ref="AB19:AE19"/>
    <mergeCell ref="L33:M33"/>
    <mergeCell ref="F30:I30"/>
    <mergeCell ref="AJ36:AK36"/>
    <mergeCell ref="R32:S32"/>
    <mergeCell ref="N20:O20"/>
    <mergeCell ref="Q140:U140"/>
    <mergeCell ref="AA144:AC144"/>
    <mergeCell ref="AP133:AS133"/>
    <mergeCell ref="AD132:AK132"/>
    <mergeCell ref="AP139:AS139"/>
    <mergeCell ref="AA134:AC134"/>
    <mergeCell ref="B37:C37"/>
    <mergeCell ref="AI11:AJ11"/>
    <mergeCell ref="W5:X5"/>
    <mergeCell ref="I10:J10"/>
    <mergeCell ref="AR22:AS22"/>
    <mergeCell ref="BK36:BN36"/>
    <mergeCell ref="J107:U107"/>
    <mergeCell ref="J20:K20"/>
    <mergeCell ref="B81:C81"/>
    <mergeCell ref="AB48:AE48"/>
    <mergeCell ref="AJ54:AK54"/>
    <mergeCell ref="AA2:AB2"/>
    <mergeCell ref="R27:S27"/>
    <mergeCell ref="W65:Z66"/>
    <mergeCell ref="AR67:AS68"/>
    <mergeCell ref="AU3:BB4"/>
    <mergeCell ref="AH31:AI31"/>
    <mergeCell ref="O62:R62"/>
    <mergeCell ref="R20:S20"/>
    <mergeCell ref="P30:Q30"/>
    <mergeCell ref="T27:U27"/>
    <mergeCell ref="P33:Q33"/>
    <mergeCell ref="AJ42:AK42"/>
    <mergeCell ref="F16:I16"/>
    <mergeCell ref="B24:C24"/>
    <mergeCell ref="AI4:AJ4"/>
    <mergeCell ref="I12:J12"/>
    <mergeCell ref="AR24:AS24"/>
    <mergeCell ref="N37:O37"/>
    <mergeCell ref="AR45:AS45"/>
    <mergeCell ref="R26:S26"/>
    <mergeCell ref="AF32:AG32"/>
    <mergeCell ref="F61:H61"/>
    <mergeCell ref="R15:W15"/>
    <mergeCell ref="AE58:AF58"/>
    <mergeCell ref="AI8:AJ8"/>
    <mergeCell ref="J32:K32"/>
    <mergeCell ref="AF41:AG41"/>
    <mergeCell ref="AL36:AM36"/>
    <mergeCell ref="AN44:AO44"/>
    <mergeCell ref="AD47:AE47"/>
    <mergeCell ref="V49:W49"/>
    <mergeCell ref="D31:E31"/>
    <mergeCell ref="AL22:AM22"/>
    <mergeCell ref="P12:Q12"/>
    <mergeCell ref="AF44:AG44"/>
    <mergeCell ref="B52:F52"/>
    <mergeCell ref="AN15:AS15"/>
    <mergeCell ref="B32:C32"/>
    <mergeCell ref="Z41:AA41"/>
    <mergeCell ref="R131:U131"/>
    <mergeCell ref="X32:Y32"/>
    <mergeCell ref="AP132:AS132"/>
    <mergeCell ref="AD137:AK137"/>
    <mergeCell ref="L145:U145"/>
    <mergeCell ref="O147:Y148"/>
    <mergeCell ref="AD144:AK144"/>
    <mergeCell ref="P10:Q11"/>
    <mergeCell ref="AL47:AM47"/>
    <mergeCell ref="AR17:AS17"/>
    <mergeCell ref="D85:E85"/>
    <mergeCell ref="J18:K18"/>
    <mergeCell ref="E5:I5"/>
    <mergeCell ref="L44:M44"/>
    <mergeCell ref="I62:K62"/>
    <mergeCell ref="E7:I7"/>
    <mergeCell ref="N92:U92"/>
    <mergeCell ref="T45:U45"/>
    <mergeCell ref="AP18:AQ18"/>
    <mergeCell ref="AG57:AI57"/>
    <mergeCell ref="AZ65:BE65"/>
    <mergeCell ref="B54:F54"/>
    <mergeCell ref="X28:Y28"/>
    <mergeCell ref="D16:E16"/>
    <mergeCell ref="B22:C22"/>
    <mergeCell ref="F32:I32"/>
    <mergeCell ref="T10:V11"/>
    <mergeCell ref="BA21:BI21"/>
    <mergeCell ref="R38:S38"/>
    <mergeCell ref="AI6:AJ6"/>
    <mergeCell ref="F26:I26"/>
    <mergeCell ref="AR23:AS23"/>
    <mergeCell ref="V30:W30"/>
    <mergeCell ref="N29:O29"/>
    <mergeCell ref="D21:E21"/>
    <mergeCell ref="N80:U80"/>
    <mergeCell ref="W71:Z72"/>
    <mergeCell ref="F80:M80"/>
    <mergeCell ref="N75:Q75"/>
    <mergeCell ref="V44:W44"/>
    <mergeCell ref="W107:Z107"/>
    <mergeCell ref="B111:I111"/>
    <mergeCell ref="U5:V6"/>
    <mergeCell ref="AJ48:AK48"/>
    <mergeCell ref="AP29:AQ29"/>
    <mergeCell ref="P40:Q40"/>
    <mergeCell ref="AF20:AG20"/>
    <mergeCell ref="AU33:AZ33"/>
    <mergeCell ref="AU19:AZ21"/>
    <mergeCell ref="AU63:AY63"/>
    <mergeCell ref="B2:Q2"/>
    <mergeCell ref="Z37:AA37"/>
    <mergeCell ref="J47:K47"/>
    <mergeCell ref="AA7:AB8"/>
    <mergeCell ref="AU30:AZ30"/>
    <mergeCell ref="AU5:BB6"/>
    <mergeCell ref="B7:D7"/>
    <mergeCell ref="P20:Q20"/>
    <mergeCell ref="AU64:AY66"/>
    <mergeCell ref="AU35:BB35"/>
    <mergeCell ref="BL66:BR66"/>
    <mergeCell ref="AG3:AH4"/>
    <mergeCell ref="AU29:AZ29"/>
    <mergeCell ref="X33:Y33"/>
    <mergeCell ref="BK3:BR4"/>
    <mergeCell ref="J34:K34"/>
    <mergeCell ref="AU18:AZ18"/>
    <mergeCell ref="BA31:BB31"/>
    <mergeCell ref="N36:O36"/>
    <mergeCell ref="F28:I28"/>
    <mergeCell ref="BC29:BJ29"/>
    <mergeCell ref="AU34:AZ34"/>
    <mergeCell ref="R22:S22"/>
    <mergeCell ref="AL16:AM16"/>
    <mergeCell ref="BJ22:BR22"/>
    <mergeCell ref="AR35:AS35"/>
    <mergeCell ref="BA26:BB26"/>
    <mergeCell ref="AU36:BB36"/>
    <mergeCell ref="BA27:BB27"/>
    <mergeCell ref="AU37:BB37"/>
    <mergeCell ref="AF27:AG27"/>
    <mergeCell ref="R46:S46"/>
    <mergeCell ref="D43:E43"/>
    <mergeCell ref="T16:U16"/>
    <mergeCell ref="AU22:AZ22"/>
    <mergeCell ref="T31:U31"/>
    <mergeCell ref="Z24:AA24"/>
    <mergeCell ref="AH26:AI26"/>
    <mergeCell ref="AF17:AG17"/>
    <mergeCell ref="AH27:AI27"/>
    <mergeCell ref="BL64:BR64"/>
    <mergeCell ref="R28:S28"/>
    <mergeCell ref="AD140:AK140"/>
    <mergeCell ref="Y126:AB126"/>
    <mergeCell ref="T119:U119"/>
    <mergeCell ref="Y117:AB117"/>
    <mergeCell ref="W135:Z135"/>
    <mergeCell ref="AL135:AO135"/>
    <mergeCell ref="B53:F53"/>
    <mergeCell ref="AC7:AD7"/>
    <mergeCell ref="AP47:AQ47"/>
    <mergeCell ref="G57:L57"/>
    <mergeCell ref="Z16:AA16"/>
    <mergeCell ref="AL41:AM41"/>
    <mergeCell ref="B34:C34"/>
    <mergeCell ref="AA69:AQ70"/>
    <mergeCell ref="Q139:R139"/>
    <mergeCell ref="AB38:AE38"/>
    <mergeCell ref="H39:I39"/>
    <mergeCell ref="N25:O25"/>
    <mergeCell ref="M57:P57"/>
    <mergeCell ref="AL29:AM29"/>
    <mergeCell ref="L19:M19"/>
    <mergeCell ref="H38:I38"/>
    <mergeCell ref="L8:M8"/>
    <mergeCell ref="W75:Z76"/>
    <mergeCell ref="F119:K119"/>
    <mergeCell ref="T19:U19"/>
    <mergeCell ref="AA103:AJ103"/>
    <mergeCell ref="AB18:AE18"/>
    <mergeCell ref="AA104:AJ104"/>
    <mergeCell ref="F24:I24"/>
    <mergeCell ref="P37:Q37"/>
    <mergeCell ref="W69:Z70"/>
    <mergeCell ref="L38:M38"/>
    <mergeCell ref="AB26:AE26"/>
    <mergeCell ref="R43:S43"/>
    <mergeCell ref="P26:Q26"/>
    <mergeCell ref="X42:Y42"/>
    <mergeCell ref="V43:W43"/>
    <mergeCell ref="AA140:AC140"/>
    <mergeCell ref="AK109:AQ109"/>
    <mergeCell ref="AP135:AS135"/>
    <mergeCell ref="H34:I34"/>
    <mergeCell ref="AK108:AQ108"/>
    <mergeCell ref="AB20:AE20"/>
    <mergeCell ref="AR104:AS104"/>
    <mergeCell ref="L27:M27"/>
    <mergeCell ref="AK102:AQ102"/>
    <mergeCell ref="L35:M35"/>
    <mergeCell ref="AG52:AI52"/>
    <mergeCell ref="P49:Q49"/>
    <mergeCell ref="L42:M42"/>
    <mergeCell ref="AF30:AG30"/>
    <mergeCell ref="E10:F11"/>
    <mergeCell ref="J29:K29"/>
    <mergeCell ref="AB32:AC32"/>
    <mergeCell ref="R19:S19"/>
    <mergeCell ref="AA61:AQ62"/>
    <mergeCell ref="X35:Y35"/>
    <mergeCell ref="R25:S25"/>
    <mergeCell ref="U58:V58"/>
    <mergeCell ref="W57:Z57"/>
    <mergeCell ref="X45:Y45"/>
    <mergeCell ref="R120:S121"/>
    <mergeCell ref="M139:P139"/>
    <mergeCell ref="D37:E37"/>
    <mergeCell ref="P19:Q19"/>
    <mergeCell ref="X47:Y47"/>
    <mergeCell ref="AJ30:AK30"/>
    <mergeCell ref="B44:C44"/>
    <mergeCell ref="AC3:AD3"/>
    <mergeCell ref="P42:Q42"/>
    <mergeCell ref="L30:M30"/>
    <mergeCell ref="AP49:AQ49"/>
    <mergeCell ref="AP32:AQ32"/>
    <mergeCell ref="W120:X120"/>
    <mergeCell ref="N16:O16"/>
    <mergeCell ref="AC123:AG123"/>
    <mergeCell ref="L120:M121"/>
    <mergeCell ref="AP42:AQ42"/>
    <mergeCell ref="F27:I27"/>
    <mergeCell ref="AF21:AG21"/>
    <mergeCell ref="R24:S24"/>
    <mergeCell ref="AD31:AE31"/>
    <mergeCell ref="V39:W39"/>
    <mergeCell ref="P27:Q27"/>
    <mergeCell ref="J110:U110"/>
    <mergeCell ref="F44:I44"/>
    <mergeCell ref="Z27:AA27"/>
    <mergeCell ref="AH40:AI40"/>
    <mergeCell ref="P17:Q17"/>
    <mergeCell ref="Q52:V52"/>
    <mergeCell ref="B83:C83"/>
    <mergeCell ref="B129:K129"/>
    <mergeCell ref="AE53:AF53"/>
    <mergeCell ref="Z17:AA17"/>
    <mergeCell ref="P45:Q45"/>
    <mergeCell ref="AJ31:AK31"/>
    <mergeCell ref="AR40:AS40"/>
    <mergeCell ref="N18:O18"/>
    <mergeCell ref="AU17:AZ17"/>
    <mergeCell ref="L129:U129"/>
    <mergeCell ref="Z44:AA44"/>
    <mergeCell ref="AC116:AG116"/>
    <mergeCell ref="AL130:AO130"/>
    <mergeCell ref="B119:E121"/>
    <mergeCell ref="AH28:AI28"/>
    <mergeCell ref="Y120:AB120"/>
    <mergeCell ref="Q56:R56"/>
    <mergeCell ref="AA129:AC129"/>
    <mergeCell ref="AH125:AS125"/>
    <mergeCell ref="AZ129:BF129"/>
  </mergeCells>
  <conditionalFormatting sqref="Z47">
    <cfRule type="cellIs" operator="equal" priority="13" dxfId="0">
      <formula>"★"</formula>
    </cfRule>
    <cfRule type="cellIs" operator="equal" priority="9" dxfId="1">
      <formula>"×"</formula>
    </cfRule>
    <cfRule type="cellIs" operator="equal" priority="10" dxfId="2">
      <formula>"※"</formula>
    </cfRule>
    <cfRule type="cellIs" operator="equal" priority="11" dxfId="3">
      <formula>"⊙"</formula>
    </cfRule>
    <cfRule type="cellIs" operator="equal" priority="12" dxfId="4">
      <formula>"☆"</formula>
    </cfRule>
  </conditionalFormatting>
  <conditionalFormatting sqref="Z16:Z46">
    <cfRule type="cellIs" operator="equal" priority="17" dxfId="5">
      <formula>"☆"</formula>
    </cfRule>
    <cfRule type="cellIs" operator="equal" priority="18" dxfId="6">
      <formula>"★"</formula>
    </cfRule>
    <cfRule type="cellIs" operator="equal" priority="16" dxfId="7">
      <formula>"⊙"</formula>
    </cfRule>
    <cfRule type="cellIs" operator="equal" priority="14" dxfId="8">
      <formula>"×"</formula>
    </cfRule>
    <cfRule type="cellIs" operator="equal" priority="15" dxfId="9">
      <formula>"※"</formula>
    </cfRule>
  </conditionalFormatting>
  <conditionalFormatting sqref="D37">
    <cfRule type="cellIs" operator="equal" priority="23" dxfId="10">
      <formula>"★"</formula>
    </cfRule>
    <cfRule type="cellIs" operator="equal" priority="20" dxfId="11">
      <formula>"※"</formula>
    </cfRule>
    <cfRule type="cellIs" operator="equal" priority="21" dxfId="12">
      <formula>"⊙"</formula>
    </cfRule>
    <cfRule type="cellIs" operator="equal" priority="19" dxfId="13">
      <formula>"×"</formula>
    </cfRule>
    <cfRule type="cellIs" operator="equal" priority="22" dxfId="14">
      <formula>"☆"</formula>
    </cfRule>
  </conditionalFormatting>
  <conditionalFormatting sqref="Z48">
    <cfRule type="cellIs" operator="equal" priority="8" dxfId="15">
      <formula>"★"</formula>
    </cfRule>
    <cfRule type="cellIs" operator="equal" priority="7" dxfId="16">
      <formula>"☆"</formula>
    </cfRule>
    <cfRule type="cellIs" operator="equal" priority="4" dxfId="17">
      <formula>"×"</formula>
    </cfRule>
    <cfRule type="cellIs" operator="equal" priority="6" dxfId="18">
      <formula>"⊙"</formula>
    </cfRule>
    <cfRule type="cellIs" operator="equal" priority="5" dxfId="19">
      <formula>"※"</formula>
    </cfRule>
  </conditionalFormatting>
  <conditionalFormatting sqref="D41">
    <cfRule type="cellIs" operator="equal" priority="28" dxfId="20">
      <formula>"★"</formula>
    </cfRule>
    <cfRule type="cellIs" operator="equal" priority="25" dxfId="21">
      <formula>"※"</formula>
    </cfRule>
    <cfRule type="cellIs" operator="equal" priority="24" dxfId="22">
      <formula>"×"</formula>
    </cfRule>
    <cfRule type="cellIs" operator="equal" priority="26" dxfId="23">
      <formula>"⊙"</formula>
    </cfRule>
    <cfRule type="cellIs" operator="equal" priority="27" dxfId="24">
      <formula>"☆"</formula>
    </cfRule>
  </conditionalFormatting>
  <conditionalFormatting sqref="D38:D40 D42:D49 D16:D36">
    <cfRule type="cellIs" operator="equal" priority="33" dxfId="25">
      <formula>"★"</formula>
    </cfRule>
    <cfRule type="cellIs" operator="equal" priority="32" dxfId="26">
      <formula>"☆"</formula>
    </cfRule>
    <cfRule type="cellIs" operator="equal" priority="30" dxfId="27">
      <formula>"※"</formula>
    </cfRule>
    <cfRule type="cellIs" operator="equal" priority="31" dxfId="28">
      <formula>"⊙"</formula>
    </cfRule>
    <cfRule type="cellIs" operator="equal" priority="29" dxfId="29">
      <formula>"×"</formula>
    </cfRule>
  </conditionalFormatting>
  <conditionalFormatting sqref="Z49">
    <cfRule type="cellIs" operator="equal" priority="62" dxfId="30">
      <formula>"☆"</formula>
    </cfRule>
    <cfRule type="cellIs" operator="equal" priority="61" dxfId="31">
      <formula>"⊙"</formula>
    </cfRule>
    <cfRule type="cellIs" operator="equal" priority="59" dxfId="32">
      <formula>"×"</formula>
    </cfRule>
    <cfRule type="cellIs" operator="equal" priority="60" dxfId="33">
      <formula>"※"</formula>
    </cfRule>
    <cfRule type="cellIs" operator="equal" priority="63" dxfId="34">
      <formula>"★"</formula>
    </cfRule>
  </conditionalFormatting>
  <conditionalFormatting sqref="AU22">
    <cfRule type="cellIs" operator="greaterThan" priority="3" dxfId="35">
      <formula>0</formula>
    </cfRule>
    <cfRule type="cellIs" operator="equal" priority="1" dxfId="36">
      <formula>"无"</formula>
    </cfRule>
    <cfRule type="cellIs" operator="equal" priority="2" dxfId="37">
      <formula>"过多！"</formula>
    </cfRule>
  </conditionalFormatting>
  <dataValidations count="135">
    <dataValidation allowBlank="1" type="list" errorStyle="stop" showInputMessage="1" showErrorMessage="1" sqref="CH8">
      <formula1>"未启用,启用"</formula1>
    </dataValidation>
    <dataValidation allowBlank="1" type="any" operator="between" errorStyle="stop" showInputMessage="1" showErrorMessage="1" sqref="BQ117:BR117"/>
    <dataValidation allowBlank="1" type="whole" operator="between" errorStyle="stop" showInputMessage="1" showErrorMessage="1" sqref="BL129:BR129">
      <formula1>1890</formula1>
      <formula2>2023</formula2>
    </dataValidation>
    <dataValidation allowBlank="1" type="whole" operator="between" errorStyle="stop" showInputMessage="1" showErrorMessage="1" sqref="AG7:AH8">
      <formula1>0</formula1>
      <formula2>100</formula2>
    </dataValidation>
    <dataValidation allowBlank="1" type="list" errorStyle="stop" showInputMessage="1" sqref="H39:I40">
      <formula1>"步枪/霰弹枪,冲锋枪,弓术,喷射器,机枪,重武器,"</formula1>
    </dataValidation>
    <dataValidation allowBlank="1" type="any" operator="between" errorStyle="stop" showInputMessage="1" promptTitle="Credit Rating (00%)" prompt="- 衡量了调查员表现出来的富裕程度以及经济上的 自信度。 - 钱是敲门砖；如果调查员尝试用他的经济地位来达成某个目标，那么也许使用信用评级技能会比较合适。 - 信用评级可以被用来取代 APP 来评估第一印 象。 - 信用评级并不是一个被用于评估经济富裕度的技能，也不应该与其他技能挂钩。一个高信用评级在游戏中将会是一个有用的资源，并且应当在创造调查员时加上一定的点数。" showErrorMessage="1" sqref="F26:H26"/>
    <dataValidation allowBlank="1" type="list" errorStyle="stop" showInputMessage="1" showErrorMessage="1" sqref="AR65:AR67">
      <formula1>"☐,☑"</formula1>
    </dataValidation>
    <dataValidation allowBlank="1" type="any" operator="between" errorStyle="stop" showInputMessage="1" promptTitle="编号" prompt="编号用于属性栏内的“使用过的魔法”。" showErrorMessage="1" sqref="W113"/>
    <dataValidation allowBlank="1" type="whole" operator="between" errorStyle="stop" showInputMessage="1" showErrorMessage="1" sqref="AA3:AB4">
      <formula1>0</formula1>
      <formula2>100</formula2>
    </dataValidation>
    <dataValidation allowBlank="1" type="any" operator="between" errorStyle="stop" showInputMessage="1" promptTitle="Operate Heavy Machinery (01%)" prompt="- 当驾驶以及操纵一辆坦克，反铲挖土机，蒸汽挖土机或者其他巨型建造机械时需要这个技能。 - 对于种类非常不同的机械，KP 可以决定提高难度等级，如果遇到的问题是极大程度上不熟悉的；例如，过去常常开推土机的某人，不会立刻能够掌握对船的引擎舱中的蒸汽涡轮机的使用。" showErrorMessage="1" sqref="AB25:AC25"/>
    <dataValidation allowBlank="1" type="any" operator="between" errorStyle="stop" showInputMessage="1" showErrorMessage="1" sqref="T140:U140"/>
    <dataValidation allowBlank="1" type="any" operator="between" errorStyle="stop" showInputMessage="1" promptTitle="Ride (05%)" prompt="- 这项技能被用于给坐在鞍上驾驭马，驴子或者骡子，以及获得对这些骑乘动物、骑乘工具的基础照料知识，以及如何在疾驰中或困难地形上操纵坐骑。 - 当坐骑出乎意外地抬起身子或失足时，骑手保持自己在坐骑上不摔落的几率等同于他的骑术技能。 偏坐在马鞍上进行骑乘将会提高一个等级的难度等级。 - 对于不熟悉的坐骑（例如骆驼）也可以成功地骑乘，但是可能会需要更高的难度等级。" showErrorMessage="1" sqref="AB30:AC30"/>
    <dataValidation allowBlank="1" type="list" errorStyle="stop" showInputMessage="1" showErrorMessage="1" sqref="S139">
      <formula1>"1,2,3,4,5,6,7,8,9,10"</formula1>
    </dataValidation>
    <dataValidation allowBlank="1" type="any" operator="between" errorStyle="stop" showInputMessage="1" showErrorMessage="1" sqref="AU122:AW122"/>
    <dataValidation allowBlank="1" type="any" operator="between" errorStyle="stop" showInputMessage="1" promptTitle="Psychoanalysis (01%)" prompt="这技能指广泛的情感上的治疗。精神分析可以恢复一名调查员的理智。单独的精神分析并不能加速不定时疯狂的恢复，但允许一名角色处理他人短期内的恐惧症状。心理治疗专家的治疗可以在不定式疯狂期间内回复理智。" showErrorMessage="1" sqref="AB28"/>
    <dataValidation allowBlank="1" type="list" errorStyle="stop" showInputMessage="1" showErrorMessage="1" sqref="E8">
      <formula1>"公元,公元前"</formula1>
    </dataValidation>
    <dataValidation allowBlank="1" type="list" errorStyle="stop" showInputMessage="1" sqref="AD33:AE33">
      <formula1>"地质学,化学,生物学,数学,天文学,物理学,药学,植物学,动物学,密码学,工程学,气象学,司法科学,"</formula1>
    </dataValidation>
    <dataValidation allowBlank="1" type="list" errorStyle="stop" showInputMessage="1" sqref="H35:I36">
      <formula1>"鞭子,电锯,链枷,绞具,斧,剑,矛,"</formula1>
    </dataValidation>
    <dataValidation allowBlank="1" type="any" operator="between" errorStyle="stop" showInputMessage="1" promptTitle="Firearms (不定) [无法孤注一骰]" prompt="- 包括了各种形式的火器，也包括了弓箭和弩。 - 你可以花费技能点数来获得任何专业化技能。 - 作为属类的“射击”技能不能被获得。选择与你调查员的职业与时代历史相契合的专业化技能。" showErrorMessage="1" sqref="F38:F41"/>
    <dataValidation allowBlank="1" type="any" operator="between" errorStyle="stop" showInputMessage="1" showErrorMessage="1" sqref="B90:B93"/>
    <dataValidation allowBlank="1" type="any" operator="between" errorStyle="stop" showInputMessage="1" promptTitle="提示" prompt="你可以在下方“法术一览”内输入法术并且在这里输入成功使用过的法术的编号" showErrorMessage="1" sqref="X12"/>
    <dataValidation allowBlank="1" type="any" operator="between" errorStyle="stop" showInputMessage="1" promptTitle="Spot Hidden (25%)" prompt="- 这项技能允许使用者发现密门或者秘密隔间，注意到隐藏的闯入者，发现并不明显的线索，发现重新涂过漆的汽车，意识到埋伏，注意到鼓出的口袋，或者任何类似的事情。 - 对于调查员来说，这是一个重要的技能。" showErrorMessage="1" sqref="AB35:AC35"/>
    <dataValidation allowBlank="1" type="list" errorStyle="stop" showInputMessage="1" showErrorMessage="1" sqref="U139">
      <formula1>"1,2,3,4,5,6,7,8,9,10"</formula1>
    </dataValidation>
    <dataValidation allowBlank="1" type="any" operator="between" errorStyle="stop" showInputMessage="1" promptTitle="Medicine (01%)" prompt="- 使用者可以诊断并治疗事故，创伤，疾病，毒药 等，并且可以提供公共健康建议。 - 如果一个时代还并没有好的治疗某种疾病的疗法，那么这项技能的效果是有限的，不确定的，或者无效的。 - 医学技能能给予大范围的对于药片以及药剂，是自然还是人造的知识，以及对副作用以及禁忌症状的理解。 - 用医学技能来进行治疗最少要花费 1 小时时间，并且可以在造成了伤害后的任何时间进行处理，但是如果这并没有在同一天内进行处理，难度等级将会上升（需要一个困难难度的成功）。" showErrorMessage="1" sqref="AB21:AC21"/>
    <dataValidation allowBlank="1" type="any" operator="between" errorStyle="stop" showInputMessage="1" showErrorMessage="1" sqref="Q140"/>
    <dataValidation allowBlank="1" type="any" operator="between" errorStyle="stop" showInputMessage="1" promptTitle="Jump (20%)" prompt="- 如果成功，调查员可以在垂直方向上跳起或跳下，或者从一个站立点或起步点水平向外跳。 - 为了分辨哪些算在正常跳跃，困难跳跃以及极难跳跃，必须对判断进行训练。 - 作为指导，当调查员想要安全地从垂直等同于其自身高度的地方跳下来时，需要一个常规难度的成功，或者水平地从其站立点跳过长度等同于他自身高度的坑，或者助跑后跳过两倍于其自身高度的距离。 - 如果要达成两倍距离的跳跃，则需要一个极难难度的成功，牢记，最长跳跃的世界纪录为大约 8.95米。 - 如果从高处摔落下来，一个成功的跳跃检定可以使对坠落有所准备，" showErrorMessage="1" sqref="F45:H45"/>
    <dataValidation allowBlank="1" type="any" operator="between" errorStyle="stop" showInputMessage="1" showErrorMessage="1" sqref="BK25"/>
    <dataValidation allowBlank="1" type="any" operator="between" errorStyle="stop" showInputMessage="1" showErrorMessage="1" sqref="BC27"/>
    <dataValidation allowBlank="1" type="any" operator="between" errorStyle="stop" showInputMessage="1" showErrorMessage="1" sqref="BC25"/>
    <dataValidation allowBlank="1" type="whole" operator="between" errorStyle="stop" showInputMessage="1" showErrorMessage="1" sqref="AG3:AH4">
      <formula1>0</formula1>
      <formula2>100</formula2>
    </dataValidation>
    <dataValidation allowBlank="1" type="any" operator="between" errorStyle="stop" showInputMessage="1" promptTitle="Fighting (不定) [无法孤注一骰]" prompt="- 格斗技能指的是一名角色在近距离战斗上的技能。你可以花费一定的点数来获得任何的专业化技能。 - 作为类属的“格斗”技能不能够获得。选择对你的调查员的职业以及当时历史合适的专业格斗技能。 - 那些有着 50%或者以上的格斗（斗殴）技能的 调查员可能会希望选择一种正规的训练，并且作为背景的一部分来对他们的技能程度进行解释。 - 格斗方式存在着各种各样的。武术只是单纯的一种提升一个人战斗技巧的方式。决定角色是如何学习格斗的，是否是从正规的军队训练，武术教室，或者以自己的努力从街头格斗中学会。[例如跆拳道]" showErrorMessage="1" sqref="F34:F37"/>
    <dataValidation allowBlank="1" type="any" operator="between" errorStyle="stop" showInputMessage="1" promptTitle="Demolitions (01%)[非常规]" prompt="- 在这项技能的帮助下，使用者将熟练于安全使用爆破，包括设置以及拆除炸药。 - 地雷以及相似的设备被设计得容易设置（不需要检定）但是相对较为困难地进行除去或拆除。 - 这项技能也包含军用等级的爆炸物（反人类地雷，塑料炸弹，等）。 - 给予足够的时间和资源，这些专家可以装设炸药来摧毁一幢建筑，清除一个被堵住的隧道，以及赋予炸药不同用处（例如构造微量炸药，诡雷，以及其他）。" showErrorMessage="1" sqref="AB43:AC43"/>
    <dataValidation allowBlank="1" type="any" operator="between" errorStyle="stop" showInputMessage="1" showErrorMessage="1" sqref="D90:D93"/>
    <dataValidation allowBlank="1" type="any" operator="between" errorStyle="stop" showInputMessage="1" promptTitle="Science (01%)" prompt="- 科学专业上的理论和实践的能力，拥有这个技能的人接受过一定程度的正式的教育或者训练，尽管一名博览群书的业余科学家也是可能存在的。 - 对于知识的理解和认识受到游戏时代的限制。你可以花费点数 来获得任何你想要的专业化技能。 - 作为属类的“科学”技能不能被获得。 - 每个专业化技能包括了一门专门的学科，并且列表所给出的并不是全部。许多专业跨越了不同的知识领域，并且有所重叠，例如数学和密码学，植物学和生物学，化学和药学。" showErrorMessage="1" sqref="AB31:AB33"/>
    <dataValidation allowBlank="1" type="list" errorStyle="stop" showInputMessage="1" showErrorMessage="1" sqref="D79:D87">
      <formula1>附表!$O$16:$O$58</formula1>
    </dataValidation>
    <dataValidation allowBlank="1" type="any" operator="between" errorStyle="stop" showInputMessage="1" promptTitle="语言水平" prompt="05%：正确辨认语言的种类 10%：可以沟通简单的想法 30%：可以对社交上的需求进行理解 50%：可以进行流畅的交流 75%：可以像是当地人一样使用语言 辨认现代语言： 投掷教育（知识） 辨认灭绝人类语言：考古学或历史 辨认外星语言：克苏鲁神话或神秘学" showErrorMessage="1" sqref="H46:H48"/>
    <dataValidation allowBlank="1" type="any" operator="between" errorStyle="stop" showInputMessage="1" promptTitle="Survival (10%)" prompt="- 提供专业的如何在极端环境下生存的知识和技巧，例如在沙漠中或者极地环境，也包括海洋上或者荒野。 - 内容包括狩猎的知识，搭建住所，可能遇到的危险的知识（例如如何避开有毒性的植物）等等，取决于所处的环境。 - 你可以花费技能点来获得任何的专业化技能。 - 作为属类的“生存”技能本身不能被获得。 - 专业环境的生存技巧应当在技能选择时就决定下来，例如：生存（沙漠），（海洋），（极地），等等。" showErrorMessage="1" sqref="AB37"/>
    <dataValidation allowBlank="1" type="any" operator="between" errorStyle="stop" showInputMessage="1" promptTitle="Language (Other)[01%]" prompt="- 当选择这个技能，必须明确一个具体的语言并且 写在技能后面。 - 一个人可以了解任何数量的语言。这项技能代表使用者可以了解，说，读以及写一门不是他母语的语言的可能性。 - 远古或者不知名语言（例如 Aklo，Hyperborean 这两种神话语言）不能被选择（除非 KP 同意） - 通常意义上的早期语言可以被选择。KP 可以提高难度等级，如果遇见了用那门语言的古式的演讲或者写作。 - 单次的其他语言技能检定的成功通常允许对整本书的理解。" showErrorMessage="1" sqref="F46:F48"/>
    <dataValidation allowBlank="1" type="list" errorStyle="stop" showInputMessage="1" showErrorMessage="1" sqref="D88:E88">
      <formula1>"颅————,头部,头发,耳朵,面部,颈部,其他(头),躯————,肩,胸前,背后,肋,裆,腰,胯,其他(躯),服————,衣兜,内衬,衣服内,裤兜,其他(服),上肢————,左手,右手,双手,左臂,右臂,双臂,肘部,其他(上肢),下肢————,左脚,右脚,双脚,左腿,右腿,双腿,膝部,其他(下肢),其他————,其他, "</formula1>
    </dataValidation>
    <dataValidation allowBlank="1" type="whole" operator="between" errorStyle="stop" showInputMessage="1" showErrorMessage="1" sqref="U3:V4">
      <formula1>0</formula1>
      <formula2>100</formula2>
    </dataValidation>
    <dataValidation allowBlank="1" type="any" operator="between" errorStyle="stop" showErrorMessage="1" sqref="H49"/>
    <dataValidation allowBlank="1" type="any" operator="between" errorStyle="stop" showInputMessage="1" promptTitle="Art and Craft (05%)" prompt="- 一个艺术或者手艺技能可能可以用于制作一个复 制品或者赝品。在这情况下，难度等级将取决于需要复制的原品的复杂程度以及独特性。 - 在伪造文件的场合下，将使用一个专门的专业化技能（伪造）。 - 一个成功的检定可能可以提供一个物品的相关信 息，例如这个物品在何时以及哪里被制造，与之相关的一些历史或者技艺，或者谁可能制作了它。拥有这个技能的专家将会在某个专门的领域里有着广泛的知识—对于物品本身，它的历史以及当代从事相关行业的人的知识，以及去实践知识的能力。" showErrorMessage="1" sqref="F21"/>
    <dataValidation allowBlank="1" type="any" operator="between" errorStyle="stop" showInputMessage="1" promptTitle="Psychology (10%)" prompt="对所有人来说都很通用的察觉方面的技能，允许使用者研究个人并且形成对于其他某人动机和人格的了解。" showErrorMessage="1" sqref="AB29:AC29"/>
    <dataValidation allowBlank="1" type="any" operator="between" errorStyle="stop" showInputMessage="1" promptTitle="提示" prompt="你可以在下方“法术一览”内输入法术并且在这里输入成功使用过的法术的编号" showErrorMessage="1" sqref="AB12"/>
    <dataValidation allowBlank="1" type="list" errorStyle="stop" showInputMessage="1" sqref="H37:I37">
      <formula1>"鞭子,电锯,链枷,绞具,斧,剑,矛,"</formula1>
    </dataValidation>
    <dataValidation allowBlank="1" type="any" operator="between" errorStyle="stop" showInputMessage="1" promptTitle="Electrical Repair (10%)" prompt="- 使调查员能够修理或者改装电气设备，例如自动点火装置，电动机，保险丝盒，以及防盗自动警铃。 - 在现代，这项技能对现代电子器件几乎做不到什么。 - 为了维修电气设备，可能需要特殊的部件或者工具。 - 在 1920 年代的职业可能会需要这个技能，并且需要机械维修技能作为组合。 - 电气维修也可能在现代的爆破上被使用，例如雷管，C-4 塑料炸弹，以及地雷。 - 这些武器被设计得简单易用；只有一个大失败的结果才会造成不启动（记住这检定可以使用孤注一掷）。 - 拆除爆炸物是远远更为复杂的，因为它们可能被安装了反" showErrorMessage="1" sqref="F31:H31"/>
    <dataValidation allowBlank="1" type="any" operator="between" errorStyle="stop" showInputMessage="1" showErrorMessage="1" sqref="AU25"/>
    <dataValidation allowBlank="1" type="any" operator="between" errorStyle="stop" showInputMessage="1" promptTitle="Mechanical Repair (10%)" prompt="- 这项技能允许调查员修理一个破损的机器或者制 造一个新的。 - 基础的木工手艺和管道项目也可以执行，制作物品也同样可以（例如一组滑轮系统）以及维修物品（例如蒸汽泵）。 - 在使用技能中可能会需要特殊的工具或者部件。 - 这项技能可以用来打开普通的家庭锁，但是更加专业的就不能了——见锁匠技能来打开更加复杂的锁。 - 机械维修是一个与电气维修相伴随的技能，并且两者都可能需要来为了修理一个复杂的设备，例如汽车或者飞行器。" showErrorMessage="1" sqref="AB20:AC20"/>
    <dataValidation allowBlank="1" type="list" errorStyle="stop" showInputMessage="1" showErrorMessage="1" sqref="M5:Q5">
      <formula1>职业列表!$A$2:$A$232</formula1>
    </dataValidation>
    <dataValidation allowBlank="1" type="list" errorStyle="stop" showInputMessage="1" promptTitle="可成长标记" prompt="如果是短团，技能成功后可以选择勾号标记，在结束时KP宣布幕间成长，则成功技能可进行成长鉴定； 如果是长团，技能成功后可以选择勾号标记，在每一章结束时KP宣布幕间成长，则成功技能可进行成长鉴定。" showErrorMessage="1" sqref="B16:B25">
      <formula1>"☐,☑"</formula1>
    </dataValidation>
    <dataValidation allowBlank="1" type="any" operator="between" errorStyle="stop" showInputMessage="1" promptTitle="Library Use (20%)" prompt="- 图书馆使用使一名调查员能在图书馆找到一些信息，例如特定的一本书，新闻或者参考书，搜集文件或者资料库，假设需要的东西确实在那里的话。 - 使用这个技能需要数小时的连续的调查。 - 这项技能可以定位寻找一件隐藏的案例或者一本特殊收藏的稀有书籍，但是说服，话术，魅惑，恐吓，信用评级，或者特殊的证明书可能会需要来获得阅读这书或者信息的许可。" showErrorMessage="1" sqref="AB17:AC17"/>
    <dataValidation allowBlank="1" type="any" operator="between" errorStyle="stop" showInputMessage="1" promptTitle="Law (05%)" prompt="- 代表你对相关法律、早期事件、法庭辩术或者法院程序了解的可能性。 - 一个在法律实务上的专家可能会获得巨大的奖励以及政治事务所，但是这可能需要长达几年的认真申请——一个较高的信用评级在这关系 上也十分重要。 - 在美国，一个州的州法庭（State Bar）必须批准某人的法律实务。 当到一个外国国家时，使用这项技能的难度等级可能会上升，除非这名角色花费数月的时间来学习这个国家的法律系统。" showErrorMessage="1" sqref="AB16:AC16"/>
    <dataValidation allowBlank="1" type="list" errorStyle="stop" showInputMessage="1" sqref="H22:I22">
      <formula1>"表演,美术,摄影,伪造,写作,书法,乐理,厨艺,裁缝,理发,建筑,舞蹈,酿酒,捕鱼,歌唱,制陶,雕塑,杂技,风水,技术制图,耕作,打字,速记,木匠,莫里斯舞蹈,歌剧歌唱,粉刷匠与油漆工,吹真空管"</formula1>
    </dataValidation>
    <dataValidation allowBlank="1" type="any" operator="between" errorStyle="stop" showInputMessage="1" promptTitle="Accounting (05%)" prompt="- 使你理解会计工作的流程以及一个企业或者个人的金融职务。 - 通过检查账簿，你可以发现做假账的员工，对资金的偷偷挪用，对行贿或者敲诈的款项支付，以及经济状况是否比表面陈述的更好或者更差。 - 通过仔细检查旧账户，你可以了解过去的资金的得与失（谷物，奴隶贸易，威士忌酒的运营等）以及这些资金是付给了谁以及为了什么款项而支付。" showErrorMessage="1" sqref="F16:H16"/>
    <dataValidation allowBlank="1" type="any" operator="between" errorStyle="stop" showInputMessage="1" promptTitle="Swim (20%)" prompt="- 有能力在水或者其他液体中漂浮以及移动。 - 只有在遭遇危险的时候需要进行游泳技能检定，或者当 KP认为合适的时候。" showErrorMessage="1" sqref="AB38:AC38"/>
    <dataValidation allowBlank="1" type="any" operator="between" errorStyle="stop" showInputMessage="1" showErrorMessage="1" sqref="AU27"/>
    <dataValidation allowBlank="1" type="any" operator="between" errorStyle="stop" showInputMessage="1" promptTitle="Fast Talk (05%) 也译作“快速交谈”" prompt="- 话术特别限定于言语上的哄骗，欺骗以及误导，例如迷惑一名门卫来让你进入一间俱乐部，误导警察看向另一边，以及诸如此类的。 - 这项技能的对立技能为心理学或者话术。 - 经过一段时间的相信期后（通常在使用话术的人离开场景之后），对方会意识到自己被欺骗了。如果达成了更高的难度等级可能会使这个时间更加长一点。 - 可以被用来对一件物品或者服务的价格进行砍价。如果成功，卖家会暂时性地觉得这是一场不错得交易；然而，如果买家打算归还或者试图购买别的物品，卖家可能会拒绝继续降价，并且甚至可能会提高价格为了补回他们的损失" showErrorMessage="1" sqref="F33:H33"/>
    <dataValidation allowBlank="1" type="any" operator="between" errorStyle="stop" showInputMessage="1" promptTitle="Natural World (10%) 也译作“自然学”" prompt="- 起初指对于在自然环境中的植物以及动物生命的研究。 - 直到 19 世纪，这门学科被分开到一系列的学术学科（生物学，植物学，等等）。 - 作为一个技能，博物学达标了传统的（非科学的）知识以及农民，渔民，优秀的业余者，以及单纯的爱好者的个人观察。 - 它可以一般地对物种，栖息地进行辨认，并且可以辨认踪迹、足迹以及叫声，也可以允许对什么事物可能对某种特定物种来说很重要进行猜测。 - 如果要一个对自然世界的科学性的理解，那么应当去看生物学，植物学以及动物学技能。" showErrorMessage="1" sqref="AB22:AC22"/>
    <dataValidation allowBlank="1" type="list" errorStyle="stop" showInputMessage="1" showErrorMessage="1" sqref="D89">
      <formula1>附表!$O$16:$O$58</formula1>
    </dataValidation>
    <dataValidation allowBlank="1" type="any" operator="between" errorStyle="stop" showErrorMessage="1" sqref="B68:K68"/>
    <dataValidation allowBlank="1" type="any" operator="between" errorStyle="stop" showInputMessage="1" promptTitle="Artillery (01%) [无法孤注一骰][非常规]" prompt="- 这项技能呈现出对一些形式的军事训练和经历。使用者具有在战争中操作战地武器的经验：可以在一个工作队或“派遣队”中工作，进行对超过个人武器射击距离的武器的操作。 - 这些武器通常过于巨大以至于无法单人进行操作,并且个人无法再没有工作队支援的情况下使用这武器，或者应当提高难度等级（取决于KP 的判断，也取决于使用的武器类型）。 - 存在着许多不同的专业化武器，取决于游戏设定的时期，包括加农炮、榴弹炮、迫击炮以及火箭发射 器。 -作为一个战斗技能，炮术不能孤注一掷。" showErrorMessage="1" sqref="AB46:AC46"/>
    <dataValidation allowBlank="1" type="list" errorStyle="stop" showInputMessage="1" sqref="H20:I20">
      <formula1>"表演,美术,摄影,伪造,写作,书法,乐理,厨艺,裁缝,理发,建筑,舞蹈,酿酒,捕鱼,歌唱,制陶,雕塑,杂技,风水,技术制图,耕作,打字,速记,木匠,莫里斯舞蹈,歌剧歌唱,粉刷匠与油漆工,吹真空管"</formula1>
    </dataValidation>
    <dataValidation allowBlank="1" type="any" operator="between" errorStyle="stop" showInputMessage="1" showErrorMessage="1" sqref="AU31"/>
    <dataValidation allowBlank="1" type="whole" operator="between" errorStyle="stop" showInputMessage="1" showErrorMessage="1" sqref="AA7:AB8">
      <formula1>0</formula1>
      <formula2>100</formula2>
    </dataValidation>
    <dataValidation allowBlank="1" type="any" operator="between" errorStyle="stop" showInputMessage="1" promptTitle="Charm (15%)" prompt="- 取悦允许通过许多形式来使用，包括肉体魅力、诱惑、奉承或是单纯令人感到温暖的人格魅力。 - 取悦可能可以被用于迫使某人进行特定的行动，但是不会是与个人日常举止完全相反的行为。 - 取悦或是心理学技能可以用于对抗取悦技能。 - 取悦技能可以被用于讨价还价来使一件物品或者服务的价格降低。 - 如果成功，使用者得到了卖家的赞同，并且他们可能乐意降低一点价格。" showErrorMessage="1" sqref="F23:I23"/>
    <dataValidation allowBlank="1" type="any" operator="between" errorStyle="stop" showInputMessage="1" showErrorMessage="1" sqref="AG12"/>
    <dataValidation allowBlank="1" type="any" operator="between" errorStyle="stop" showInputMessage="1" promptTitle="Language (EDU)" prompt="- 当选择这项技能时，必须明确一门具体的语言并 且写在技能的后面。 - 在婴儿期或者童年早期，大多数人使用单一一门语言。 - 玩家所选择作为母语的语言自动地以等同于调查员教育（EDU）属性为起始；此后，调查员以那个百分比或者更高的来进行理解，说，读以及写（如果更多的技能点数在调查员创作时加了上去）。" showErrorMessage="1" sqref="F49"/>
    <dataValidation allowBlank="1" type="any" operator="between" errorStyle="stop" showInputMessage="1" promptTitle="提示" prompt="你可以在下方“法术一览”内输入法术并且在这里输入成功使用过的法术的编号" showErrorMessage="1" sqref="U12"/>
    <dataValidation allowBlank="1" type="list" errorStyle="stop" showInputMessage="1" showErrorMessage="1" sqref="M4:Q4">
      <formula1>"1920s,现代,其他"</formula1>
    </dataValidation>
    <dataValidation allowBlank="1" type="any" operator="between" errorStyle="stop" showInputMessage="1" promptTitle="Occult (05%)" prompt="- 使用者可以识别出神秘学道具，用语和概念，以及民间传统，并且可以辨认魔法书以及神秘学记号。 - 神秘学家对有着代代相传的神秘知识的家庭十分熟悉，包括从埃及和苏美尔，从中世纪和文艺复兴时期的西方，以及也许从亚洲或者非洲。 - 理解特定的书籍可能可以增加神秘学技能的百分比。这项技能不能运用于与克苏鲁神话相关的咒术，书本，以及魔法，尽管旧日支配者的崇拜者对于神秘学有着很高的接受能力。" showErrorMessage="1" sqref="AB24:AC24"/>
    <dataValidation allowBlank="1" type="any" operator="between" errorStyle="stop" showInputMessage="1" promptTitle="Persuade (10%)" prompt="- 使用说服来通过一场有理有据的论述、争辩以及讨论让目标相信一个确切的想法，概念，或者信仰。 说服并不一定需要涉及真实的内容。成功的说服技能的运用将花费不少的时间：至少半小时。 - 如果你想快速地说服某人，你应该使用话术技能。 取决于玩家表述的目标，如果调查员花费了足够的时间，说服造成的影响可能一直持续下去，并且无意识地影响着别人；可能会持续好几年，直到某件事件或者另一次得说服改变了目标的想法。 - 说服可以被用于讨价还价，以此来削低某样物品或者服务的价格。如果成功，卖家将会完全地相信自己做了一场好买卖。" showErrorMessage="1" sqref="AB26:AC26"/>
    <dataValidation allowBlank="1" type="whole" operator="between" errorStyle="warning" showInputMessage="1" promptTitle="一般来说，年龄应在15-90之间" prompt="15-19:STR,SIZ共-5，EDU-5,幸运骰2选高 20-39:EDU进步检定*1 40+:进步检定*2,STR CON DEX中共-5 APP-5 50+:进步检定*3, S C D中共-10 APP-10 60+:进步检定*4, S C D中共-20 APP-15 70+:进步检定*4, S C D中共-40 APP-20 80+:进步检定*4, S C D中共-80 APP-25" showErrorMessage="1" errorTitle="提示" error="人类年龄最高记录为122岁  请输入整数" sqref="E6:I6">
      <formula1>1</formula1>
      <formula2>120</formula2>
    </dataValidation>
    <dataValidation allowBlank="1" type="any" operator="between" errorStyle="stop" showInputMessage="1" promptTitle="Listen (20%)" prompt="- 衡量一名调查员理解声音的能力，包括偶然听到 的对话，一扇关着的门后的轻声嘀咕，以及咖啡厅里的私语。 - KP 可以用这来决定一场即将发生的遭遇的形式：是你的调查员因被踩碎的树枝的声音而警觉到了到来的遭遇？ - 甚至此外，一个较高的聆听技能可以指一名角色有着较高的警觉能力。" showErrorMessage="1" sqref="AB18:AC18"/>
    <dataValidation allowBlank="1" type="any" operator="between" errorStyle="stop" showInputMessage="1" promptTitle="Dodge (DEX/2) [无法孤注一骰]" prompt="- 允许调查员本能地闪避攻击，投掷过来的投射物以及诸如此类的。 - 一名角色可以尝试在一场战斗轮中使用任何次数的闪避（但是对抗一次特定的攻击只能一次）。 - 闪避可以通过经验来提升，就像其他的技能一样。 - 如果一次攻击可以被看见，一名角色可以尝试闪避开它。 - 想要闪避子弹是不可能的，因为运动中的它们是不可能被看见的；一名角色所能做到的最好的是做逃避的行动来造成自己更难被命中（“寻找掩体（可以在武器列表的可选规则里看见）“）。" showErrorMessage="1" sqref="F29:H29"/>
    <dataValidation allowBlank="1" type="any" operator="between" errorStyle="stop" showInputMessage="1" promptTitle="Disguise (05%)" prompt="- 使用在当你想要演出除你自己外的别人时。 - 使用者改变了态度，习惯，以及/或声音来进行一个乔装，以另一个人或者另一类人的形象出现。 - 戏剧化妆品可能会有所帮助，还有伪造的身份证。" showErrorMessage="1" sqref="F28:H28"/>
    <dataValidation allowBlank="1" type="any" operator="between" errorStyle="stop" showInputMessage="1" promptTitle="提示" prompt="MP是每小时恢复一次的 人类一般来说都会一小时恢复1点 但是有极少数人可以达到一小时恢复2点" showErrorMessage="1" sqref="AA10"/>
    <dataValidation allowBlank="1" type="any" operator="between" errorStyle="stop" showInputMessage="1" promptTitle="Track (10%)" prompt="- 一名调查员可以凭借追踪技能来通过土壤上的脚 印，或是物体通过植被时留下的印记来追踪别人，或者是交通工具以及地球上的动物。 - 时间的经过，雨，以及土地的种类都可能会影响追踪的难度等级。" showErrorMessage="1" sqref="AB40:AC40"/>
    <dataValidation allowBlank="1" type="list" errorStyle="stop" showInputMessage="1" promptTitle="可成长标记" prompt="如果是短团，技能成功后可以选择勾号标记，在结束时KP宣布幕间成长，则成功技能可进行成长鉴定； 如果是长团，技能成功后可以选择勾号标记，在每一章结束时KP宣布幕间成长，则成功技能可进行成长鉴定。" showErrorMessage="1" sqref="B28:B49">
      <formula1>"☐,☑"</formula1>
    </dataValidation>
    <dataValidation allowBlank="1" type="any" operator="between" errorStyle="stop" showInputMessage="1" promptTitle="提示" prompt="物品状态分为两种： 显露：显露的物品可以一眼被看见，这包括衣服、背包、手里的东西、背后的枪等。 隐藏：隐藏的物品不代表无法被看见，只是比较难以被看见而已，这里包括被头发掩盖的耳机、兜里的钥匙、藏在衣服里被锯短的枪。" showErrorMessage="1" sqref="B78"/>
    <dataValidation allowBlank="1" type="list" errorStyle="stop" showInputMessage="1" showErrorMessage="1" sqref="R11:S11">
      <formula1>"清醒,临时性疯狂,不定性疯狂,永久疯狂"</formula1>
    </dataValidation>
    <dataValidation allowBlank="1" type="list" errorStyle="stop" showInputMessage="1" showErrorMessage="1" sqref="AU22">
      <formula1>"提示当前职业,停用提示(用于更改职业的角色)"</formula1>
    </dataValidation>
    <dataValidation allowBlank="1" type="any" operator="between" errorStyle="stop" showInputMessage="1" promptTitle="Climb (20%)" prompt="- 这项技能允许一名角色借助或者不借助绳索或者登山工具进行爬树、墙以及其他垂直表面。 - 这项技能也同样包括用绳索下降。攀爬表面是否坚固，是否有可以用手握住的地方，风力，可见度，雨等等坏境状况都可能会影响难度等级。 - 第一次在这个技能上失败可能意味着这攀爬超出了调查员的能力范围。在孤注一掷上失败则可能意味着摔落了下来，同时因此受到伤害。 - 一个成功的攀爬检定应当允许调查员在任何场合下完成攀爬（而不是进行反复检定）。 - 一次富有挑战性或者长距离的攀爬则应当增加难度等级。" showErrorMessage="1" sqref="F24:H24"/>
    <dataValidation allowBlank="1" type="list" errorStyle="stop" showInputMessage="1" sqref="AD31:AE32">
      <formula1>"地质学,化学,生物学,数学,天文学,物理学,药学,植物学,动物学,密码学,工程学,气象学,司法科学,"</formula1>
    </dataValidation>
    <dataValidation allowBlank="1" type="whole" operator="between" errorStyle="stop" showInputMessage="1" showErrorMessage="1" sqref="AG5:AH6">
      <formula1>0</formula1>
      <formula2>100</formula2>
    </dataValidation>
    <dataValidation allowBlank="1" type="any" operator="between" errorStyle="stop" showErrorMessage="1" sqref="R61:S61"/>
    <dataValidation allowBlank="1" type="list" errorStyle="stop" showInputMessage="1" sqref="H21:I21">
      <formula1>"表演,美术,摄影,伪造,写作,书法,乐理,厨艺,裁缝,理发,建筑,舞蹈,酿酒,捕鱼,歌唱,制陶,雕塑,杂技,风水,技术制图,耕作,打字,速记,木匠,莫里斯舞蹈,歌剧歌唱,粉刷匠与油漆工,吹真空管,"</formula1>
    </dataValidation>
    <dataValidation allowBlank="1" type="list" errorStyle="stop" showErrorMessage="1" sqref="AR61">
      <formula1>"☐,☑"</formula1>
    </dataValidation>
    <dataValidation allowBlank="1" type="list" errorStyle="stop" showInputMessage="1" sqref="H41:I41">
      <formula1>"步枪/霰弹枪,冲锋枪,弓术,喷射器,机枪,重武器,"</formula1>
    </dataValidation>
    <dataValidation allowBlank="1" type="any" operator="between" errorStyle="stop" showInputMessage="1" promptTitle="Stealth (20%)" prompt="- 安静地移动以及/或者躲藏的技巧，不惊扰到那些可能在听或者看的人们。 - 当尝试躲避探查，玩家应当进行一个潜行的技能检定。 - 与这项技能相关的能力意味着要么角色能够安静地移动（轻声轻足）以及/或者在伪装技巧上有所训练。 - 这项技能也同样意味着角色可以在长时间维持一定程度的谨慎心态以及冷静的头脑来使自己保持静止和隐秘。" showErrorMessage="1" sqref="AB36:AC36"/>
    <dataValidation allowBlank="1" type="any" operator="between" errorStyle="stop" showInputMessage="1" showErrorMessage="1" sqref="AU29"/>
    <dataValidation allowBlank="1" type="any" operator="between" errorStyle="stop" showInputMessage="1" promptTitle="Anthropology (01%)" prompt="- 使使用者能够通过观察来辨认和理解一个人的生活方式。 - 如果技能使用者持续观察一个其他的文化一段时间，或者在有着关于某种已消失文化的正确资料环境下工作，那么他可以对文化方式以及道德习惯进行简单的预测，即使证据可能并不完整。 - 通过学习文化一个月或者更久，人类学家开始理解这种文化是如何运作的以及，如果结合心理学，可以预测那些研究文化的行为和信仰。" showErrorMessage="1" sqref="F17:H17"/>
    <dataValidation allowBlank="1" type="any" operator="between" errorStyle="stop" showErrorMessage="1" sqref="AI10"/>
    <dataValidation allowBlank="1" type="any" operator="between" errorStyle="stop" showErrorMessage="1" sqref="N61:O61"/>
    <dataValidation allowBlank="1" type="any" operator="between" errorStyle="stop" showInputMessage="1" promptTitle="Navigate (10%) " prompt="- 允许使用者在早上或者晚上，在暴风雨或者晴朗天气中认清自己的路。 - 有着更高技能的人将对天文表图和工具，以及卫星定位装置十分熟悉，如果他们是在有着那些东西的时代的话。 - 一名角色也可以用这项技能来测量以及对一块区域进行绘图（制图学），判断是有着几平方米的小岛或者是一块内陆区域—使用现代工具可以降低甚至取消难度等级。 - KP 可以将这个技能的检定作为隐藏骰进行处理—调查员需要尝试去解决的一件事情，并且最后承受结果。 - 如果角色对该区域十分熟悉，那么在这个检定上可以得到一个奖励骰。" showErrorMessage="1" sqref="AB23:AE23"/>
    <dataValidation allowBlank="1" type="any" operator="between" errorStyle="stop" showInputMessage="1" showErrorMessage="1" sqref="J8"/>
    <dataValidation allowBlank="1" type="any" operator="between" errorStyle="stop" showErrorMessage="1" sqref="L61"/>
    <dataValidation allowBlank="1" type="list" errorStyle="stop" showInputMessage="1" showErrorMessage="1" sqref="AR69:AR71">
      <formula1>"☐,☑"</formula1>
    </dataValidation>
    <dataValidation allowBlank="1" type="list" errorStyle="stop" showInputMessage="1" showErrorMessage="1" sqref="AR73:AR76">
      <formula1>"☐,☑"</formula1>
    </dataValidation>
    <dataValidation allowBlank="1" type="any" operator="between" errorStyle="stop" showInputMessage="1" promptTitle="History (05%)" prompt="- 让一名调查员能够记住一个国家，城市，区域或 者个人及其相关的重要情报。 - 一个成功的检定可以用来帮助辨认先祖所熟悉的工具，科技，或者想法，但是对当下的所知甚少。" showErrorMessage="1" sqref="F43:H43"/>
    <dataValidation allowBlank="1" type="whole" operator="between" errorStyle="stop" showInputMessage="1" showErrorMessage="1" sqref="U5:V6">
      <formula1>0</formula1>
      <formula2>100</formula2>
    </dataValidation>
    <dataValidation allowBlank="1" type="any" operator="between" errorStyle="stop" showInputMessage="1" promptTitle="Diving (01%)[非常规]" prompt="- 使用者接受过在深海游泳的使用以及维持潜水设 备的训练，水下导航，合适的下潜配重，以及应对紧急情况的方法。 - 在 1942 年的水肺[潜水氧气筒]发明前，严格的潜水套装是装备着能从水面输送空气的连接管道。 - 在现代，一名水肺潜水员将会熟悉当呼吸增压氧气时发生的潜水时的物理现象，气压，以及生理学的过程。" showErrorMessage="1" sqref="AB42:AC42"/>
    <dataValidation allowBlank="1" type="any" operator="between" errorStyle="stop" showInputMessage="1" promptTitle="Art and Craft (05%)" prompt="- 许多这些例子都是与专业直接相联系的技能，但是这些技能可能只是休闲嗜好。你可以花费技能在任意专业化技能上。 - 不可以加点在作为类属的“艺术与手艺”上。 - 这项技能可能能使你制作或者修理一样东西—通常需要工具和时间，由 KP 来决定，如果必要的话。 - 在适用成功程度分度的情况下，一个更高等级的成功表示这件物品有着高品质以及/或精致度高。 （请点击下一个技艺）" showErrorMessage="1" sqref="F20:G20"/>
    <dataValidation allowBlank="1" type="any" operator="between" errorStyle="stop" showInputMessage="1" promptTitle="Throw (20%)" prompt="- 当需要用物体击中目标或者用物件的正确部分击中目标（例如小刀或者短柄小斧的刃）时，使用投掷技能。 - 一件有着合理平衡构架的可以藏于手中大小的物品可以被投掷至多等同于 STR 码距离。" showErrorMessage="1" sqref="AB39:AC39"/>
    <dataValidation allowBlank="1" type="any" operator="between" errorStyle="stop" showInputMessage="1" showErrorMessage="1" sqref="L8"/>
    <dataValidation allowBlank="1" type="list" errorStyle="stop" showInputMessage="1" promptTitle="可成长标记" prompt="如果是短团，技能成功后可以选择勾号标记，在结束时KP宣布幕间成长，则成功技能可进行成长鉴定； 如果是长团，技能成功后可以选择勾号标记，在每一章结束时KP宣布幕间成长，则成功技能可进行成长鉴定。" showErrorMessage="1" sqref="X16:X49">
      <formula1>"☐,☑"</formula1>
    </dataValidation>
    <dataValidation allowBlank="1" type="whole" operator="between" errorStyle="stop" showInputMessage="1" showErrorMessage="1" sqref="AA5:AB6">
      <formula1>0</formula1>
      <formula2>100</formula2>
    </dataValidation>
    <dataValidation allowBlank="1" type="whole" operator="notEqual" errorStyle="warning" showInputMessage="1" promptTitle="提示" prompt="仅能输入整数，请不要填写数字外的字符（包括汉字）" showErrorMessage="1" errorTitle="提示" error="仅能输入整数，请不要填写数字外的字符（包括汉字）" sqref="G8">
      <formula1>32767</formula1>
    </dataValidation>
    <dataValidation allowBlank="1" type="list" errorStyle="stop" showInputMessage="1" sqref="AD27:AE27">
      <formula1>"飞行器,船,"</formula1>
    </dataValidation>
    <dataValidation allowBlank="1" type="list" errorStyle="stop" showInputMessage="1" showErrorMessage="1" sqref="AI12">
      <formula1>"开,关"</formula1>
    </dataValidation>
    <dataValidation allowBlank="1" type="any" operator="between" errorStyle="stop" showInputMessage="1" promptTitle="Archaeology (01%)" prompt="- 允许从过去的文化中鉴定一件古董的年代以及辨别它，以及可以用来发现赝品。 - 使获得建立以及开掘一个挖掘遗址的专业知识。 通过对遗址的勘察，使用者可以推断留下这遗址的生物的目的和生活方式。 - 人类学可能对此会有所帮助。 - 考古学还有助于辨认已消失的人类语言的书面形式。" showErrorMessage="1" sqref="F19:H19"/>
    <dataValidation allowBlank="1" type="any" operator="between" errorStyle="stop" showInputMessage="1" promptTitle="Pilot (01%)" prompt="- 相当于水上或者空中的汽车驾驶，这时使用空中飞行或者水上航行交通供给的技巧。你可以花费技能点来获得任何专业化技能。 - 作为属类的驾驶技能不能被获得。一名调查员可以在调查员表格的空档下写上许多不同种的这一技巧（例如驾驶飞行器，驾驶飞艇等等）。 - 每个的初始都是 01%。  - 不良的天气，极差的可见度，以及器材的损伤都可能会提高驾驶飞行器或水上航具的技能检定的难度等级。" showErrorMessage="1" sqref="AB27"/>
    <dataValidation allowBlank="1" type="any" operator="between" errorStyle="stop" showInputMessage="1" promptTitle="Appraise (05%)" prompt="- 用来估计某种物品的价值，包括质量，使用的材料以及工艺。 - 相关的，技能使用者可以准确地辨认出物品的年龄，评估它的历史关联性以及发现赝品。" showErrorMessage="1" sqref="F18:H18"/>
    <dataValidation allowBlank="1" type="any" operator="between" errorStyle="stop" showInputMessage="1" promptTitle="Computer Use (05%)" prompt="- 这项技能允许调查员用各种不同的电脑语言进行编程；恢复或者分析隐藏的数据；解除被加了保护的系统；探索一个复杂的网络；或者发现别人的骇入、后门程序、病毒。对电脑系统的特殊操作可能会需要这个检定。 - 互联网将大量的信息放置在了调查员的指尖上。 - 使用互联网来找到高度详细以及/或模糊不清的咨询可能会需要一个计算机使用和图书馆使用的组合检定。 - 这项技能在用电脑上网，检查电子邮件，或者运行一般的商品化软件时不需要使用。 - 仅在现代可用。" showErrorMessage="1" sqref="F25:H25"/>
    <dataValidation allowBlank="1" type="any" operator="between" errorStyle="stop" showInputMessage="1" promptTitle="Cthulhu Mythos (00%)" prompt="“我认为，人的思维缺乏将已知事物联系起来的能力，这是世上最仁慈的事了。人类居住在幽暗的海洋中一个名为无知的小岛上，这海洋浩淼无垠、蕴藏无穷秘密，但我们并不应该航行过远，探究太深。”                ——H·P·爱手艺" showErrorMessage="1" sqref="F27"/>
    <dataValidation allowBlank="1" type="list" errorStyle="stop" showInputMessage="1" showErrorMessage="1" sqref="AR63">
      <formula1>"☐,☑"</formula1>
    </dataValidation>
    <dataValidation allowBlank="1" type="any" operator="between" errorStyle="stop" showInputMessage="1" promptTitle="Drive Auto (20%)" prompt="- 任何有着这项技能的人都可以驾驶一辆汽车或者 轻型卡车，进行常规的移动，并且处理机动车的一般毛病。 - 如果调查员想要甩掉一名追踪者或者追踪某人，则需要一个汽车驾驶检定。 - 一些其他的文化可能用相似的事物来取代这个技 能；因纽特人可能使用狗撬驾驶，或者维多利亚人可能使用四轮马车驾驶。" showErrorMessage="1" sqref="F30:H30"/>
    <dataValidation allowBlank="1" type="list" errorStyle="stop" showInputMessage="1" showErrorMessage="1" sqref="AE12">
      <formula1>"步式,轮式,履带,滑行,飞行,游泳,潜水,其他"</formula1>
    </dataValidation>
    <dataValidation allowBlank="1" type="any" operator="between" errorStyle="stop" showInputMessage="1" showErrorMessage="1" sqref="Z48:Z49"/>
    <dataValidation allowBlank="1" type="any" operator="between" errorStyle="stop" showInputMessage="1" showErrorMessage="1" sqref="B26:B27"/>
    <dataValidation allowBlank="1" type="any" operator="between" errorStyle="stop" showInputMessage="1" promptTitle="Locksmith (01%)" prompt="- 锁匠技能可以打开车门，热线自动装置，用铁撬撬开图书馆的窗子，解决中国机关箱（比如鲁班锁），以及穿过常规的商用警报系统。 - 使用者可能会修复锁，制作钥匙，或者在万能钥匙，开锁工具或者其他工具的帮助下打开锁。 - 特别困难的锁可能会需要一个更高的难度等级。" showErrorMessage="1" sqref="AB19:AC19"/>
    <dataValidation allowBlank="1" type="any" operator="between" errorStyle="stop" showInputMessage="1" promptTitle="Electronics (01%)" prompt="- 用来发现并对电子设备的故障进行维修。 - 允许制作简单的电子设备。 - 这是个现代技能——在 1920 年代则是使用物理学以及电气维修来应对电子设备。 - 不像电气维修技能，电子学工作的部件通常是不 能临时配备的：它们通过精密的工作被设计出来通 常如果没有正确的微晶片或者电路板，技能的使用者就无法进行工作，除非他们可以策划出一些形式的应急方案。" showErrorMessage="1" sqref="F32:H32"/>
    <dataValidation allowBlank="1" type="whole" operator="between" errorStyle="stop" showInputMessage="1" sqref="U7:V8">
      <formula1>0</formula1>
      <formula2>100</formula2>
    </dataValidation>
    <dataValidation allowBlank="1" type="any" operator="between" errorStyle="stop" showInputMessage="1" showErrorMessage="1" sqref="AU33"/>
    <dataValidation allowBlank="1" type="any" operator="between" errorStyle="stop" showInputMessage="1" showErrorMessage="1" sqref="Q8"/>
    <dataValidation allowBlank="1" type="any" operator="between" errorStyle="stop" showInputMessage="1" showErrorMessage="1" sqref="AD47"/>
    <dataValidation allowBlank="1" type="any" operator="between" errorStyle="stop" showInputMessage="1" promptTitle="Hypnosis (01%)[非常规]" prompt="- 使用者可以在一名自愿并经历过高度暗示、放松的目标身上引出出神似的状态，并且可能回忆起忘却 的记忆。 - 对于催眠的限制应当由 KP 根据适应自己游戏的情况来制定；这可能是只有自愿的目标可以被催眠，或者 KP 可能会允许这项技能以一种更加富有侵略 性的方式被用在非自愿的目标身上。 - 对那些遭受了精神创伤的人，这项技能可以当 做催眠疗法来使用，减轻一名病人的恐惧或者狂躁（成功的使用这个技能意味着这名病人在该场合克服了恐惧或者狂躁），需要1D6次疗程。" showErrorMessage="1" sqref="AB45:AC45"/>
    <dataValidation allowBlank="1" type="any" operator="between" errorStyle="stop" showInputMessage="1" promptTitle="Beast Training(05%)[非常规]" prompt="- 命令以及训练已驯化动物去完成一些简单任务的技能。 - 这个技能最常用于狗上，但也包括鸟、猫、猴子以及其他（取决于 KP 的判断）。 - 至于对动物的骑乘，例如马或者骆驼，则要用骑术技能来进行行动以及操控这些坐骑。" showErrorMessage="1" sqref="AB41:AC41"/>
    <dataValidation allowBlank="1" type="any" operator="between" errorStyle="stop" showInputMessage="1" showErrorMessage="1" sqref="AD37"/>
    <dataValidation allowBlank="1" type="any" operator="between" errorStyle="stop" showInputMessage="1" promptTitle="Read Lips (01%)[非常规]" prompt="- 这项技能允许好奇的调查员听懂一段交谈对话，而不需要听见对方说了什么。 - 能看到对方的视线是必须的，并且如果只能看到其中一名说话者的唇（另一名可能只能看到背），那么只能辨认出一半的对话。 - 读唇也可以用于与另一个人进行无声的交流（如果双方都是专家），允许相对更加复杂的短语以及含义。" showErrorMessage="1" sqref="AB44:AC44"/>
    <dataValidation allowBlank="1" type="any" operator="between" errorStyle="stop" showInputMessage="1" promptTitle="Intimidate (15%)" prompt="- 恐吓可以以许多形式使用，包括武力威慑，心理操控，以及威胁。这通常被用来使某人害怕，并迫使其进行某种特定的行为。 - 恐吓的对抗技能为恐吓或者心理学。 - 携带武器或者其他的有力的威胁或诱因来协助恐吓可能可以降低难度等级。 - 当在恐吓上使用孤注一掷时，失败的可能结果之一是对目标进行了远远超过本身意图的恐吓。 - 恐吓可以被用于降低一件物品或者服务的价格。如果成功，卖家可能会降低价格，或者免费交出，但是根据情况，对方可能会将这事情举报给警察或者当地犯罪组织的成员。" showErrorMessage="1" sqref="F44:H44"/>
    <dataValidation allowBlank="1" type="any" operator="between" errorStyle="stop" showInputMessage="1" promptTitle="First Aid (30%)" prompt="- 使用者可以提供紧急的医疗处理。这包括：对摔断了的腿用夹板进行处理，止血，处理烧伤，溺水复苏，包扎以及清理伤口等等。急救不能用于治疗疾病（这需要医学技能）。 - 急救必须在一小时内进行，在这种情况能回复 1 生命值的损伤。 - 这项技能可以尝试一次，后续的尝试将为进行孤注一掷。 - 两个人可以合作进行急救，只要其中一人成功便可以让生命值回复。 - 成功的急救可以将一名昏迷的角色唤醒过来。 - 一名角色只能进行一次成功的急救或者医学，直到受到其他伤害。" showErrorMessage="1" sqref="F42:H42"/>
    <dataValidation allowBlank="1" type="any" operator="between" errorStyle="stop" showInputMessage="1" promptTitle="Sleight of Hand (10%)" prompt="- 使技能使用者能够利用杂物、布、其他遮蔽物或是使人产生错觉的道具如使用暗板或隔层来对某件或某些物体进行视觉上的遮挡、藏匿或掩盖。 - 任何种类的巨大物件应当增加藏匿的难度。 - 妙手包括偷窃，卡牌魔术，以及秘密使用手机。" showErrorMessage="1" sqref="AB34:AE34"/>
    <dataValidation allowBlank="1" type="any" operator="between" errorStyle="stop" showInputMessage="1" showErrorMessage="1" sqref="N8"/>
    <dataValidation allowBlank="1" type="any" operator="between" errorStyle="stop" showInputMessage="1" promptTitle="Knowledge （不定）[非常规]" prompt="这项技能代表一名觉得对一个超出人类常规知识范畴的事物的专业理解。学问的专业化应该具体并且不同寻常，例如： ·梦学问 ·死灵之书学问（e.g.历史的） ·UFO 学问 ·吸血鬼学问 ·狼人学问 ·亚狄斯星人学问" showErrorMessage="1" sqref="AB47"/>
    <dataValidation allowBlank="1" type="any" operator="between" errorStyle="stop" showInputMessage="1" promptTitle="关键连接" prompt="在背景故事中，选出你认为最重要的一个描述作为关键连接。 关键连接不会被KP更改和设计、在你面对关键连接的危机时如果没有掷骰子的机会，那他就不能被KP摧毁、杀害、移除。玩家必须至少有一次掷骰子的机会来拯救该关键连接。  ·关键连接可以帮助调查员恢复san值，但是如果失去关键连接则会进行一个1/1D6的SC。  ·如果选择使用关键连接，会在SC的时候增加一个奖励骰，除了恢复1D6san还可以从不定性疯狂中恢复；但如果sc失败就会失去这个连接。  ·关键连接仅能在幕间成长时由玩家更改、替换。" showErrorMessage="1" sqref="AR60:AS60"/>
  </dataValidations>
  <pageMargins left="0.75" right="0.75" top="1.0" bottom="1.0" header="0.509027777777778" footer="0.509027777777778"/>
  <drawing r:id="rId1"/>
  <legacyDrawing r:id="rId2"/>
  <extLst>
    <ext xmlns:x14="http://schemas.microsoft.com/office/spreadsheetml/2009/9/main" uri="{CCE6A557-97BC-4b89-ADB6-D9C93CAAB3DF}">
      <x14:dataValidations xmlns:xm="http://schemas.microsoft.com/office/excel/2006/main" count="11">
        <x14:dataValidation allowBlank="1" type="list" errorStyle="stop" showInputMessage="1" showErrorMessage="1">
          <x14:formula1>
            <xm:f>附表!$X$25:$X$93</xm:f>
          </x14:formula1>
          <xm:sqref>BA18:BR22</xm:sqref>
        </x14:dataValidation>
        <x14:dataValidation allowBlank="1" type="list" errorStyle="stop" showInputMessage="1" showErrorMessage="1">
          <x14:formula1>
            <xm:f>附表!$BC$166:$BC$491</xm:f>
          </x14:formula1>
          <xm:sqref>BK144:BR144</xm:sqref>
        </x14:dataValidation>
        <x14:dataValidation allowBlank="1" type="list" errorStyle="stop" showInputMessage="1" showErrorMessage="1">
          <x14:formula1>
            <xm:f>附表!$BA$166:$BA$211</xm:f>
          </x14:formula1>
          <xm:sqref>BC144:BJ144</xm:sqref>
        </x14:dataValidation>
        <x14:dataValidation allowBlank="1" type="list" errorStyle="stop" showInputMessage="1" showErrorMessage="1">
          <x14:formula1>
            <xm:f>附表!$AT$25:$AT$30</xm:f>
          </x14:formula1>
          <xm:sqref>AZ129</xm:sqref>
        </x14:dataValidation>
        <x14:dataValidation allowBlank="1" type="list" errorStyle="stop" showInputMessage="1" showErrorMessage="1">
          <x14:formula1>
            <xm:f>附表!$AX$166:$AX$188</xm:f>
          </x14:formula1>
          <xm:sqref>AU144:BB144</xm:sqref>
        </x14:dataValidation>
        <x14:dataValidation allowBlank="1" type="list" errorStyle="stop" showInputMessage="1" showErrorMessage="1">
          <x14:formula1>
            <xm:f>附表!$Z$243:$Z$263</xm:f>
          </x14:formula1>
          <xm:sqref>S62:U62</xm:sqref>
        </x14:dataValidation>
        <x14:dataValidation allowBlank="1" type="list" errorStyle="stop" showInputMessage="1" showErrorMessage="1">
          <x14:formula1>
            <xm:f>'武器列表 战斗'!$B$2:$B$106</xm:f>
          </x14:formula1>
          <xm:sqref>G54:G56</xm:sqref>
        </x14:dataValidation>
        <x14:dataValidation allowBlank="1" type="list" errorStyle="stop" showInputMessage="1" showErrorMessage="1">
          <x14:formula1>
            <xm:f>'防具表 载具表'!$B$2:$B$82</xm:f>
          </x14:formula1>
          <xm:sqref>AN12</xm:sqref>
        </x14:dataValidation>
        <x14:dataValidation allowBlank="1" type="list" errorStyle="stop" showInputMessage="1" showErrorMessage="1">
          <x14:formula1>
            <xm:f>附表!$Q$23:$Q$25</xm:f>
          </x14:formula1>
          <xm:sqref>B79:B89</xm:sqref>
        </x14:dataValidation>
        <x14:dataValidation allowBlank="1" type="list" errorStyle="stop" showInputMessage="1" showErrorMessage="1">
          <x14:formula1>
            <xm:f>附表!$R$17:$R$21</xm:f>
          </x14:formula1>
          <xm:sqref>I11:J11</xm:sqref>
        </x14:dataValidation>
        <x14:dataValidation allowBlank="1" type="list" errorStyle="stop" showInputMessage="1" showErrorMessage="1">
          <x14:formula1>
            <xm:f>附表!$B$20:$B$26</xm:f>
          </x14:formula1>
          <xm:sqref>F113:I116</xm:sqref>
        </x14:dataValidation>
      </x14:dataValidations>
    </ext>
  </extLst>
</worksheet>
</file>

<file path=xl/worksheets/sheet2.xml><?xml version="1.0" encoding="utf-8"?>
<worksheet xmlns:r="http://schemas.openxmlformats.org/officeDocument/2006/relationships" xmlns="http://schemas.openxmlformats.org/spreadsheetml/2006/main">
  <dimension ref="A1:QP257"/>
  <sheetViews>
    <sheetView workbookViewId="0" zoomScale="56">
      <selection activeCell="E3" sqref="E3:Q3"/>
    </sheetView>
  </sheetViews>
  <sheetFormatPr defaultRowHeight="18.0" defaultColWidth="3"/>
  <cols>
    <col min="1" max="1" customWidth="1" bestFit="1" width="3.0" style="763"/>
    <col min="2" max="2" customWidth="1" bestFit="1" width="3.0" style="763"/>
    <col min="3" max="3" customWidth="1" bestFit="1" width="3.0" style="763"/>
    <col min="4" max="4" customWidth="1" bestFit="1" width="3.0" style="763"/>
    <col min="5" max="5" customWidth="1" bestFit="1" width="3.0" style="763"/>
    <col min="6" max="6" customWidth="1" bestFit="1" width="3.0" style="763"/>
    <col min="7" max="7" customWidth="1" bestFit="1" width="3.0" style="763"/>
    <col min="8" max="8" customWidth="1" bestFit="1" width="3.0" style="763"/>
    <col min="9" max="9" customWidth="1" bestFit="1" width="3.0" style="763"/>
    <col min="10" max="10" customWidth="1" bestFit="1" width="3.0" style="763"/>
    <col min="11" max="11" customWidth="1" bestFit="1" width="3.0" style="763"/>
    <col min="12" max="12" customWidth="1" bestFit="1" width="3.0" style="763"/>
    <col min="13" max="13" customWidth="1" bestFit="1" width="3.0" style="763"/>
    <col min="14" max="14" customWidth="1" bestFit="1" width="3.0" style="763"/>
    <col min="15" max="15" customWidth="1" bestFit="1" width="3.0" style="763"/>
    <col min="16" max="16" customWidth="1" bestFit="1" width="3.0" style="763"/>
    <col min="17" max="17" customWidth="1" bestFit="1" width="3.0" style="763"/>
    <col min="18" max="18" customWidth="1" bestFit="1" width="3.0" style="763"/>
    <col min="19" max="19" customWidth="1" bestFit="1" width="3.0" style="763"/>
    <col min="20" max="20" customWidth="1" bestFit="1" width="3.0" style="763"/>
    <col min="21" max="21" customWidth="1" bestFit="1" width="3.0" style="763"/>
    <col min="22" max="22" customWidth="1" bestFit="1" width="3.0" style="763"/>
    <col min="23" max="23" customWidth="1" bestFit="1" width="3.0" style="763"/>
    <col min="24" max="24" customWidth="1" bestFit="1" width="3.0" style="763"/>
    <col min="25" max="25" customWidth="1" bestFit="1" width="3.0" style="763"/>
    <col min="26" max="26" customWidth="1" bestFit="1" width="3.0" style="763"/>
    <col min="27" max="27" customWidth="1" bestFit="1" width="3.0" style="763"/>
    <col min="28" max="28" customWidth="1" bestFit="1" width="3.0" style="763"/>
    <col min="29" max="29" customWidth="1" bestFit="1" width="3.0" style="763"/>
    <col min="30" max="30" customWidth="1" bestFit="1" width="3.0" style="763"/>
    <col min="31" max="31" customWidth="1" bestFit="1" width="3.0" style="763"/>
    <col min="32" max="32" customWidth="1" bestFit="1" width="3.0" style="763"/>
    <col min="33" max="33" customWidth="1" bestFit="1" width="3.0" style="763"/>
    <col min="34" max="34" customWidth="1" bestFit="1" width="3.0" style="763"/>
    <col min="35" max="35" customWidth="1" bestFit="1" width="3.0" style="763"/>
    <col min="36" max="36" customWidth="1" bestFit="1" width="3.0" style="763"/>
    <col min="37" max="37" customWidth="1" bestFit="1" width="3.0" style="763"/>
    <col min="38" max="38" customWidth="1" bestFit="1" width="3.0" style="763"/>
    <col min="39" max="39" customWidth="1" bestFit="1" width="3.0" style="763"/>
    <col min="40" max="40" customWidth="1" bestFit="1" width="3.0" style="763"/>
    <col min="41" max="41" customWidth="1" bestFit="1" width="3.0" style="763"/>
    <col min="42" max="42" customWidth="1" bestFit="1" width="3.0" style="763"/>
    <col min="43" max="43" customWidth="1" bestFit="1" width="3.0" style="763"/>
    <col min="44" max="44" customWidth="1" bestFit="1" width="3.0" style="763"/>
    <col min="45" max="45" customWidth="1" bestFit="1" width="3.0" style="763"/>
    <col min="46" max="46" customWidth="1" bestFit="1" width="3.0" style="763"/>
    <col min="47" max="47" customWidth="1" bestFit="1" width="3.0" style="763"/>
    <col min="48" max="48" customWidth="1" bestFit="1" width="3.0" style="763"/>
    <col min="49" max="49" customWidth="1" bestFit="1" width="3.0" style="763"/>
    <col min="50" max="50" customWidth="1" bestFit="1" width="3.0" style="763"/>
    <col min="51" max="51" customWidth="1" bestFit="1" width="3.0" style="763"/>
    <col min="52" max="52" customWidth="1" bestFit="1" width="3.0" style="763"/>
    <col min="53" max="53" customWidth="1" bestFit="1" width="3.0" style="763"/>
    <col min="54" max="54" customWidth="1" bestFit="1" width="3.0" style="763"/>
    <col min="55" max="55" customWidth="1" bestFit="1" width="3.0" style="763"/>
    <col min="56" max="56" customWidth="1" bestFit="1" width="3.0" style="763"/>
    <col min="57" max="57" customWidth="1" bestFit="1" width="3.0" style="763"/>
    <col min="58" max="58" customWidth="1" bestFit="1" width="3.0" style="763"/>
    <col min="59" max="59" customWidth="1" bestFit="1" width="3.0" style="763"/>
    <col min="60" max="60" customWidth="1" bestFit="1" width="3.0" style="763"/>
    <col min="61" max="61" customWidth="1" bestFit="1" width="3.0" style="763"/>
    <col min="62" max="62" customWidth="1" bestFit="1" width="3.0" style="763"/>
    <col min="63" max="63" customWidth="1" bestFit="1" width="3.0" style="763"/>
    <col min="64" max="64" customWidth="1" bestFit="1" width="3.0" style="763"/>
    <col min="65" max="65" customWidth="1" bestFit="1" width="3.0" style="763"/>
    <col min="66" max="66" customWidth="1" bestFit="1" width="3.0" style="763"/>
    <col min="67" max="67" customWidth="1" bestFit="1" width="3.0" style="763"/>
    <col min="68" max="68" customWidth="1" bestFit="1" width="3.0" style="763"/>
    <col min="69" max="69" customWidth="1" bestFit="1" width="3.0" style="763"/>
    <col min="70" max="70" customWidth="1" bestFit="1" width="3.0" style="763"/>
    <col min="71" max="71" customWidth="1" bestFit="1" width="3.0" style="763"/>
    <col min="72" max="72" customWidth="1" bestFit="1" width="3.0" style="763"/>
    <col min="73" max="73" customWidth="1" bestFit="1" width="3.0" style="763"/>
    <col min="74" max="74" customWidth="1" bestFit="1" width="3.0" style="763"/>
    <col min="75" max="75" customWidth="1" bestFit="1" width="3.0" style="763"/>
    <col min="76" max="76" customWidth="1" bestFit="1" width="3.0" style="763"/>
    <col min="77" max="77" customWidth="1" bestFit="1" width="3.0" style="763"/>
    <col min="78" max="78" customWidth="1" bestFit="1" width="3.0" style="763"/>
    <col min="79" max="79" customWidth="1" bestFit="1" width="3.0" style="763"/>
    <col min="80" max="80" customWidth="1" bestFit="1" width="3.0" style="763"/>
    <col min="81" max="81" customWidth="1" bestFit="1" width="3.0" style="763"/>
    <col min="82" max="82" customWidth="1" bestFit="1" width="3.0" style="763"/>
    <col min="83" max="83" customWidth="1" bestFit="1" width="3.0" style="763"/>
    <col min="84" max="84" customWidth="1" bestFit="1" width="3.0" style="763"/>
    <col min="85" max="85" customWidth="1" bestFit="1" width="3.0" style="763"/>
    <col min="86" max="86" customWidth="1" bestFit="1" width="3.0" style="763"/>
    <col min="87" max="87" customWidth="1" bestFit="1" width="3.0" style="763"/>
    <col min="88" max="88" customWidth="1" bestFit="1" width="3.0" style="763"/>
    <col min="89" max="89" customWidth="1" bestFit="1" width="3.0" style="763"/>
    <col min="90" max="90" customWidth="1" bestFit="1" width="3.0" style="763"/>
    <col min="91" max="91" customWidth="1" bestFit="1" width="3.0" style="763"/>
    <col min="92" max="92" customWidth="1" bestFit="1" width="3.0" style="763"/>
    <col min="93" max="93" customWidth="1" bestFit="1" width="3.0" style="763"/>
    <col min="94" max="94" customWidth="1" bestFit="1" width="3.0" style="763"/>
    <col min="95" max="95" customWidth="1" bestFit="1" width="3.0" style="763"/>
    <col min="96" max="96" customWidth="1" bestFit="1" width="3.0" style="763"/>
    <col min="97" max="97" customWidth="1" bestFit="1" width="3.0" style="763"/>
    <col min="98" max="98" customWidth="1" bestFit="1" width="3.0" style="763"/>
    <col min="99" max="99" customWidth="1" bestFit="1" width="3.0" style="763"/>
    <col min="100" max="100" customWidth="1" bestFit="1" width="3.0" style="763"/>
    <col min="101" max="101" customWidth="1" bestFit="1" width="3.0" style="763"/>
    <col min="102" max="102" customWidth="1" bestFit="1" width="3.0" style="763"/>
    <col min="103" max="103" customWidth="1" bestFit="1" width="3.0" style="763"/>
    <col min="104" max="104" customWidth="1" bestFit="1" width="3.0" style="763"/>
    <col min="105" max="105" customWidth="1" bestFit="1" width="3.0" style="763"/>
    <col min="106" max="106" customWidth="1" bestFit="1" width="3.0" style="763"/>
    <col min="107" max="107" customWidth="1" bestFit="1" width="3.0" style="763"/>
    <col min="108" max="108" customWidth="1" bestFit="1" width="3.0" style="763"/>
    <col min="109" max="109" customWidth="1" bestFit="1" width="3.0" style="763"/>
    <col min="110" max="110" customWidth="1" bestFit="1" width="3.0" style="763"/>
    <col min="111" max="111" customWidth="1" bestFit="1" width="3.0" style="763"/>
    <col min="112" max="112" customWidth="1" bestFit="1" width="3.0" style="763"/>
    <col min="113" max="113" customWidth="1" bestFit="1" width="3.0" style="763"/>
    <col min="114" max="114" customWidth="1" bestFit="1" width="3.0" style="763"/>
    <col min="115" max="115" customWidth="1" bestFit="1" width="3.0" style="763"/>
    <col min="116" max="116" customWidth="1" bestFit="1" width="3.0" style="763"/>
    <col min="117" max="117" customWidth="1" bestFit="1" width="3.0" style="763"/>
    <col min="118" max="118" customWidth="1" bestFit="1" width="3.0" style="763"/>
    <col min="119" max="119" customWidth="1" bestFit="1" width="3.0" style="763"/>
    <col min="120" max="120" customWidth="1" bestFit="1" width="3.0" style="763"/>
    <col min="121" max="121" customWidth="1" bestFit="1" width="3.0" style="763"/>
    <col min="122" max="122" customWidth="1" bestFit="1" width="3.0" style="763"/>
    <col min="123" max="123" customWidth="1" bestFit="1" width="3.0" style="763"/>
    <col min="124" max="124" customWidth="1" bestFit="1" width="3.0" style="763"/>
    <col min="125" max="125" customWidth="1" bestFit="1" width="3.0" style="763"/>
    <col min="126" max="126" customWidth="1" bestFit="1" width="3.0" style="763"/>
    <col min="127" max="127" customWidth="1" bestFit="1" width="3.0" style="763"/>
    <col min="128" max="128" customWidth="1" bestFit="1" width="3.0" style="763"/>
    <col min="129" max="129" customWidth="1" bestFit="1" width="3.0" style="763"/>
    <col min="130" max="130" customWidth="1" bestFit="1" width="3.0" style="763"/>
    <col min="131" max="131" customWidth="1" bestFit="1" width="3.0" style="763"/>
    <col min="132" max="132" customWidth="1" bestFit="1" width="3.0" style="763"/>
    <col min="133" max="133" customWidth="1" bestFit="1" width="3.0" style="763"/>
    <col min="134" max="134" customWidth="1" bestFit="1" width="3.0" style="763"/>
    <col min="135" max="135" customWidth="1" bestFit="1" width="3.0" style="763"/>
    <col min="136" max="136" customWidth="1" bestFit="1" width="3.0" style="763"/>
    <col min="137" max="137" customWidth="1" bestFit="1" width="3.0" style="763"/>
    <col min="138" max="138" customWidth="1" bestFit="1" width="3.0" style="763"/>
    <col min="139" max="139" customWidth="1" bestFit="1" width="3.0" style="763"/>
    <col min="140" max="140" customWidth="1" bestFit="1" width="3.0" style="763"/>
    <col min="141" max="141" customWidth="1" bestFit="1" width="3.0" style="763"/>
    <col min="142" max="142" customWidth="1" bestFit="1" width="3.0" style="763"/>
    <col min="143" max="143" customWidth="1" bestFit="1" width="3.0" style="763"/>
    <col min="144" max="144" customWidth="1" bestFit="1" width="3.0" style="763"/>
    <col min="145" max="145" customWidth="1" bestFit="1" width="3.0" style="763"/>
    <col min="146" max="146" customWidth="1" bestFit="1" width="3.0" style="763"/>
    <col min="147" max="147" customWidth="1" bestFit="1" width="3.0" style="763"/>
    <col min="148" max="148" customWidth="1" bestFit="1" width="3.0" style="763"/>
    <col min="149" max="149" customWidth="1" bestFit="1" width="3.0" style="763"/>
    <col min="150" max="150" customWidth="1" bestFit="1" width="3.0" style="763"/>
    <col min="151" max="151" customWidth="1" bestFit="1" width="3.0" style="763"/>
    <col min="152" max="152" customWidth="1" bestFit="1" width="3.0" style="763"/>
    <col min="153" max="153" customWidth="1" bestFit="1" width="3.0" style="763"/>
    <col min="154" max="154" customWidth="1" bestFit="1" width="3.0" style="763"/>
    <col min="155" max="155" customWidth="1" bestFit="1" width="3.0" style="763"/>
    <col min="156" max="156" customWidth="1" bestFit="1" width="3.0" style="763"/>
    <col min="157" max="157" customWidth="1" bestFit="1" width="3.0" style="763"/>
    <col min="158" max="158" customWidth="1" bestFit="1" width="3.0" style="763"/>
    <col min="159" max="159" customWidth="1" bestFit="1" width="3.0" style="763"/>
    <col min="160" max="160" customWidth="1" bestFit="1" width="3.0" style="763"/>
    <col min="161" max="161" customWidth="1" bestFit="1" width="3.0" style="763"/>
    <col min="162" max="162" customWidth="1" bestFit="1" width="3.0" style="763"/>
    <col min="163" max="163" customWidth="1" bestFit="1" width="3.0" style="763"/>
    <col min="164" max="164" customWidth="1" bestFit="1" width="3.0" style="763"/>
    <col min="165" max="165" customWidth="1" bestFit="1" width="3.0" style="763"/>
    <col min="166" max="166" customWidth="1" bestFit="1" width="3.0" style="763"/>
    <col min="167" max="167" customWidth="1" bestFit="1" width="3.0" style="763"/>
    <col min="168" max="168" customWidth="1" bestFit="1" width="3.0" style="763"/>
    <col min="169" max="169" customWidth="1" bestFit="1" width="3.0" style="763"/>
    <col min="170" max="170" customWidth="1" bestFit="1" width="3.0" style="763"/>
    <col min="171" max="171" customWidth="1" bestFit="1" width="3.0" style="763"/>
    <col min="172" max="172" customWidth="1" bestFit="1" width="3.0" style="763"/>
    <col min="173" max="173" customWidth="1" bestFit="1" width="3.0" style="763"/>
    <col min="174" max="174" customWidth="1" bestFit="1" width="3.0" style="763"/>
    <col min="175" max="175" customWidth="1" bestFit="1" width="3.0" style="763"/>
    <col min="176" max="176" customWidth="1" bestFit="1" width="3.0" style="763"/>
    <col min="177" max="177" customWidth="1" bestFit="1" width="3.0" style="763"/>
    <col min="178" max="178" customWidth="1" bestFit="1" width="3.0" style="763"/>
    <col min="179" max="179" customWidth="1" bestFit="1" width="3.0" style="763"/>
    <col min="180" max="180" customWidth="1" bestFit="1" width="3.0" style="763"/>
    <col min="181" max="181" customWidth="1" bestFit="1" width="3.0" style="763"/>
    <col min="182" max="182" customWidth="1" bestFit="1" width="3.0" style="763"/>
    <col min="183" max="183" customWidth="1" bestFit="1" width="3.0" style="763"/>
    <col min="184" max="184" customWidth="1" bestFit="1" width="3.0" style="763"/>
    <col min="185" max="185" customWidth="1" bestFit="1" width="3.0" style="763"/>
    <col min="186" max="186" customWidth="1" bestFit="1" width="3.0" style="763"/>
    <col min="187" max="187" customWidth="1" bestFit="1" width="3.0" style="763"/>
    <col min="188" max="188" customWidth="1" bestFit="1" width="3.0" style="763"/>
    <col min="189" max="189" customWidth="1" bestFit="1" width="3.0" style="763"/>
    <col min="190" max="190" customWidth="1" bestFit="1" width="3.0" style="763"/>
    <col min="191" max="191" customWidth="1" bestFit="1" width="3.0" style="763"/>
    <col min="192" max="192" customWidth="1" bestFit="1" width="3.0" style="763"/>
    <col min="193" max="193" customWidth="1" bestFit="1" width="3.0" style="763"/>
    <col min="194" max="194" customWidth="1" bestFit="1" width="3.0" style="763"/>
    <col min="195" max="195" customWidth="1" bestFit="1" width="3.0" style="763"/>
    <col min="196" max="196" customWidth="1" bestFit="1" width="3.0" style="763"/>
    <col min="197" max="197" customWidth="1" bestFit="1" width="3.0" style="763"/>
    <col min="198" max="198" customWidth="1" bestFit="1" width="3.0" style="763"/>
    <col min="199" max="199" customWidth="1" bestFit="1" width="3.0" style="763"/>
    <col min="200" max="200" customWidth="1" bestFit="1" width="3.0" style="763"/>
    <col min="201" max="201" customWidth="1" bestFit="1" width="3.0" style="763"/>
    <col min="202" max="202" customWidth="1" bestFit="1" width="3.0" style="763"/>
    <col min="203" max="203" customWidth="1" bestFit="1" width="3.0" style="763"/>
    <col min="204" max="204" customWidth="1" bestFit="1" width="3.0" style="763"/>
    <col min="205" max="205" customWidth="1" bestFit="1" width="3.0" style="763"/>
    <col min="206" max="206" customWidth="1" bestFit="1" width="3.0" style="763"/>
    <col min="207" max="207" customWidth="1" bestFit="1" width="3.0" style="763"/>
    <col min="208" max="208" customWidth="1" bestFit="1" width="3.0" style="763"/>
    <col min="209" max="209" customWidth="1" bestFit="1" width="3.0" style="763"/>
    <col min="210" max="210" customWidth="1" bestFit="1" width="3.0" style="763"/>
    <col min="211" max="211" customWidth="1" bestFit="1" width="3.0" style="763"/>
    <col min="212" max="212" customWidth="1" bestFit="1" width="3.0" style="763"/>
    <col min="213" max="213" customWidth="1" bestFit="1" width="3.0" style="763"/>
    <col min="214" max="214" customWidth="1" bestFit="1" width="3.0" style="763"/>
    <col min="215" max="215" customWidth="1" bestFit="1" width="3.0" style="763"/>
    <col min="216" max="216" customWidth="1" bestFit="1" width="3.0" style="763"/>
    <col min="217" max="217" customWidth="1" bestFit="1" width="3.0" style="763"/>
    <col min="218" max="218" customWidth="1" bestFit="1" width="3.0" style="763"/>
    <col min="219" max="219" customWidth="1" bestFit="1" width="3.0" style="763"/>
    <col min="220" max="220" customWidth="1" bestFit="1" width="3.0" style="763"/>
    <col min="221" max="221" customWidth="1" bestFit="1" width="3.0" style="763"/>
    <col min="222" max="222" customWidth="1" bestFit="1" width="3.0" style="763"/>
    <col min="223" max="223" customWidth="1" bestFit="1" width="3.0" style="763"/>
    <col min="224" max="224" customWidth="1" bestFit="1" width="3.0" style="763"/>
    <col min="225" max="225" customWidth="1" bestFit="1" width="3.0" style="763"/>
    <col min="226" max="226" customWidth="1" bestFit="1" width="3.0" style="763"/>
    <col min="227" max="227" customWidth="1" bestFit="1" width="3.0" style="763"/>
    <col min="228" max="228" customWidth="1" bestFit="1" width="3.0" style="763"/>
    <col min="229" max="229" customWidth="1" bestFit="1" width="3.0" style="763"/>
    <col min="230" max="230" customWidth="1" bestFit="1" width="3.0" style="763"/>
    <col min="231" max="231" customWidth="1" bestFit="1" width="3.0" style="763"/>
    <col min="232" max="232" customWidth="1" bestFit="1" width="3.0" style="763"/>
    <col min="233" max="233" customWidth="1" bestFit="1" width="3.0" style="763"/>
    <col min="234" max="234" customWidth="1" bestFit="1" width="3.0" style="763"/>
    <col min="235" max="235" customWidth="1" bestFit="1" width="3.0" style="763"/>
    <col min="236" max="236" customWidth="1" bestFit="1" width="3.0" style="763"/>
    <col min="237" max="237" customWidth="1" bestFit="1" width="3.0" style="763"/>
    <col min="238" max="238" customWidth="1" bestFit="1" width="3.0" style="763"/>
    <col min="239" max="239" customWidth="1" bestFit="1" width="3.0" style="763"/>
    <col min="240" max="240" customWidth="1" bestFit="1" width="3.0" style="763"/>
    <col min="241" max="241" customWidth="1" bestFit="1" width="3.0" style="763"/>
    <col min="242" max="242" customWidth="1" bestFit="1" width="3.0" style="763"/>
    <col min="243" max="243" customWidth="1" bestFit="1" width="3.0" style="763"/>
    <col min="244" max="244" customWidth="1" bestFit="1" width="3.0" style="763"/>
    <col min="245" max="245" customWidth="1" bestFit="1" width="3.0" style="763"/>
    <col min="246" max="246" customWidth="1" bestFit="1" width="3.0" style="763"/>
    <col min="247" max="247" customWidth="1" bestFit="1" width="3.0" style="763"/>
    <col min="248" max="248" customWidth="1" bestFit="1" width="3.0" style="763"/>
    <col min="249" max="249" customWidth="1" bestFit="1" width="3.0" style="763"/>
    <col min="250" max="250" customWidth="1" bestFit="1" width="3.0" style="763"/>
    <col min="251" max="251" customWidth="1" bestFit="1" width="3.0" style="763"/>
    <col min="252" max="252" customWidth="1" bestFit="1" width="3.0" style="763"/>
    <col min="253" max="253" customWidth="1" bestFit="1" width="3.0" style="763"/>
    <col min="254" max="254" customWidth="1" bestFit="1" width="3.0" style="763"/>
    <col min="255" max="255" customWidth="1" bestFit="1" width="3.0" style="763"/>
    <col min="256" max="256" customWidth="1" bestFit="1" width="3.0" style="763"/>
    <col min="257" max="257" customWidth="1" bestFit="1" width="3.0" style="763"/>
    <col min="258" max="258" customWidth="1" bestFit="1" width="3.0" style="763"/>
    <col min="259" max="259" customWidth="1" bestFit="1" width="3.0" style="763"/>
    <col min="260" max="260" customWidth="1" bestFit="1" width="3.0" style="763"/>
    <col min="261" max="261" customWidth="1" bestFit="1" width="3.0" style="763"/>
    <col min="262" max="262" customWidth="1" bestFit="1" width="3.0" style="763"/>
    <col min="263" max="263" customWidth="1" bestFit="1" width="3.0" style="763"/>
    <col min="264" max="264" customWidth="1" bestFit="1" width="3.0" style="763"/>
    <col min="265" max="265" customWidth="1" bestFit="1" width="3.0" style="763"/>
    <col min="266" max="266" customWidth="1" bestFit="1" width="3.0" style="763"/>
    <col min="267" max="267" customWidth="1" bestFit="1" width="3.0" style="763"/>
    <col min="268" max="268" customWidth="1" bestFit="1" width="3.0" style="763"/>
    <col min="269" max="269" customWidth="1" bestFit="1" width="3.0" style="763"/>
    <col min="270" max="270" customWidth="1" bestFit="1" width="3.0" style="763"/>
    <col min="271" max="271" customWidth="1" bestFit="1" width="3.0" style="763"/>
    <col min="272" max="272" customWidth="1" bestFit="1" width="3.0" style="763"/>
    <col min="273" max="273" customWidth="1" bestFit="1" width="3.0" style="763"/>
    <col min="274" max="274" customWidth="1" bestFit="1" width="3.0" style="763"/>
    <col min="275" max="275" customWidth="1" bestFit="1" width="3.0" style="763"/>
    <col min="276" max="276" customWidth="1" bestFit="1" width="3.0" style="763"/>
    <col min="277" max="277" customWidth="1" bestFit="1" width="3.0" style="763"/>
    <col min="278" max="278" customWidth="1" bestFit="1" width="3.0" style="763"/>
    <col min="279" max="279" customWidth="1" bestFit="1" width="3.0" style="763"/>
    <col min="280" max="280" customWidth="1" bestFit="1" width="3.0" style="763"/>
    <col min="281" max="281" customWidth="1" bestFit="1" width="3.0" style="763"/>
    <col min="282" max="282" customWidth="1" bestFit="1" width="3.0" style="763"/>
    <col min="283" max="283" customWidth="1" bestFit="1" width="3.0" style="763"/>
    <col min="284" max="284" customWidth="1" bestFit="1" width="3.0" style="763"/>
    <col min="285" max="285" customWidth="1" bestFit="1" width="3.0" style="763"/>
    <col min="286" max="286" customWidth="1" bestFit="1" width="3.0" style="763"/>
    <col min="287" max="287" customWidth="1" bestFit="1" width="3.0" style="763"/>
    <col min="288" max="288" customWidth="1" bestFit="1" width="3.0" style="763"/>
    <col min="289" max="289" customWidth="1" bestFit="1" width="3.0" style="763"/>
    <col min="290" max="290" customWidth="1" bestFit="1" width="3.0" style="763"/>
    <col min="291" max="291" customWidth="1" bestFit="1" width="3.0" style="763"/>
    <col min="292" max="292" customWidth="1" bestFit="1" width="3.0" style="763"/>
    <col min="293" max="293" customWidth="1" bestFit="1" width="3.0" style="763"/>
    <col min="294" max="294" customWidth="1" bestFit="1" width="3.0" style="763"/>
    <col min="295" max="295" customWidth="1" bestFit="1" width="3.0" style="763"/>
    <col min="296" max="296" customWidth="1" bestFit="1" width="3.0" style="763"/>
    <col min="297" max="297" customWidth="1" bestFit="1" width="3.0" style="763"/>
    <col min="298" max="298" customWidth="1" bestFit="1" width="3.0" style="763"/>
    <col min="299" max="299" customWidth="1" bestFit="1" width="3.0" style="763"/>
    <col min="300" max="300" customWidth="1" bestFit="1" width="3.0" style="763"/>
    <col min="301" max="301" customWidth="1" bestFit="1" width="3.0" style="763"/>
    <col min="302" max="302" customWidth="1" bestFit="1" width="3.0" style="763"/>
    <col min="303" max="303" customWidth="1" bestFit="1" width="3.0" style="763"/>
    <col min="304" max="304" customWidth="1" bestFit="1" width="3.0" style="763"/>
    <col min="305" max="305" customWidth="1" bestFit="1" width="3.0" style="763"/>
    <col min="306" max="306" customWidth="1" bestFit="1" width="3.0" style="763"/>
    <col min="307" max="307" customWidth="1" bestFit="1" width="3.0" style="763"/>
    <col min="308" max="308" customWidth="1" bestFit="1" width="3.0" style="763"/>
    <col min="309" max="309" customWidth="1" bestFit="1" width="3.0" style="763"/>
    <col min="310" max="310" customWidth="1" bestFit="1" width="3.0" style="763"/>
    <col min="311" max="311" customWidth="1" bestFit="1" width="3.0" style="763"/>
    <col min="312" max="312" customWidth="1" bestFit="1" width="3.0" style="763"/>
    <col min="313" max="313" customWidth="1" bestFit="1" width="3.0" style="763"/>
    <col min="314" max="314" customWidth="1" bestFit="1" width="3.0" style="763"/>
    <col min="315" max="315" customWidth="1" bestFit="1" width="3.0" style="763"/>
    <col min="316" max="316" customWidth="1" bestFit="1" width="3.0" style="763"/>
    <col min="317" max="317" customWidth="1" bestFit="1" width="3.0" style="763"/>
    <col min="318" max="318" customWidth="1" bestFit="1" width="3.0" style="763"/>
    <col min="319" max="319" customWidth="1" bestFit="1" width="3.0" style="763"/>
    <col min="320" max="320" customWidth="1" bestFit="1" width="3.0" style="763"/>
    <col min="321" max="321" customWidth="1" bestFit="1" width="3.0" style="763"/>
    <col min="322" max="322" customWidth="1" bestFit="1" width="3.0" style="763"/>
    <col min="323" max="323" customWidth="1" bestFit="1" width="3.0" style="763"/>
    <col min="324" max="324" customWidth="1" bestFit="1" width="3.0" style="763"/>
    <col min="325" max="325" customWidth="1" bestFit="1" width="3.0" style="763"/>
    <col min="326" max="326" customWidth="1" bestFit="1" width="3.0" style="763"/>
    <col min="327" max="327" customWidth="1" bestFit="1" width="3.0" style="763"/>
    <col min="328" max="328" customWidth="1" bestFit="1" width="3.0" style="763"/>
    <col min="329" max="329" customWidth="1" bestFit="1" width="3.0" style="763"/>
    <col min="330" max="330" customWidth="1" bestFit="1" width="3.0" style="763"/>
    <col min="331" max="331" customWidth="1" bestFit="1" width="3.0" style="763"/>
    <col min="332" max="332" customWidth="1" bestFit="1" width="3.0" style="763"/>
    <col min="333" max="333" customWidth="1" bestFit="1" width="3.0" style="763"/>
    <col min="334" max="334" customWidth="1" bestFit="1" width="3.0" style="763"/>
    <col min="335" max="335" customWidth="1" bestFit="1" width="3.0" style="763"/>
    <col min="336" max="336" customWidth="1" bestFit="1" width="3.0" style="763"/>
    <col min="337" max="337" customWidth="1" bestFit="1" width="3.0" style="763"/>
    <col min="338" max="338" customWidth="1" bestFit="1" width="3.0" style="763"/>
    <col min="339" max="339" customWidth="1" bestFit="1" width="3.0" style="763"/>
    <col min="340" max="340" customWidth="1" bestFit="1" width="3.0" style="763"/>
    <col min="341" max="341" customWidth="1" bestFit="1" width="3.0" style="763"/>
    <col min="342" max="342" customWidth="1" bestFit="1" width="3.0" style="763"/>
    <col min="343" max="343" customWidth="1" bestFit="1" width="3.0" style="763"/>
    <col min="344" max="344" customWidth="1" bestFit="1" width="3.0" style="763"/>
    <col min="345" max="345" customWidth="1" bestFit="1" width="3.0" style="763"/>
    <col min="346" max="346" customWidth="1" bestFit="1" width="3.0" style="763"/>
    <col min="347" max="347" customWidth="1" bestFit="1" width="3.0" style="763"/>
    <col min="348" max="348" customWidth="1" bestFit="1" width="3.0" style="763"/>
    <col min="349" max="349" customWidth="1" bestFit="1" width="3.0" style="763"/>
    <col min="350" max="350" customWidth="1" bestFit="1" width="3.0" style="763"/>
    <col min="351" max="351" customWidth="1" bestFit="1" width="3.0" style="763"/>
    <col min="352" max="352" customWidth="1" bestFit="1" width="3.0" style="763"/>
    <col min="353" max="353" customWidth="1" bestFit="1" width="3.0" style="763"/>
    <col min="354" max="354" customWidth="1" bestFit="1" width="3.0" style="763"/>
    <col min="355" max="355" customWidth="1" bestFit="1" width="3.0" style="763"/>
    <col min="356" max="356" customWidth="1" bestFit="1" width="3.0" style="763"/>
    <col min="357" max="357" customWidth="1" bestFit="1" width="3.0" style="763"/>
    <col min="358" max="358" customWidth="1" bestFit="1" width="3.0" style="763"/>
    <col min="359" max="359" customWidth="1" bestFit="1" width="3.0" style="763"/>
    <col min="360" max="360" customWidth="1" bestFit="1" width="3.0" style="763"/>
    <col min="361" max="361" customWidth="1" bestFit="1" width="3.0" style="763"/>
    <col min="362" max="362" customWidth="1" bestFit="1" width="3.0" style="763"/>
    <col min="363" max="363" customWidth="1" bestFit="1" width="3.0" style="763"/>
    <col min="364" max="364" customWidth="1" bestFit="1" width="3.0" style="763"/>
    <col min="365" max="365" customWidth="1" bestFit="1" width="3.0" style="763"/>
    <col min="366" max="366" customWidth="1" bestFit="1" width="3.0" style="763"/>
    <col min="367" max="367" customWidth="1" bestFit="1" width="3.0" style="763"/>
    <col min="368" max="368" customWidth="1" bestFit="1" width="3.0" style="763"/>
    <col min="369" max="369" customWidth="1" bestFit="1" width="3.0" style="763"/>
    <col min="370" max="370" customWidth="1" bestFit="1" width="3.0" style="763"/>
    <col min="371" max="371" customWidth="1" bestFit="1" width="3.0" style="763"/>
    <col min="372" max="372" customWidth="1" bestFit="1" width="3.0" style="763"/>
    <col min="373" max="373" customWidth="1" bestFit="1" width="3.0" style="763"/>
    <col min="374" max="374" customWidth="1" bestFit="1" width="3.0" style="763"/>
    <col min="375" max="375" customWidth="1" bestFit="1" width="3.0" style="763"/>
    <col min="376" max="376" customWidth="1" bestFit="1" width="3.0" style="763"/>
    <col min="377" max="377" customWidth="1" bestFit="1" width="3.0" style="763"/>
    <col min="378" max="378" customWidth="1" bestFit="1" width="3.0" style="763"/>
    <col min="379" max="379" customWidth="1" bestFit="1" width="3.0" style="763"/>
    <col min="380" max="380" customWidth="1" bestFit="1" width="3.0" style="763"/>
    <col min="381" max="381" customWidth="1" bestFit="1" width="3.0" style="763"/>
    <col min="382" max="382" customWidth="1" bestFit="1" width="3.0" style="763"/>
    <col min="383" max="383" customWidth="1" bestFit="1" width="3.0" style="763"/>
    <col min="384" max="384" customWidth="1" bestFit="1" width="3.0" style="763"/>
    <col min="385" max="385" customWidth="1" bestFit="1" width="3.0" style="763"/>
    <col min="386" max="386" customWidth="1" bestFit="1" width="3.0" style="763"/>
    <col min="387" max="387" customWidth="1" bestFit="1" width="3.0" style="763"/>
    <col min="388" max="388" customWidth="1" bestFit="1" width="3.0" style="763"/>
    <col min="389" max="389" customWidth="1" bestFit="1" width="3.0" style="763"/>
    <col min="390" max="390" customWidth="1" bestFit="1" width="3.0" style="763"/>
    <col min="391" max="391" customWidth="1" bestFit="1" width="3.0" style="763"/>
    <col min="392" max="392" customWidth="1" bestFit="1" width="3.0" style="763"/>
    <col min="393" max="393" customWidth="1" bestFit="1" width="3.0" style="763"/>
    <col min="394" max="394" customWidth="1" bestFit="1" width="3.0" style="763"/>
    <col min="395" max="395" customWidth="1" bestFit="1" width="3.0" style="763"/>
    <col min="396" max="396" customWidth="1" bestFit="1" width="3.0" style="763"/>
    <col min="397" max="397" customWidth="1" bestFit="1" width="3.0" style="763"/>
    <col min="398" max="398" customWidth="1" bestFit="1" width="3.0" style="763"/>
    <col min="399" max="399" customWidth="1" bestFit="1" width="3.0" style="763"/>
    <col min="400" max="400" customWidth="1" bestFit="1" width="3.0" style="763"/>
    <col min="401" max="401" customWidth="1" bestFit="1" width="3.0" style="763"/>
    <col min="402" max="402" customWidth="1" bestFit="1" width="3.0" style="763"/>
    <col min="403" max="403" customWidth="1" bestFit="1" width="3.0" style="763"/>
    <col min="404" max="404" customWidth="1" bestFit="1" width="3.0" style="763"/>
    <col min="405" max="405" customWidth="1" bestFit="1" width="3.0" style="763"/>
    <col min="406" max="406" customWidth="1" bestFit="1" width="3.0" style="763"/>
    <col min="407" max="407" customWidth="1" bestFit="1" width="3.0" style="763"/>
    <col min="408" max="408" customWidth="1" bestFit="1" width="3.0" style="763"/>
    <col min="409" max="409" customWidth="1" bestFit="1" width="3.0" style="763"/>
    <col min="410" max="410" customWidth="1" bestFit="1" width="3.0" style="763"/>
    <col min="411" max="411" customWidth="1" bestFit="1" width="3.0" style="763"/>
    <col min="412" max="412" customWidth="1" bestFit="1" width="3.0" style="763"/>
    <col min="413" max="413" customWidth="1" bestFit="1" width="3.0" style="763"/>
    <col min="414" max="414" customWidth="1" bestFit="1" width="3.0" style="763"/>
    <col min="415" max="415" customWidth="1" bestFit="1" width="3.0" style="763"/>
    <col min="416" max="416" customWidth="1" bestFit="1" width="3.0" style="763"/>
    <col min="417" max="417" customWidth="1" bestFit="1" width="3.0" style="763"/>
    <col min="418" max="418" customWidth="1" bestFit="1" width="3.0" style="763"/>
    <col min="419" max="419" customWidth="1" bestFit="1" width="3.0" style="763"/>
    <col min="420" max="420" customWidth="1" bestFit="1" width="3.0" style="763"/>
    <col min="421" max="421" customWidth="1" bestFit="1" width="3.0" style="763"/>
    <col min="422" max="422" customWidth="1" bestFit="1" width="3.0" style="763"/>
    <col min="423" max="423" customWidth="1" bestFit="1" width="3.0" style="763"/>
    <col min="424" max="424" customWidth="1" bestFit="1" width="3.0" style="763"/>
    <col min="425" max="425" customWidth="1" bestFit="1" width="3.0" style="763"/>
    <col min="426" max="426" customWidth="1" bestFit="1" width="3.0" style="763"/>
    <col min="427" max="427" customWidth="1" bestFit="1" width="3.0" style="763"/>
    <col min="428" max="428" customWidth="1" bestFit="1" width="3.0" style="763"/>
    <col min="429" max="429" customWidth="1" bestFit="1" width="3.0" style="763"/>
    <col min="430" max="430" customWidth="1" bestFit="1" width="3.0" style="763"/>
    <col min="431" max="431" customWidth="1" bestFit="1" width="3.0" style="763"/>
    <col min="432" max="432" customWidth="1" bestFit="1" width="3.0" style="763"/>
    <col min="433" max="433" customWidth="1" bestFit="1" width="3.0" style="763"/>
    <col min="434" max="434" customWidth="1" bestFit="1" width="3.0" style="763"/>
    <col min="435" max="435" customWidth="1" bestFit="1" width="3.0" style="763"/>
    <col min="436" max="436" customWidth="1" bestFit="1" width="3.0" style="763"/>
    <col min="437" max="437" customWidth="1" bestFit="1" width="3.0" style="763"/>
    <col min="438" max="438" customWidth="1" bestFit="1" width="3.0" style="763"/>
    <col min="439" max="439" customWidth="1" bestFit="1" width="3.0" style="763"/>
    <col min="440" max="440" customWidth="1" bestFit="1" width="3.0" style="763"/>
    <col min="441" max="441" customWidth="1" bestFit="1" width="3.0" style="763"/>
    <col min="442" max="442" customWidth="1" bestFit="1" width="3.0" style="763"/>
    <col min="443" max="443" customWidth="1" bestFit="1" width="3.0" style="763"/>
    <col min="444" max="444" customWidth="1" bestFit="1" width="3.0" style="763"/>
    <col min="445" max="445" customWidth="1" bestFit="1" width="3.0" style="763"/>
    <col min="446" max="446" customWidth="1" bestFit="1" width="3.0" style="763"/>
    <col min="447" max="447" customWidth="1" bestFit="1" width="3.0" style="763"/>
    <col min="448" max="448" customWidth="1" bestFit="1" width="3.0" style="763"/>
    <col min="449" max="449" customWidth="1" bestFit="1" width="3.0" style="763"/>
    <col min="450" max="450" customWidth="1" bestFit="1" width="3.0" style="763"/>
    <col min="451" max="451" customWidth="1" bestFit="1" width="3.0" style="763"/>
    <col min="452" max="452" customWidth="1" bestFit="1" width="3.0" style="763"/>
    <col min="453" max="453" customWidth="1" bestFit="1" width="3.0" style="763"/>
    <col min="454" max="454" customWidth="1" bestFit="1" width="3.0" style="763"/>
    <col min="455" max="455" customWidth="1" bestFit="1" width="3.0" style="763"/>
    <col min="456" max="456" customWidth="1" bestFit="1" width="3.0" style="763"/>
    <col min="457" max="457" customWidth="1" bestFit="1" width="3.0" style="763"/>
    <col min="458" max="458" customWidth="1" bestFit="1" width="3.0" style="763"/>
    <col min="459" max="459" customWidth="1" bestFit="1" width="3.0" style="763"/>
    <col min="460" max="460" customWidth="1" bestFit="1" width="3.0" style="763"/>
    <col min="461" max="461" customWidth="1" bestFit="1" width="3.0" style="763"/>
    <col min="462" max="462" customWidth="1" bestFit="1" width="3.0" style="763"/>
    <col min="463" max="463" customWidth="1" bestFit="1" width="3.0" style="763"/>
    <col min="464" max="464" customWidth="1" bestFit="1" width="3.0" style="763"/>
    <col min="465" max="465" customWidth="1" bestFit="1" width="3.0" style="763"/>
    <col min="466" max="466" customWidth="1" bestFit="1" width="3.0" style="763"/>
    <col min="467" max="467" customWidth="1" bestFit="1" width="3.0" style="763"/>
    <col min="468" max="468" customWidth="1" bestFit="1" width="3.0" style="763"/>
    <col min="469" max="469" customWidth="1" bestFit="1" width="3.0" style="763"/>
    <col min="470" max="470" customWidth="1" bestFit="1" width="3.0" style="763"/>
    <col min="471" max="471" customWidth="1" bestFit="1" width="3.0" style="763"/>
    <col min="472" max="472" customWidth="1" bestFit="1" width="3.0" style="763"/>
    <col min="473" max="473" customWidth="1" bestFit="1" width="3.0" style="763"/>
    <col min="474" max="474" customWidth="1" bestFit="1" width="3.0" style="763"/>
    <col min="475" max="475" customWidth="1" bestFit="1" width="3.0" style="763"/>
    <col min="476" max="476" customWidth="1" bestFit="1" width="3.0" style="763"/>
    <col min="477" max="477" customWidth="1" bestFit="1" width="3.0" style="763"/>
    <col min="478" max="478" customWidth="1" bestFit="1" width="3.0" style="763"/>
    <col min="479" max="479" customWidth="1" bestFit="1" width="3.0" style="763"/>
    <col min="480" max="480" customWidth="1" bestFit="1" width="3.0" style="763"/>
    <col min="481" max="481" customWidth="1" bestFit="1" width="3.0" style="763"/>
    <col min="482" max="482" customWidth="1" bestFit="1" width="3.0" style="763"/>
    <col min="483" max="483" customWidth="1" bestFit="1" width="3.0" style="763"/>
    <col min="484" max="484" customWidth="1" bestFit="1" width="3.0" style="763"/>
    <col min="485" max="485" customWidth="1" bestFit="1" width="3.0" style="763"/>
    <col min="486" max="486" customWidth="1" bestFit="1" width="3.0" style="763"/>
    <col min="487" max="487" customWidth="1" bestFit="1" width="3.0" style="763"/>
    <col min="488" max="488" customWidth="1" bestFit="1" width="3.0" style="763"/>
    <col min="489" max="489" customWidth="1" bestFit="1" width="3.0" style="763"/>
    <col min="490" max="490" customWidth="1" bestFit="1" width="3.0" style="763"/>
    <col min="491" max="491" customWidth="1" bestFit="1" width="3.0" style="763"/>
    <col min="492" max="492" customWidth="1" bestFit="1" width="3.0" style="763"/>
    <col min="493" max="493" customWidth="1" bestFit="1" width="3.0" style="763"/>
    <col min="494" max="494" customWidth="1" bestFit="1" width="3.0" style="763"/>
    <col min="495" max="495" customWidth="1" bestFit="1" width="3.0" style="763"/>
    <col min="496" max="496" customWidth="1" bestFit="1" width="3.0" style="763"/>
    <col min="497" max="497" customWidth="1" bestFit="1" width="3.0" style="763"/>
    <col min="498" max="498" customWidth="1" bestFit="1" width="3.0" style="763"/>
    <col min="499" max="499" customWidth="1" bestFit="1" width="3.0" style="763"/>
    <col min="500" max="500" customWidth="1" bestFit="1" width="3.0" style="763"/>
    <col min="501" max="501" customWidth="1" bestFit="1" width="3.0" style="763"/>
    <col min="502" max="502" customWidth="1" bestFit="1" width="3.0" style="763"/>
    <col min="503" max="503" customWidth="1" bestFit="1" width="3.0" style="763"/>
    <col min="504" max="504" customWidth="1" bestFit="1" width="3.0" style="763"/>
    <col min="505" max="505" customWidth="1" bestFit="1" width="3.0" style="763"/>
    <col min="506" max="506" customWidth="1" bestFit="1" width="3.0" style="763"/>
    <col min="507" max="507" customWidth="1" bestFit="1" width="3.0" style="763"/>
    <col min="508" max="508" customWidth="1" bestFit="1" width="3.0" style="763"/>
    <col min="509" max="509" customWidth="1" bestFit="1" width="3.0" style="763"/>
    <col min="510" max="510" customWidth="1" bestFit="1" width="3.0" style="763"/>
    <col min="511" max="511" customWidth="1" bestFit="1" width="3.0" style="763"/>
    <col min="512" max="512" customWidth="1" bestFit="1" width="3.0" style="763"/>
    <col min="513" max="513" customWidth="1" bestFit="1" width="3.0" style="763"/>
    <col min="514" max="514" customWidth="1" bestFit="1" width="3.0" style="763"/>
    <col min="515" max="515" customWidth="1" bestFit="1" width="3.0" style="763"/>
    <col min="516" max="516" customWidth="1" bestFit="1" width="3.0" style="763"/>
    <col min="517" max="517" customWidth="1" bestFit="1" width="3.0" style="763"/>
    <col min="518" max="518" customWidth="1" bestFit="1" width="3.0" style="763"/>
    <col min="519" max="519" customWidth="1" bestFit="1" width="3.0" style="763"/>
    <col min="520" max="520" customWidth="1" bestFit="1" width="3.0" style="763"/>
    <col min="521" max="521" customWidth="1" bestFit="1" width="3.0" style="763"/>
    <col min="522" max="522" customWidth="1" bestFit="1" width="3.0" style="763"/>
    <col min="523" max="523" customWidth="1" bestFit="1" width="3.0" style="763"/>
    <col min="524" max="524" customWidth="1" bestFit="1" width="3.0" style="763"/>
    <col min="525" max="525" customWidth="1" bestFit="1" width="3.0" style="763"/>
    <col min="526" max="526" customWidth="1" bestFit="1" width="3.0" style="763"/>
    <col min="527" max="527" customWidth="1" bestFit="1" width="3.0" style="763"/>
    <col min="528" max="528" customWidth="1" bestFit="1" width="3.0" style="763"/>
    <col min="529" max="529" customWidth="1" bestFit="1" width="3.0" style="763"/>
    <col min="530" max="530" customWidth="1" bestFit="1" width="3.0" style="763"/>
    <col min="531" max="531" customWidth="1" bestFit="1" width="3.0" style="763"/>
    <col min="532" max="532" customWidth="1" bestFit="1" width="3.0" style="763"/>
    <col min="533" max="533" customWidth="1" bestFit="1" width="3.0" style="763"/>
    <col min="534" max="534" customWidth="1" bestFit="1" width="3.0" style="763"/>
    <col min="535" max="535" customWidth="1" bestFit="1" width="3.0" style="763"/>
    <col min="536" max="536" customWidth="1" bestFit="1" width="3.0" style="763"/>
    <col min="537" max="537" customWidth="1" bestFit="1" width="3.0" style="763"/>
    <col min="538" max="538" customWidth="1" bestFit="1" width="3.0" style="763"/>
    <col min="539" max="539" customWidth="1" bestFit="1" width="3.0" style="763"/>
    <col min="540" max="540" customWidth="1" bestFit="1" width="3.0" style="763"/>
    <col min="541" max="541" customWidth="1" bestFit="1" width="3.0" style="763"/>
    <col min="542" max="542" customWidth="1" bestFit="1" width="3.0" style="763"/>
    <col min="543" max="543" customWidth="1" bestFit="1" width="3.0" style="763"/>
    <col min="544" max="544" customWidth="1" bestFit="1" width="3.0" style="763"/>
    <col min="545" max="545" customWidth="1" bestFit="1" width="3.0" style="763"/>
    <col min="546" max="546" customWidth="1" bestFit="1" width="3.0" style="763"/>
    <col min="547" max="547" customWidth="1" bestFit="1" width="3.0" style="763"/>
    <col min="548" max="548" customWidth="1" bestFit="1" width="3.0" style="763"/>
    <col min="549" max="549" customWidth="1" bestFit="1" width="3.0" style="763"/>
    <col min="550" max="550" customWidth="1" bestFit="1" width="3.0" style="763"/>
    <col min="551" max="551" customWidth="1" bestFit="1" width="3.0" style="763"/>
    <col min="552" max="552" customWidth="1" bestFit="1" width="3.0" style="763"/>
    <col min="553" max="553" customWidth="1" bestFit="1" width="3.0" style="763"/>
    <col min="554" max="554" customWidth="1" bestFit="1" width="3.0" style="763"/>
    <col min="555" max="555" customWidth="1" bestFit="1" width="3.0" style="763"/>
    <col min="556" max="556" customWidth="1" bestFit="1" width="3.0" style="763"/>
    <col min="557" max="557" customWidth="1" bestFit="1" width="3.0" style="763"/>
    <col min="558" max="558" customWidth="1" bestFit="1" width="3.0" style="763"/>
    <col min="559" max="559" customWidth="1" bestFit="1" width="3.0" style="763"/>
    <col min="560" max="560" customWidth="1" bestFit="1" width="3.0" style="763"/>
    <col min="561" max="561" customWidth="1" bestFit="1" width="3.0" style="763"/>
    <col min="562" max="562" customWidth="1" bestFit="1" width="3.0" style="763"/>
    <col min="563" max="563" customWidth="1" bestFit="1" width="3.0" style="763"/>
    <col min="564" max="564" customWidth="1" bestFit="1" width="3.0" style="763"/>
    <col min="565" max="565" customWidth="1" bestFit="1" width="3.0" style="763"/>
    <col min="566" max="566" customWidth="1" bestFit="1" width="3.0" style="763"/>
    <col min="567" max="567" customWidth="1" bestFit="1" width="3.0" style="763"/>
    <col min="568" max="568" customWidth="1" bestFit="1" width="3.0" style="763"/>
    <col min="569" max="569" customWidth="1" bestFit="1" width="3.0" style="763"/>
    <col min="570" max="570" customWidth="1" bestFit="1" width="3.0" style="763"/>
    <col min="571" max="571" customWidth="1" bestFit="1" width="3.0" style="763"/>
    <col min="572" max="572" customWidth="1" bestFit="1" width="3.0" style="763"/>
    <col min="573" max="573" customWidth="1" bestFit="1" width="3.0" style="763"/>
    <col min="574" max="574" customWidth="1" bestFit="1" width="3.0" style="763"/>
    <col min="575" max="575" customWidth="1" bestFit="1" width="3.0" style="763"/>
    <col min="576" max="576" customWidth="1" bestFit="1" width="3.0" style="763"/>
    <col min="577" max="577" customWidth="1" bestFit="1" width="3.0" style="763"/>
    <col min="578" max="578" customWidth="1" bestFit="1" width="3.0" style="763"/>
    <col min="579" max="579" customWidth="1" bestFit="1" width="3.0" style="763"/>
    <col min="580" max="580" customWidth="1" bestFit="1" width="3.0" style="763"/>
    <col min="581" max="581" customWidth="1" bestFit="1" width="3.0" style="763"/>
    <col min="582" max="582" customWidth="1" bestFit="1" width="3.0" style="763"/>
    <col min="583" max="583" customWidth="1" bestFit="1" width="3.0" style="763"/>
    <col min="584" max="584" customWidth="1" bestFit="1" width="3.0" style="763"/>
    <col min="585" max="585" customWidth="1" bestFit="1" width="3.0" style="763"/>
    <col min="586" max="586" customWidth="1" bestFit="1" width="3.0" style="763"/>
    <col min="587" max="587" customWidth="1" bestFit="1" width="3.0" style="763"/>
    <col min="588" max="588" customWidth="1" bestFit="1" width="3.0" style="763"/>
    <col min="589" max="589" customWidth="1" bestFit="1" width="3.0" style="763"/>
    <col min="590" max="590" customWidth="1" bestFit="1" width="3.0" style="763"/>
    <col min="591" max="591" customWidth="1" bestFit="1" width="3.0" style="763"/>
    <col min="592" max="592" customWidth="1" bestFit="1" width="3.0" style="763"/>
    <col min="593" max="593" customWidth="1" bestFit="1" width="3.0" style="763"/>
    <col min="594" max="594" customWidth="1" bestFit="1" width="3.0" style="763"/>
    <col min="595" max="595" customWidth="1" bestFit="1" width="3.0" style="763"/>
    <col min="596" max="596" customWidth="1" bestFit="1" width="3.0" style="763"/>
    <col min="597" max="597" customWidth="1" bestFit="1" width="3.0" style="763"/>
    <col min="598" max="598" customWidth="1" bestFit="1" width="3.0" style="763"/>
    <col min="599" max="599" customWidth="1" bestFit="1" width="3.0" style="763"/>
    <col min="600" max="600" customWidth="1" bestFit="1" width="3.0" style="763"/>
    <col min="601" max="601" customWidth="1" bestFit="1" width="3.0" style="763"/>
    <col min="602" max="602" customWidth="1" bestFit="1" width="3.0" style="763"/>
    <col min="603" max="603" customWidth="1" bestFit="1" width="3.0" style="763"/>
    <col min="604" max="604" customWidth="1" bestFit="1" width="3.0" style="763"/>
    <col min="605" max="605" customWidth="1" bestFit="1" width="3.0" style="763"/>
    <col min="606" max="606" customWidth="1" bestFit="1" width="3.0" style="763"/>
    <col min="607" max="607" customWidth="1" bestFit="1" width="3.0" style="763"/>
    <col min="608" max="608" customWidth="1" bestFit="1" width="3.0" style="763"/>
    <col min="609" max="609" customWidth="1" bestFit="1" width="3.0" style="763"/>
    <col min="610" max="610" customWidth="1" bestFit="1" width="3.0" style="763"/>
    <col min="611" max="611" customWidth="1" bestFit="1" width="3.0" style="763"/>
    <col min="612" max="612" customWidth="1" bestFit="1" width="3.0" style="763"/>
    <col min="613" max="613" customWidth="1" bestFit="1" width="3.0" style="763"/>
    <col min="614" max="614" customWidth="1" bestFit="1" width="3.0" style="763"/>
    <col min="615" max="615" customWidth="1" bestFit="1" width="3.0" style="763"/>
    <col min="616" max="616" customWidth="1" bestFit="1" width="3.0" style="763"/>
    <col min="617" max="617" customWidth="1" bestFit="1" width="3.0" style="763"/>
    <col min="618" max="618" customWidth="1" bestFit="1" width="3.0" style="763"/>
    <col min="619" max="619" customWidth="1" bestFit="1" width="3.0" style="763"/>
    <col min="620" max="620" customWidth="1" bestFit="1" width="3.0" style="763"/>
    <col min="621" max="621" customWidth="1" bestFit="1" width="3.0" style="763"/>
    <col min="622" max="622" customWidth="1" bestFit="1" width="3.0" style="763"/>
    <col min="623" max="623" customWidth="1" bestFit="1" width="3.0" style="763"/>
    <col min="624" max="624" customWidth="1" bestFit="1" width="3.0" style="763"/>
    <col min="625" max="625" customWidth="1" bestFit="1" width="3.0" style="763"/>
    <col min="626" max="626" customWidth="1" bestFit="1" width="3.0" style="763"/>
    <col min="627" max="627" customWidth="1" bestFit="1" width="3.0" style="763"/>
    <col min="628" max="628" customWidth="1" bestFit="1" width="3.0" style="763"/>
    <col min="629" max="629" customWidth="1" bestFit="1" width="3.0" style="763"/>
    <col min="630" max="630" customWidth="1" bestFit="1" width="3.0" style="763"/>
    <col min="631" max="631" customWidth="1" bestFit="1" width="3.0" style="763"/>
    <col min="632" max="632" customWidth="1" bestFit="1" width="3.0" style="763"/>
    <col min="633" max="633" customWidth="1" bestFit="1" width="3.0" style="763"/>
    <col min="634" max="634" customWidth="1" bestFit="1" width="3.0" style="763"/>
    <col min="635" max="635" customWidth="1" bestFit="1" width="3.0" style="763"/>
    <col min="636" max="636" customWidth="1" bestFit="1" width="3.0" style="763"/>
    <col min="637" max="637" customWidth="1" bestFit="1" width="3.0" style="763"/>
    <col min="638" max="638" customWidth="1" bestFit="1" width="3.0" style="763"/>
    <col min="639" max="639" customWidth="1" bestFit="1" width="3.0" style="763"/>
    <col min="640" max="640" customWidth="1" bestFit="1" width="3.0" style="763"/>
    <col min="641" max="641" customWidth="1" bestFit="1" width="3.0" style="763"/>
    <col min="642" max="642" customWidth="1" bestFit="1" width="3.0" style="763"/>
    <col min="643" max="643" customWidth="1" bestFit="1" width="3.0" style="763"/>
    <col min="644" max="644" customWidth="1" bestFit="1" width="3.0" style="763"/>
    <col min="645" max="645" customWidth="1" bestFit="1" width="3.0" style="763"/>
    <col min="646" max="646" customWidth="1" bestFit="1" width="3.0" style="763"/>
    <col min="647" max="647" customWidth="1" bestFit="1" width="3.0" style="763"/>
    <col min="648" max="648" customWidth="1" bestFit="1" width="3.0" style="763"/>
    <col min="649" max="649" customWidth="1" bestFit="1" width="3.0" style="763"/>
    <col min="650" max="650" customWidth="1" bestFit="1" width="3.0" style="763"/>
    <col min="651" max="651" customWidth="1" bestFit="1" width="3.0" style="763"/>
    <col min="652" max="652" customWidth="1" bestFit="1" width="3.0" style="763"/>
    <col min="653" max="653" customWidth="1" bestFit="1" width="3.0" style="763"/>
    <col min="654" max="654" customWidth="1" bestFit="1" width="3.0" style="763"/>
    <col min="655" max="655" customWidth="1" bestFit="1" width="3.0" style="763"/>
    <col min="656" max="656" customWidth="1" bestFit="1" width="3.0" style="763"/>
    <col min="657" max="657" customWidth="1" bestFit="1" width="3.0" style="763"/>
    <col min="658" max="658" customWidth="1" bestFit="1" width="3.0" style="763"/>
    <col min="659" max="659" customWidth="1" bestFit="1" width="3.0" style="763"/>
    <col min="660" max="660" customWidth="1" bestFit="1" width="3.0" style="763"/>
    <col min="661" max="661" customWidth="1" bestFit="1" width="3.0" style="763"/>
    <col min="662" max="662" customWidth="1" bestFit="1" width="3.0" style="763"/>
    <col min="663" max="663" customWidth="1" bestFit="1" width="3.0" style="763"/>
    <col min="664" max="664" customWidth="1" bestFit="1" width="3.0" style="763"/>
    <col min="665" max="665" customWidth="1" bestFit="1" width="3.0" style="763"/>
    <col min="666" max="666" customWidth="1" bestFit="1" width="3.0" style="763"/>
    <col min="667" max="667" customWidth="1" bestFit="1" width="3.0" style="763"/>
    <col min="668" max="668" customWidth="1" bestFit="1" width="3.0" style="763"/>
    <col min="669" max="669" customWidth="1" bestFit="1" width="3.0" style="763"/>
    <col min="670" max="670" customWidth="1" bestFit="1" width="3.0" style="763"/>
    <col min="671" max="671" customWidth="1" bestFit="1" width="3.0" style="763"/>
    <col min="672" max="672" customWidth="1" bestFit="1" width="3.0" style="763"/>
    <col min="673" max="673" customWidth="1" bestFit="1" width="3.0" style="763"/>
    <col min="674" max="674" customWidth="1" bestFit="1" width="3.0" style="763"/>
    <col min="675" max="675" customWidth="1" bestFit="1" width="3.0" style="763"/>
    <col min="676" max="676" customWidth="1" bestFit="1" width="3.0" style="763"/>
    <col min="677" max="677" customWidth="1" bestFit="1" width="3.0" style="763"/>
    <col min="678" max="678" customWidth="1" bestFit="1" width="3.0" style="763"/>
    <col min="679" max="679" customWidth="1" bestFit="1" width="3.0" style="763"/>
    <col min="680" max="680" customWidth="1" bestFit="1" width="3.0" style="763"/>
    <col min="681" max="681" customWidth="1" bestFit="1" width="3.0" style="763"/>
    <col min="682" max="682" customWidth="1" bestFit="1" width="3.0" style="763"/>
    <col min="683" max="683" customWidth="1" bestFit="1" width="3.0" style="763"/>
    <col min="684" max="684" customWidth="1" bestFit="1" width="3.0" style="763"/>
    <col min="685" max="685" customWidth="1" bestFit="1" width="3.0" style="763"/>
    <col min="686" max="686" customWidth="1" bestFit="1" width="3.0" style="763"/>
    <col min="687" max="687" customWidth="1" bestFit="1" width="3.0" style="763"/>
    <col min="688" max="688" customWidth="1" bestFit="1" width="3.0" style="763"/>
    <col min="689" max="689" customWidth="1" bestFit="1" width="3.0" style="763"/>
    <col min="690" max="690" customWidth="1" bestFit="1" width="3.0" style="763"/>
    <col min="691" max="691" customWidth="1" bestFit="1" width="3.0" style="763"/>
    <col min="692" max="692" customWidth="1" bestFit="1" width="3.0" style="763"/>
    <col min="693" max="693" customWidth="1" bestFit="1" width="3.0" style="763"/>
    <col min="694" max="694" customWidth="1" bestFit="1" width="3.0" style="763"/>
    <col min="695" max="695" customWidth="1" bestFit="1" width="3.0" style="763"/>
    <col min="696" max="696" customWidth="1" bestFit="1" width="3.0" style="763"/>
    <col min="697" max="697" customWidth="1" bestFit="1" width="3.0" style="763"/>
    <col min="698" max="698" customWidth="1" bestFit="1" width="3.0" style="763"/>
    <col min="699" max="699" customWidth="1" bestFit="1" width="3.0" style="763"/>
    <col min="700" max="700" customWidth="1" bestFit="1" width="3.0" style="763"/>
    <col min="701" max="701" customWidth="1" bestFit="1" width="3.0" style="763"/>
    <col min="702" max="702" customWidth="1" bestFit="1" width="3.0" style="763"/>
    <col min="703" max="703" customWidth="1" bestFit="1" width="3.0" style="763"/>
    <col min="704" max="704" customWidth="1" bestFit="1" width="3.0" style="763"/>
    <col min="705" max="705" customWidth="1" bestFit="1" width="3.0" style="763"/>
    <col min="706" max="706" customWidth="1" bestFit="1" width="3.0" style="763"/>
    <col min="707" max="707" customWidth="1" bestFit="1" width="3.0" style="763"/>
    <col min="708" max="708" customWidth="1" bestFit="1" width="3.0" style="763"/>
    <col min="709" max="709" customWidth="1" bestFit="1" width="3.0" style="763"/>
    <col min="710" max="710" customWidth="1" bestFit="1" width="3.0" style="763"/>
    <col min="711" max="711" customWidth="1" bestFit="1" width="3.0" style="763"/>
    <col min="712" max="712" customWidth="1" bestFit="1" width="3.0" style="763"/>
    <col min="713" max="713" customWidth="1" bestFit="1" width="3.0" style="763"/>
    <col min="714" max="714" customWidth="1" bestFit="1" width="3.0" style="763"/>
    <col min="715" max="715" customWidth="1" bestFit="1" width="3.0" style="763"/>
    <col min="716" max="716" customWidth="1" bestFit="1" width="3.0" style="763"/>
    <col min="717" max="717" customWidth="1" bestFit="1" width="3.0" style="763"/>
    <col min="718" max="718" customWidth="1" bestFit="1" width="3.0" style="763"/>
    <col min="719" max="719" customWidth="1" bestFit="1" width="3.0" style="763"/>
    <col min="720" max="720" customWidth="1" bestFit="1" width="3.0" style="763"/>
    <col min="721" max="721" customWidth="1" bestFit="1" width="3.0" style="763"/>
    <col min="722" max="722" customWidth="1" bestFit="1" width="3.0" style="763"/>
    <col min="723" max="723" customWidth="1" bestFit="1" width="3.0" style="763"/>
    <col min="724" max="724" customWidth="1" bestFit="1" width="3.0" style="763"/>
    <col min="725" max="725" customWidth="1" bestFit="1" width="3.0" style="763"/>
    <col min="726" max="726" customWidth="1" bestFit="1" width="3.0" style="763"/>
    <col min="727" max="727" customWidth="1" bestFit="1" width="3.0" style="763"/>
    <col min="728" max="728" customWidth="1" bestFit="1" width="3.0" style="763"/>
    <col min="729" max="729" customWidth="1" bestFit="1" width="3.0" style="763"/>
    <col min="730" max="730" customWidth="1" bestFit="1" width="3.0" style="763"/>
    <col min="731" max="731" customWidth="1" bestFit="1" width="3.0" style="763"/>
    <col min="732" max="732" customWidth="1" bestFit="1" width="3.0" style="763"/>
    <col min="733" max="733" customWidth="1" bestFit="1" width="3.0" style="763"/>
    <col min="734" max="734" customWidth="1" bestFit="1" width="3.0" style="763"/>
    <col min="735" max="735" customWidth="1" bestFit="1" width="3.0" style="763"/>
    <col min="736" max="736" customWidth="1" bestFit="1" width="3.0" style="763"/>
    <col min="737" max="737" customWidth="1" bestFit="1" width="3.0" style="763"/>
    <col min="738" max="738" customWidth="1" bestFit="1" width="3.0" style="763"/>
    <col min="739" max="739" customWidth="1" bestFit="1" width="3.0" style="763"/>
    <col min="740" max="740" customWidth="1" bestFit="1" width="3.0" style="763"/>
    <col min="741" max="741" customWidth="1" bestFit="1" width="3.0" style="763"/>
    <col min="742" max="742" customWidth="1" bestFit="1" width="3.0" style="763"/>
    <col min="743" max="743" customWidth="1" bestFit="1" width="3.0" style="763"/>
    <col min="744" max="744" customWidth="1" bestFit="1" width="3.0" style="763"/>
    <col min="745" max="745" customWidth="1" bestFit="1" width="3.0" style="763"/>
    <col min="746" max="746" customWidth="1" bestFit="1" width="3.0" style="763"/>
    <col min="747" max="747" customWidth="1" bestFit="1" width="3.0" style="763"/>
    <col min="748" max="748" customWidth="1" bestFit="1" width="3.0" style="763"/>
    <col min="749" max="749" customWidth="1" bestFit="1" width="3.0" style="763"/>
    <col min="750" max="750" customWidth="1" bestFit="1" width="3.0" style="763"/>
    <col min="751" max="751" customWidth="1" bestFit="1" width="3.0" style="763"/>
    <col min="752" max="752" customWidth="1" bestFit="1" width="3.0" style="763"/>
    <col min="753" max="753" customWidth="1" bestFit="1" width="3.0" style="763"/>
    <col min="754" max="754" customWidth="1" bestFit="1" width="3.0" style="763"/>
    <col min="755" max="755" customWidth="1" bestFit="1" width="3.0" style="763"/>
    <col min="756" max="756" customWidth="1" bestFit="1" width="3.0" style="763"/>
    <col min="757" max="757" customWidth="1" bestFit="1" width="3.0" style="763"/>
    <col min="758" max="758" customWidth="1" bestFit="1" width="3.0" style="763"/>
    <col min="759" max="759" customWidth="1" bestFit="1" width="3.0" style="763"/>
    <col min="760" max="760" customWidth="1" bestFit="1" width="3.0" style="763"/>
    <col min="761" max="761" customWidth="1" bestFit="1" width="3.0" style="763"/>
    <col min="762" max="762" customWidth="1" bestFit="1" width="3.0" style="763"/>
    <col min="763" max="763" customWidth="1" bestFit="1" width="3.0" style="763"/>
    <col min="764" max="764" customWidth="1" bestFit="1" width="3.0" style="763"/>
    <col min="765" max="765" customWidth="1" bestFit="1" width="3.0" style="763"/>
    <col min="766" max="766" customWidth="1" bestFit="1" width="3.0" style="763"/>
    <col min="767" max="767" customWidth="1" bestFit="1" width="3.0" style="763"/>
    <col min="768" max="768" customWidth="1" bestFit="1" width="3.0" style="763"/>
    <col min="769" max="769" customWidth="1" bestFit="1" width="3.0" style="763"/>
    <col min="770" max="770" customWidth="1" bestFit="1" width="3.0" style="763"/>
    <col min="771" max="771" customWidth="1" bestFit="1" width="3.0" style="763"/>
    <col min="772" max="772" customWidth="1" bestFit="1" width="3.0" style="763"/>
    <col min="773" max="773" customWidth="1" bestFit="1" width="3.0" style="763"/>
    <col min="774" max="774" customWidth="1" bestFit="1" width="3.0" style="763"/>
    <col min="775" max="775" customWidth="1" bestFit="1" width="3.0" style="763"/>
    <col min="776" max="776" customWidth="1" bestFit="1" width="3.0" style="763"/>
    <col min="777" max="777" customWidth="1" bestFit="1" width="3.0" style="763"/>
    <col min="778" max="778" customWidth="1" bestFit="1" width="3.0" style="763"/>
    <col min="779" max="779" customWidth="1" bestFit="1" width="3.0" style="763"/>
    <col min="780" max="780" customWidth="1" bestFit="1" width="3.0" style="763"/>
    <col min="781" max="781" customWidth="1" bestFit="1" width="3.0" style="763"/>
    <col min="782" max="782" customWidth="1" bestFit="1" width="3.0" style="763"/>
    <col min="783" max="783" customWidth="1" bestFit="1" width="3.0" style="763"/>
    <col min="784" max="784" customWidth="1" bestFit="1" width="3.0" style="763"/>
    <col min="785" max="785" customWidth="1" bestFit="1" width="3.0" style="763"/>
    <col min="786" max="786" customWidth="1" bestFit="1" width="3.0" style="763"/>
    <col min="787" max="787" customWidth="1" bestFit="1" width="3.0" style="763"/>
    <col min="788" max="788" customWidth="1" bestFit="1" width="3.0" style="763"/>
    <col min="789" max="789" customWidth="1" bestFit="1" width="3.0" style="763"/>
    <col min="790" max="790" customWidth="1" bestFit="1" width="3.0" style="763"/>
    <col min="791" max="791" customWidth="1" bestFit="1" width="3.0" style="763"/>
    <col min="792" max="792" customWidth="1" bestFit="1" width="3.0" style="763"/>
    <col min="793" max="793" customWidth="1" bestFit="1" width="3.0" style="763"/>
    <col min="794" max="794" customWidth="1" bestFit="1" width="3.0" style="763"/>
    <col min="795" max="795" customWidth="1" bestFit="1" width="3.0" style="763"/>
    <col min="796" max="796" customWidth="1" bestFit="1" width="3.0" style="763"/>
    <col min="797" max="797" customWidth="1" bestFit="1" width="3.0" style="763"/>
    <col min="798" max="798" customWidth="1" bestFit="1" width="3.0" style="763"/>
    <col min="799" max="799" customWidth="1" bestFit="1" width="3.0" style="763"/>
    <col min="800" max="800" customWidth="1" bestFit="1" width="3.0" style="763"/>
    <col min="801" max="801" customWidth="1" bestFit="1" width="3.0" style="763"/>
    <col min="802" max="802" customWidth="1" bestFit="1" width="3.0" style="763"/>
    <col min="803" max="803" customWidth="1" bestFit="1" width="3.0" style="763"/>
    <col min="804" max="804" customWidth="1" bestFit="1" width="3.0" style="763"/>
    <col min="805" max="805" customWidth="1" bestFit="1" width="3.0" style="763"/>
    <col min="806" max="806" customWidth="1" bestFit="1" width="3.0" style="763"/>
    <col min="807" max="807" customWidth="1" bestFit="1" width="3.0" style="763"/>
    <col min="808" max="808" customWidth="1" bestFit="1" width="3.0" style="763"/>
    <col min="809" max="809" customWidth="1" bestFit="1" width="3.0" style="763"/>
    <col min="810" max="810" customWidth="1" bestFit="1" width="3.0" style="763"/>
    <col min="811" max="811" customWidth="1" bestFit="1" width="3.0" style="763"/>
    <col min="812" max="812" customWidth="1" bestFit="1" width="3.0" style="763"/>
    <col min="813" max="813" customWidth="1" bestFit="1" width="3.0" style="763"/>
    <col min="814" max="814" customWidth="1" bestFit="1" width="3.0" style="763"/>
    <col min="815" max="815" customWidth="1" bestFit="1" width="3.0" style="763"/>
    <col min="816" max="816" customWidth="1" bestFit="1" width="3.0" style="763"/>
    <col min="817" max="817" customWidth="1" bestFit="1" width="3.0" style="763"/>
    <col min="818" max="818" customWidth="1" bestFit="1" width="3.0" style="763"/>
    <col min="819" max="819" customWidth="1" bestFit="1" width="3.0" style="763"/>
    <col min="820" max="820" customWidth="1" bestFit="1" width="3.0" style="763"/>
    <col min="821" max="821" customWidth="1" bestFit="1" width="3.0" style="763"/>
    <col min="822" max="822" customWidth="1" bestFit="1" width="3.0" style="763"/>
    <col min="823" max="823" customWidth="1" bestFit="1" width="3.0" style="763"/>
    <col min="824" max="824" customWidth="1" bestFit="1" width="3.0" style="763"/>
    <col min="825" max="825" customWidth="1" bestFit="1" width="3.0" style="763"/>
    <col min="826" max="826" customWidth="1" bestFit="1" width="3.0" style="763"/>
    <col min="827" max="827" customWidth="1" bestFit="1" width="3.0" style="763"/>
    <col min="828" max="828" customWidth="1" bestFit="1" width="3.0" style="763"/>
    <col min="829" max="829" customWidth="1" bestFit="1" width="3.0" style="763"/>
    <col min="830" max="830" customWidth="1" bestFit="1" width="3.0" style="763"/>
    <col min="831" max="831" customWidth="1" bestFit="1" width="3.0" style="763"/>
    <col min="832" max="832" customWidth="1" bestFit="1" width="3.0" style="763"/>
    <col min="833" max="833" customWidth="1" bestFit="1" width="3.0" style="763"/>
    <col min="834" max="834" customWidth="1" bestFit="1" width="3.0" style="763"/>
    <col min="835" max="835" customWidth="1" bestFit="1" width="3.0" style="763"/>
    <col min="836" max="836" customWidth="1" bestFit="1" width="3.0" style="763"/>
    <col min="837" max="837" customWidth="1" bestFit="1" width="3.0" style="763"/>
    <col min="838" max="838" customWidth="1" bestFit="1" width="3.0" style="763"/>
    <col min="839" max="839" customWidth="1" bestFit="1" width="3.0" style="763"/>
    <col min="840" max="840" customWidth="1" bestFit="1" width="3.0" style="763"/>
    <col min="841" max="841" customWidth="1" bestFit="1" width="3.0" style="763"/>
    <col min="842" max="842" customWidth="1" bestFit="1" width="3.0" style="763"/>
    <col min="843" max="843" customWidth="1" bestFit="1" width="3.0" style="763"/>
    <col min="844" max="844" customWidth="1" bestFit="1" width="3.0" style="763"/>
    <col min="845" max="845" customWidth="1" bestFit="1" width="3.0" style="763"/>
    <col min="846" max="846" customWidth="1" bestFit="1" width="3.0" style="763"/>
    <col min="847" max="847" customWidth="1" bestFit="1" width="3.0" style="763"/>
    <col min="848" max="848" customWidth="1" bestFit="1" width="3.0" style="763"/>
    <col min="849" max="849" customWidth="1" bestFit="1" width="3.0" style="763"/>
    <col min="850" max="850" customWidth="1" bestFit="1" width="3.0" style="763"/>
    <col min="851" max="851" customWidth="1" bestFit="1" width="3.0" style="763"/>
    <col min="852" max="852" customWidth="1" bestFit="1" width="3.0" style="763"/>
    <col min="853" max="853" customWidth="1" bestFit="1" width="3.0" style="763"/>
    <col min="854" max="854" customWidth="1" bestFit="1" width="3.0" style="763"/>
    <col min="855" max="855" customWidth="1" bestFit="1" width="3.0" style="763"/>
    <col min="856" max="856" customWidth="1" bestFit="1" width="3.0" style="763"/>
    <col min="857" max="857" customWidth="1" bestFit="1" width="3.0" style="763"/>
    <col min="858" max="858" customWidth="1" bestFit="1" width="3.0" style="763"/>
    <col min="859" max="859" customWidth="1" bestFit="1" width="3.0" style="763"/>
    <col min="860" max="860" customWidth="1" bestFit="1" width="3.0" style="763"/>
    <col min="861" max="861" customWidth="1" bestFit="1" width="3.0" style="763"/>
    <col min="862" max="862" customWidth="1" bestFit="1" width="3.0" style="763"/>
    <col min="863" max="863" customWidth="1" bestFit="1" width="3.0" style="763"/>
    <col min="864" max="864" customWidth="1" bestFit="1" width="3.0" style="763"/>
    <col min="865" max="865" customWidth="1" bestFit="1" width="3.0" style="763"/>
    <col min="866" max="866" customWidth="1" bestFit="1" width="3.0" style="763"/>
    <col min="867" max="867" customWidth="1" bestFit="1" width="3.0" style="763"/>
    <col min="868" max="868" customWidth="1" bestFit="1" width="3.0" style="763"/>
    <col min="869" max="869" customWidth="1" bestFit="1" width="3.0" style="763"/>
    <col min="870" max="870" customWidth="1" bestFit="1" width="3.0" style="763"/>
    <col min="871" max="871" customWidth="1" bestFit="1" width="3.0" style="763"/>
    <col min="872" max="872" customWidth="1" bestFit="1" width="3.0" style="763"/>
    <col min="873" max="873" customWidth="1" bestFit="1" width="3.0" style="763"/>
    <col min="874" max="874" customWidth="1" bestFit="1" width="3.0" style="763"/>
    <col min="875" max="875" customWidth="1" bestFit="1" width="3.0" style="763"/>
    <col min="876" max="876" customWidth="1" bestFit="1" width="3.0" style="763"/>
    <col min="877" max="877" customWidth="1" bestFit="1" width="3.0" style="763"/>
    <col min="878" max="878" customWidth="1" bestFit="1" width="3.0" style="763"/>
    <col min="879" max="879" customWidth="1" bestFit="1" width="3.0" style="763"/>
    <col min="880" max="880" customWidth="1" bestFit="1" width="3.0" style="763"/>
    <col min="881" max="881" customWidth="1" bestFit="1" width="3.0" style="763"/>
    <col min="882" max="882" customWidth="1" bestFit="1" width="3.0" style="763"/>
    <col min="883" max="883" customWidth="1" bestFit="1" width="3.0" style="763"/>
    <col min="884" max="884" customWidth="1" bestFit="1" width="3.0" style="763"/>
    <col min="885" max="885" customWidth="1" bestFit="1" width="3.0" style="763"/>
    <col min="886" max="886" customWidth="1" bestFit="1" width="3.0" style="763"/>
    <col min="887" max="887" customWidth="1" bestFit="1" width="3.0" style="763"/>
    <col min="888" max="888" customWidth="1" bestFit="1" width="3.0" style="763"/>
    <col min="889" max="889" customWidth="1" bestFit="1" width="3.0" style="763"/>
    <col min="890" max="890" customWidth="1" bestFit="1" width="3.0" style="763"/>
    <col min="891" max="891" customWidth="1" bestFit="1" width="3.0" style="763"/>
    <col min="892" max="892" customWidth="1" bestFit="1" width="3.0" style="763"/>
    <col min="893" max="893" customWidth="1" bestFit="1" width="3.0" style="763"/>
    <col min="894" max="894" customWidth="1" bestFit="1" width="3.0" style="763"/>
    <col min="895" max="895" customWidth="1" bestFit="1" width="3.0" style="763"/>
    <col min="896" max="896" customWidth="1" bestFit="1" width="3.0" style="763"/>
    <col min="897" max="897" customWidth="1" bestFit="1" width="3.0" style="763"/>
    <col min="898" max="898" customWidth="1" bestFit="1" width="3.0" style="763"/>
    <col min="899" max="899" customWidth="1" bestFit="1" width="3.0" style="763"/>
    <col min="900" max="900" customWidth="1" bestFit="1" width="3.0" style="763"/>
    <col min="901" max="901" customWidth="1" bestFit="1" width="3.0" style="763"/>
    <col min="902" max="902" customWidth="1" bestFit="1" width="3.0" style="763"/>
    <col min="903" max="903" customWidth="1" bestFit="1" width="3.0" style="763"/>
    <col min="904" max="904" customWidth="1" bestFit="1" width="3.0" style="763"/>
    <col min="905" max="905" customWidth="1" bestFit="1" width="3.0" style="763"/>
    <col min="906" max="906" customWidth="1" bestFit="1" width="3.0" style="763"/>
    <col min="907" max="907" customWidth="1" bestFit="1" width="3.0" style="763"/>
    <col min="908" max="908" customWidth="1" bestFit="1" width="3.0" style="763"/>
    <col min="909" max="909" customWidth="1" bestFit="1" width="3.0" style="763"/>
    <col min="910" max="910" customWidth="1" bestFit="1" width="3.0" style="763"/>
    <col min="911" max="911" customWidth="1" bestFit="1" width="3.0" style="763"/>
    <col min="912" max="912" customWidth="1" bestFit="1" width="3.0" style="763"/>
    <col min="913" max="913" customWidth="1" bestFit="1" width="3.0" style="763"/>
    <col min="914" max="914" customWidth="1" bestFit="1" width="3.0" style="763"/>
    <col min="915" max="915" customWidth="1" bestFit="1" width="3.0" style="763"/>
    <col min="916" max="916" customWidth="1" bestFit="1" width="3.0" style="763"/>
    <col min="917" max="917" customWidth="1" bestFit="1" width="3.0" style="763"/>
    <col min="918" max="918" customWidth="1" bestFit="1" width="3.0" style="763"/>
    <col min="919" max="919" customWidth="1" bestFit="1" width="3.0" style="763"/>
    <col min="920" max="920" customWidth="1" bestFit="1" width="3.0" style="763"/>
    <col min="921" max="921" customWidth="1" bestFit="1" width="3.0" style="763"/>
    <col min="922" max="922" customWidth="1" bestFit="1" width="3.0" style="763"/>
    <col min="923" max="923" customWidth="1" bestFit="1" width="3.0" style="763"/>
    <col min="924" max="924" customWidth="1" bestFit="1" width="3.0" style="763"/>
    <col min="925" max="925" customWidth="1" bestFit="1" width="3.0" style="763"/>
    <col min="926" max="926" customWidth="1" bestFit="1" width="3.0" style="763"/>
    <col min="927" max="927" customWidth="1" bestFit="1" width="3.0" style="763"/>
    <col min="928" max="928" customWidth="1" bestFit="1" width="3.0" style="763"/>
    <col min="929" max="929" customWidth="1" bestFit="1" width="3.0" style="763"/>
    <col min="930" max="930" customWidth="1" bestFit="1" width="3.0" style="763"/>
    <col min="931" max="931" customWidth="1" bestFit="1" width="3.0" style="763"/>
    <col min="932" max="932" customWidth="1" bestFit="1" width="3.0" style="763"/>
    <col min="933" max="933" customWidth="1" bestFit="1" width="3.0" style="763"/>
    <col min="934" max="934" customWidth="1" bestFit="1" width="3.0" style="763"/>
    <col min="935" max="935" customWidth="1" bestFit="1" width="3.0" style="763"/>
    <col min="936" max="936" customWidth="1" bestFit="1" width="3.0" style="763"/>
    <col min="937" max="937" customWidth="1" bestFit="1" width="3.0" style="763"/>
    <col min="938" max="938" customWidth="1" bestFit="1" width="3.0" style="763"/>
    <col min="939" max="939" customWidth="1" bestFit="1" width="3.0" style="763"/>
    <col min="940" max="940" customWidth="1" bestFit="1" width="3.0" style="763"/>
    <col min="941" max="941" customWidth="1" bestFit="1" width="3.0" style="763"/>
    <col min="942" max="942" customWidth="1" bestFit="1" width="3.0" style="763"/>
    <col min="943" max="943" customWidth="1" bestFit="1" width="3.0" style="763"/>
    <col min="944" max="944" customWidth="1" bestFit="1" width="3.0" style="763"/>
    <col min="945" max="945" customWidth="1" bestFit="1" width="3.0" style="763"/>
    <col min="946" max="946" customWidth="1" bestFit="1" width="3.0" style="763"/>
    <col min="947" max="947" customWidth="1" bestFit="1" width="3.0" style="763"/>
    <col min="948" max="948" customWidth="1" bestFit="1" width="3.0" style="763"/>
    <col min="949" max="949" customWidth="1" bestFit="1" width="3.0" style="763"/>
    <col min="950" max="950" customWidth="1" bestFit="1" width="3.0" style="763"/>
    <col min="951" max="951" customWidth="1" bestFit="1" width="3.0" style="763"/>
    <col min="952" max="952" customWidth="1" bestFit="1" width="3.0" style="763"/>
    <col min="953" max="953" customWidth="1" bestFit="1" width="3.0" style="763"/>
    <col min="954" max="954" customWidth="1" bestFit="1" width="3.0" style="763"/>
    <col min="955" max="955" customWidth="1" bestFit="1" width="3.0" style="763"/>
    <col min="956" max="956" customWidth="1" bestFit="1" width="3.0" style="763"/>
    <col min="957" max="957" customWidth="1" bestFit="1" width="3.0" style="763"/>
    <col min="958" max="958" customWidth="1" bestFit="1" width="3.0" style="763"/>
    <col min="959" max="959" customWidth="1" bestFit="1" width="3.0" style="763"/>
    <col min="960" max="960" customWidth="1" bestFit="1" width="3.0" style="763"/>
    <col min="961" max="961" customWidth="1" bestFit="1" width="3.0" style="763"/>
    <col min="962" max="962" customWidth="1" bestFit="1" width="3.0" style="763"/>
    <col min="963" max="963" customWidth="1" bestFit="1" width="3.0" style="763"/>
    <col min="964" max="964" customWidth="1" bestFit="1" width="3.0" style="763"/>
    <col min="965" max="965" customWidth="1" bestFit="1" width="3.0" style="763"/>
    <col min="966" max="966" customWidth="1" bestFit="1" width="3.0" style="763"/>
    <col min="967" max="967" customWidth="1" bestFit="1" width="3.0" style="763"/>
    <col min="968" max="968" customWidth="1" bestFit="1" width="3.0" style="763"/>
    <col min="969" max="969" customWidth="1" bestFit="1" width="3.0" style="763"/>
    <col min="970" max="970" customWidth="1" bestFit="1" width="3.0" style="763"/>
    <col min="971" max="971" customWidth="1" bestFit="1" width="3.0" style="763"/>
    <col min="972" max="972" customWidth="1" bestFit="1" width="3.0" style="763"/>
    <col min="973" max="973" customWidth="1" bestFit="1" width="3.0" style="763"/>
    <col min="974" max="974" customWidth="1" bestFit="1" width="3.0" style="763"/>
    <col min="975" max="975" customWidth="1" bestFit="1" width="3.0" style="763"/>
    <col min="976" max="976" customWidth="1" bestFit="1" width="3.0" style="763"/>
    <col min="977" max="977" customWidth="1" bestFit="1" width="3.0" style="763"/>
    <col min="978" max="978" customWidth="1" bestFit="1" width="3.0" style="763"/>
    <col min="979" max="979" customWidth="1" bestFit="1" width="3.0" style="763"/>
    <col min="980" max="980" customWidth="1" bestFit="1" width="3.0" style="763"/>
    <col min="981" max="981" customWidth="1" bestFit="1" width="3.0" style="763"/>
    <col min="982" max="982" customWidth="1" bestFit="1" width="3.0" style="763"/>
    <col min="983" max="983" customWidth="1" bestFit="1" width="3.0" style="763"/>
    <col min="984" max="984" customWidth="1" bestFit="1" width="3.0" style="763"/>
    <col min="985" max="985" customWidth="1" bestFit="1" width="3.0" style="763"/>
    <col min="986" max="986" customWidth="1" bestFit="1" width="3.0" style="763"/>
    <col min="987" max="987" customWidth="1" bestFit="1" width="3.0" style="763"/>
    <col min="988" max="988" customWidth="1" bestFit="1" width="3.0" style="763"/>
    <col min="989" max="989" customWidth="1" bestFit="1" width="3.0" style="763"/>
    <col min="990" max="990" customWidth="1" bestFit="1" width="3.0" style="763"/>
    <col min="991" max="991" customWidth="1" bestFit="1" width="3.0" style="763"/>
    <col min="992" max="992" customWidth="1" bestFit="1" width="3.0" style="763"/>
    <col min="993" max="993" customWidth="1" bestFit="1" width="3.0" style="763"/>
    <col min="994" max="994" customWidth="1" bestFit="1" width="3.0" style="763"/>
    <col min="995" max="995" customWidth="1" bestFit="1" width="3.0" style="763"/>
    <col min="996" max="996" customWidth="1" bestFit="1" width="3.0" style="763"/>
    <col min="997" max="997" customWidth="1" bestFit="1" width="3.0" style="763"/>
    <col min="998" max="998" customWidth="1" bestFit="1" width="3.0" style="763"/>
    <col min="999" max="999" customWidth="1" bestFit="1" width="3.0" style="763"/>
    <col min="1000" max="1000" customWidth="1" bestFit="1" width="3.0" style="763"/>
    <col min="1001" max="1001" customWidth="1" bestFit="1" width="3.0" style="763"/>
    <col min="1002" max="1002" customWidth="1" bestFit="1" width="3.0" style="763"/>
    <col min="1003" max="1003" customWidth="1" bestFit="1" width="3.0" style="763"/>
    <col min="1004" max="1004" customWidth="1" bestFit="1" width="3.0" style="763"/>
    <col min="1005" max="1005" customWidth="1" bestFit="1" width="3.0" style="763"/>
    <col min="1006" max="1006" customWidth="1" bestFit="1" width="3.0" style="763"/>
    <col min="1007" max="1007" customWidth="1" bestFit="1" width="3.0" style="763"/>
    <col min="1008" max="1008" customWidth="1" bestFit="1" width="3.0" style="763"/>
    <col min="1009" max="1009" customWidth="1" bestFit="1" width="3.0" style="763"/>
    <col min="1010" max="1010" customWidth="1" bestFit="1" width="3.0" style="763"/>
    <col min="1011" max="1011" customWidth="1" bestFit="1" width="3.0" style="763"/>
    <col min="1012" max="1012" customWidth="1" bestFit="1" width="3.0" style="763"/>
    <col min="1013" max="1013" customWidth="1" bestFit="1" width="3.0" style="763"/>
    <col min="1014" max="1014" customWidth="1" bestFit="1" width="3.0" style="763"/>
    <col min="1015" max="1015" customWidth="1" bestFit="1" width="3.0" style="763"/>
    <col min="1016" max="1016" customWidth="1" bestFit="1" width="3.0" style="763"/>
    <col min="1017" max="1017" customWidth="1" bestFit="1" width="3.0" style="763"/>
    <col min="1018" max="1018" customWidth="1" bestFit="1" width="3.0" style="763"/>
    <col min="1019" max="1019" customWidth="1" bestFit="1" width="3.0" style="763"/>
    <col min="1020" max="1020" customWidth="1" bestFit="1" width="3.0" style="763"/>
    <col min="1021" max="1021" customWidth="1" bestFit="1" width="3.0" style="763"/>
    <col min="1022" max="1022" customWidth="1" bestFit="1" width="3.0" style="763"/>
    <col min="1023" max="1023" customWidth="1" bestFit="1" width="3.0" style="763"/>
    <col min="1024" max="1024" customWidth="1" bestFit="1" width="3.0" style="763"/>
    <col min="1025" max="1025" customWidth="1" bestFit="1" width="3.0" style="763"/>
    <col min="1026" max="1026" customWidth="1" bestFit="1" width="3.0" style="763"/>
    <col min="1027" max="1027" customWidth="1" bestFit="1" width="3.0" style="763"/>
    <col min="1028" max="1028" customWidth="1" bestFit="1" width="3.0" style="763"/>
    <col min="1029" max="1029" customWidth="1" bestFit="1" width="3.0" style="763"/>
    <col min="1030" max="1030" customWidth="1" bestFit="1" width="3.0" style="763"/>
    <col min="1031" max="1031" customWidth="1" bestFit="1" width="3.0" style="763"/>
    <col min="1032" max="1032" customWidth="1" bestFit="1" width="3.0" style="763"/>
    <col min="1033" max="1033" customWidth="1" bestFit="1" width="3.0" style="763"/>
    <col min="1034" max="1034" customWidth="1" bestFit="1" width="3.0" style="763"/>
    <col min="1035" max="1035" customWidth="1" bestFit="1" width="3.0" style="763"/>
    <col min="1036" max="1036" customWidth="1" bestFit="1" width="3.0" style="763"/>
    <col min="1037" max="1037" customWidth="1" bestFit="1" width="3.0" style="763"/>
    <col min="1038" max="1038" customWidth="1" bestFit="1" width="3.0" style="763"/>
    <col min="1039" max="1039" customWidth="1" bestFit="1" width="3.0" style="763"/>
    <col min="1040" max="1040" customWidth="1" bestFit="1" width="3.0" style="763"/>
    <col min="1041" max="1041" customWidth="1" bestFit="1" width="3.0" style="763"/>
    <col min="1042" max="1042" customWidth="1" bestFit="1" width="3.0" style="763"/>
    <col min="1043" max="1043" customWidth="1" bestFit="1" width="3.0" style="763"/>
    <col min="1044" max="1044" customWidth="1" bestFit="1" width="3.0" style="763"/>
    <col min="1045" max="1045" customWidth="1" bestFit="1" width="3.0" style="763"/>
    <col min="1046" max="1046" customWidth="1" bestFit="1" width="3.0" style="763"/>
    <col min="1047" max="1047" customWidth="1" bestFit="1" width="3.0" style="763"/>
    <col min="1048" max="1048" customWidth="1" bestFit="1" width="3.0" style="763"/>
    <col min="1049" max="1049" customWidth="1" bestFit="1" width="3.0" style="763"/>
    <col min="1050" max="1050" customWidth="1" bestFit="1" width="3.0" style="763"/>
    <col min="1051" max="1051" customWidth="1" bestFit="1" width="3.0" style="763"/>
    <col min="1052" max="1052" customWidth="1" bestFit="1" width="3.0" style="763"/>
    <col min="1053" max="1053" customWidth="1" bestFit="1" width="3.0" style="763"/>
    <col min="1054" max="1054" customWidth="1" bestFit="1" width="3.0" style="763"/>
    <col min="1055" max="1055" customWidth="1" bestFit="1" width="3.0" style="763"/>
    <col min="1056" max="1056" customWidth="1" bestFit="1" width="3.0" style="763"/>
    <col min="1057" max="1057" customWidth="1" bestFit="1" width="3.0" style="763"/>
    <col min="1058" max="1058" customWidth="1" bestFit="1" width="3.0" style="763"/>
    <col min="1059" max="1059" customWidth="1" bestFit="1" width="3.0" style="763"/>
    <col min="1060" max="1060" customWidth="1" bestFit="1" width="3.0" style="763"/>
    <col min="1061" max="1061" customWidth="1" bestFit="1" width="3.0" style="763"/>
    <col min="1062" max="1062" customWidth="1" bestFit="1" width="3.0" style="763"/>
    <col min="1063" max="1063" customWidth="1" bestFit="1" width="3.0" style="763"/>
    <col min="1064" max="1064" customWidth="1" bestFit="1" width="3.0" style="763"/>
    <col min="1065" max="1065" customWidth="1" bestFit="1" width="3.0" style="763"/>
    <col min="1066" max="1066" customWidth="1" bestFit="1" width="3.0" style="763"/>
    <col min="1067" max="1067" customWidth="1" bestFit="1" width="3.0" style="763"/>
    <col min="1068" max="1068" customWidth="1" bestFit="1" width="3.0" style="763"/>
    <col min="1069" max="1069" customWidth="1" bestFit="1" width="3.0" style="763"/>
    <col min="1070" max="1070" customWidth="1" bestFit="1" width="3.0" style="763"/>
    <col min="1071" max="1071" customWidth="1" bestFit="1" width="3.0" style="763"/>
    <col min="1072" max="1072" customWidth="1" bestFit="1" width="3.0" style="763"/>
    <col min="1073" max="1073" customWidth="1" bestFit="1" width="3.0" style="763"/>
    <col min="1074" max="1074" customWidth="1" bestFit="1" width="3.0" style="763"/>
    <col min="1075" max="1075" customWidth="1" bestFit="1" width="3.0" style="763"/>
    <col min="1076" max="1076" customWidth="1" bestFit="1" width="3.0" style="763"/>
    <col min="1077" max="1077" customWidth="1" bestFit="1" width="3.0" style="763"/>
    <col min="1078" max="1078" customWidth="1" bestFit="1" width="3.0" style="763"/>
    <col min="1079" max="1079" customWidth="1" bestFit="1" width="3.0" style="763"/>
    <col min="1080" max="1080" customWidth="1" bestFit="1" width="3.0" style="763"/>
    <col min="1081" max="1081" customWidth="1" bestFit="1" width="3.0" style="763"/>
    <col min="1082" max="1082" customWidth="1" bestFit="1" width="3.0" style="763"/>
    <col min="1083" max="1083" customWidth="1" bestFit="1" width="3.0" style="763"/>
    <col min="1084" max="1084" customWidth="1" bestFit="1" width="3.0" style="763"/>
    <col min="1085" max="1085" customWidth="1" bestFit="1" width="3.0" style="763"/>
    <col min="1086" max="1086" customWidth="1" bestFit="1" width="3.0" style="763"/>
    <col min="1087" max="1087" customWidth="1" bestFit="1" width="3.0" style="763"/>
    <col min="1088" max="1088" customWidth="1" bestFit="1" width="3.0" style="763"/>
    <col min="1089" max="1089" customWidth="1" bestFit="1" width="3.0" style="763"/>
    <col min="1090" max="1090" customWidth="1" bestFit="1" width="3.0" style="763"/>
    <col min="1091" max="1091" customWidth="1" bestFit="1" width="3.0" style="763"/>
    <col min="1092" max="1092" customWidth="1" bestFit="1" width="3.0" style="763"/>
    <col min="1093" max="1093" customWidth="1" bestFit="1" width="3.0" style="763"/>
    <col min="1094" max="1094" customWidth="1" bestFit="1" width="3.0" style="763"/>
    <col min="1095" max="1095" customWidth="1" bestFit="1" width="3.0" style="763"/>
    <col min="1096" max="1096" customWidth="1" bestFit="1" width="3.0" style="763"/>
    <col min="1097" max="1097" customWidth="1" bestFit="1" width="3.0" style="763"/>
    <col min="1098" max="1098" customWidth="1" bestFit="1" width="3.0" style="763"/>
    <col min="1099" max="1099" customWidth="1" bestFit="1" width="3.0" style="763"/>
    <col min="1100" max="1100" customWidth="1" bestFit="1" width="3.0" style="763"/>
    <col min="1101" max="1101" customWidth="1" bestFit="1" width="3.0" style="763"/>
    <col min="1102" max="1102" customWidth="1" bestFit="1" width="3.0" style="763"/>
    <col min="1103" max="1103" customWidth="1" bestFit="1" width="3.0" style="763"/>
    <col min="1104" max="1104" customWidth="1" bestFit="1" width="3.0" style="763"/>
    <col min="1105" max="1105" customWidth="1" bestFit="1" width="3.0" style="763"/>
    <col min="1106" max="1106" customWidth="1" bestFit="1" width="3.0" style="763"/>
    <col min="1107" max="1107" customWidth="1" bestFit="1" width="3.0" style="763"/>
    <col min="1108" max="1108" customWidth="1" bestFit="1" width="3.0" style="763"/>
    <col min="1109" max="1109" customWidth="1" bestFit="1" width="3.0" style="763"/>
    <col min="1110" max="1110" customWidth="1" bestFit="1" width="3.0" style="763"/>
    <col min="1111" max="1111" customWidth="1" bestFit="1" width="3.0" style="763"/>
    <col min="1112" max="1112" customWidth="1" bestFit="1" width="3.0" style="763"/>
    <col min="1113" max="1113" customWidth="1" bestFit="1" width="3.0" style="763"/>
    <col min="1114" max="1114" customWidth="1" bestFit="1" width="3.0" style="763"/>
    <col min="1115" max="1115" customWidth="1" bestFit="1" width="3.0" style="763"/>
    <col min="1116" max="1116" customWidth="1" bestFit="1" width="3.0" style="763"/>
    <col min="1117" max="1117" customWidth="1" bestFit="1" width="3.0" style="763"/>
    <col min="1118" max="1118" customWidth="1" bestFit="1" width="3.0" style="763"/>
    <col min="1119" max="1119" customWidth="1" bestFit="1" width="3.0" style="763"/>
    <col min="1120" max="1120" customWidth="1" bestFit="1" width="3.0" style="763"/>
    <col min="1121" max="1121" customWidth="1" bestFit="1" width="3.0" style="763"/>
    <col min="1122" max="1122" customWidth="1" bestFit="1" width="3.0" style="763"/>
    <col min="1123" max="1123" customWidth="1" bestFit="1" width="3.0" style="763"/>
    <col min="1124" max="1124" customWidth="1" bestFit="1" width="3.0" style="763"/>
    <col min="1125" max="1125" customWidth="1" bestFit="1" width="3.0" style="763"/>
    <col min="1126" max="1126" customWidth="1" bestFit="1" width="3.0" style="763"/>
    <col min="1127" max="1127" customWidth="1" bestFit="1" width="3.0" style="763"/>
    <col min="1128" max="1128" customWidth="1" bestFit="1" width="3.0" style="763"/>
    <col min="1129" max="1129" customWidth="1" bestFit="1" width="3.0" style="763"/>
    <col min="1130" max="1130" customWidth="1" bestFit="1" width="3.0" style="763"/>
    <col min="1131" max="1131" customWidth="1" bestFit="1" width="3.0" style="763"/>
    <col min="1132" max="1132" customWidth="1" bestFit="1" width="3.0" style="763"/>
    <col min="1133" max="1133" customWidth="1" bestFit="1" width="3.0" style="763"/>
    <col min="1134" max="1134" customWidth="1" bestFit="1" width="3.0" style="763"/>
    <col min="1135" max="1135" customWidth="1" bestFit="1" width="3.0" style="763"/>
    <col min="1136" max="1136" customWidth="1" bestFit="1" width="3.0" style="763"/>
    <col min="1137" max="1137" customWidth="1" bestFit="1" width="3.0" style="763"/>
    <col min="1138" max="1138" customWidth="1" bestFit="1" width="3.0" style="763"/>
    <col min="1139" max="1139" customWidth="1" bestFit="1" width="3.0" style="763"/>
    <col min="1140" max="1140" customWidth="1" bestFit="1" width="3.0" style="763"/>
    <col min="1141" max="1141" customWidth="1" bestFit="1" width="3.0" style="763"/>
    <col min="1142" max="1142" customWidth="1" bestFit="1" width="3.0" style="763"/>
    <col min="1143" max="1143" customWidth="1" bestFit="1" width="3.0" style="763"/>
    <col min="1144" max="1144" customWidth="1" bestFit="1" width="3.0" style="763"/>
    <col min="1145" max="1145" customWidth="1" bestFit="1" width="3.0" style="763"/>
    <col min="1146" max="1146" customWidth="1" bestFit="1" width="3.0" style="763"/>
    <col min="1147" max="1147" customWidth="1" bestFit="1" width="3.0" style="763"/>
    <col min="1148" max="1148" customWidth="1" bestFit="1" width="3.0" style="763"/>
    <col min="1149" max="1149" customWidth="1" bestFit="1" width="3.0" style="763"/>
    <col min="1150" max="1150" customWidth="1" bestFit="1" width="3.0" style="763"/>
    <col min="1151" max="1151" customWidth="1" bestFit="1" width="3.0" style="763"/>
    <col min="1152" max="1152" customWidth="1" bestFit="1" width="3.0" style="763"/>
    <col min="1153" max="1153" customWidth="1" bestFit="1" width="3.0" style="763"/>
    <col min="1154" max="1154" customWidth="1" bestFit="1" width="3.0" style="763"/>
    <col min="1155" max="1155" customWidth="1" bestFit="1" width="3.0" style="763"/>
    <col min="1156" max="1156" customWidth="1" bestFit="1" width="3.0" style="763"/>
    <col min="1157" max="1157" customWidth="1" bestFit="1" width="3.0" style="763"/>
    <col min="1158" max="1158" customWidth="1" bestFit="1" width="3.0" style="763"/>
    <col min="1159" max="1159" customWidth="1" bestFit="1" width="3.0" style="763"/>
    <col min="1160" max="1160" customWidth="1" bestFit="1" width="3.0" style="763"/>
    <col min="1161" max="1161" customWidth="1" bestFit="1" width="3.0" style="763"/>
    <col min="1162" max="1162" customWidth="1" bestFit="1" width="3.0" style="763"/>
    <col min="1163" max="1163" customWidth="1" bestFit="1" width="3.0" style="763"/>
    <col min="1164" max="1164" customWidth="1" bestFit="1" width="3.0" style="763"/>
    <col min="1165" max="1165" customWidth="1" bestFit="1" width="3.0" style="763"/>
    <col min="1166" max="1166" customWidth="1" bestFit="1" width="3.0" style="763"/>
    <col min="1167" max="1167" customWidth="1" bestFit="1" width="3.0" style="763"/>
    <col min="1168" max="1168" customWidth="1" bestFit="1" width="3.0" style="763"/>
    <col min="1169" max="1169" customWidth="1" bestFit="1" width="3.0" style="763"/>
    <col min="1170" max="1170" customWidth="1" bestFit="1" width="3.0" style="763"/>
    <col min="1171" max="1171" customWidth="1" bestFit="1" width="3.0" style="763"/>
    <col min="1172" max="1172" customWidth="1" bestFit="1" width="3.0" style="763"/>
    <col min="1173" max="1173" customWidth="1" bestFit="1" width="3.0" style="763"/>
    <col min="1174" max="1174" customWidth="1" bestFit="1" width="3.0" style="763"/>
    <col min="1175" max="1175" customWidth="1" bestFit="1" width="3.0" style="763"/>
    <col min="1176" max="1176" customWidth="1" bestFit="1" width="3.0" style="763"/>
    <col min="1177" max="1177" customWidth="1" bestFit="1" width="3.0" style="763"/>
    <col min="1178" max="1178" customWidth="1" bestFit="1" width="3.0" style="763"/>
    <col min="1179" max="1179" customWidth="1" bestFit="1" width="3.0" style="763"/>
    <col min="1180" max="1180" customWidth="1" bestFit="1" width="3.0" style="763"/>
    <col min="1181" max="1181" customWidth="1" bestFit="1" width="3.0" style="763"/>
    <col min="1182" max="1182" customWidth="1" bestFit="1" width="3.0" style="763"/>
    <col min="1183" max="1183" customWidth="1" bestFit="1" width="3.0" style="763"/>
    <col min="1184" max="1184" customWidth="1" bestFit="1" width="3.0" style="763"/>
    <col min="1185" max="1185" customWidth="1" bestFit="1" width="3.0" style="763"/>
    <col min="1186" max="1186" customWidth="1" bestFit="1" width="3.0" style="763"/>
    <col min="1187" max="1187" customWidth="1" bestFit="1" width="3.0" style="763"/>
    <col min="1188" max="1188" customWidth="1" bestFit="1" width="3.0" style="763"/>
    <col min="1189" max="1189" customWidth="1" bestFit="1" width="3.0" style="763"/>
    <col min="1190" max="1190" customWidth="1" bestFit="1" width="3.0" style="763"/>
    <col min="1191" max="1191" customWidth="1" bestFit="1" width="3.0" style="763"/>
    <col min="1192" max="1192" customWidth="1" bestFit="1" width="3.0" style="763"/>
    <col min="1193" max="1193" customWidth="1" bestFit="1" width="3.0" style="763"/>
    <col min="1194" max="1194" customWidth="1" bestFit="1" width="3.0" style="763"/>
    <col min="1195" max="1195" customWidth="1" bestFit="1" width="3.0" style="763"/>
    <col min="1196" max="1196" customWidth="1" bestFit="1" width="3.0" style="763"/>
    <col min="1197" max="1197" customWidth="1" bestFit="1" width="3.0" style="763"/>
    <col min="1198" max="1198" customWidth="1" bestFit="1" width="3.0" style="763"/>
    <col min="1199" max="1199" customWidth="1" bestFit="1" width="3.0" style="763"/>
    <col min="1200" max="1200" customWidth="1" bestFit="1" width="3.0" style="763"/>
    <col min="1201" max="1201" customWidth="1" bestFit="1" width="3.0" style="763"/>
    <col min="1202" max="1202" customWidth="1" bestFit="1" width="3.0" style="763"/>
    <col min="1203" max="1203" customWidth="1" bestFit="1" width="3.0" style="763"/>
    <col min="1204" max="1204" customWidth="1" bestFit="1" width="3.0" style="763"/>
    <col min="1205" max="1205" customWidth="1" bestFit="1" width="3.0" style="763"/>
    <col min="1206" max="1206" customWidth="1" bestFit="1" width="3.0" style="763"/>
    <col min="1207" max="1207" customWidth="1" bestFit="1" width="3.0" style="763"/>
    <col min="1208" max="1208" customWidth="1" bestFit="1" width="3.0" style="763"/>
    <col min="1209" max="1209" customWidth="1" bestFit="1" width="3.0" style="763"/>
    <col min="1210" max="1210" customWidth="1" bestFit="1" width="3.0" style="763"/>
    <col min="1211" max="1211" customWidth="1" bestFit="1" width="3.0" style="763"/>
    <col min="1212" max="1212" customWidth="1" bestFit="1" width="3.0" style="763"/>
    <col min="1213" max="1213" customWidth="1" bestFit="1" width="3.0" style="763"/>
    <col min="1214" max="1214" customWidth="1" bestFit="1" width="3.0" style="763"/>
    <col min="1215" max="1215" customWidth="1" bestFit="1" width="3.0" style="763"/>
    <col min="1216" max="1216" customWidth="1" bestFit="1" width="3.0" style="763"/>
    <col min="1217" max="1217" customWidth="1" bestFit="1" width="3.0" style="763"/>
    <col min="1218" max="1218" customWidth="1" bestFit="1" width="3.0" style="763"/>
    <col min="1219" max="1219" customWidth="1" bestFit="1" width="3.0" style="763"/>
    <col min="1220" max="1220" customWidth="1" bestFit="1" width="3.0" style="763"/>
    <col min="1221" max="1221" customWidth="1" bestFit="1" width="3.0" style="763"/>
    <col min="1222" max="1222" customWidth="1" bestFit="1" width="3.0" style="763"/>
    <col min="1223" max="1223" customWidth="1" bestFit="1" width="3.0" style="763"/>
    <col min="1224" max="1224" customWidth="1" bestFit="1" width="3.0" style="763"/>
    <col min="1225" max="1225" customWidth="1" bestFit="1" width="3.0" style="763"/>
    <col min="1226" max="1226" customWidth="1" bestFit="1" width="3.0" style="763"/>
    <col min="1227" max="1227" customWidth="1" bestFit="1" width="3.0" style="763"/>
    <col min="1228" max="1228" customWidth="1" bestFit="1" width="3.0" style="763"/>
    <col min="1229" max="1229" customWidth="1" bestFit="1" width="3.0" style="763"/>
    <col min="1230" max="1230" customWidth="1" bestFit="1" width="3.0" style="763"/>
    <col min="1231" max="1231" customWidth="1" bestFit="1" width="3.0" style="763"/>
    <col min="1232" max="1232" customWidth="1" bestFit="1" width="3.0" style="763"/>
    <col min="1233" max="1233" customWidth="1" bestFit="1" width="3.0" style="763"/>
    <col min="1234" max="1234" customWidth="1" bestFit="1" width="3.0" style="763"/>
    <col min="1235" max="1235" customWidth="1" bestFit="1" width="3.0" style="763"/>
    <col min="1236" max="1236" customWidth="1" bestFit="1" width="3.0" style="763"/>
    <col min="1237" max="1237" customWidth="1" bestFit="1" width="3.0" style="763"/>
    <col min="1238" max="1238" customWidth="1" bestFit="1" width="3.0" style="763"/>
    <col min="1239" max="1239" customWidth="1" bestFit="1" width="3.0" style="763"/>
    <col min="1240" max="1240" customWidth="1" bestFit="1" width="3.0" style="763"/>
    <col min="1241" max="1241" customWidth="1" bestFit="1" width="3.0" style="763"/>
    <col min="1242" max="1242" customWidth="1" bestFit="1" width="3.0" style="763"/>
    <col min="1243" max="1243" customWidth="1" bestFit="1" width="3.0" style="763"/>
    <col min="1244" max="1244" customWidth="1" bestFit="1" width="3.0" style="763"/>
    <col min="1245" max="1245" customWidth="1" bestFit="1" width="3.0" style="763"/>
    <col min="1246" max="1246" customWidth="1" bestFit="1" width="3.0" style="763"/>
    <col min="1247" max="1247" customWidth="1" bestFit="1" width="3.0" style="763"/>
    <col min="1248" max="1248" customWidth="1" bestFit="1" width="3.0" style="763"/>
    <col min="1249" max="1249" customWidth="1" bestFit="1" width="3.0" style="763"/>
    <col min="1250" max="1250" customWidth="1" bestFit="1" width="3.0" style="763"/>
    <col min="1251" max="1251" customWidth="1" bestFit="1" width="3.0" style="763"/>
    <col min="1252" max="1252" customWidth="1" bestFit="1" width="3.0" style="763"/>
    <col min="1253" max="1253" customWidth="1" bestFit="1" width="3.0" style="763"/>
    <col min="1254" max="1254" customWidth="1" bestFit="1" width="3.0" style="763"/>
    <col min="1255" max="1255" customWidth="1" bestFit="1" width="3.0" style="763"/>
    <col min="1256" max="1256" customWidth="1" bestFit="1" width="3.0" style="763"/>
    <col min="1257" max="1257" customWidth="1" bestFit="1" width="3.0" style="763"/>
    <col min="1258" max="1258" customWidth="1" bestFit="1" width="3.0" style="763"/>
    <col min="1259" max="1259" customWidth="1" bestFit="1" width="3.0" style="763"/>
    <col min="1260" max="1260" customWidth="1" bestFit="1" width="3.0" style="763"/>
    <col min="1261" max="1261" customWidth="1" bestFit="1" width="3.0" style="763"/>
    <col min="1262" max="1262" customWidth="1" bestFit="1" width="3.0" style="763"/>
    <col min="1263" max="1263" customWidth="1" bestFit="1" width="3.0" style="763"/>
    <col min="1264" max="1264" customWidth="1" bestFit="1" width="3.0" style="763"/>
    <col min="1265" max="1265" customWidth="1" bestFit="1" width="3.0" style="763"/>
    <col min="1266" max="1266" customWidth="1" bestFit="1" width="3.0" style="763"/>
    <col min="1267" max="1267" customWidth="1" bestFit="1" width="3.0" style="763"/>
    <col min="1268" max="1268" customWidth="1" bestFit="1" width="3.0" style="763"/>
    <col min="1269" max="1269" customWidth="1" bestFit="1" width="3.0" style="763"/>
    <col min="1270" max="1270" customWidth="1" bestFit="1" width="3.0" style="763"/>
    <col min="1271" max="1271" customWidth="1" bestFit="1" width="3.0" style="763"/>
    <col min="1272" max="1272" customWidth="1" bestFit="1" width="3.0" style="763"/>
    <col min="1273" max="1273" customWidth="1" bestFit="1" width="3.0" style="763"/>
    <col min="1274" max="1274" customWidth="1" bestFit="1" width="3.0" style="763"/>
    <col min="1275" max="1275" customWidth="1" bestFit="1" width="3.0" style="763"/>
    <col min="1276" max="1276" customWidth="1" bestFit="1" width="3.0" style="763"/>
    <col min="1277" max="1277" customWidth="1" bestFit="1" width="3.0" style="763"/>
    <col min="1278" max="1278" customWidth="1" bestFit="1" width="3.0" style="763"/>
    <col min="1279" max="1279" customWidth="1" bestFit="1" width="3.0" style="763"/>
    <col min="1280" max="1280" customWidth="1" bestFit="1" width="3.0" style="763"/>
    <col min="1281" max="1281" customWidth="1" bestFit="1" width="3.0" style="763"/>
    <col min="1282" max="1282" customWidth="1" bestFit="1" width="3.0" style="763"/>
    <col min="1283" max="1283" customWidth="1" bestFit="1" width="3.0" style="763"/>
    <col min="1284" max="1284" customWidth="1" bestFit="1" width="3.0" style="763"/>
    <col min="1285" max="1285" customWidth="1" bestFit="1" width="3.0" style="763"/>
    <col min="1286" max="1286" customWidth="1" bestFit="1" width="3.0" style="763"/>
    <col min="1287" max="1287" customWidth="1" bestFit="1" width="3.0" style="763"/>
    <col min="1288" max="1288" customWidth="1" bestFit="1" width="3.0" style="763"/>
    <col min="1289" max="1289" customWidth="1" bestFit="1" width="3.0" style="763"/>
    <col min="1290" max="1290" customWidth="1" bestFit="1" width="3.0" style="763"/>
    <col min="1291" max="1291" customWidth="1" bestFit="1" width="3.0" style="763"/>
    <col min="1292" max="1292" customWidth="1" bestFit="1" width="3.0" style="763"/>
    <col min="1293" max="1293" customWidth="1" bestFit="1" width="3.0" style="763"/>
    <col min="1294" max="1294" customWidth="1" bestFit="1" width="3.0" style="763"/>
    <col min="1295" max="1295" customWidth="1" bestFit="1" width="3.0" style="763"/>
    <col min="1296" max="1296" customWidth="1" bestFit="1" width="3.0" style="763"/>
    <col min="1297" max="1297" customWidth="1" bestFit="1" width="3.0" style="763"/>
    <col min="1298" max="1298" customWidth="1" bestFit="1" width="3.0" style="763"/>
    <col min="1299" max="1299" customWidth="1" bestFit="1" width="3.0" style="763"/>
    <col min="1300" max="1300" customWidth="1" bestFit="1" width="3.0" style="763"/>
    <col min="1301" max="1301" customWidth="1" bestFit="1" width="3.0" style="763"/>
    <col min="1302" max="1302" customWidth="1" bestFit="1" width="3.0" style="763"/>
    <col min="1303" max="1303" customWidth="1" bestFit="1" width="3.0" style="763"/>
    <col min="1304" max="1304" customWidth="1" bestFit="1" width="3.0" style="763"/>
    <col min="1305" max="1305" customWidth="1" bestFit="1" width="3.0" style="763"/>
    <col min="1306" max="1306" customWidth="1" bestFit="1" width="3.0" style="763"/>
    <col min="1307" max="1307" customWidth="1" bestFit="1" width="3.0" style="763"/>
    <col min="1308" max="1308" customWidth="1" bestFit="1" width="3.0" style="763"/>
    <col min="1309" max="1309" customWidth="1" bestFit="1" width="3.0" style="763"/>
    <col min="1310" max="1310" customWidth="1" bestFit="1" width="3.0" style="763"/>
    <col min="1311" max="1311" customWidth="1" bestFit="1" width="3.0" style="763"/>
    <col min="1312" max="1312" customWidth="1" bestFit="1" width="3.0" style="763"/>
    <col min="1313" max="1313" customWidth="1" bestFit="1" width="3.0" style="763"/>
    <col min="1314" max="1314" customWidth="1" bestFit="1" width="3.0" style="763"/>
    <col min="1315" max="1315" customWidth="1" bestFit="1" width="3.0" style="763"/>
    <col min="1316" max="1316" customWidth="1" bestFit="1" width="3.0" style="763"/>
    <col min="1317" max="1317" customWidth="1" bestFit="1" width="3.0" style="763"/>
    <col min="1318" max="1318" customWidth="1" bestFit="1" width="3.0" style="763"/>
    <col min="1319" max="1319" customWidth="1" bestFit="1" width="3.0" style="763"/>
    <col min="1320" max="1320" customWidth="1" bestFit="1" width="3.0" style="763"/>
    <col min="1321" max="1321" customWidth="1" bestFit="1" width="3.0" style="763"/>
    <col min="1322" max="1322" customWidth="1" bestFit="1" width="3.0" style="763"/>
    <col min="1323" max="1323" customWidth="1" bestFit="1" width="3.0" style="763"/>
    <col min="1324" max="1324" customWidth="1" bestFit="1" width="3.0" style="763"/>
    <col min="1325" max="1325" customWidth="1" bestFit="1" width="3.0" style="763"/>
    <col min="1326" max="1326" customWidth="1" bestFit="1" width="3.0" style="763"/>
    <col min="1327" max="1327" customWidth="1" bestFit="1" width="3.0" style="763"/>
    <col min="1328" max="1328" customWidth="1" bestFit="1" width="3.0" style="763"/>
    <col min="1329" max="1329" customWidth="1" bestFit="1" width="3.0" style="763"/>
    <col min="1330" max="1330" customWidth="1" bestFit="1" width="3.0" style="763"/>
    <col min="1331" max="1331" customWidth="1" bestFit="1" width="3.0" style="763"/>
    <col min="1332" max="1332" customWidth="1" bestFit="1" width="3.0" style="763"/>
    <col min="1333" max="1333" customWidth="1" bestFit="1" width="3.0" style="763"/>
    <col min="1334" max="1334" customWidth="1" bestFit="1" width="3.0" style="763"/>
    <col min="1335" max="1335" customWidth="1" bestFit="1" width="3.0" style="763"/>
    <col min="1336" max="1336" customWidth="1" bestFit="1" width="3.0" style="763"/>
    <col min="1337" max="1337" customWidth="1" bestFit="1" width="3.0" style="763"/>
    <col min="1338" max="1338" customWidth="1" bestFit="1" width="3.0" style="763"/>
    <col min="1339" max="1339" customWidth="1" bestFit="1" width="3.0" style="763"/>
    <col min="1340" max="1340" customWidth="1" bestFit="1" width="3.0" style="763"/>
    <col min="1341" max="1341" customWidth="1" bestFit="1" width="3.0" style="763"/>
    <col min="1342" max="1342" customWidth="1" bestFit="1" width="3.0" style="763"/>
    <col min="1343" max="1343" customWidth="1" bestFit="1" width="3.0" style="763"/>
    <col min="1344" max="1344" customWidth="1" bestFit="1" width="3.0" style="763"/>
    <col min="1345" max="1345" customWidth="1" bestFit="1" width="3.0" style="763"/>
    <col min="1346" max="1346" customWidth="1" bestFit="1" width="3.0" style="763"/>
    <col min="1347" max="1347" customWidth="1" bestFit="1" width="3.0" style="763"/>
    <col min="1348" max="1348" customWidth="1" bestFit="1" width="3.0" style="763"/>
    <col min="1349" max="1349" customWidth="1" bestFit="1" width="3.0" style="763"/>
    <col min="1350" max="1350" customWidth="1" bestFit="1" width="3.0" style="763"/>
    <col min="1351" max="1351" customWidth="1" bestFit="1" width="3.0" style="763"/>
    <col min="1352" max="1352" customWidth="1" bestFit="1" width="3.0" style="763"/>
    <col min="1353" max="1353" customWidth="1" bestFit="1" width="3.0" style="763"/>
    <col min="1354" max="1354" customWidth="1" bestFit="1" width="3.0" style="763"/>
    <col min="1355" max="1355" customWidth="1" bestFit="1" width="3.0" style="763"/>
    <col min="1356" max="1356" customWidth="1" bestFit="1" width="3.0" style="763"/>
    <col min="1357" max="1357" customWidth="1" bestFit="1" width="3.0" style="763"/>
    <col min="1358" max="1358" customWidth="1" bestFit="1" width="3.0" style="763"/>
    <col min="1359" max="1359" customWidth="1" bestFit="1" width="3.0" style="763"/>
    <col min="1360" max="1360" customWidth="1" bestFit="1" width="3.0" style="763"/>
    <col min="1361" max="1361" customWidth="1" bestFit="1" width="3.0" style="763"/>
    <col min="1362" max="1362" customWidth="1" bestFit="1" width="3.0" style="763"/>
    <col min="1363" max="1363" customWidth="1" bestFit="1" width="3.0" style="763"/>
    <col min="1364" max="1364" customWidth="1" bestFit="1" width="3.0" style="763"/>
    <col min="1365" max="1365" customWidth="1" bestFit="1" width="3.0" style="763"/>
    <col min="1366" max="1366" customWidth="1" bestFit="1" width="3.0" style="763"/>
    <col min="1367" max="1367" customWidth="1" bestFit="1" width="3.0" style="763"/>
    <col min="1368" max="1368" customWidth="1" bestFit="1" width="3.0" style="763"/>
    <col min="1369" max="1369" customWidth="1" bestFit="1" width="3.0" style="763"/>
    <col min="1370" max="1370" customWidth="1" bestFit="1" width="3.0" style="763"/>
    <col min="1371" max="1371" customWidth="1" bestFit="1" width="3.0" style="763"/>
    <col min="1372" max="1372" customWidth="1" bestFit="1" width="3.0" style="763"/>
    <col min="1373" max="1373" customWidth="1" bestFit="1" width="3.0" style="763"/>
    <col min="1374" max="1374" customWidth="1" bestFit="1" width="3.0" style="763"/>
    <col min="1375" max="1375" customWidth="1" bestFit="1" width="3.0" style="763"/>
    <col min="1376" max="1376" customWidth="1" bestFit="1" width="3.0" style="763"/>
    <col min="1377" max="1377" customWidth="1" bestFit="1" width="3.0" style="763"/>
    <col min="1378" max="1378" customWidth="1" bestFit="1" width="3.0" style="763"/>
    <col min="1379" max="1379" customWidth="1" bestFit="1" width="3.0" style="763"/>
    <col min="1380" max="1380" customWidth="1" bestFit="1" width="3.0" style="763"/>
    <col min="1381" max="1381" customWidth="1" bestFit="1" width="3.0" style="763"/>
    <col min="1382" max="1382" customWidth="1" bestFit="1" width="3.0" style="763"/>
    <col min="1383" max="1383" customWidth="1" bestFit="1" width="3.0" style="763"/>
    <col min="1384" max="1384" customWidth="1" bestFit="1" width="3.0" style="763"/>
    <col min="1385" max="1385" customWidth="1" bestFit="1" width="3.0" style="763"/>
    <col min="1386" max="1386" customWidth="1" bestFit="1" width="3.0" style="763"/>
    <col min="1387" max="1387" customWidth="1" bestFit="1" width="3.0" style="763"/>
    <col min="1388" max="1388" customWidth="1" bestFit="1" width="3.0" style="763"/>
    <col min="1389" max="1389" customWidth="1" bestFit="1" width="3.0" style="763"/>
    <col min="1390" max="1390" customWidth="1" bestFit="1" width="3.0" style="763"/>
    <col min="1391" max="1391" customWidth="1" bestFit="1" width="3.0" style="763"/>
    <col min="1392" max="1392" customWidth="1" bestFit="1" width="3.0" style="763"/>
    <col min="1393" max="1393" customWidth="1" bestFit="1" width="3.0" style="763"/>
    <col min="1394" max="1394" customWidth="1" bestFit="1" width="3.0" style="763"/>
    <col min="1395" max="1395" customWidth="1" bestFit="1" width="3.0" style="763"/>
    <col min="1396" max="1396" customWidth="1" bestFit="1" width="3.0" style="763"/>
    <col min="1397" max="1397" customWidth="1" bestFit="1" width="3.0" style="763"/>
    <col min="1398" max="1398" customWidth="1" bestFit="1" width="3.0" style="763"/>
    <col min="1399" max="1399" customWidth="1" bestFit="1" width="3.0" style="763"/>
    <col min="1400" max="1400" customWidth="1" bestFit="1" width="3.0" style="763"/>
    <col min="1401" max="1401" customWidth="1" bestFit="1" width="3.0" style="763"/>
    <col min="1402" max="1402" customWidth="1" bestFit="1" width="3.0" style="763"/>
    <col min="1403" max="1403" customWidth="1" bestFit="1" width="3.0" style="763"/>
    <col min="1404" max="1404" customWidth="1" bestFit="1" width="3.0" style="763"/>
    <col min="1405" max="1405" customWidth="1" bestFit="1" width="3.0" style="763"/>
    <col min="1406" max="1406" customWidth="1" bestFit="1" width="3.0" style="763"/>
    <col min="1407" max="1407" customWidth="1" bestFit="1" width="3.0" style="763"/>
    <col min="1408" max="1408" customWidth="1" bestFit="1" width="3.0" style="763"/>
    <col min="1409" max="1409" customWidth="1" bestFit="1" width="3.0" style="763"/>
    <col min="1410" max="1410" customWidth="1" bestFit="1" width="3.0" style="763"/>
    <col min="1411" max="1411" customWidth="1" bestFit="1" width="3.0" style="763"/>
    <col min="1412" max="1412" customWidth="1" bestFit="1" width="3.0" style="763"/>
    <col min="1413" max="1413" customWidth="1" bestFit="1" width="3.0" style="763"/>
    <col min="1414" max="1414" customWidth="1" bestFit="1" width="3.0" style="763"/>
    <col min="1415" max="1415" customWidth="1" bestFit="1" width="3.0" style="763"/>
    <col min="1416" max="1416" customWidth="1" bestFit="1" width="3.0" style="763"/>
    <col min="1417" max="1417" customWidth="1" bestFit="1" width="3.0" style="763"/>
    <col min="1418" max="1418" customWidth="1" bestFit="1" width="3.0" style="763"/>
    <col min="1419" max="1419" customWidth="1" bestFit="1" width="3.0" style="763"/>
    <col min="1420" max="1420" customWidth="1" bestFit="1" width="3.0" style="763"/>
    <col min="1421" max="1421" customWidth="1" bestFit="1" width="3.0" style="763"/>
    <col min="1422" max="1422" customWidth="1" bestFit="1" width="3.0" style="763"/>
    <col min="1423" max="1423" customWidth="1" bestFit="1" width="3.0" style="763"/>
    <col min="1424" max="1424" customWidth="1" bestFit="1" width="3.0" style="763"/>
    <col min="1425" max="1425" customWidth="1" bestFit="1" width="3.0" style="763"/>
    <col min="1426" max="1426" customWidth="1" bestFit="1" width="3.0" style="763"/>
    <col min="1427" max="1427" customWidth="1" bestFit="1" width="3.0" style="763"/>
    <col min="1428" max="1428" customWidth="1" bestFit="1" width="3.0" style="763"/>
    <col min="1429" max="1429" customWidth="1" bestFit="1" width="3.0" style="763"/>
    <col min="1430" max="1430" customWidth="1" bestFit="1" width="3.0" style="763"/>
    <col min="1431" max="1431" customWidth="1" bestFit="1" width="3.0" style="763"/>
    <col min="1432" max="1432" customWidth="1" bestFit="1" width="3.0" style="763"/>
    <col min="1433" max="1433" customWidth="1" bestFit="1" width="3.0" style="763"/>
    <col min="1434" max="1434" customWidth="1" bestFit="1" width="3.0" style="763"/>
    <col min="1435" max="1435" customWidth="1" bestFit="1" width="3.0" style="763"/>
    <col min="1436" max="1436" customWidth="1" bestFit="1" width="3.0" style="763"/>
    <col min="1437" max="1437" customWidth="1" bestFit="1" width="3.0" style="763"/>
    <col min="1438" max="1438" customWidth="1" bestFit="1" width="3.0" style="763"/>
    <col min="1439" max="1439" customWidth="1" bestFit="1" width="3.0" style="763"/>
    <col min="1440" max="1440" customWidth="1" bestFit="1" width="3.0" style="763"/>
    <col min="1441" max="1441" customWidth="1" bestFit="1" width="3.0" style="763"/>
    <col min="1442" max="1442" customWidth="1" bestFit="1" width="3.0" style="763"/>
    <col min="1443" max="1443" customWidth="1" bestFit="1" width="3.0" style="763"/>
    <col min="1444" max="1444" customWidth="1" bestFit="1" width="3.0" style="763"/>
    <col min="1445" max="1445" customWidth="1" bestFit="1" width="3.0" style="763"/>
    <col min="1446" max="1446" customWidth="1" bestFit="1" width="3.0" style="763"/>
    <col min="1447" max="1447" customWidth="1" bestFit="1" width="3.0" style="763"/>
    <col min="1448" max="1448" customWidth="1" bestFit="1" width="3.0" style="763"/>
    <col min="1449" max="1449" customWidth="1" bestFit="1" width="3.0" style="763"/>
    <col min="1450" max="1450" customWidth="1" bestFit="1" width="3.0" style="763"/>
    <col min="1451" max="1451" customWidth="1" bestFit="1" width="3.0" style="763"/>
    <col min="1452" max="1452" customWidth="1" bestFit="1" width="3.0" style="763"/>
    <col min="1453" max="1453" customWidth="1" bestFit="1" width="3.0" style="763"/>
    <col min="1454" max="1454" customWidth="1" bestFit="1" width="3.0" style="763"/>
    <col min="1455" max="1455" customWidth="1" bestFit="1" width="3.0" style="763"/>
    <col min="1456" max="1456" customWidth="1" bestFit="1" width="3.0" style="763"/>
    <col min="1457" max="1457" customWidth="1" bestFit="1" width="3.0" style="763"/>
    <col min="1458" max="1458" customWidth="1" bestFit="1" width="3.0" style="763"/>
    <col min="1459" max="1459" customWidth="1" bestFit="1" width="3.0" style="763"/>
    <col min="1460" max="1460" customWidth="1" bestFit="1" width="3.0" style="763"/>
    <col min="1461" max="1461" customWidth="1" bestFit="1" width="3.0" style="763"/>
    <col min="1462" max="1462" customWidth="1" bestFit="1" width="3.0" style="763"/>
    <col min="1463" max="1463" customWidth="1" bestFit="1" width="3.0" style="763"/>
    <col min="1464" max="1464" customWidth="1" bestFit="1" width="3.0" style="763"/>
    <col min="1465" max="1465" customWidth="1" bestFit="1" width="3.0" style="763"/>
    <col min="1466" max="1466" customWidth="1" bestFit="1" width="3.0" style="763"/>
    <col min="1467" max="1467" customWidth="1" bestFit="1" width="3.0" style="763"/>
    <col min="1468" max="1468" customWidth="1" bestFit="1" width="3.0" style="763"/>
    <col min="1469" max="1469" customWidth="1" bestFit="1" width="3.0" style="763"/>
    <col min="1470" max="1470" customWidth="1" bestFit="1" width="3.0" style="763"/>
    <col min="1471" max="1471" customWidth="1" bestFit="1" width="3.0" style="763"/>
    <col min="1472" max="1472" customWidth="1" bestFit="1" width="3.0" style="763"/>
    <col min="1473" max="1473" customWidth="1" bestFit="1" width="3.0" style="763"/>
    <col min="1474" max="1474" customWidth="1" bestFit="1" width="3.0" style="763"/>
    <col min="1475" max="1475" customWidth="1" bestFit="1" width="3.0" style="763"/>
    <col min="1476" max="1476" customWidth="1" bestFit="1" width="3.0" style="763"/>
    <col min="1477" max="1477" customWidth="1" bestFit="1" width="3.0" style="763"/>
    <col min="1478" max="1478" customWidth="1" bestFit="1" width="3.0" style="763"/>
    <col min="1479" max="1479" customWidth="1" bestFit="1" width="3.0" style="763"/>
    <col min="1480" max="1480" customWidth="1" bestFit="1" width="3.0" style="763"/>
    <col min="1481" max="1481" customWidth="1" bestFit="1" width="3.0" style="763"/>
    <col min="1482" max="1482" customWidth="1" bestFit="1" width="3.0" style="763"/>
    <col min="1483" max="1483" customWidth="1" bestFit="1" width="3.0" style="763"/>
    <col min="1484" max="1484" customWidth="1" bestFit="1" width="3.0" style="763"/>
    <col min="1485" max="1485" customWidth="1" bestFit="1" width="3.0" style="763"/>
    <col min="1486" max="1486" customWidth="1" bestFit="1" width="3.0" style="763"/>
    <col min="1487" max="1487" customWidth="1" bestFit="1" width="3.0" style="763"/>
    <col min="1488" max="1488" customWidth="1" bestFit="1" width="3.0" style="763"/>
    <col min="1489" max="1489" customWidth="1" bestFit="1" width="3.0" style="763"/>
    <col min="1490" max="1490" customWidth="1" bestFit="1" width="3.0" style="763"/>
    <col min="1491" max="1491" customWidth="1" bestFit="1" width="3.0" style="763"/>
    <col min="1492" max="1492" customWidth="1" bestFit="1" width="3.0" style="763"/>
    <col min="1493" max="1493" customWidth="1" bestFit="1" width="3.0" style="763"/>
    <col min="1494" max="1494" customWidth="1" bestFit="1" width="3.0" style="763"/>
    <col min="1495" max="1495" customWidth="1" bestFit="1" width="3.0" style="763"/>
    <col min="1496" max="1496" customWidth="1" bestFit="1" width="3.0" style="763"/>
    <col min="1497" max="1497" customWidth="1" bestFit="1" width="3.0" style="763"/>
    <col min="1498" max="1498" customWidth="1" bestFit="1" width="3.0" style="763"/>
    <col min="1499" max="1499" customWidth="1" bestFit="1" width="3.0" style="763"/>
    <col min="1500" max="1500" customWidth="1" bestFit="1" width="3.0" style="763"/>
    <col min="1501" max="1501" customWidth="1" bestFit="1" width="3.0" style="763"/>
    <col min="1502" max="1502" customWidth="1" bestFit="1" width="3.0" style="763"/>
    <col min="1503" max="1503" customWidth="1" bestFit="1" width="3.0" style="763"/>
    <col min="1504" max="1504" customWidth="1" bestFit="1" width="3.0" style="763"/>
    <col min="1505" max="1505" customWidth="1" bestFit="1" width="3.0" style="763"/>
    <col min="1506" max="1506" customWidth="1" bestFit="1" width="3.0" style="763"/>
    <col min="1507" max="1507" customWidth="1" bestFit="1" width="3.0" style="763"/>
    <col min="1508" max="1508" customWidth="1" bestFit="1" width="3.0" style="763"/>
    <col min="1509" max="1509" customWidth="1" bestFit="1" width="3.0" style="763"/>
    <col min="1510" max="1510" customWidth="1" bestFit="1" width="3.0" style="763"/>
    <col min="1511" max="1511" customWidth="1" bestFit="1" width="3.0" style="763"/>
    <col min="1512" max="1512" customWidth="1" bestFit="1" width="3.0" style="763"/>
    <col min="1513" max="1513" customWidth="1" bestFit="1" width="3.0" style="763"/>
    <col min="1514" max="1514" customWidth="1" bestFit="1" width="3.0" style="763"/>
    <col min="1515" max="1515" customWidth="1" bestFit="1" width="3.0" style="763"/>
    <col min="1516" max="1516" customWidth="1" bestFit="1" width="3.0" style="763"/>
    <col min="1517" max="1517" customWidth="1" bestFit="1" width="3.0" style="763"/>
    <col min="1518" max="1518" customWidth="1" bestFit="1" width="3.0" style="763"/>
    <col min="1519" max="1519" customWidth="1" bestFit="1" width="3.0" style="763"/>
    <col min="1520" max="1520" customWidth="1" bestFit="1" width="3.0" style="763"/>
    <col min="1521" max="1521" customWidth="1" bestFit="1" width="3.0" style="763"/>
    <col min="1522" max="1522" customWidth="1" bestFit="1" width="3.0" style="763"/>
    <col min="1523" max="1523" customWidth="1" bestFit="1" width="3.0" style="763"/>
    <col min="1524" max="1524" customWidth="1" bestFit="1" width="3.0" style="763"/>
    <col min="1525" max="1525" customWidth="1" bestFit="1" width="3.0" style="763"/>
    <col min="1526" max="1526" customWidth="1" bestFit="1" width="3.0" style="763"/>
    <col min="1527" max="1527" customWidth="1" bestFit="1" width="3.0" style="763"/>
    <col min="1528" max="1528" customWidth="1" bestFit="1" width="3.0" style="763"/>
    <col min="1529" max="1529" customWidth="1" bestFit="1" width="3.0" style="763"/>
    <col min="1530" max="1530" customWidth="1" bestFit="1" width="3.0" style="763"/>
    <col min="1531" max="1531" customWidth="1" bestFit="1" width="3.0" style="763"/>
    <col min="1532" max="1532" customWidth="1" bestFit="1" width="3.0" style="763"/>
    <col min="1533" max="1533" customWidth="1" bestFit="1" width="3.0" style="763"/>
    <col min="1534" max="1534" customWidth="1" bestFit="1" width="3.0" style="763"/>
    <col min="1535" max="1535" customWidth="1" bestFit="1" width="3.0" style="763"/>
    <col min="1536" max="1536" customWidth="1" bestFit="1" width="3.0" style="763"/>
    <col min="1537" max="1537" customWidth="1" bestFit="1" width="3.0" style="763"/>
    <col min="1538" max="1538" customWidth="1" bestFit="1" width="3.0" style="763"/>
    <col min="1539" max="1539" customWidth="1" bestFit="1" width="3.0" style="763"/>
    <col min="1540" max="1540" customWidth="1" bestFit="1" width="3.0" style="763"/>
    <col min="1541" max="1541" customWidth="1" bestFit="1" width="3.0" style="763"/>
    <col min="1542" max="1542" customWidth="1" bestFit="1" width="3.0" style="763"/>
    <col min="1543" max="1543" customWidth="1" bestFit="1" width="3.0" style="763"/>
    <col min="1544" max="1544" customWidth="1" bestFit="1" width="3.0" style="763"/>
    <col min="1545" max="1545" customWidth="1" bestFit="1" width="3.0" style="763"/>
    <col min="1546" max="1546" customWidth="1" bestFit="1" width="3.0" style="763"/>
    <col min="1547" max="1547" customWidth="1" bestFit="1" width="3.0" style="763"/>
    <col min="1548" max="1548" customWidth="1" bestFit="1" width="3.0" style="763"/>
    <col min="1549" max="1549" customWidth="1" bestFit="1" width="3.0" style="763"/>
    <col min="1550" max="1550" customWidth="1" bestFit="1" width="3.0" style="763"/>
    <col min="1551" max="1551" customWidth="1" bestFit="1" width="3.0" style="763"/>
    <col min="1552" max="1552" customWidth="1" bestFit="1" width="3.0" style="763"/>
    <col min="1553" max="1553" customWidth="1" bestFit="1" width="3.0" style="763"/>
    <col min="1554" max="1554" customWidth="1" bestFit="1" width="3.0" style="763"/>
    <col min="1555" max="1555" customWidth="1" bestFit="1" width="3.0" style="763"/>
    <col min="1556" max="1556" customWidth="1" bestFit="1" width="3.0" style="763"/>
    <col min="1557" max="1557" customWidth="1" bestFit="1" width="3.0" style="763"/>
    <col min="1558" max="1558" customWidth="1" bestFit="1" width="3.0" style="763"/>
    <col min="1559" max="1559" customWidth="1" bestFit="1" width="3.0" style="763"/>
    <col min="1560" max="1560" customWidth="1" bestFit="1" width="3.0" style="763"/>
    <col min="1561" max="1561" customWidth="1" bestFit="1" width="3.0" style="763"/>
    <col min="1562" max="1562" customWidth="1" bestFit="1" width="3.0" style="763"/>
    <col min="1563" max="1563" customWidth="1" bestFit="1" width="3.0" style="763"/>
    <col min="1564" max="1564" customWidth="1" bestFit="1" width="3.0" style="763"/>
    <col min="1565" max="1565" customWidth="1" bestFit="1" width="3.0" style="763"/>
    <col min="1566" max="1566" customWidth="1" bestFit="1" width="3.0" style="763"/>
    <col min="1567" max="1567" customWidth="1" bestFit="1" width="3.0" style="763"/>
    <col min="1568" max="1568" customWidth="1" bestFit="1" width="3.0" style="763"/>
    <col min="1569" max="1569" customWidth="1" bestFit="1" width="3.0" style="763"/>
    <col min="1570" max="1570" customWidth="1" bestFit="1" width="3.0" style="763"/>
    <col min="1571" max="1571" customWidth="1" bestFit="1" width="3.0" style="763"/>
    <col min="1572" max="1572" customWidth="1" bestFit="1" width="3.0" style="763"/>
    <col min="1573" max="1573" customWidth="1" bestFit="1" width="3.0" style="763"/>
    <col min="1574" max="1574" customWidth="1" bestFit="1" width="3.0" style="763"/>
    <col min="1575" max="1575" customWidth="1" bestFit="1" width="3.0" style="763"/>
    <col min="1576" max="1576" customWidth="1" bestFit="1" width="3.0" style="763"/>
    <col min="1577" max="1577" customWidth="1" bestFit="1" width="3.0" style="763"/>
    <col min="1578" max="1578" customWidth="1" bestFit="1" width="3.0" style="763"/>
    <col min="1579" max="1579" customWidth="1" bestFit="1" width="3.0" style="763"/>
    <col min="1580" max="1580" customWidth="1" bestFit="1" width="3.0" style="763"/>
    <col min="1581" max="1581" customWidth="1" bestFit="1" width="3.0" style="763"/>
    <col min="1582" max="1582" customWidth="1" bestFit="1" width="3.0" style="763"/>
    <col min="1583" max="1583" customWidth="1" bestFit="1" width="3.0" style="763"/>
    <col min="1584" max="1584" customWidth="1" bestFit="1" width="3.0" style="763"/>
    <col min="1585" max="1585" customWidth="1" bestFit="1" width="3.0" style="763"/>
    <col min="1586" max="1586" customWidth="1" bestFit="1" width="3.0" style="763"/>
    <col min="1587" max="1587" customWidth="1" bestFit="1" width="3.0" style="763"/>
    <col min="1588" max="1588" customWidth="1" bestFit="1" width="3.0" style="763"/>
    <col min="1589" max="1589" customWidth="1" bestFit="1" width="3.0" style="763"/>
    <col min="1590" max="1590" customWidth="1" bestFit="1" width="3.0" style="763"/>
    <col min="1591" max="1591" customWidth="1" bestFit="1" width="3.0" style="763"/>
    <col min="1592" max="1592" customWidth="1" bestFit="1" width="3.0" style="763"/>
    <col min="1593" max="1593" customWidth="1" bestFit="1" width="3.0" style="763"/>
    <col min="1594" max="1594" customWidth="1" bestFit="1" width="3.0" style="763"/>
    <col min="1595" max="1595" customWidth="1" bestFit="1" width="3.0" style="763"/>
    <col min="1596" max="1596" customWidth="1" bestFit="1" width="3.0" style="763"/>
    <col min="1597" max="1597" customWidth="1" bestFit="1" width="3.0" style="763"/>
    <col min="1598" max="1598" customWidth="1" bestFit="1" width="3.0" style="763"/>
    <col min="1599" max="1599" customWidth="1" bestFit="1" width="3.0" style="763"/>
    <col min="1600" max="1600" customWidth="1" bestFit="1" width="3.0" style="763"/>
    <col min="1601" max="1601" customWidth="1" bestFit="1" width="3.0" style="763"/>
    <col min="1602" max="1602" customWidth="1" bestFit="1" width="3.0" style="763"/>
    <col min="1603" max="1603" customWidth="1" bestFit="1" width="3.0" style="763"/>
    <col min="1604" max="1604" customWidth="1" bestFit="1" width="3.0" style="763"/>
    <col min="1605" max="1605" customWidth="1" bestFit="1" width="3.0" style="763"/>
    <col min="1606" max="1606" customWidth="1" bestFit="1" width="3.0" style="763"/>
    <col min="1607" max="1607" customWidth="1" bestFit="1" width="3.0" style="763"/>
    <col min="1608" max="1608" customWidth="1" bestFit="1" width="3.0" style="763"/>
    <col min="1609" max="1609" customWidth="1" bestFit="1" width="3.0" style="763"/>
    <col min="1610" max="1610" customWidth="1" bestFit="1" width="3.0" style="763"/>
    <col min="1611" max="1611" customWidth="1" bestFit="1" width="3.0" style="763"/>
    <col min="1612" max="1612" customWidth="1" bestFit="1" width="3.0" style="763"/>
    <col min="1613" max="1613" customWidth="1" bestFit="1" width="3.0" style="763"/>
    <col min="1614" max="1614" customWidth="1" bestFit="1" width="3.0" style="763"/>
    <col min="1615" max="1615" customWidth="1" bestFit="1" width="3.0" style="763"/>
    <col min="1616" max="1616" customWidth="1" bestFit="1" width="3.0" style="763"/>
    <col min="1617" max="1617" customWidth="1" bestFit="1" width="3.0" style="763"/>
    <col min="1618" max="1618" customWidth="1" bestFit="1" width="3.0" style="763"/>
    <col min="1619" max="1619" customWidth="1" bestFit="1" width="3.0" style="763"/>
    <col min="1620" max="1620" customWidth="1" bestFit="1" width="3.0" style="763"/>
    <col min="1621" max="1621" customWidth="1" bestFit="1" width="3.0" style="763"/>
    <col min="1622" max="1622" customWidth="1" bestFit="1" width="3.0" style="763"/>
    <col min="1623" max="1623" customWidth="1" bestFit="1" width="3.0" style="763"/>
    <col min="1624" max="1624" customWidth="1" bestFit="1" width="3.0" style="763"/>
    <col min="1625" max="1625" customWidth="1" bestFit="1" width="3.0" style="763"/>
    <col min="1626" max="1626" customWidth="1" bestFit="1" width="3.0" style="763"/>
    <col min="1627" max="1627" customWidth="1" bestFit="1" width="3.0" style="763"/>
    <col min="1628" max="1628" customWidth="1" bestFit="1" width="3.0" style="763"/>
    <col min="1629" max="1629" customWidth="1" bestFit="1" width="3.0" style="763"/>
    <col min="1630" max="1630" customWidth="1" bestFit="1" width="3.0" style="763"/>
    <col min="1631" max="1631" customWidth="1" bestFit="1" width="3.0" style="763"/>
    <col min="1632" max="1632" customWidth="1" bestFit="1" width="3.0" style="763"/>
    <col min="1633" max="1633" customWidth="1" bestFit="1" width="3.0" style="763"/>
    <col min="1634" max="1634" customWidth="1" bestFit="1" width="3.0" style="763"/>
    <col min="1635" max="1635" customWidth="1" bestFit="1" width="3.0" style="763"/>
    <col min="1636" max="1636" customWidth="1" bestFit="1" width="3.0" style="763"/>
    <col min="1637" max="1637" customWidth="1" bestFit="1" width="3.0" style="763"/>
    <col min="1638" max="1638" customWidth="1" bestFit="1" width="3.0" style="763"/>
    <col min="1639" max="1639" customWidth="1" bestFit="1" width="3.0" style="763"/>
    <col min="1640" max="1640" customWidth="1" bestFit="1" width="3.0" style="763"/>
    <col min="1641" max="1641" customWidth="1" bestFit="1" width="3.0" style="763"/>
    <col min="1642" max="1642" customWidth="1" bestFit="1" width="3.0" style="763"/>
    <col min="1643" max="1643" customWidth="1" bestFit="1" width="3.0" style="763"/>
    <col min="1644" max="1644" customWidth="1" bestFit="1" width="3.0" style="763"/>
    <col min="1645" max="1645" customWidth="1" bestFit="1" width="3.0" style="763"/>
    <col min="1646" max="1646" customWidth="1" bestFit="1" width="3.0" style="763"/>
    <col min="1647" max="1647" customWidth="1" bestFit="1" width="3.0" style="763"/>
    <col min="1648" max="1648" customWidth="1" bestFit="1" width="3.0" style="763"/>
    <col min="1649" max="1649" customWidth="1" bestFit="1" width="3.0" style="763"/>
    <col min="1650" max="1650" customWidth="1" bestFit="1" width="3.0" style="763"/>
    <col min="1651" max="1651" customWidth="1" bestFit="1" width="3.0" style="763"/>
    <col min="1652" max="1652" customWidth="1" bestFit="1" width="3.0" style="763"/>
    <col min="1653" max="1653" customWidth="1" bestFit="1" width="3.0" style="763"/>
    <col min="1654" max="1654" customWidth="1" bestFit="1" width="3.0" style="763"/>
    <col min="1655" max="1655" customWidth="1" bestFit="1" width="3.0" style="763"/>
    <col min="1656" max="1656" customWidth="1" bestFit="1" width="3.0" style="763"/>
    <col min="1657" max="1657" customWidth="1" bestFit="1" width="3.0" style="763"/>
    <col min="1658" max="1658" customWidth="1" bestFit="1" width="3.0" style="763"/>
    <col min="1659" max="1659" customWidth="1" bestFit="1" width="3.0" style="763"/>
    <col min="1660" max="1660" customWidth="1" bestFit="1" width="3.0" style="763"/>
    <col min="1661" max="1661" customWidth="1" bestFit="1" width="3.0" style="763"/>
    <col min="1662" max="1662" customWidth="1" bestFit="1" width="3.0" style="763"/>
    <col min="1663" max="1663" customWidth="1" bestFit="1" width="3.0" style="763"/>
    <col min="1664" max="1664" customWidth="1" bestFit="1" width="3.0" style="763"/>
    <col min="1665" max="1665" customWidth="1" bestFit="1" width="3.0" style="763"/>
    <col min="1666" max="1666" customWidth="1" bestFit="1" width="3.0" style="763"/>
    <col min="1667" max="1667" customWidth="1" bestFit="1" width="3.0" style="763"/>
    <col min="1668" max="1668" customWidth="1" bestFit="1" width="3.0" style="763"/>
    <col min="1669" max="1669" customWidth="1" bestFit="1" width="3.0" style="763"/>
    <col min="1670" max="1670" customWidth="1" bestFit="1" width="3.0" style="763"/>
    <col min="1671" max="1671" customWidth="1" bestFit="1" width="3.0" style="763"/>
    <col min="1672" max="1672" customWidth="1" bestFit="1" width="3.0" style="763"/>
    <col min="1673" max="1673" customWidth="1" bestFit="1" width="3.0" style="763"/>
    <col min="1674" max="1674" customWidth="1" bestFit="1" width="3.0" style="763"/>
    <col min="1675" max="1675" customWidth="1" bestFit="1" width="3.0" style="763"/>
    <col min="1676" max="1676" customWidth="1" bestFit="1" width="3.0" style="763"/>
    <col min="1677" max="1677" customWidth="1" bestFit="1" width="3.0" style="763"/>
    <col min="1678" max="1678" customWidth="1" bestFit="1" width="3.0" style="763"/>
    <col min="1679" max="1679" customWidth="1" bestFit="1" width="3.0" style="763"/>
    <col min="1680" max="1680" customWidth="1" bestFit="1" width="3.0" style="763"/>
    <col min="1681" max="1681" customWidth="1" bestFit="1" width="3.0" style="763"/>
    <col min="1682" max="1682" customWidth="1" bestFit="1" width="3.0" style="763"/>
    <col min="1683" max="1683" customWidth="1" bestFit="1" width="3.0" style="763"/>
    <col min="1684" max="1684" customWidth="1" bestFit="1" width="3.0" style="763"/>
    <col min="1685" max="1685" customWidth="1" bestFit="1" width="3.0" style="763"/>
    <col min="1686" max="1686" customWidth="1" bestFit="1" width="3.0" style="763"/>
    <col min="1687" max="1687" customWidth="1" bestFit="1" width="3.0" style="763"/>
    <col min="1688" max="1688" customWidth="1" bestFit="1" width="3.0" style="763"/>
    <col min="1689" max="1689" customWidth="1" bestFit="1" width="3.0" style="763"/>
    <col min="1690" max="1690" customWidth="1" bestFit="1" width="3.0" style="763"/>
    <col min="1691" max="1691" customWidth="1" bestFit="1" width="3.0" style="763"/>
    <col min="1692" max="1692" customWidth="1" bestFit="1" width="3.0" style="763"/>
    <col min="1693" max="1693" customWidth="1" bestFit="1" width="3.0" style="763"/>
    <col min="1694" max="1694" customWidth="1" bestFit="1" width="3.0" style="763"/>
    <col min="1695" max="1695" customWidth="1" bestFit="1" width="3.0" style="763"/>
    <col min="1696" max="1696" customWidth="1" bestFit="1" width="3.0" style="763"/>
    <col min="1697" max="1697" customWidth="1" bestFit="1" width="3.0" style="763"/>
    <col min="1698" max="1698" customWidth="1" bestFit="1" width="3.0" style="763"/>
    <col min="1699" max="1699" customWidth="1" bestFit="1" width="3.0" style="763"/>
    <col min="1700" max="1700" customWidth="1" bestFit="1" width="3.0" style="763"/>
    <col min="1701" max="1701" customWidth="1" bestFit="1" width="3.0" style="763"/>
    <col min="1702" max="1702" customWidth="1" bestFit="1" width="3.0" style="763"/>
    <col min="1703" max="1703" customWidth="1" bestFit="1" width="3.0" style="763"/>
    <col min="1704" max="1704" customWidth="1" bestFit="1" width="3.0" style="763"/>
    <col min="1705" max="1705" customWidth="1" bestFit="1" width="3.0" style="763"/>
    <col min="1706" max="1706" customWidth="1" bestFit="1" width="3.0" style="763"/>
    <col min="1707" max="1707" customWidth="1" bestFit="1" width="3.0" style="763"/>
    <col min="1708" max="1708" customWidth="1" bestFit="1" width="3.0" style="763"/>
    <col min="1709" max="1709" customWidth="1" bestFit="1" width="3.0" style="763"/>
    <col min="1710" max="1710" customWidth="1" bestFit="1" width="3.0" style="763"/>
    <col min="1711" max="1711" customWidth="1" bestFit="1" width="3.0" style="763"/>
    <col min="1712" max="1712" customWidth="1" bestFit="1" width="3.0" style="763"/>
    <col min="1713" max="1713" customWidth="1" bestFit="1" width="3.0" style="763"/>
    <col min="1714" max="1714" customWidth="1" bestFit="1" width="3.0" style="763"/>
    <col min="1715" max="1715" customWidth="1" bestFit="1" width="3.0" style="763"/>
    <col min="1716" max="1716" customWidth="1" bestFit="1" width="3.0" style="763"/>
    <col min="1717" max="1717" customWidth="1" bestFit="1" width="3.0" style="763"/>
    <col min="1718" max="1718" customWidth="1" bestFit="1" width="3.0" style="763"/>
    <col min="1719" max="1719" customWidth="1" bestFit="1" width="3.0" style="763"/>
    <col min="1720" max="1720" customWidth="1" bestFit="1" width="3.0" style="763"/>
    <col min="1721" max="1721" customWidth="1" bestFit="1" width="3.0" style="763"/>
    <col min="1722" max="1722" customWidth="1" bestFit="1" width="3.0" style="763"/>
    <col min="1723" max="1723" customWidth="1" bestFit="1" width="3.0" style="763"/>
    <col min="1724" max="1724" customWidth="1" bestFit="1" width="3.0" style="763"/>
    <col min="1725" max="1725" customWidth="1" bestFit="1" width="3.0" style="763"/>
    <col min="1726" max="1726" customWidth="1" bestFit="1" width="3.0" style="763"/>
    <col min="1727" max="1727" customWidth="1" bestFit="1" width="3.0" style="763"/>
    <col min="1728" max="1728" customWidth="1" bestFit="1" width="3.0" style="763"/>
    <col min="1729" max="1729" customWidth="1" bestFit="1" width="3.0" style="763"/>
    <col min="1730" max="1730" customWidth="1" bestFit="1" width="3.0" style="763"/>
    <col min="1731" max="1731" customWidth="1" bestFit="1" width="3.0" style="763"/>
    <col min="1732" max="1732" customWidth="1" bestFit="1" width="3.0" style="763"/>
    <col min="1733" max="1733" customWidth="1" bestFit="1" width="3.0" style="763"/>
    <col min="1734" max="1734" customWidth="1" bestFit="1" width="3.0" style="763"/>
    <col min="1735" max="1735" customWidth="1" bestFit="1" width="3.0" style="763"/>
    <col min="1736" max="1736" customWidth="1" bestFit="1" width="3.0" style="763"/>
    <col min="1737" max="1737" customWidth="1" bestFit="1" width="3.0" style="763"/>
    <col min="1738" max="1738" customWidth="1" bestFit="1" width="3.0" style="763"/>
    <col min="1739" max="1739" customWidth="1" bestFit="1" width="3.0" style="763"/>
    <col min="1740" max="1740" customWidth="1" bestFit="1" width="3.0" style="763"/>
    <col min="1741" max="1741" customWidth="1" bestFit="1" width="3.0" style="763"/>
    <col min="1742" max="1742" customWidth="1" bestFit="1" width="3.0" style="763"/>
    <col min="1743" max="1743" customWidth="1" bestFit="1" width="3.0" style="763"/>
    <col min="1744" max="1744" customWidth="1" bestFit="1" width="3.0" style="763"/>
    <col min="1745" max="1745" customWidth="1" bestFit="1" width="3.0" style="763"/>
    <col min="1746" max="1746" customWidth="1" bestFit="1" width="3.0" style="763"/>
    <col min="1747" max="1747" customWidth="1" bestFit="1" width="3.0" style="763"/>
    <col min="1748" max="1748" customWidth="1" bestFit="1" width="3.0" style="763"/>
    <col min="1749" max="1749" customWidth="1" bestFit="1" width="3.0" style="763"/>
    <col min="1750" max="1750" customWidth="1" bestFit="1" width="3.0" style="763"/>
    <col min="1751" max="1751" customWidth="1" bestFit="1" width="3.0" style="763"/>
    <col min="1752" max="1752" customWidth="1" bestFit="1" width="3.0" style="763"/>
    <col min="1753" max="1753" customWidth="1" bestFit="1" width="3.0" style="763"/>
    <col min="1754" max="1754" customWidth="1" bestFit="1" width="3.0" style="763"/>
    <col min="1755" max="1755" customWidth="1" bestFit="1" width="3.0" style="763"/>
    <col min="1756" max="1756" customWidth="1" bestFit="1" width="3.0" style="763"/>
    <col min="1757" max="1757" customWidth="1" bestFit="1" width="3.0" style="763"/>
    <col min="1758" max="1758" customWidth="1" bestFit="1" width="3.0" style="763"/>
    <col min="1759" max="1759" customWidth="1" bestFit="1" width="3.0" style="763"/>
    <col min="1760" max="1760" customWidth="1" bestFit="1" width="3.0" style="763"/>
    <col min="1761" max="1761" customWidth="1" bestFit="1" width="3.0" style="763"/>
    <col min="1762" max="1762" customWidth="1" bestFit="1" width="3.0" style="763"/>
    <col min="1763" max="1763" customWidth="1" bestFit="1" width="3.0" style="763"/>
    <col min="1764" max="1764" customWidth="1" bestFit="1" width="3.0" style="763"/>
    <col min="1765" max="1765" customWidth="1" bestFit="1" width="3.0" style="763"/>
    <col min="1766" max="1766" customWidth="1" bestFit="1" width="3.0" style="763"/>
    <col min="1767" max="1767" customWidth="1" bestFit="1" width="3.0" style="763"/>
    <col min="1768" max="1768" customWidth="1" bestFit="1" width="3.0" style="763"/>
    <col min="1769" max="1769" customWidth="1" bestFit="1" width="3.0" style="763"/>
    <col min="1770" max="1770" customWidth="1" bestFit="1" width="3.0" style="763"/>
    <col min="1771" max="1771" customWidth="1" bestFit="1" width="3.0" style="763"/>
    <col min="1772" max="1772" customWidth="1" bestFit="1" width="3.0" style="763"/>
    <col min="1773" max="1773" customWidth="1" bestFit="1" width="3.0" style="763"/>
    <col min="1774" max="1774" customWidth="1" bestFit="1" width="3.0" style="763"/>
    <col min="1775" max="1775" customWidth="1" bestFit="1" width="3.0" style="763"/>
    <col min="1776" max="1776" customWidth="1" bestFit="1" width="3.0" style="763"/>
    <col min="1777" max="1777" customWidth="1" bestFit="1" width="3.0" style="763"/>
    <col min="1778" max="1778" customWidth="1" bestFit="1" width="3.0" style="763"/>
    <col min="1779" max="1779" customWidth="1" bestFit="1" width="3.0" style="763"/>
    <col min="1780" max="1780" customWidth="1" bestFit="1" width="3.0" style="763"/>
    <col min="1781" max="1781" customWidth="1" bestFit="1" width="3.0" style="763"/>
    <col min="1782" max="1782" customWidth="1" bestFit="1" width="3.0" style="763"/>
    <col min="1783" max="1783" customWidth="1" bestFit="1" width="3.0" style="763"/>
    <col min="1784" max="1784" customWidth="1" bestFit="1" width="3.0" style="763"/>
    <col min="1785" max="1785" customWidth="1" bestFit="1" width="3.0" style="763"/>
    <col min="1786" max="1786" customWidth="1" bestFit="1" width="3.0" style="763"/>
    <col min="1787" max="1787" customWidth="1" bestFit="1" width="3.0" style="763"/>
    <col min="1788" max="1788" customWidth="1" bestFit="1" width="3.0" style="763"/>
    <col min="1789" max="1789" customWidth="1" bestFit="1" width="3.0" style="763"/>
    <col min="1790" max="1790" customWidth="1" bestFit="1" width="3.0" style="763"/>
    <col min="1791" max="1791" customWidth="1" bestFit="1" width="3.0" style="763"/>
    <col min="1792" max="1792" customWidth="1" bestFit="1" width="3.0" style="763"/>
    <col min="1793" max="1793" customWidth="1" bestFit="1" width="3.0" style="763"/>
    <col min="1794" max="1794" customWidth="1" bestFit="1" width="3.0" style="763"/>
    <col min="1795" max="1795" customWidth="1" bestFit="1" width="3.0" style="763"/>
    <col min="1796" max="1796" customWidth="1" bestFit="1" width="3.0" style="763"/>
    <col min="1797" max="1797" customWidth="1" bestFit="1" width="3.0" style="763"/>
    <col min="1798" max="1798" customWidth="1" bestFit="1" width="3.0" style="763"/>
    <col min="1799" max="1799" customWidth="1" bestFit="1" width="3.0" style="763"/>
    <col min="1800" max="1800" customWidth="1" bestFit="1" width="3.0" style="763"/>
    <col min="1801" max="1801" customWidth="1" bestFit="1" width="3.0" style="763"/>
    <col min="1802" max="1802" customWidth="1" bestFit="1" width="3.0" style="763"/>
    <col min="1803" max="1803" customWidth="1" bestFit="1" width="3.0" style="763"/>
    <col min="1804" max="1804" customWidth="1" bestFit="1" width="3.0" style="763"/>
    <col min="1805" max="1805" customWidth="1" bestFit="1" width="3.0" style="763"/>
    <col min="1806" max="1806" customWidth="1" bestFit="1" width="3.0" style="763"/>
    <col min="1807" max="1807" customWidth="1" bestFit="1" width="3.0" style="763"/>
    <col min="1808" max="1808" customWidth="1" bestFit="1" width="3.0" style="763"/>
    <col min="1809" max="1809" customWidth="1" bestFit="1" width="3.0" style="763"/>
    <col min="1810" max="1810" customWidth="1" bestFit="1" width="3.0" style="763"/>
    <col min="1811" max="1811" customWidth="1" bestFit="1" width="3.0" style="763"/>
    <col min="1812" max="1812" customWidth="1" bestFit="1" width="3.0" style="763"/>
    <col min="1813" max="1813" customWidth="1" bestFit="1" width="3.0" style="763"/>
    <col min="1814" max="1814" customWidth="1" bestFit="1" width="3.0" style="763"/>
    <col min="1815" max="1815" customWidth="1" bestFit="1" width="3.0" style="763"/>
    <col min="1816" max="1816" customWidth="1" bestFit="1" width="3.0" style="763"/>
    <col min="1817" max="1817" customWidth="1" bestFit="1" width="3.0" style="763"/>
    <col min="1818" max="1818" customWidth="1" bestFit="1" width="3.0" style="763"/>
    <col min="1819" max="1819" customWidth="1" bestFit="1" width="3.0" style="763"/>
    <col min="1820" max="1820" customWidth="1" bestFit="1" width="3.0" style="763"/>
    <col min="1821" max="1821" customWidth="1" bestFit="1" width="3.0" style="763"/>
    <col min="1822" max="1822" customWidth="1" bestFit="1" width="3.0" style="763"/>
    <col min="1823" max="1823" customWidth="1" bestFit="1" width="3.0" style="763"/>
    <col min="1824" max="1824" customWidth="1" bestFit="1" width="3.0" style="763"/>
    <col min="1825" max="1825" customWidth="1" bestFit="1" width="3.0" style="763"/>
    <col min="1826" max="1826" customWidth="1" bestFit="1" width="3.0" style="763"/>
    <col min="1827" max="1827" customWidth="1" bestFit="1" width="3.0" style="763"/>
    <col min="1828" max="1828" customWidth="1" bestFit="1" width="3.0" style="763"/>
    <col min="1829" max="1829" customWidth="1" bestFit="1" width="3.0" style="763"/>
    <col min="1830" max="1830" customWidth="1" bestFit="1" width="3.0" style="763"/>
    <col min="1831" max="1831" customWidth="1" bestFit="1" width="3.0" style="763"/>
    <col min="1832" max="1832" customWidth="1" bestFit="1" width="3.0" style="763"/>
    <col min="1833" max="1833" customWidth="1" bestFit="1" width="3.0" style="763"/>
    <col min="1834" max="1834" customWidth="1" bestFit="1" width="3.0" style="763"/>
    <col min="1835" max="1835" customWidth="1" bestFit="1" width="3.0" style="763"/>
    <col min="1836" max="1836" customWidth="1" bestFit="1" width="3.0" style="763"/>
    <col min="1837" max="1837" customWidth="1" bestFit="1" width="3.0" style="763"/>
    <col min="1838" max="1838" customWidth="1" bestFit="1" width="3.0" style="763"/>
    <col min="1839" max="1839" customWidth="1" bestFit="1" width="3.0" style="763"/>
    <col min="1840" max="1840" customWidth="1" bestFit="1" width="3.0" style="763"/>
    <col min="1841" max="1841" customWidth="1" bestFit="1" width="3.0" style="763"/>
    <col min="1842" max="1842" customWidth="1" bestFit="1" width="3.0" style="763"/>
    <col min="1843" max="1843" customWidth="1" bestFit="1" width="3.0" style="763"/>
    <col min="1844" max="1844" customWidth="1" bestFit="1" width="3.0" style="763"/>
    <col min="1845" max="1845" customWidth="1" bestFit="1" width="3.0" style="763"/>
    <col min="1846" max="1846" customWidth="1" bestFit="1" width="3.0" style="763"/>
    <col min="1847" max="1847" customWidth="1" bestFit="1" width="3.0" style="763"/>
    <col min="1848" max="1848" customWidth="1" bestFit="1" width="3.0" style="763"/>
    <col min="1849" max="1849" customWidth="1" bestFit="1" width="3.0" style="763"/>
    <col min="1850" max="1850" customWidth="1" bestFit="1" width="3.0" style="763"/>
    <col min="1851" max="1851" customWidth="1" bestFit="1" width="3.0" style="763"/>
    <col min="1852" max="1852" customWidth="1" bestFit="1" width="3.0" style="763"/>
    <col min="1853" max="1853" customWidth="1" bestFit="1" width="3.0" style="763"/>
    <col min="1854" max="1854" customWidth="1" bestFit="1" width="3.0" style="763"/>
    <col min="1855" max="1855" customWidth="1" bestFit="1" width="3.0" style="763"/>
    <col min="1856" max="1856" customWidth="1" bestFit="1" width="3.0" style="763"/>
    <col min="1857" max="1857" customWidth="1" bestFit="1" width="3.0" style="763"/>
    <col min="1858" max="1858" customWidth="1" bestFit="1" width="3.0" style="763"/>
    <col min="1859" max="1859" customWidth="1" bestFit="1" width="3.0" style="763"/>
    <col min="1860" max="1860" customWidth="1" bestFit="1" width="3.0" style="763"/>
    <col min="1861" max="1861" customWidth="1" bestFit="1" width="3.0" style="763"/>
    <col min="1862" max="1862" customWidth="1" bestFit="1" width="3.0" style="763"/>
    <col min="1863" max="1863" customWidth="1" bestFit="1" width="3.0" style="763"/>
    <col min="1864" max="1864" customWidth="1" bestFit="1" width="3.0" style="763"/>
    <col min="1865" max="1865" customWidth="1" bestFit="1" width="3.0" style="763"/>
    <col min="1866" max="1866" customWidth="1" bestFit="1" width="3.0" style="763"/>
    <col min="1867" max="1867" customWidth="1" bestFit="1" width="3.0" style="763"/>
    <col min="1868" max="1868" customWidth="1" bestFit="1" width="3.0" style="763"/>
    <col min="1869" max="1869" customWidth="1" bestFit="1" width="3.0" style="763"/>
    <col min="1870" max="1870" customWidth="1" bestFit="1" width="3.0" style="763"/>
    <col min="1871" max="1871" customWidth="1" bestFit="1" width="3.0" style="763"/>
    <col min="1872" max="1872" customWidth="1" bestFit="1" width="3.0" style="763"/>
    <col min="1873" max="1873" customWidth="1" bestFit="1" width="3.0" style="763"/>
    <col min="1874" max="1874" customWidth="1" bestFit="1" width="3.0" style="763"/>
    <col min="1875" max="1875" customWidth="1" bestFit="1" width="3.0" style="763"/>
    <col min="1876" max="1876" customWidth="1" bestFit="1" width="3.0" style="763"/>
    <col min="1877" max="1877" customWidth="1" bestFit="1" width="3.0" style="763"/>
    <col min="1878" max="1878" customWidth="1" bestFit="1" width="3.0" style="763"/>
    <col min="1879" max="1879" customWidth="1" bestFit="1" width="3.0" style="763"/>
    <col min="1880" max="1880" customWidth="1" bestFit="1" width="3.0" style="763"/>
    <col min="1881" max="1881" customWidth="1" bestFit="1" width="3.0" style="763"/>
    <col min="1882" max="1882" customWidth="1" bestFit="1" width="3.0" style="763"/>
    <col min="1883" max="1883" customWidth="1" bestFit="1" width="3.0" style="763"/>
    <col min="1884" max="1884" customWidth="1" bestFit="1" width="3.0" style="763"/>
    <col min="1885" max="1885" customWidth="1" bestFit="1" width="3.0" style="763"/>
    <col min="1886" max="1886" customWidth="1" bestFit="1" width="3.0" style="763"/>
    <col min="1887" max="1887" customWidth="1" bestFit="1" width="3.0" style="763"/>
    <col min="1888" max="1888" customWidth="1" bestFit="1" width="3.0" style="763"/>
    <col min="1889" max="1889" customWidth="1" bestFit="1" width="3.0" style="763"/>
    <col min="1890" max="1890" customWidth="1" bestFit="1" width="3.0" style="763"/>
    <col min="1891" max="1891" customWidth="1" bestFit="1" width="3.0" style="763"/>
    <col min="1892" max="1892" customWidth="1" bestFit="1" width="3.0" style="763"/>
    <col min="1893" max="1893" customWidth="1" bestFit="1" width="3.0" style="763"/>
    <col min="1894" max="1894" customWidth="1" bestFit="1" width="3.0" style="763"/>
    <col min="1895" max="1895" customWidth="1" bestFit="1" width="3.0" style="763"/>
    <col min="1896" max="1896" customWidth="1" bestFit="1" width="3.0" style="763"/>
    <col min="1897" max="1897" customWidth="1" bestFit="1" width="3.0" style="763"/>
    <col min="1898" max="1898" customWidth="1" bestFit="1" width="3.0" style="763"/>
    <col min="1899" max="1899" customWidth="1" bestFit="1" width="3.0" style="763"/>
    <col min="1900" max="1900" customWidth="1" bestFit="1" width="3.0" style="763"/>
    <col min="1901" max="1901" customWidth="1" bestFit="1" width="3.0" style="763"/>
    <col min="1902" max="1902" customWidth="1" bestFit="1" width="3.0" style="763"/>
    <col min="1903" max="1903" customWidth="1" bestFit="1" width="3.0" style="763"/>
    <col min="1904" max="1904" customWidth="1" bestFit="1" width="3.0" style="763"/>
    <col min="1905" max="1905" customWidth="1" bestFit="1" width="3.0" style="763"/>
    <col min="1906" max="1906" customWidth="1" bestFit="1" width="3.0" style="763"/>
    <col min="1907" max="1907" customWidth="1" bestFit="1" width="3.0" style="763"/>
    <col min="1908" max="1908" customWidth="1" bestFit="1" width="3.0" style="763"/>
    <col min="1909" max="1909" customWidth="1" bestFit="1" width="3.0" style="763"/>
    <col min="1910" max="1910" customWidth="1" bestFit="1" width="3.0" style="763"/>
    <col min="1911" max="1911" customWidth="1" bestFit="1" width="3.0" style="763"/>
    <col min="1912" max="1912" customWidth="1" bestFit="1" width="3.0" style="763"/>
    <col min="1913" max="1913" customWidth="1" bestFit="1" width="3.0" style="763"/>
    <col min="1914" max="1914" customWidth="1" bestFit="1" width="3.0" style="763"/>
    <col min="1915" max="1915" customWidth="1" bestFit="1" width="3.0" style="763"/>
    <col min="1916" max="1916" customWidth="1" bestFit="1" width="3.0" style="763"/>
    <col min="1917" max="1917" customWidth="1" bestFit="1" width="3.0" style="763"/>
    <col min="1918" max="1918" customWidth="1" bestFit="1" width="3.0" style="763"/>
    <col min="1919" max="1919" customWidth="1" bestFit="1" width="3.0" style="763"/>
    <col min="1920" max="1920" customWidth="1" bestFit="1" width="3.0" style="763"/>
    <col min="1921" max="1921" customWidth="1" bestFit="1" width="3.0" style="763"/>
    <col min="1922" max="1922" customWidth="1" bestFit="1" width="3.0" style="763"/>
    <col min="1923" max="1923" customWidth="1" bestFit="1" width="3.0" style="763"/>
    <col min="1924" max="1924" customWidth="1" bestFit="1" width="3.0" style="763"/>
    <col min="1925" max="1925" customWidth="1" bestFit="1" width="3.0" style="763"/>
    <col min="1926" max="1926" customWidth="1" bestFit="1" width="3.0" style="763"/>
    <col min="1927" max="1927" customWidth="1" bestFit="1" width="3.0" style="763"/>
    <col min="1928" max="1928" customWidth="1" bestFit="1" width="3.0" style="763"/>
    <col min="1929" max="1929" customWidth="1" bestFit="1" width="3.0" style="763"/>
    <col min="1930" max="1930" customWidth="1" bestFit="1" width="3.0" style="763"/>
    <col min="1931" max="1931" customWidth="1" bestFit="1" width="3.0" style="763"/>
    <col min="1932" max="1932" customWidth="1" bestFit="1" width="3.0" style="763"/>
    <col min="1933" max="1933" customWidth="1" bestFit="1" width="3.0" style="763"/>
    <col min="1934" max="1934" customWidth="1" bestFit="1" width="3.0" style="763"/>
    <col min="1935" max="1935" customWidth="1" bestFit="1" width="3.0" style="763"/>
    <col min="1936" max="1936" customWidth="1" bestFit="1" width="3.0" style="763"/>
    <col min="1937" max="1937" customWidth="1" bestFit="1" width="3.0" style="763"/>
    <col min="1938" max="1938" customWidth="1" bestFit="1" width="3.0" style="763"/>
    <col min="1939" max="1939" customWidth="1" bestFit="1" width="3.0" style="763"/>
    <col min="1940" max="1940" customWidth="1" bestFit="1" width="3.0" style="763"/>
    <col min="1941" max="1941" customWidth="1" bestFit="1" width="3.0" style="763"/>
    <col min="1942" max="1942" customWidth="1" bestFit="1" width="3.0" style="763"/>
    <col min="1943" max="1943" customWidth="1" bestFit="1" width="3.0" style="763"/>
    <col min="1944" max="1944" customWidth="1" bestFit="1" width="3.0" style="763"/>
    <col min="1945" max="1945" customWidth="1" bestFit="1" width="3.0" style="763"/>
    <col min="1946" max="1946" customWidth="1" bestFit="1" width="3.0" style="763"/>
    <col min="1947" max="1947" customWidth="1" bestFit="1" width="3.0" style="763"/>
    <col min="1948" max="1948" customWidth="1" bestFit="1" width="3.0" style="763"/>
    <col min="1949" max="1949" customWidth="1" bestFit="1" width="3.0" style="763"/>
    <col min="1950" max="1950" customWidth="1" bestFit="1" width="3.0" style="763"/>
    <col min="1951" max="1951" customWidth="1" bestFit="1" width="3.0" style="763"/>
    <col min="1952" max="1952" customWidth="1" bestFit="1" width="3.0" style="763"/>
    <col min="1953" max="1953" customWidth="1" bestFit="1" width="3.0" style="763"/>
    <col min="1954" max="1954" customWidth="1" bestFit="1" width="3.0" style="763"/>
    <col min="1955" max="1955" customWidth="1" bestFit="1" width="3.0" style="763"/>
    <col min="1956" max="1956" customWidth="1" bestFit="1" width="3.0" style="763"/>
    <col min="1957" max="1957" customWidth="1" bestFit="1" width="3.0" style="763"/>
    <col min="1958" max="1958" customWidth="1" bestFit="1" width="3.0" style="763"/>
    <col min="1959" max="1959" customWidth="1" bestFit="1" width="3.0" style="763"/>
    <col min="1960" max="1960" customWidth="1" bestFit="1" width="3.0" style="763"/>
    <col min="1961" max="1961" customWidth="1" bestFit="1" width="3.0" style="763"/>
    <col min="1962" max="1962" customWidth="1" bestFit="1" width="3.0" style="763"/>
    <col min="1963" max="1963" customWidth="1" bestFit="1" width="3.0" style="763"/>
    <col min="1964" max="1964" customWidth="1" bestFit="1" width="3.0" style="763"/>
    <col min="1965" max="1965" customWidth="1" bestFit="1" width="3.0" style="763"/>
    <col min="1966" max="1966" customWidth="1" bestFit="1" width="3.0" style="763"/>
    <col min="1967" max="1967" customWidth="1" bestFit="1" width="3.0" style="763"/>
    <col min="1968" max="1968" customWidth="1" bestFit="1" width="3.0" style="763"/>
    <col min="1969" max="1969" customWidth="1" bestFit="1" width="3.0" style="763"/>
    <col min="1970" max="1970" customWidth="1" bestFit="1" width="3.0" style="763"/>
    <col min="1971" max="1971" customWidth="1" bestFit="1" width="3.0" style="763"/>
    <col min="1972" max="1972" customWidth="1" bestFit="1" width="3.0" style="763"/>
    <col min="1973" max="1973" customWidth="1" bestFit="1" width="3.0" style="763"/>
    <col min="1974" max="1974" customWidth="1" bestFit="1" width="3.0" style="763"/>
    <col min="1975" max="1975" customWidth="1" bestFit="1" width="3.0" style="763"/>
    <col min="1976" max="1976" customWidth="1" bestFit="1" width="3.0" style="763"/>
    <col min="1977" max="1977" customWidth="1" bestFit="1" width="3.0" style="763"/>
    <col min="1978" max="1978" customWidth="1" bestFit="1" width="3.0" style="763"/>
    <col min="1979" max="1979" customWidth="1" bestFit="1" width="3.0" style="763"/>
    <col min="1980" max="1980" customWidth="1" bestFit="1" width="3.0" style="763"/>
    <col min="1981" max="1981" customWidth="1" bestFit="1" width="3.0" style="763"/>
    <col min="1982" max="1982" customWidth="1" bestFit="1" width="3.0" style="763"/>
    <col min="1983" max="1983" customWidth="1" bestFit="1" width="3.0" style="763"/>
    <col min="1984" max="1984" customWidth="1" bestFit="1" width="3.0" style="763"/>
    <col min="1985" max="1985" customWidth="1" bestFit="1" width="3.0" style="763"/>
    <col min="1986" max="1986" customWidth="1" bestFit="1" width="3.0" style="763"/>
    <col min="1987" max="1987" customWidth="1" bestFit="1" width="3.0" style="763"/>
    <col min="1988" max="1988" customWidth="1" bestFit="1" width="3.0" style="763"/>
    <col min="1989" max="1989" customWidth="1" bestFit="1" width="3.0" style="763"/>
    <col min="1990" max="1990" customWidth="1" bestFit="1" width="3.0" style="763"/>
    <col min="1991" max="1991" customWidth="1" bestFit="1" width="3.0" style="763"/>
    <col min="1992" max="1992" customWidth="1" bestFit="1" width="3.0" style="763"/>
    <col min="1993" max="1993" customWidth="1" bestFit="1" width="3.0" style="763"/>
    <col min="1994" max="1994" customWidth="1" bestFit="1" width="3.0" style="763"/>
    <col min="1995" max="1995" customWidth="1" bestFit="1" width="3.0" style="763"/>
    <col min="1996" max="1996" customWidth="1" bestFit="1" width="3.0" style="763"/>
    <col min="1997" max="1997" customWidth="1" bestFit="1" width="3.0" style="763"/>
    <col min="1998" max="1998" customWidth="1" bestFit="1" width="3.0" style="763"/>
    <col min="1999" max="1999" customWidth="1" bestFit="1" width="3.0" style="763"/>
    <col min="2000" max="2000" customWidth="1" bestFit="1" width="3.0" style="763"/>
    <col min="2001" max="2001" customWidth="1" bestFit="1" width="3.0" style="763"/>
    <col min="2002" max="2002" customWidth="1" bestFit="1" width="3.0" style="763"/>
    <col min="2003" max="2003" customWidth="1" bestFit="1" width="3.0" style="763"/>
    <col min="2004" max="2004" customWidth="1" bestFit="1" width="3.0" style="763"/>
    <col min="2005" max="2005" customWidth="1" bestFit="1" width="3.0" style="763"/>
    <col min="2006" max="2006" customWidth="1" bestFit="1" width="3.0" style="763"/>
    <col min="2007" max="2007" customWidth="1" bestFit="1" width="3.0" style="763"/>
    <col min="2008" max="2008" customWidth="1" bestFit="1" width="3.0" style="763"/>
    <col min="2009" max="2009" customWidth="1" bestFit="1" width="3.0" style="763"/>
    <col min="2010" max="2010" customWidth="1" bestFit="1" width="3.0" style="763"/>
    <col min="2011" max="2011" customWidth="1" bestFit="1" width="3.0" style="763"/>
    <col min="2012" max="2012" customWidth="1" bestFit="1" width="3.0" style="763"/>
    <col min="2013" max="2013" customWidth="1" bestFit="1" width="3.0" style="763"/>
    <col min="2014" max="2014" customWidth="1" bestFit="1" width="3.0" style="763"/>
    <col min="2015" max="2015" customWidth="1" bestFit="1" width="3.0" style="763"/>
    <col min="2016" max="2016" customWidth="1" bestFit="1" width="3.0" style="763"/>
    <col min="2017" max="2017" customWidth="1" bestFit="1" width="3.0" style="763"/>
    <col min="2018" max="2018" customWidth="1" bestFit="1" width="3.0" style="763"/>
    <col min="2019" max="2019" customWidth="1" bestFit="1" width="3.0" style="763"/>
    <col min="2020" max="2020" customWidth="1" bestFit="1" width="3.0" style="763"/>
    <col min="2021" max="2021" customWidth="1" bestFit="1" width="3.0" style="763"/>
    <col min="2022" max="2022" customWidth="1" bestFit="1" width="3.0" style="763"/>
    <col min="2023" max="2023" customWidth="1" bestFit="1" width="3.0" style="763"/>
    <col min="2024" max="2024" customWidth="1" bestFit="1" width="3.0" style="763"/>
    <col min="2025" max="2025" customWidth="1" bestFit="1" width="3.0" style="763"/>
    <col min="2026" max="2026" customWidth="1" bestFit="1" width="3.0" style="763"/>
    <col min="2027" max="2027" customWidth="1" bestFit="1" width="3.0" style="763"/>
    <col min="2028" max="2028" customWidth="1" bestFit="1" width="3.0" style="763"/>
    <col min="2029" max="2029" customWidth="1" bestFit="1" width="3.0" style="763"/>
    <col min="2030" max="2030" customWidth="1" bestFit="1" width="3.0" style="763"/>
    <col min="2031" max="2031" customWidth="1" bestFit="1" width="3.0" style="763"/>
    <col min="2032" max="2032" customWidth="1" bestFit="1" width="3.0" style="763"/>
    <col min="2033" max="2033" customWidth="1" bestFit="1" width="3.0" style="763"/>
    <col min="2034" max="2034" customWidth="1" bestFit="1" width="3.0" style="763"/>
    <col min="2035" max="2035" customWidth="1" bestFit="1" width="3.0" style="763"/>
    <col min="2036" max="2036" customWidth="1" bestFit="1" width="3.0" style="763"/>
    <col min="2037" max="2037" customWidth="1" bestFit="1" width="3.0" style="763"/>
    <col min="2038" max="2038" customWidth="1" bestFit="1" width="3.0" style="763"/>
    <col min="2039" max="2039" customWidth="1" bestFit="1" width="3.0" style="763"/>
    <col min="2040" max="2040" customWidth="1" bestFit="1" width="3.0" style="763"/>
    <col min="2041" max="2041" customWidth="1" bestFit="1" width="3.0" style="763"/>
    <col min="2042" max="2042" customWidth="1" bestFit="1" width="3.0" style="763"/>
    <col min="2043" max="2043" customWidth="1" bestFit="1" width="3.0" style="763"/>
    <col min="2044" max="2044" customWidth="1" bestFit="1" width="3.0" style="763"/>
    <col min="2045" max="2045" customWidth="1" bestFit="1" width="3.0" style="763"/>
    <col min="2046" max="2046" customWidth="1" bestFit="1" width="3.0" style="763"/>
    <col min="2047" max="2047" customWidth="1" bestFit="1" width="3.0" style="763"/>
    <col min="2048" max="2048" customWidth="1" bestFit="1" width="3.0" style="763"/>
    <col min="2049" max="2049" customWidth="1" bestFit="1" width="3.0" style="763"/>
    <col min="2050" max="2050" customWidth="1" bestFit="1" width="3.0" style="763"/>
    <col min="2051" max="2051" customWidth="1" bestFit="1" width="3.0" style="763"/>
    <col min="2052" max="2052" customWidth="1" bestFit="1" width="3.0" style="763"/>
    <col min="2053" max="2053" customWidth="1" bestFit="1" width="3.0" style="763"/>
    <col min="2054" max="2054" customWidth="1" bestFit="1" width="3.0" style="763"/>
    <col min="2055" max="2055" customWidth="1" bestFit="1" width="3.0" style="763"/>
    <col min="2056" max="2056" customWidth="1" bestFit="1" width="3.0" style="763"/>
    <col min="2057" max="2057" customWidth="1" bestFit="1" width="3.0" style="763"/>
    <col min="2058" max="2058" customWidth="1" bestFit="1" width="3.0" style="763"/>
    <col min="2059" max="2059" customWidth="1" bestFit="1" width="3.0" style="763"/>
    <col min="2060" max="2060" customWidth="1" bestFit="1" width="3.0" style="763"/>
    <col min="2061" max="2061" customWidth="1" bestFit="1" width="3.0" style="763"/>
    <col min="2062" max="2062" customWidth="1" bestFit="1" width="3.0" style="763"/>
    <col min="2063" max="2063" customWidth="1" bestFit="1" width="3.0" style="763"/>
    <col min="2064" max="2064" customWidth="1" bestFit="1" width="3.0" style="763"/>
    <col min="2065" max="2065" customWidth="1" bestFit="1" width="3.0" style="763"/>
    <col min="2066" max="2066" customWidth="1" bestFit="1" width="3.0" style="763"/>
    <col min="2067" max="2067" customWidth="1" bestFit="1" width="3.0" style="763"/>
    <col min="2068" max="2068" customWidth="1" bestFit="1" width="3.0" style="763"/>
    <col min="2069" max="2069" customWidth="1" bestFit="1" width="3.0" style="763"/>
    <col min="2070" max="2070" customWidth="1" bestFit="1" width="3.0" style="763"/>
    <col min="2071" max="2071" customWidth="1" bestFit="1" width="3.0" style="763"/>
    <col min="2072" max="2072" customWidth="1" bestFit="1" width="3.0" style="763"/>
    <col min="2073" max="2073" customWidth="1" bestFit="1" width="3.0" style="763"/>
    <col min="2074" max="2074" customWidth="1" bestFit="1" width="3.0" style="763"/>
    <col min="2075" max="2075" customWidth="1" bestFit="1" width="3.0" style="763"/>
    <col min="2076" max="2076" customWidth="1" bestFit="1" width="3.0" style="763"/>
    <col min="2077" max="2077" customWidth="1" bestFit="1" width="3.0" style="763"/>
    <col min="2078" max="2078" customWidth="1" bestFit="1" width="3.0" style="763"/>
    <col min="2079" max="2079" customWidth="1" bestFit="1" width="3.0" style="763"/>
    <col min="2080" max="2080" customWidth="1" bestFit="1" width="3.0" style="763"/>
    <col min="2081" max="2081" customWidth="1" bestFit="1" width="3.0" style="763"/>
    <col min="2082" max="2082" customWidth="1" bestFit="1" width="3.0" style="763"/>
    <col min="2083" max="2083" customWidth="1" bestFit="1" width="3.0" style="763"/>
    <col min="2084" max="2084" customWidth="1" bestFit="1" width="3.0" style="763"/>
    <col min="2085" max="2085" customWidth="1" bestFit="1" width="3.0" style="763"/>
    <col min="2086" max="2086" customWidth="1" bestFit="1" width="3.0" style="763"/>
    <col min="2087" max="2087" customWidth="1" bestFit="1" width="3.0" style="763"/>
    <col min="2088" max="2088" customWidth="1" bestFit="1" width="3.0" style="763"/>
    <col min="2089" max="2089" customWidth="1" bestFit="1" width="3.0" style="763"/>
    <col min="2090" max="2090" customWidth="1" bestFit="1" width="3.0" style="763"/>
    <col min="2091" max="2091" customWidth="1" bestFit="1" width="3.0" style="763"/>
    <col min="2092" max="2092" customWidth="1" bestFit="1" width="3.0" style="763"/>
    <col min="2093" max="2093" customWidth="1" bestFit="1" width="3.0" style="763"/>
    <col min="2094" max="2094" customWidth="1" bestFit="1" width="3.0" style="763"/>
    <col min="2095" max="2095" customWidth="1" bestFit="1" width="3.0" style="763"/>
    <col min="2096" max="2096" customWidth="1" bestFit="1" width="3.0" style="763"/>
    <col min="2097" max="2097" customWidth="1" bestFit="1" width="3.0" style="763"/>
    <col min="2098" max="2098" customWidth="1" bestFit="1" width="3.0" style="763"/>
    <col min="2099" max="2099" customWidth="1" bestFit="1" width="3.0" style="763"/>
    <col min="2100" max="2100" customWidth="1" bestFit="1" width="3.0" style="763"/>
    <col min="2101" max="2101" customWidth="1" bestFit="1" width="3.0" style="763"/>
    <col min="2102" max="2102" customWidth="1" bestFit="1" width="3.0" style="763"/>
    <col min="2103" max="2103" customWidth="1" bestFit="1" width="3.0" style="763"/>
    <col min="2104" max="2104" customWidth="1" bestFit="1" width="3.0" style="763"/>
    <col min="2105" max="2105" customWidth="1" bestFit="1" width="3.0" style="763"/>
    <col min="2106" max="2106" customWidth="1" bestFit="1" width="3.0" style="763"/>
    <col min="2107" max="2107" customWidth="1" bestFit="1" width="3.0" style="763"/>
    <col min="2108" max="2108" customWidth="1" bestFit="1" width="3.0" style="763"/>
    <col min="2109" max="2109" customWidth="1" bestFit="1" width="3.0" style="763"/>
    <col min="2110" max="2110" customWidth="1" bestFit="1" width="3.0" style="763"/>
    <col min="2111" max="2111" customWidth="1" bestFit="1" width="3.0" style="763"/>
    <col min="2112" max="2112" customWidth="1" bestFit="1" width="3.0" style="763"/>
    <col min="2113" max="2113" customWidth="1" bestFit="1" width="3.0" style="763"/>
    <col min="2114" max="2114" customWidth="1" bestFit="1" width="3.0" style="763"/>
    <col min="2115" max="2115" customWidth="1" bestFit="1" width="3.0" style="763"/>
    <col min="2116" max="2116" customWidth="1" bestFit="1" width="3.0" style="763"/>
    <col min="2117" max="2117" customWidth="1" bestFit="1" width="3.0" style="763"/>
    <col min="2118" max="2118" customWidth="1" bestFit="1" width="3.0" style="763"/>
    <col min="2119" max="2119" customWidth="1" bestFit="1" width="3.0" style="763"/>
    <col min="2120" max="2120" customWidth="1" bestFit="1" width="3.0" style="763"/>
    <col min="2121" max="2121" customWidth="1" bestFit="1" width="3.0" style="763"/>
    <col min="2122" max="2122" customWidth="1" bestFit="1" width="3.0" style="763"/>
    <col min="2123" max="2123" customWidth="1" bestFit="1" width="3.0" style="763"/>
    <col min="2124" max="2124" customWidth="1" bestFit="1" width="3.0" style="763"/>
    <col min="2125" max="2125" customWidth="1" bestFit="1" width="3.0" style="763"/>
    <col min="2126" max="2126" customWidth="1" bestFit="1" width="3.0" style="763"/>
    <col min="2127" max="2127" customWidth="1" bestFit="1" width="3.0" style="763"/>
    <col min="2128" max="2128" customWidth="1" bestFit="1" width="3.0" style="763"/>
    <col min="2129" max="2129" customWidth="1" bestFit="1" width="3.0" style="763"/>
    <col min="2130" max="2130" customWidth="1" bestFit="1" width="3.0" style="763"/>
    <col min="2131" max="2131" customWidth="1" bestFit="1" width="3.0" style="763"/>
    <col min="2132" max="2132" customWidth="1" bestFit="1" width="3.0" style="763"/>
    <col min="2133" max="2133" customWidth="1" bestFit="1" width="3.0" style="763"/>
    <col min="2134" max="2134" customWidth="1" bestFit="1" width="3.0" style="763"/>
    <col min="2135" max="2135" customWidth="1" bestFit="1" width="3.0" style="763"/>
    <col min="2136" max="2136" customWidth="1" bestFit="1" width="3.0" style="763"/>
    <col min="2137" max="2137" customWidth="1" bestFit="1" width="3.0" style="763"/>
    <col min="2138" max="2138" customWidth="1" bestFit="1" width="3.0" style="763"/>
    <col min="2139" max="2139" customWidth="1" bestFit="1" width="3.0" style="763"/>
    <col min="2140" max="2140" customWidth="1" bestFit="1" width="3.0" style="763"/>
    <col min="2141" max="2141" customWidth="1" bestFit="1" width="3.0" style="763"/>
    <col min="2142" max="2142" customWidth="1" bestFit="1" width="3.0" style="763"/>
    <col min="2143" max="2143" customWidth="1" bestFit="1" width="3.0" style="763"/>
    <col min="2144" max="2144" customWidth="1" bestFit="1" width="3.0" style="763"/>
    <col min="2145" max="2145" customWidth="1" bestFit="1" width="3.0" style="763"/>
    <col min="2146" max="2146" customWidth="1" bestFit="1" width="3.0" style="763"/>
    <col min="2147" max="2147" customWidth="1" bestFit="1" width="3.0" style="763"/>
    <col min="2148" max="2148" customWidth="1" bestFit="1" width="3.0" style="763"/>
    <col min="2149" max="2149" customWidth="1" bestFit="1" width="3.0" style="763"/>
    <col min="2150" max="2150" customWidth="1" bestFit="1" width="3.0" style="763"/>
    <col min="2151" max="2151" customWidth="1" bestFit="1" width="3.0" style="763"/>
    <col min="2152" max="2152" customWidth="1" bestFit="1" width="3.0" style="763"/>
    <col min="2153" max="2153" customWidth="1" bestFit="1" width="3.0" style="763"/>
    <col min="2154" max="2154" customWidth="1" bestFit="1" width="3.0" style="763"/>
    <col min="2155" max="2155" customWidth="1" bestFit="1" width="3.0" style="763"/>
    <col min="2156" max="2156" customWidth="1" bestFit="1" width="3.0" style="763"/>
    <col min="2157" max="2157" customWidth="1" bestFit="1" width="3.0" style="763"/>
    <col min="2158" max="2158" customWidth="1" bestFit="1" width="3.0" style="763"/>
    <col min="2159" max="2159" customWidth="1" bestFit="1" width="3.0" style="763"/>
    <col min="2160" max="2160" customWidth="1" bestFit="1" width="3.0" style="763"/>
    <col min="2161" max="2161" customWidth="1" bestFit="1" width="3.0" style="763"/>
    <col min="2162" max="2162" customWidth="1" bestFit="1" width="3.0" style="763"/>
    <col min="2163" max="2163" customWidth="1" bestFit="1" width="3.0" style="763"/>
    <col min="2164" max="2164" customWidth="1" bestFit="1" width="3.0" style="763"/>
    <col min="2165" max="2165" customWidth="1" bestFit="1" width="3.0" style="763"/>
    <col min="2166" max="2166" customWidth="1" bestFit="1" width="3.0" style="763"/>
    <col min="2167" max="2167" customWidth="1" bestFit="1" width="3.0" style="763"/>
    <col min="2168" max="2168" customWidth="1" bestFit="1" width="3.0" style="763"/>
    <col min="2169" max="2169" customWidth="1" bestFit="1" width="3.0" style="763"/>
    <col min="2170" max="2170" customWidth="1" bestFit="1" width="3.0" style="763"/>
    <col min="2171" max="2171" customWidth="1" bestFit="1" width="3.0" style="763"/>
    <col min="2172" max="2172" customWidth="1" bestFit="1" width="3.0" style="763"/>
    <col min="2173" max="2173" customWidth="1" bestFit="1" width="3.0" style="763"/>
    <col min="2174" max="2174" customWidth="1" bestFit="1" width="3.0" style="763"/>
    <col min="2175" max="2175" customWidth="1" bestFit="1" width="3.0" style="763"/>
    <col min="2176" max="2176" customWidth="1" bestFit="1" width="3.0" style="763"/>
    <col min="2177" max="2177" customWidth="1" bestFit="1" width="3.0" style="763"/>
    <col min="2178" max="2178" customWidth="1" bestFit="1" width="3.0" style="763"/>
    <col min="2179" max="2179" customWidth="1" bestFit="1" width="3.0" style="763"/>
    <col min="2180" max="2180" customWidth="1" bestFit="1" width="3.0" style="763"/>
    <col min="2181" max="2181" customWidth="1" bestFit="1" width="3.0" style="763"/>
    <col min="2182" max="2182" customWidth="1" bestFit="1" width="3.0" style="763"/>
    <col min="2183" max="2183" customWidth="1" bestFit="1" width="3.0" style="763"/>
    <col min="2184" max="2184" customWidth="1" bestFit="1" width="3.0" style="763"/>
    <col min="2185" max="2185" customWidth="1" bestFit="1" width="3.0" style="763"/>
    <col min="2186" max="2186" customWidth="1" bestFit="1" width="3.0" style="763"/>
    <col min="2187" max="2187" customWidth="1" bestFit="1" width="3.0" style="763"/>
    <col min="2188" max="2188" customWidth="1" bestFit="1" width="3.0" style="763"/>
    <col min="2189" max="2189" customWidth="1" bestFit="1" width="3.0" style="763"/>
    <col min="2190" max="2190" customWidth="1" bestFit="1" width="3.0" style="763"/>
    <col min="2191" max="2191" customWidth="1" bestFit="1" width="3.0" style="763"/>
    <col min="2192" max="2192" customWidth="1" bestFit="1" width="3.0" style="763"/>
    <col min="2193" max="2193" customWidth="1" bestFit="1" width="3.0" style="763"/>
    <col min="2194" max="2194" customWidth="1" bestFit="1" width="3.0" style="763"/>
    <col min="2195" max="2195" customWidth="1" bestFit="1" width="3.0" style="763"/>
    <col min="2196" max="2196" customWidth="1" bestFit="1" width="3.0" style="763"/>
    <col min="2197" max="2197" customWidth="1" bestFit="1" width="3.0" style="763"/>
    <col min="2198" max="2198" customWidth="1" bestFit="1" width="3.0" style="763"/>
    <col min="2199" max="2199" customWidth="1" bestFit="1" width="3.0" style="763"/>
    <col min="2200" max="2200" customWidth="1" bestFit="1" width="3.0" style="763"/>
    <col min="2201" max="2201" customWidth="1" bestFit="1" width="3.0" style="763"/>
    <col min="2202" max="2202" customWidth="1" bestFit="1" width="3.0" style="763"/>
    <col min="2203" max="2203" customWidth="1" bestFit="1" width="3.0" style="763"/>
    <col min="2204" max="2204" customWidth="1" bestFit="1" width="3.0" style="763"/>
    <col min="2205" max="2205" customWidth="1" bestFit="1" width="3.0" style="763"/>
    <col min="2206" max="2206" customWidth="1" bestFit="1" width="3.0" style="763"/>
    <col min="2207" max="2207" customWidth="1" bestFit="1" width="3.0" style="763"/>
    <col min="2208" max="2208" customWidth="1" bestFit="1" width="3.0" style="763"/>
    <col min="2209" max="2209" customWidth="1" bestFit="1" width="3.0" style="763"/>
    <col min="2210" max="2210" customWidth="1" bestFit="1" width="3.0" style="763"/>
    <col min="2211" max="2211" customWidth="1" bestFit="1" width="3.0" style="763"/>
    <col min="2212" max="2212" customWidth="1" bestFit="1" width="3.0" style="763"/>
    <col min="2213" max="2213" customWidth="1" bestFit="1" width="3.0" style="763"/>
    <col min="2214" max="2214" customWidth="1" bestFit="1" width="3.0" style="763"/>
    <col min="2215" max="2215" customWidth="1" bestFit="1" width="3.0" style="763"/>
    <col min="2216" max="2216" customWidth="1" bestFit="1" width="3.0" style="763"/>
    <col min="2217" max="2217" customWidth="1" bestFit="1" width="3.0" style="763"/>
    <col min="2218" max="2218" customWidth="1" bestFit="1" width="3.0" style="763"/>
    <col min="2219" max="2219" customWidth="1" bestFit="1" width="3.0" style="763"/>
    <col min="2220" max="2220" customWidth="1" bestFit="1" width="3.0" style="763"/>
    <col min="2221" max="2221" customWidth="1" bestFit="1" width="3.0" style="763"/>
    <col min="2222" max="2222" customWidth="1" bestFit="1" width="3.0" style="763"/>
    <col min="2223" max="2223" customWidth="1" bestFit="1" width="3.0" style="763"/>
    <col min="2224" max="2224" customWidth="1" bestFit="1" width="3.0" style="763"/>
    <col min="2225" max="2225" customWidth="1" bestFit="1" width="3.0" style="763"/>
    <col min="2226" max="2226" customWidth="1" bestFit="1" width="3.0" style="763"/>
    <col min="2227" max="2227" customWidth="1" bestFit="1" width="3.0" style="763"/>
    <col min="2228" max="2228" customWidth="1" bestFit="1" width="3.0" style="763"/>
    <col min="2229" max="2229" customWidth="1" bestFit="1" width="3.0" style="763"/>
    <col min="2230" max="2230" customWidth="1" bestFit="1" width="3.0" style="763"/>
    <col min="2231" max="2231" customWidth="1" bestFit="1" width="3.0" style="763"/>
    <col min="2232" max="2232" customWidth="1" bestFit="1" width="3.0" style="763"/>
    <col min="2233" max="2233" customWidth="1" bestFit="1" width="3.0" style="763"/>
    <col min="2234" max="2234" customWidth="1" bestFit="1" width="3.0" style="763"/>
    <col min="2235" max="2235" customWidth="1" bestFit="1" width="3.0" style="763"/>
    <col min="2236" max="2236" customWidth="1" bestFit="1" width="3.0" style="763"/>
    <col min="2237" max="2237" customWidth="1" bestFit="1" width="3.0" style="763"/>
    <col min="2238" max="2238" customWidth="1" bestFit="1" width="3.0" style="763"/>
    <col min="2239" max="2239" customWidth="1" bestFit="1" width="3.0" style="763"/>
    <col min="2240" max="2240" customWidth="1" bestFit="1" width="3.0" style="763"/>
    <col min="2241" max="2241" customWidth="1" bestFit="1" width="3.0" style="763"/>
    <col min="2242" max="2242" customWidth="1" bestFit="1" width="3.0" style="763"/>
    <col min="2243" max="2243" customWidth="1" bestFit="1" width="3.0" style="763"/>
    <col min="2244" max="2244" customWidth="1" bestFit="1" width="3.0" style="763"/>
    <col min="2245" max="2245" customWidth="1" bestFit="1" width="3.0" style="763"/>
    <col min="2246" max="2246" customWidth="1" bestFit="1" width="3.0" style="763"/>
    <col min="2247" max="2247" customWidth="1" bestFit="1" width="3.0" style="763"/>
    <col min="2248" max="2248" customWidth="1" bestFit="1" width="3.0" style="763"/>
    <col min="2249" max="2249" customWidth="1" bestFit="1" width="3.0" style="763"/>
    <col min="2250" max="2250" customWidth="1" bestFit="1" width="3.0" style="763"/>
    <col min="2251" max="2251" customWidth="1" bestFit="1" width="3.0" style="763"/>
    <col min="2252" max="2252" customWidth="1" bestFit="1" width="3.0" style="763"/>
    <col min="2253" max="2253" customWidth="1" bestFit="1" width="3.0" style="763"/>
    <col min="2254" max="2254" customWidth="1" bestFit="1" width="3.0" style="763"/>
    <col min="2255" max="2255" customWidth="1" bestFit="1" width="3.0" style="763"/>
    <col min="2256" max="2256" customWidth="1" bestFit="1" width="3.0" style="763"/>
    <col min="2257" max="2257" customWidth="1" bestFit="1" width="3.0" style="763"/>
    <col min="2258" max="2258" customWidth="1" bestFit="1" width="3.0" style="763"/>
    <col min="2259" max="2259" customWidth="1" bestFit="1" width="3.0" style="763"/>
    <col min="2260" max="2260" customWidth="1" bestFit="1" width="3.0" style="763"/>
    <col min="2261" max="2261" customWidth="1" bestFit="1" width="3.0" style="763"/>
    <col min="2262" max="2262" customWidth="1" bestFit="1" width="3.0" style="763"/>
    <col min="2263" max="2263" customWidth="1" bestFit="1" width="3.0" style="763"/>
    <col min="2264" max="2264" customWidth="1" bestFit="1" width="3.0" style="763"/>
    <col min="2265" max="2265" customWidth="1" bestFit="1" width="3.0" style="763"/>
    <col min="2266" max="2266" customWidth="1" bestFit="1" width="3.0" style="763"/>
    <col min="2267" max="2267" customWidth="1" bestFit="1" width="3.0" style="763"/>
    <col min="2268" max="2268" customWidth="1" bestFit="1" width="3.0" style="763"/>
    <col min="2269" max="2269" customWidth="1" bestFit="1" width="3.0" style="763"/>
    <col min="2270" max="2270" customWidth="1" bestFit="1" width="3.0" style="763"/>
    <col min="2271" max="2271" customWidth="1" bestFit="1" width="3.0" style="763"/>
    <col min="2272" max="2272" customWidth="1" bestFit="1" width="3.0" style="763"/>
    <col min="2273" max="2273" customWidth="1" bestFit="1" width="3.0" style="763"/>
    <col min="2274" max="2274" customWidth="1" bestFit="1" width="3.0" style="763"/>
    <col min="2275" max="2275" customWidth="1" bestFit="1" width="3.0" style="763"/>
    <col min="2276" max="2276" customWidth="1" bestFit="1" width="3.0" style="763"/>
    <col min="2277" max="2277" customWidth="1" bestFit="1" width="3.0" style="763"/>
    <col min="2278" max="2278" customWidth="1" bestFit="1" width="3.0" style="763"/>
    <col min="2279" max="2279" customWidth="1" bestFit="1" width="3.0" style="763"/>
    <col min="2280" max="2280" customWidth="1" bestFit="1" width="3.0" style="763"/>
    <col min="2281" max="2281" customWidth="1" bestFit="1" width="3.0" style="763"/>
    <col min="2282" max="2282" customWidth="1" bestFit="1" width="3.0" style="763"/>
    <col min="2283" max="2283" customWidth="1" bestFit="1" width="3.0" style="763"/>
    <col min="2284" max="2284" customWidth="1" bestFit="1" width="3.0" style="763"/>
    <col min="2285" max="2285" customWidth="1" bestFit="1" width="3.0" style="763"/>
    <col min="2286" max="2286" customWidth="1" bestFit="1" width="3.0" style="763"/>
    <col min="2287" max="2287" customWidth="1" bestFit="1" width="3.0" style="763"/>
    <col min="2288" max="2288" customWidth="1" bestFit="1" width="3.0" style="763"/>
    <col min="2289" max="2289" customWidth="1" bestFit="1" width="3.0" style="763"/>
    <col min="2290" max="2290" customWidth="1" bestFit="1" width="3.0" style="763"/>
    <col min="2291" max="2291" customWidth="1" bestFit="1" width="3.0" style="763"/>
    <col min="2292" max="2292" customWidth="1" bestFit="1" width="3.0" style="763"/>
    <col min="2293" max="2293" customWidth="1" bestFit="1" width="3.0" style="763"/>
    <col min="2294" max="2294" customWidth="1" bestFit="1" width="3.0" style="763"/>
    <col min="2295" max="2295" customWidth="1" bestFit="1" width="3.0" style="763"/>
    <col min="2296" max="2296" customWidth="1" bestFit="1" width="3.0" style="763"/>
    <col min="2297" max="2297" customWidth="1" bestFit="1" width="3.0" style="763"/>
    <col min="2298" max="2298" customWidth="1" bestFit="1" width="3.0" style="763"/>
    <col min="2299" max="2299" customWidth="1" bestFit="1" width="3.0" style="763"/>
    <col min="2300" max="2300" customWidth="1" bestFit="1" width="3.0" style="763"/>
    <col min="2301" max="2301" customWidth="1" bestFit="1" width="3.0" style="763"/>
    <col min="2302" max="2302" customWidth="1" bestFit="1" width="3.0" style="763"/>
    <col min="2303" max="2303" customWidth="1" bestFit="1" width="3.0" style="763"/>
    <col min="2304" max="2304" customWidth="1" bestFit="1" width="3.0" style="763"/>
    <col min="2305" max="2305" customWidth="1" bestFit="1" width="3.0" style="763"/>
    <col min="2306" max="2306" customWidth="1" bestFit="1" width="3.0" style="763"/>
    <col min="2307" max="2307" customWidth="1" bestFit="1" width="3.0" style="763"/>
    <col min="2308" max="2308" customWidth="1" bestFit="1" width="3.0" style="763"/>
    <col min="2309" max="2309" customWidth="1" bestFit="1" width="3.0" style="763"/>
    <col min="2310" max="2310" customWidth="1" bestFit="1" width="3.0" style="763"/>
    <col min="2311" max="2311" customWidth="1" bestFit="1" width="3.0" style="763"/>
    <col min="2312" max="2312" customWidth="1" bestFit="1" width="3.0" style="763"/>
    <col min="2313" max="2313" customWidth="1" bestFit="1" width="3.0" style="763"/>
    <col min="2314" max="2314" customWidth="1" bestFit="1" width="3.0" style="763"/>
    <col min="2315" max="2315" customWidth="1" bestFit="1" width="3.0" style="763"/>
    <col min="2316" max="2316" customWidth="1" bestFit="1" width="3.0" style="763"/>
    <col min="2317" max="2317" customWidth="1" bestFit="1" width="3.0" style="763"/>
    <col min="2318" max="2318" customWidth="1" bestFit="1" width="3.0" style="763"/>
    <col min="2319" max="2319" customWidth="1" bestFit="1" width="3.0" style="763"/>
    <col min="2320" max="2320" customWidth="1" bestFit="1" width="3.0" style="763"/>
    <col min="2321" max="2321" customWidth="1" bestFit="1" width="3.0" style="763"/>
    <col min="2322" max="2322" customWidth="1" bestFit="1" width="3.0" style="763"/>
    <col min="2323" max="2323" customWidth="1" bestFit="1" width="3.0" style="763"/>
    <col min="2324" max="2324" customWidth="1" bestFit="1" width="3.0" style="763"/>
    <col min="2325" max="2325" customWidth="1" bestFit="1" width="3.0" style="763"/>
    <col min="2326" max="2326" customWidth="1" bestFit="1" width="3.0" style="763"/>
    <col min="2327" max="2327" customWidth="1" bestFit="1" width="3.0" style="763"/>
    <col min="2328" max="2328" customWidth="1" bestFit="1" width="3.0" style="763"/>
    <col min="2329" max="2329" customWidth="1" bestFit="1" width="3.0" style="763"/>
    <col min="2330" max="2330" customWidth="1" bestFit="1" width="3.0" style="763"/>
    <col min="2331" max="2331" customWidth="1" bestFit="1" width="3.0" style="763"/>
    <col min="2332" max="2332" customWidth="1" bestFit="1" width="3.0" style="763"/>
    <col min="2333" max="2333" customWidth="1" bestFit="1" width="3.0" style="763"/>
    <col min="2334" max="2334" customWidth="1" bestFit="1" width="3.0" style="763"/>
    <col min="2335" max="2335" customWidth="1" bestFit="1" width="3.0" style="763"/>
    <col min="2336" max="2336" customWidth="1" bestFit="1" width="3.0" style="763"/>
    <col min="2337" max="2337" customWidth="1" bestFit="1" width="3.0" style="763"/>
    <col min="2338" max="2338" customWidth="1" bestFit="1" width="3.0" style="763"/>
    <col min="2339" max="2339" customWidth="1" bestFit="1" width="3.0" style="763"/>
    <col min="2340" max="2340" customWidth="1" bestFit="1" width="3.0" style="763"/>
    <col min="2341" max="2341" customWidth="1" bestFit="1" width="3.0" style="763"/>
    <col min="2342" max="2342" customWidth="1" bestFit="1" width="3.0" style="763"/>
    <col min="2343" max="2343" customWidth="1" bestFit="1" width="3.0" style="763"/>
    <col min="2344" max="2344" customWidth="1" bestFit="1" width="3.0" style="763"/>
    <col min="2345" max="2345" customWidth="1" bestFit="1" width="3.0" style="763"/>
    <col min="2346" max="2346" customWidth="1" bestFit="1" width="3.0" style="763"/>
    <col min="2347" max="2347" customWidth="1" bestFit="1" width="3.0" style="763"/>
    <col min="2348" max="2348" customWidth="1" bestFit="1" width="3.0" style="763"/>
    <col min="2349" max="2349" customWidth="1" bestFit="1" width="3.0" style="763"/>
    <col min="2350" max="2350" customWidth="1" bestFit="1" width="3.0" style="763"/>
    <col min="2351" max="2351" customWidth="1" bestFit="1" width="3.0" style="763"/>
    <col min="2352" max="2352" customWidth="1" bestFit="1" width="3.0" style="763"/>
    <col min="2353" max="2353" customWidth="1" bestFit="1" width="3.0" style="763"/>
    <col min="2354" max="2354" customWidth="1" bestFit="1" width="3.0" style="763"/>
    <col min="2355" max="2355" customWidth="1" bestFit="1" width="3.0" style="763"/>
    <col min="2356" max="2356" customWidth="1" bestFit="1" width="3.0" style="763"/>
    <col min="2357" max="2357" customWidth="1" bestFit="1" width="3.0" style="763"/>
    <col min="2358" max="2358" customWidth="1" bestFit="1" width="3.0" style="763"/>
    <col min="2359" max="2359" customWidth="1" bestFit="1" width="3.0" style="763"/>
    <col min="2360" max="2360" customWidth="1" bestFit="1" width="3.0" style="763"/>
    <col min="2361" max="2361" customWidth="1" bestFit="1" width="3.0" style="763"/>
    <col min="2362" max="2362" customWidth="1" bestFit="1" width="3.0" style="763"/>
    <col min="2363" max="2363" customWidth="1" bestFit="1" width="3.0" style="763"/>
    <col min="2364" max="2364" customWidth="1" bestFit="1" width="3.0" style="763"/>
    <col min="2365" max="2365" customWidth="1" bestFit="1" width="3.0" style="763"/>
    <col min="2366" max="2366" customWidth="1" bestFit="1" width="3.0" style="763"/>
    <col min="2367" max="2367" customWidth="1" bestFit="1" width="3.0" style="763"/>
    <col min="2368" max="2368" customWidth="1" bestFit="1" width="3.0" style="763"/>
    <col min="2369" max="2369" customWidth="1" bestFit="1" width="3.0" style="763"/>
    <col min="2370" max="2370" customWidth="1" bestFit="1" width="3.0" style="763"/>
    <col min="2371" max="2371" customWidth="1" bestFit="1" width="3.0" style="763"/>
    <col min="2372" max="2372" customWidth="1" bestFit="1" width="3.0" style="763"/>
    <col min="2373" max="2373" customWidth="1" bestFit="1" width="3.0" style="763"/>
    <col min="2374" max="2374" customWidth="1" bestFit="1" width="3.0" style="763"/>
    <col min="2375" max="2375" customWidth="1" bestFit="1" width="3.0" style="763"/>
    <col min="2376" max="2376" customWidth="1" bestFit="1" width="3.0" style="763"/>
    <col min="2377" max="2377" customWidth="1" bestFit="1" width="3.0" style="763"/>
    <col min="2378" max="2378" customWidth="1" bestFit="1" width="3.0" style="763"/>
    <col min="2379" max="2379" customWidth="1" bestFit="1" width="3.0" style="763"/>
    <col min="2380" max="2380" customWidth="1" bestFit="1" width="3.0" style="763"/>
    <col min="2381" max="2381" customWidth="1" bestFit="1" width="3.0" style="763"/>
    <col min="2382" max="2382" customWidth="1" bestFit="1" width="3.0" style="763"/>
    <col min="2383" max="2383" customWidth="1" bestFit="1" width="3.0" style="763"/>
    <col min="2384" max="2384" customWidth="1" bestFit="1" width="3.0" style="763"/>
    <col min="2385" max="2385" customWidth="1" bestFit="1" width="3.0" style="763"/>
    <col min="2386" max="2386" customWidth="1" bestFit="1" width="3.0" style="763"/>
    <col min="2387" max="2387" customWidth="1" bestFit="1" width="3.0" style="763"/>
    <col min="2388" max="2388" customWidth="1" bestFit="1" width="3.0" style="763"/>
    <col min="2389" max="2389" customWidth="1" bestFit="1" width="3.0" style="763"/>
    <col min="2390" max="2390" customWidth="1" bestFit="1" width="3.0" style="763"/>
    <col min="2391" max="2391" customWidth="1" bestFit="1" width="3.0" style="763"/>
    <col min="2392" max="2392" customWidth="1" bestFit="1" width="3.0" style="763"/>
    <col min="2393" max="2393" customWidth="1" bestFit="1" width="3.0" style="763"/>
    <col min="2394" max="2394" customWidth="1" bestFit="1" width="3.0" style="763"/>
    <col min="2395" max="2395" customWidth="1" bestFit="1" width="3.0" style="763"/>
    <col min="2396" max="2396" customWidth="1" bestFit="1" width="3.0" style="763"/>
    <col min="2397" max="2397" customWidth="1" bestFit="1" width="3.0" style="763"/>
    <col min="2398" max="2398" customWidth="1" bestFit="1" width="3.0" style="763"/>
    <col min="2399" max="2399" customWidth="1" bestFit="1" width="3.0" style="763"/>
    <col min="2400" max="2400" customWidth="1" bestFit="1" width="3.0" style="763"/>
    <col min="2401" max="2401" customWidth="1" bestFit="1" width="3.0" style="763"/>
    <col min="2402" max="2402" customWidth="1" bestFit="1" width="3.0" style="763"/>
    <col min="2403" max="2403" customWidth="1" bestFit="1" width="3.0" style="763"/>
    <col min="2404" max="2404" customWidth="1" bestFit="1" width="3.0" style="763"/>
    <col min="2405" max="2405" customWidth="1" bestFit="1" width="3.0" style="763"/>
    <col min="2406" max="2406" customWidth="1" bestFit="1" width="3.0" style="763"/>
    <col min="2407" max="2407" customWidth="1" bestFit="1" width="3.0" style="763"/>
    <col min="2408" max="2408" customWidth="1" bestFit="1" width="3.0" style="763"/>
    <col min="2409" max="2409" customWidth="1" bestFit="1" width="3.0" style="763"/>
    <col min="2410" max="2410" customWidth="1" bestFit="1" width="3.0" style="763"/>
    <col min="2411" max="2411" customWidth="1" bestFit="1" width="3.0" style="763"/>
    <col min="2412" max="2412" customWidth="1" bestFit="1" width="3.0" style="763"/>
    <col min="2413" max="2413" customWidth="1" bestFit="1" width="3.0" style="763"/>
    <col min="2414" max="2414" customWidth="1" bestFit="1" width="3.0" style="763"/>
    <col min="2415" max="2415" customWidth="1" bestFit="1" width="3.0" style="763"/>
    <col min="2416" max="2416" customWidth="1" bestFit="1" width="3.0" style="763"/>
    <col min="2417" max="2417" customWidth="1" bestFit="1" width="3.0" style="763"/>
    <col min="2418" max="2418" customWidth="1" bestFit="1" width="3.0" style="763"/>
    <col min="2419" max="2419" customWidth="1" bestFit="1" width="3.0" style="763"/>
    <col min="2420" max="2420" customWidth="1" bestFit="1" width="3.0" style="763"/>
    <col min="2421" max="2421" customWidth="1" bestFit="1" width="3.0" style="763"/>
    <col min="2422" max="2422" customWidth="1" bestFit="1" width="3.0" style="763"/>
    <col min="2423" max="2423" customWidth="1" bestFit="1" width="3.0" style="763"/>
    <col min="2424" max="2424" customWidth="1" bestFit="1" width="3.0" style="763"/>
    <col min="2425" max="2425" customWidth="1" bestFit="1" width="3.0" style="763"/>
    <col min="2426" max="2426" customWidth="1" bestFit="1" width="3.0" style="763"/>
    <col min="2427" max="2427" customWidth="1" bestFit="1" width="3.0" style="763"/>
    <col min="2428" max="2428" customWidth="1" bestFit="1" width="3.0" style="763"/>
    <col min="2429" max="2429" customWidth="1" bestFit="1" width="3.0" style="763"/>
    <col min="2430" max="2430" customWidth="1" bestFit="1" width="3.0" style="763"/>
    <col min="2431" max="2431" customWidth="1" bestFit="1" width="3.0" style="763"/>
    <col min="2432" max="2432" customWidth="1" bestFit="1" width="3.0" style="763"/>
    <col min="2433" max="2433" customWidth="1" bestFit="1" width="3.0" style="763"/>
    <col min="2434" max="2434" customWidth="1" bestFit="1" width="3.0" style="763"/>
    <col min="2435" max="2435" customWidth="1" bestFit="1" width="3.0" style="763"/>
    <col min="2436" max="2436" customWidth="1" bestFit="1" width="3.0" style="763"/>
    <col min="2437" max="2437" customWidth="1" bestFit="1" width="3.0" style="763"/>
    <col min="2438" max="2438" customWidth="1" bestFit="1" width="3.0" style="763"/>
    <col min="2439" max="2439" customWidth="1" bestFit="1" width="3.0" style="763"/>
    <col min="2440" max="2440" customWidth="1" bestFit="1" width="3.0" style="763"/>
    <col min="2441" max="2441" customWidth="1" bestFit="1" width="3.0" style="763"/>
    <col min="2442" max="2442" customWidth="1" bestFit="1" width="3.0" style="763"/>
    <col min="2443" max="2443" customWidth="1" bestFit="1" width="3.0" style="763"/>
    <col min="2444" max="2444" customWidth="1" bestFit="1" width="3.0" style="763"/>
    <col min="2445" max="2445" customWidth="1" bestFit="1" width="3.0" style="763"/>
    <col min="2446" max="2446" customWidth="1" bestFit="1" width="3.0" style="763"/>
    <col min="2447" max="2447" customWidth="1" bestFit="1" width="3.0" style="763"/>
    <col min="2448" max="2448" customWidth="1" bestFit="1" width="3.0" style="763"/>
    <col min="2449" max="2449" customWidth="1" bestFit="1" width="3.0" style="763"/>
    <col min="2450" max="2450" customWidth="1" bestFit="1" width="3.0" style="763"/>
    <col min="2451" max="2451" customWidth="1" bestFit="1" width="3.0" style="763"/>
    <col min="2452" max="2452" customWidth="1" bestFit="1" width="3.0" style="763"/>
    <col min="2453" max="2453" customWidth="1" bestFit="1" width="3.0" style="763"/>
    <col min="2454" max="2454" customWidth="1" bestFit="1" width="3.0" style="763"/>
    <col min="2455" max="2455" customWidth="1" bestFit="1" width="3.0" style="763"/>
    <col min="2456" max="2456" customWidth="1" bestFit="1" width="3.0" style="763"/>
    <col min="2457" max="2457" customWidth="1" bestFit="1" width="3.0" style="763"/>
    <col min="2458" max="2458" customWidth="1" bestFit="1" width="3.0" style="763"/>
    <col min="2459" max="2459" customWidth="1" bestFit="1" width="3.0" style="763"/>
    <col min="2460" max="2460" customWidth="1" bestFit="1" width="3.0" style="763"/>
    <col min="2461" max="2461" customWidth="1" bestFit="1" width="3.0" style="763"/>
    <col min="2462" max="2462" customWidth="1" bestFit="1" width="3.0" style="763"/>
    <col min="2463" max="2463" customWidth="1" bestFit="1" width="3.0" style="763"/>
    <col min="2464" max="2464" customWidth="1" bestFit="1" width="3.0" style="763"/>
    <col min="2465" max="2465" customWidth="1" bestFit="1" width="3.0" style="763"/>
    <col min="2466" max="2466" customWidth="1" bestFit="1" width="3.0" style="763"/>
    <col min="2467" max="2467" customWidth="1" bestFit="1" width="3.0" style="763"/>
    <col min="2468" max="2468" customWidth="1" bestFit="1" width="3.0" style="763"/>
    <col min="2469" max="2469" customWidth="1" bestFit="1" width="3.0" style="763"/>
    <col min="2470" max="2470" customWidth="1" bestFit="1" width="3.0" style="763"/>
    <col min="2471" max="2471" customWidth="1" bestFit="1" width="3.0" style="763"/>
    <col min="2472" max="2472" customWidth="1" bestFit="1" width="3.0" style="763"/>
    <col min="2473" max="2473" customWidth="1" bestFit="1" width="3.0" style="763"/>
    <col min="2474" max="2474" customWidth="1" bestFit="1" width="3.0" style="763"/>
    <col min="2475" max="2475" customWidth="1" bestFit="1" width="3.0" style="763"/>
    <col min="2476" max="2476" customWidth="1" bestFit="1" width="3.0" style="763"/>
    <col min="2477" max="2477" customWidth="1" bestFit="1" width="3.0" style="763"/>
    <col min="2478" max="2478" customWidth="1" bestFit="1" width="3.0" style="763"/>
    <col min="2479" max="2479" customWidth="1" bestFit="1" width="3.0" style="763"/>
    <col min="2480" max="2480" customWidth="1" bestFit="1" width="3.0" style="763"/>
    <col min="2481" max="2481" customWidth="1" bestFit="1" width="3.0" style="763"/>
    <col min="2482" max="2482" customWidth="1" bestFit="1" width="3.0" style="763"/>
    <col min="2483" max="2483" customWidth="1" bestFit="1" width="3.0" style="763"/>
    <col min="2484" max="2484" customWidth="1" bestFit="1" width="3.0" style="763"/>
    <col min="2485" max="2485" customWidth="1" bestFit="1" width="3.0" style="763"/>
    <col min="2486" max="2486" customWidth="1" bestFit="1" width="3.0" style="763"/>
    <col min="2487" max="2487" customWidth="1" bestFit="1" width="3.0" style="763"/>
    <col min="2488" max="2488" customWidth="1" bestFit="1" width="3.0" style="763"/>
    <col min="2489" max="2489" customWidth="1" bestFit="1" width="3.0" style="763"/>
    <col min="2490" max="2490" customWidth="1" bestFit="1" width="3.0" style="763"/>
    <col min="2491" max="2491" customWidth="1" bestFit="1" width="3.0" style="763"/>
    <col min="2492" max="2492" customWidth="1" bestFit="1" width="3.0" style="763"/>
    <col min="2493" max="2493" customWidth="1" bestFit="1" width="3.0" style="763"/>
    <col min="2494" max="2494" customWidth="1" bestFit="1" width="3.0" style="763"/>
    <col min="2495" max="2495" customWidth="1" bestFit="1" width="3.0" style="763"/>
    <col min="2496" max="2496" customWidth="1" bestFit="1" width="3.0" style="763"/>
    <col min="2497" max="2497" customWidth="1" bestFit="1" width="3.0" style="763"/>
    <col min="2498" max="2498" customWidth="1" bestFit="1" width="3.0" style="763"/>
    <col min="2499" max="2499" customWidth="1" bestFit="1" width="3.0" style="763"/>
    <col min="2500" max="2500" customWidth="1" bestFit="1" width="3.0" style="763"/>
    <col min="2501" max="2501" customWidth="1" bestFit="1" width="3.0" style="763"/>
    <col min="2502" max="2502" customWidth="1" bestFit="1" width="3.0" style="763"/>
    <col min="2503" max="2503" customWidth="1" bestFit="1" width="3.0" style="763"/>
    <col min="2504" max="2504" customWidth="1" bestFit="1" width="3.0" style="763"/>
    <col min="2505" max="2505" customWidth="1" bestFit="1" width="3.0" style="763"/>
    <col min="2506" max="2506" customWidth="1" bestFit="1" width="3.0" style="763"/>
    <col min="2507" max="2507" customWidth="1" bestFit="1" width="3.0" style="763"/>
    <col min="2508" max="2508" customWidth="1" bestFit="1" width="3.0" style="763"/>
    <col min="2509" max="2509" customWidth="1" bestFit="1" width="3.0" style="763"/>
    <col min="2510" max="2510" customWidth="1" bestFit="1" width="3.0" style="763"/>
    <col min="2511" max="2511" customWidth="1" bestFit="1" width="3.0" style="763"/>
    <col min="2512" max="2512" customWidth="1" bestFit="1" width="3.0" style="763"/>
    <col min="2513" max="2513" customWidth="1" bestFit="1" width="3.0" style="763"/>
    <col min="2514" max="2514" customWidth="1" bestFit="1" width="3.0" style="763"/>
    <col min="2515" max="2515" customWidth="1" bestFit="1" width="3.0" style="763"/>
    <col min="2516" max="2516" customWidth="1" bestFit="1" width="3.0" style="763"/>
    <col min="2517" max="2517" customWidth="1" bestFit="1" width="3.0" style="763"/>
    <col min="2518" max="2518" customWidth="1" bestFit="1" width="3.0" style="763"/>
    <col min="2519" max="2519" customWidth="1" bestFit="1" width="3.0" style="763"/>
    <col min="2520" max="2520" customWidth="1" bestFit="1" width="3.0" style="763"/>
    <col min="2521" max="2521" customWidth="1" bestFit="1" width="3.0" style="763"/>
    <col min="2522" max="2522" customWidth="1" bestFit="1" width="3.0" style="763"/>
    <col min="2523" max="2523" customWidth="1" bestFit="1" width="3.0" style="763"/>
    <col min="2524" max="2524" customWidth="1" bestFit="1" width="3.0" style="763"/>
    <col min="2525" max="2525" customWidth="1" bestFit="1" width="3.0" style="763"/>
    <col min="2526" max="2526" customWidth="1" bestFit="1" width="3.0" style="763"/>
    <col min="2527" max="2527" customWidth="1" bestFit="1" width="3.0" style="763"/>
    <col min="2528" max="2528" customWidth="1" bestFit="1" width="3.0" style="763"/>
    <col min="2529" max="2529" customWidth="1" bestFit="1" width="3.0" style="763"/>
    <col min="2530" max="2530" customWidth="1" bestFit="1" width="3.0" style="763"/>
    <col min="2531" max="2531" customWidth="1" bestFit="1" width="3.0" style="763"/>
    <col min="2532" max="2532" customWidth="1" bestFit="1" width="3.0" style="763"/>
    <col min="2533" max="2533" customWidth="1" bestFit="1" width="3.0" style="763"/>
    <col min="2534" max="2534" customWidth="1" bestFit="1" width="3.0" style="763"/>
    <col min="2535" max="2535" customWidth="1" bestFit="1" width="3.0" style="763"/>
    <col min="2536" max="2536" customWidth="1" bestFit="1" width="3.0" style="763"/>
    <col min="2537" max="2537" customWidth="1" bestFit="1" width="3.0" style="763"/>
    <col min="2538" max="2538" customWidth="1" bestFit="1" width="3.0" style="763"/>
    <col min="2539" max="2539" customWidth="1" bestFit="1" width="3.0" style="763"/>
    <col min="2540" max="2540" customWidth="1" bestFit="1" width="3.0" style="763"/>
    <col min="2541" max="2541" customWidth="1" bestFit="1" width="3.0" style="763"/>
    <col min="2542" max="2542" customWidth="1" bestFit="1" width="3.0" style="763"/>
    <col min="2543" max="2543" customWidth="1" bestFit="1" width="3.0" style="763"/>
    <col min="2544" max="2544" customWidth="1" bestFit="1" width="3.0" style="763"/>
    <col min="2545" max="2545" customWidth="1" bestFit="1" width="3.0" style="763"/>
    <col min="2546" max="2546" customWidth="1" bestFit="1" width="3.0" style="763"/>
    <col min="2547" max="2547" customWidth="1" bestFit="1" width="3.0" style="763"/>
    <col min="2548" max="2548" customWidth="1" bestFit="1" width="3.0" style="763"/>
    <col min="2549" max="2549" customWidth="1" bestFit="1" width="3.0" style="763"/>
    <col min="2550" max="2550" customWidth="1" bestFit="1" width="3.0" style="763"/>
    <col min="2551" max="2551" customWidth="1" bestFit="1" width="3.0" style="763"/>
    <col min="2552" max="2552" customWidth="1" bestFit="1" width="3.0" style="763"/>
    <col min="2553" max="2553" customWidth="1" bestFit="1" width="3.0" style="763"/>
    <col min="2554" max="2554" customWidth="1" bestFit="1" width="3.0" style="763"/>
    <col min="2555" max="2555" customWidth="1" bestFit="1" width="3.0" style="763"/>
    <col min="2556" max="2556" customWidth="1" bestFit="1" width="3.0" style="763"/>
    <col min="2557" max="2557" customWidth="1" bestFit="1" width="3.0" style="763"/>
    <col min="2558" max="2558" customWidth="1" bestFit="1" width="3.0" style="763"/>
    <col min="2559" max="2559" customWidth="1" bestFit="1" width="3.0" style="763"/>
    <col min="2560" max="2560" customWidth="1" bestFit="1" width="3.0" style="763"/>
    <col min="2561" max="2561" customWidth="1" bestFit="1" width="3.0" style="763"/>
    <col min="2562" max="2562" customWidth="1" bestFit="1" width="3.0" style="763"/>
    <col min="2563" max="2563" customWidth="1" bestFit="1" width="3.0" style="763"/>
    <col min="2564" max="2564" customWidth="1" bestFit="1" width="3.0" style="763"/>
    <col min="2565" max="2565" customWidth="1" bestFit="1" width="3.0" style="763"/>
    <col min="2566" max="2566" customWidth="1" bestFit="1" width="3.0" style="763"/>
    <col min="2567" max="2567" customWidth="1" bestFit="1" width="3.0" style="763"/>
    <col min="2568" max="2568" customWidth="1" bestFit="1" width="3.0" style="763"/>
    <col min="2569" max="2569" customWidth="1" bestFit="1" width="3.0" style="763"/>
    <col min="2570" max="2570" customWidth="1" bestFit="1" width="3.0" style="763"/>
    <col min="2571" max="2571" customWidth="1" bestFit="1" width="3.0" style="763"/>
    <col min="2572" max="2572" customWidth="1" bestFit="1" width="3.0" style="763"/>
    <col min="2573" max="2573" customWidth="1" bestFit="1" width="3.0" style="763"/>
    <col min="2574" max="2574" customWidth="1" bestFit="1" width="3.0" style="763"/>
    <col min="2575" max="2575" customWidth="1" bestFit="1" width="3.0" style="763"/>
    <col min="2576" max="2576" customWidth="1" bestFit="1" width="3.0" style="763"/>
    <col min="2577" max="2577" customWidth="1" bestFit="1" width="3.0" style="763"/>
    <col min="2578" max="2578" customWidth="1" bestFit="1" width="3.0" style="763"/>
    <col min="2579" max="2579" customWidth="1" bestFit="1" width="3.0" style="763"/>
    <col min="2580" max="2580" customWidth="1" bestFit="1" width="3.0" style="763"/>
    <col min="2581" max="2581" customWidth="1" bestFit="1" width="3.0" style="763"/>
    <col min="2582" max="2582" customWidth="1" bestFit="1" width="3.0" style="763"/>
    <col min="2583" max="2583" customWidth="1" bestFit="1" width="3.0" style="763"/>
    <col min="2584" max="2584" customWidth="1" bestFit="1" width="3.0" style="763"/>
    <col min="2585" max="2585" customWidth="1" bestFit="1" width="3.0" style="763"/>
    <col min="2586" max="2586" customWidth="1" bestFit="1" width="3.0" style="763"/>
    <col min="2587" max="2587" customWidth="1" bestFit="1" width="3.0" style="763"/>
    <col min="2588" max="2588" customWidth="1" bestFit="1" width="3.0" style="763"/>
    <col min="2589" max="2589" customWidth="1" bestFit="1" width="3.0" style="763"/>
    <col min="2590" max="2590" customWidth="1" bestFit="1" width="3.0" style="763"/>
    <col min="2591" max="2591" customWidth="1" bestFit="1" width="3.0" style="763"/>
    <col min="2592" max="2592" customWidth="1" bestFit="1" width="3.0" style="763"/>
    <col min="2593" max="2593" customWidth="1" bestFit="1" width="3.0" style="763"/>
    <col min="2594" max="2594" customWidth="1" bestFit="1" width="3.0" style="763"/>
    <col min="2595" max="2595" customWidth="1" bestFit="1" width="3.0" style="763"/>
    <col min="2596" max="2596" customWidth="1" bestFit="1" width="3.0" style="763"/>
    <col min="2597" max="2597" customWidth="1" bestFit="1" width="3.0" style="763"/>
    <col min="2598" max="2598" customWidth="1" bestFit="1" width="3.0" style="763"/>
    <col min="2599" max="2599" customWidth="1" bestFit="1" width="3.0" style="763"/>
    <col min="2600" max="2600" customWidth="1" bestFit="1" width="3.0" style="763"/>
    <col min="2601" max="2601" customWidth="1" bestFit="1" width="3.0" style="763"/>
    <col min="2602" max="2602" customWidth="1" bestFit="1" width="3.0" style="763"/>
    <col min="2603" max="2603" customWidth="1" bestFit="1" width="3.0" style="763"/>
    <col min="2604" max="2604" customWidth="1" bestFit="1" width="3.0" style="763"/>
    <col min="2605" max="2605" customWidth="1" bestFit="1" width="3.0" style="763"/>
    <col min="2606" max="2606" customWidth="1" bestFit="1" width="3.0" style="763"/>
    <col min="2607" max="2607" customWidth="1" bestFit="1" width="3.0" style="763"/>
    <col min="2608" max="2608" customWidth="1" bestFit="1" width="3.0" style="763"/>
    <col min="2609" max="2609" customWidth="1" bestFit="1" width="3.0" style="763"/>
    <col min="2610" max="2610" customWidth="1" bestFit="1" width="3.0" style="763"/>
    <col min="2611" max="2611" customWidth="1" bestFit="1" width="3.0" style="763"/>
    <col min="2612" max="2612" customWidth="1" bestFit="1" width="3.0" style="763"/>
    <col min="2613" max="2613" customWidth="1" bestFit="1" width="3.0" style="763"/>
    <col min="2614" max="2614" customWidth="1" bestFit="1" width="3.0" style="763"/>
    <col min="2615" max="2615" customWidth="1" bestFit="1" width="3.0" style="763"/>
    <col min="2616" max="2616" customWidth="1" bestFit="1" width="3.0" style="763"/>
    <col min="2617" max="2617" customWidth="1" bestFit="1" width="3.0" style="763"/>
    <col min="2618" max="2618" customWidth="1" bestFit="1" width="3.0" style="763"/>
    <col min="2619" max="2619" customWidth="1" bestFit="1" width="3.0" style="763"/>
    <col min="2620" max="2620" customWidth="1" bestFit="1" width="3.0" style="763"/>
    <col min="2621" max="2621" customWidth="1" bestFit="1" width="3.0" style="763"/>
    <col min="2622" max="2622" customWidth="1" bestFit="1" width="3.0" style="763"/>
    <col min="2623" max="2623" customWidth="1" bestFit="1" width="3.0" style="763"/>
    <col min="2624" max="2624" customWidth="1" bestFit="1" width="3.0" style="763"/>
    <col min="2625" max="2625" customWidth="1" bestFit="1" width="3.0" style="763"/>
    <col min="2626" max="2626" customWidth="1" bestFit="1" width="3.0" style="763"/>
    <col min="2627" max="2627" customWidth="1" bestFit="1" width="3.0" style="763"/>
    <col min="2628" max="2628" customWidth="1" bestFit="1" width="3.0" style="763"/>
    <col min="2629" max="2629" customWidth="1" bestFit="1" width="3.0" style="763"/>
    <col min="2630" max="2630" customWidth="1" bestFit="1" width="3.0" style="763"/>
    <col min="2631" max="2631" customWidth="1" bestFit="1" width="3.0" style="763"/>
    <col min="2632" max="2632" customWidth="1" bestFit="1" width="3.0" style="763"/>
    <col min="2633" max="2633" customWidth="1" bestFit="1" width="3.0" style="763"/>
    <col min="2634" max="2634" customWidth="1" bestFit="1" width="3.0" style="763"/>
    <col min="2635" max="2635" customWidth="1" bestFit="1" width="3.0" style="763"/>
    <col min="2636" max="2636" customWidth="1" bestFit="1" width="3.0" style="763"/>
    <col min="2637" max="2637" customWidth="1" bestFit="1" width="3.0" style="763"/>
    <col min="2638" max="2638" customWidth="1" bestFit="1" width="3.0" style="763"/>
    <col min="2639" max="2639" customWidth="1" bestFit="1" width="3.0" style="763"/>
    <col min="2640" max="2640" customWidth="1" bestFit="1" width="3.0" style="763"/>
    <col min="2641" max="2641" customWidth="1" bestFit="1" width="3.0" style="763"/>
    <col min="2642" max="2642" customWidth="1" bestFit="1" width="3.0" style="763"/>
    <col min="2643" max="2643" customWidth="1" bestFit="1" width="3.0" style="763"/>
    <col min="2644" max="2644" customWidth="1" bestFit="1" width="3.0" style="763"/>
    <col min="2645" max="2645" customWidth="1" bestFit="1" width="3.0" style="763"/>
    <col min="2646" max="2646" customWidth="1" bestFit="1" width="3.0" style="763"/>
    <col min="2647" max="2647" customWidth="1" bestFit="1" width="3.0" style="763"/>
    <col min="2648" max="2648" customWidth="1" bestFit="1" width="3.0" style="763"/>
    <col min="2649" max="2649" customWidth="1" bestFit="1" width="3.0" style="763"/>
    <col min="2650" max="2650" customWidth="1" bestFit="1" width="3.0" style="763"/>
    <col min="2651" max="2651" customWidth="1" bestFit="1" width="3.0" style="763"/>
    <col min="2652" max="2652" customWidth="1" bestFit="1" width="3.0" style="763"/>
    <col min="2653" max="2653" customWidth="1" bestFit="1" width="3.0" style="763"/>
    <col min="2654" max="2654" customWidth="1" bestFit="1" width="3.0" style="763"/>
    <col min="2655" max="2655" customWidth="1" bestFit="1" width="3.0" style="763"/>
    <col min="2656" max="2656" customWidth="1" bestFit="1" width="3.0" style="763"/>
    <col min="2657" max="2657" customWidth="1" bestFit="1" width="3.0" style="763"/>
    <col min="2658" max="2658" customWidth="1" bestFit="1" width="3.0" style="763"/>
    <col min="2659" max="2659" customWidth="1" bestFit="1" width="3.0" style="763"/>
    <col min="2660" max="2660" customWidth="1" bestFit="1" width="3.0" style="763"/>
    <col min="2661" max="2661" customWidth="1" bestFit="1" width="3.0" style="763"/>
    <col min="2662" max="2662" customWidth="1" bestFit="1" width="3.0" style="763"/>
    <col min="2663" max="2663" customWidth="1" bestFit="1" width="3.0" style="763"/>
    <col min="2664" max="2664" customWidth="1" bestFit="1" width="3.0" style="763"/>
    <col min="2665" max="2665" customWidth="1" bestFit="1" width="3.0" style="763"/>
    <col min="2666" max="2666" customWidth="1" bestFit="1" width="3.0" style="763"/>
    <col min="2667" max="2667" customWidth="1" bestFit="1" width="3.0" style="763"/>
    <col min="2668" max="2668" customWidth="1" bestFit="1" width="3.0" style="763"/>
    <col min="2669" max="2669" customWidth="1" bestFit="1" width="3.0" style="763"/>
    <col min="2670" max="2670" customWidth="1" bestFit="1" width="3.0" style="763"/>
    <col min="2671" max="2671" customWidth="1" bestFit="1" width="3.0" style="763"/>
    <col min="2672" max="2672" customWidth="1" bestFit="1" width="3.0" style="763"/>
    <col min="2673" max="2673" customWidth="1" bestFit="1" width="3.0" style="763"/>
    <col min="2674" max="2674" customWidth="1" bestFit="1" width="3.0" style="763"/>
    <col min="2675" max="2675" customWidth="1" bestFit="1" width="3.0" style="763"/>
    <col min="2676" max="2676" customWidth="1" bestFit="1" width="3.0" style="763"/>
    <col min="2677" max="2677" customWidth="1" bestFit="1" width="3.0" style="763"/>
    <col min="2678" max="2678" customWidth="1" bestFit="1" width="3.0" style="763"/>
    <col min="2679" max="2679" customWidth="1" bestFit="1" width="3.0" style="763"/>
    <col min="2680" max="2680" customWidth="1" bestFit="1" width="3.0" style="763"/>
    <col min="2681" max="2681" customWidth="1" bestFit="1" width="3.0" style="763"/>
    <col min="2682" max="2682" customWidth="1" bestFit="1" width="3.0" style="763"/>
    <col min="2683" max="2683" customWidth="1" bestFit="1" width="3.0" style="763"/>
    <col min="2684" max="2684" customWidth="1" bestFit="1" width="3.0" style="763"/>
    <col min="2685" max="2685" customWidth="1" bestFit="1" width="3.0" style="763"/>
    <col min="2686" max="2686" customWidth="1" bestFit="1" width="3.0" style="763"/>
    <col min="2687" max="2687" customWidth="1" bestFit="1" width="3.0" style="763"/>
    <col min="2688" max="2688" customWidth="1" bestFit="1" width="3.0" style="763"/>
    <col min="2689" max="2689" customWidth="1" bestFit="1" width="3.0" style="763"/>
    <col min="2690" max="2690" customWidth="1" bestFit="1" width="3.0" style="763"/>
    <col min="2691" max="2691" customWidth="1" bestFit="1" width="3.0" style="763"/>
    <col min="2692" max="2692" customWidth="1" bestFit="1" width="3.0" style="763"/>
    <col min="2693" max="2693" customWidth="1" bestFit="1" width="3.0" style="763"/>
    <col min="2694" max="2694" customWidth="1" bestFit="1" width="3.0" style="763"/>
    <col min="2695" max="2695" customWidth="1" bestFit="1" width="3.0" style="763"/>
    <col min="2696" max="2696" customWidth="1" bestFit="1" width="3.0" style="763"/>
    <col min="2697" max="2697" customWidth="1" bestFit="1" width="3.0" style="763"/>
    <col min="2698" max="2698" customWidth="1" bestFit="1" width="3.0" style="763"/>
    <col min="2699" max="2699" customWidth="1" bestFit="1" width="3.0" style="763"/>
    <col min="2700" max="2700" customWidth="1" bestFit="1" width="3.0" style="763"/>
    <col min="2701" max="2701" customWidth="1" bestFit="1" width="3.0" style="763"/>
    <col min="2702" max="2702" customWidth="1" bestFit="1" width="3.0" style="763"/>
    <col min="2703" max="2703" customWidth="1" bestFit="1" width="3.0" style="763"/>
    <col min="2704" max="2704" customWidth="1" bestFit="1" width="3.0" style="763"/>
    <col min="2705" max="2705" customWidth="1" bestFit="1" width="3.0" style="763"/>
    <col min="2706" max="2706" customWidth="1" bestFit="1" width="3.0" style="763"/>
    <col min="2707" max="2707" customWidth="1" bestFit="1" width="3.0" style="763"/>
    <col min="2708" max="2708" customWidth="1" bestFit="1" width="3.0" style="763"/>
    <col min="2709" max="2709" customWidth="1" bestFit="1" width="3.0" style="763"/>
    <col min="2710" max="2710" customWidth="1" bestFit="1" width="3.0" style="763"/>
    <col min="2711" max="2711" customWidth="1" bestFit="1" width="3.0" style="763"/>
    <col min="2712" max="2712" customWidth="1" bestFit="1" width="3.0" style="763"/>
    <col min="2713" max="2713" customWidth="1" bestFit="1" width="3.0" style="763"/>
    <col min="2714" max="2714" customWidth="1" bestFit="1" width="3.0" style="763"/>
    <col min="2715" max="2715" customWidth="1" bestFit="1" width="3.0" style="763"/>
    <col min="2716" max="2716" customWidth="1" bestFit="1" width="3.0" style="763"/>
    <col min="2717" max="2717" customWidth="1" bestFit="1" width="3.0" style="763"/>
    <col min="2718" max="2718" customWidth="1" bestFit="1" width="3.0" style="763"/>
    <col min="2719" max="2719" customWidth="1" bestFit="1" width="3.0" style="763"/>
    <col min="2720" max="2720" customWidth="1" bestFit="1" width="3.0" style="763"/>
    <col min="2721" max="2721" customWidth="1" bestFit="1" width="3.0" style="763"/>
    <col min="2722" max="2722" customWidth="1" bestFit="1" width="3.0" style="763"/>
    <col min="2723" max="2723" customWidth="1" bestFit="1" width="3.0" style="763"/>
    <col min="2724" max="2724" customWidth="1" bestFit="1" width="3.0" style="763"/>
    <col min="2725" max="2725" customWidth="1" bestFit="1" width="3.0" style="763"/>
    <col min="2726" max="2726" customWidth="1" bestFit="1" width="3.0" style="763"/>
    <col min="2727" max="2727" customWidth="1" bestFit="1" width="3.0" style="763"/>
    <col min="2728" max="2728" customWidth="1" bestFit="1" width="3.0" style="763"/>
    <col min="2729" max="2729" customWidth="1" bestFit="1" width="3.0" style="763"/>
    <col min="2730" max="2730" customWidth="1" bestFit="1" width="3.0" style="763"/>
    <col min="2731" max="2731" customWidth="1" bestFit="1" width="3.0" style="763"/>
    <col min="2732" max="2732" customWidth="1" bestFit="1" width="3.0" style="763"/>
    <col min="2733" max="2733" customWidth="1" bestFit="1" width="3.0" style="763"/>
    <col min="2734" max="2734" customWidth="1" bestFit="1" width="3.0" style="763"/>
    <col min="2735" max="2735" customWidth="1" bestFit="1" width="3.0" style="763"/>
    <col min="2736" max="2736" customWidth="1" bestFit="1" width="3.0" style="763"/>
    <col min="2737" max="2737" customWidth="1" bestFit="1" width="3.0" style="763"/>
    <col min="2738" max="2738" customWidth="1" bestFit="1" width="3.0" style="763"/>
    <col min="2739" max="2739" customWidth="1" bestFit="1" width="3.0" style="763"/>
    <col min="2740" max="2740" customWidth="1" bestFit="1" width="3.0" style="763"/>
    <col min="2741" max="2741" customWidth="1" bestFit="1" width="3.0" style="763"/>
    <col min="2742" max="2742" customWidth="1" bestFit="1" width="3.0" style="763"/>
    <col min="2743" max="2743" customWidth="1" bestFit="1" width="3.0" style="763"/>
    <col min="2744" max="2744" customWidth="1" bestFit="1" width="3.0" style="763"/>
    <col min="2745" max="2745" customWidth="1" bestFit="1" width="3.0" style="763"/>
    <col min="2746" max="2746" customWidth="1" bestFit="1" width="3.0" style="763"/>
    <col min="2747" max="2747" customWidth="1" bestFit="1" width="3.0" style="763"/>
    <col min="2748" max="2748" customWidth="1" bestFit="1" width="3.0" style="763"/>
    <col min="2749" max="2749" customWidth="1" bestFit="1" width="3.0" style="763"/>
    <col min="2750" max="2750" customWidth="1" bestFit="1" width="3.0" style="763"/>
    <col min="2751" max="2751" customWidth="1" bestFit="1" width="3.0" style="763"/>
    <col min="2752" max="2752" customWidth="1" bestFit="1" width="3.0" style="763"/>
    <col min="2753" max="2753" customWidth="1" bestFit="1" width="3.0" style="763"/>
    <col min="2754" max="2754" customWidth="1" bestFit="1" width="3.0" style="763"/>
    <col min="2755" max="2755" customWidth="1" bestFit="1" width="3.0" style="763"/>
    <col min="2756" max="2756" customWidth="1" bestFit="1" width="3.0" style="763"/>
    <col min="2757" max="2757" customWidth="1" bestFit="1" width="3.0" style="763"/>
    <col min="2758" max="2758" customWidth="1" bestFit="1" width="3.0" style="763"/>
    <col min="2759" max="2759" customWidth="1" bestFit="1" width="3.0" style="763"/>
    <col min="2760" max="2760" customWidth="1" bestFit="1" width="3.0" style="763"/>
    <col min="2761" max="2761" customWidth="1" bestFit="1" width="3.0" style="763"/>
    <col min="2762" max="2762" customWidth="1" bestFit="1" width="3.0" style="763"/>
    <col min="2763" max="2763" customWidth="1" bestFit="1" width="3.0" style="763"/>
    <col min="2764" max="2764" customWidth="1" bestFit="1" width="3.0" style="763"/>
    <col min="2765" max="2765" customWidth="1" bestFit="1" width="3.0" style="763"/>
    <col min="2766" max="2766" customWidth="1" bestFit="1" width="3.0" style="763"/>
    <col min="2767" max="2767" customWidth="1" bestFit="1" width="3.0" style="763"/>
    <col min="2768" max="2768" customWidth="1" bestFit="1" width="3.0" style="763"/>
    <col min="2769" max="2769" customWidth="1" bestFit="1" width="3.0" style="763"/>
    <col min="2770" max="2770" customWidth="1" bestFit="1" width="3.0" style="763"/>
    <col min="2771" max="2771" customWidth="1" bestFit="1" width="3.0" style="763"/>
    <col min="2772" max="2772" customWidth="1" bestFit="1" width="3.0" style="763"/>
    <col min="2773" max="2773" customWidth="1" bestFit="1" width="3.0" style="763"/>
    <col min="2774" max="2774" customWidth="1" bestFit="1" width="3.0" style="763"/>
    <col min="2775" max="2775" customWidth="1" bestFit="1" width="3.0" style="763"/>
    <col min="2776" max="2776" customWidth="1" bestFit="1" width="3.0" style="763"/>
    <col min="2777" max="2777" customWidth="1" bestFit="1" width="3.0" style="763"/>
    <col min="2778" max="2778" customWidth="1" bestFit="1" width="3.0" style="763"/>
    <col min="2779" max="2779" customWidth="1" bestFit="1" width="3.0" style="763"/>
    <col min="2780" max="2780" customWidth="1" bestFit="1" width="3.0" style="763"/>
    <col min="2781" max="2781" customWidth="1" bestFit="1" width="3.0" style="763"/>
    <col min="2782" max="2782" customWidth="1" bestFit="1" width="3.0" style="763"/>
    <col min="2783" max="2783" customWidth="1" bestFit="1" width="3.0" style="763"/>
    <col min="2784" max="2784" customWidth="1" bestFit="1" width="3.0" style="763"/>
    <col min="2785" max="2785" customWidth="1" bestFit="1" width="3.0" style="763"/>
    <col min="2786" max="2786" customWidth="1" bestFit="1" width="3.0" style="763"/>
    <col min="2787" max="2787" customWidth="1" bestFit="1" width="3.0" style="763"/>
    <col min="2788" max="2788" customWidth="1" bestFit="1" width="3.0" style="763"/>
    <col min="2789" max="2789" customWidth="1" bestFit="1" width="3.0" style="763"/>
    <col min="2790" max="2790" customWidth="1" bestFit="1" width="3.0" style="763"/>
    <col min="2791" max="2791" customWidth="1" bestFit="1" width="3.0" style="763"/>
    <col min="2792" max="2792" customWidth="1" bestFit="1" width="3.0" style="763"/>
    <col min="2793" max="2793" customWidth="1" bestFit="1" width="3.0" style="763"/>
    <col min="2794" max="2794" customWidth="1" bestFit="1" width="3.0" style="763"/>
    <col min="2795" max="2795" customWidth="1" bestFit="1" width="3.0" style="763"/>
    <col min="2796" max="2796" customWidth="1" bestFit="1" width="3.0" style="763"/>
    <col min="2797" max="2797" customWidth="1" bestFit="1" width="3.0" style="763"/>
    <col min="2798" max="2798" customWidth="1" bestFit="1" width="3.0" style="763"/>
    <col min="2799" max="2799" customWidth="1" bestFit="1" width="3.0" style="763"/>
    <col min="2800" max="2800" customWidth="1" bestFit="1" width="3.0" style="763"/>
    <col min="2801" max="2801" customWidth="1" bestFit="1" width="3.0" style="763"/>
    <col min="2802" max="2802" customWidth="1" bestFit="1" width="3.0" style="763"/>
    <col min="2803" max="2803" customWidth="1" bestFit="1" width="3.0" style="763"/>
    <col min="2804" max="2804" customWidth="1" bestFit="1" width="3.0" style="763"/>
    <col min="2805" max="2805" customWidth="1" bestFit="1" width="3.0" style="763"/>
    <col min="2806" max="2806" customWidth="1" bestFit="1" width="3.0" style="763"/>
    <col min="2807" max="2807" customWidth="1" bestFit="1" width="3.0" style="763"/>
    <col min="2808" max="2808" customWidth="1" bestFit="1" width="3.0" style="763"/>
    <col min="2809" max="2809" customWidth="1" bestFit="1" width="3.0" style="763"/>
    <col min="2810" max="2810" customWidth="1" bestFit="1" width="3.0" style="763"/>
    <col min="2811" max="2811" customWidth="1" bestFit="1" width="3.0" style="763"/>
    <col min="2812" max="2812" customWidth="1" bestFit="1" width="3.0" style="763"/>
    <col min="2813" max="2813" customWidth="1" bestFit="1" width="3.0" style="763"/>
    <col min="2814" max="2814" customWidth="1" bestFit="1" width="3.0" style="763"/>
    <col min="2815" max="2815" customWidth="1" bestFit="1" width="3.0" style="763"/>
    <col min="2816" max="2816" customWidth="1" bestFit="1" width="3.0" style="763"/>
    <col min="2817" max="2817" customWidth="1" bestFit="1" width="3.0" style="763"/>
    <col min="2818" max="2818" customWidth="1" bestFit="1" width="3.0" style="763"/>
    <col min="2819" max="2819" customWidth="1" bestFit="1" width="3.0" style="763"/>
    <col min="2820" max="2820" customWidth="1" bestFit="1" width="3.0" style="763"/>
    <col min="2821" max="2821" customWidth="1" bestFit="1" width="3.0" style="763"/>
    <col min="2822" max="2822" customWidth="1" bestFit="1" width="3.0" style="763"/>
    <col min="2823" max="2823" customWidth="1" bestFit="1" width="3.0" style="763"/>
    <col min="2824" max="2824" customWidth="1" bestFit="1" width="3.0" style="763"/>
    <col min="2825" max="2825" customWidth="1" bestFit="1" width="3.0" style="763"/>
    <col min="2826" max="2826" customWidth="1" bestFit="1" width="3.0" style="763"/>
    <col min="2827" max="2827" customWidth="1" bestFit="1" width="3.0" style="763"/>
    <col min="2828" max="2828" customWidth="1" bestFit="1" width="3.0" style="763"/>
    <col min="2829" max="2829" customWidth="1" bestFit="1" width="3.0" style="763"/>
    <col min="2830" max="2830" customWidth="1" bestFit="1" width="3.0" style="763"/>
    <col min="2831" max="2831" customWidth="1" bestFit="1" width="3.0" style="763"/>
    <col min="2832" max="2832" customWidth="1" bestFit="1" width="3.0" style="763"/>
    <col min="2833" max="2833" customWidth="1" bestFit="1" width="3.0" style="763"/>
    <col min="2834" max="2834" customWidth="1" bestFit="1" width="3.0" style="763"/>
    <col min="2835" max="2835" customWidth="1" bestFit="1" width="3.0" style="763"/>
    <col min="2836" max="2836" customWidth="1" bestFit="1" width="3.0" style="763"/>
    <col min="2837" max="2837" customWidth="1" bestFit="1" width="3.0" style="763"/>
    <col min="2838" max="2838" customWidth="1" bestFit="1" width="3.0" style="763"/>
    <col min="2839" max="2839" customWidth="1" bestFit="1" width="3.0" style="763"/>
    <col min="2840" max="2840" customWidth="1" bestFit="1" width="3.0" style="763"/>
    <col min="2841" max="2841" customWidth="1" bestFit="1" width="3.0" style="763"/>
    <col min="2842" max="2842" customWidth="1" bestFit="1" width="3.0" style="763"/>
    <col min="2843" max="2843" customWidth="1" bestFit="1" width="3.0" style="763"/>
    <col min="2844" max="2844" customWidth="1" bestFit="1" width="3.0" style="763"/>
    <col min="2845" max="2845" customWidth="1" bestFit="1" width="3.0" style="763"/>
    <col min="2846" max="2846" customWidth="1" bestFit="1" width="3.0" style="763"/>
    <col min="2847" max="2847" customWidth="1" bestFit="1" width="3.0" style="763"/>
    <col min="2848" max="2848" customWidth="1" bestFit="1" width="3.0" style="763"/>
    <col min="2849" max="2849" customWidth="1" bestFit="1" width="3.0" style="763"/>
    <col min="2850" max="2850" customWidth="1" bestFit="1" width="3.0" style="763"/>
    <col min="2851" max="2851" customWidth="1" bestFit="1" width="3.0" style="763"/>
    <col min="2852" max="2852" customWidth="1" bestFit="1" width="3.0" style="763"/>
    <col min="2853" max="2853" customWidth="1" bestFit="1" width="3.0" style="763"/>
    <col min="2854" max="2854" customWidth="1" bestFit="1" width="3.0" style="763"/>
    <col min="2855" max="2855" customWidth="1" bestFit="1" width="3.0" style="763"/>
    <col min="2856" max="2856" customWidth="1" bestFit="1" width="3.0" style="763"/>
    <col min="2857" max="2857" customWidth="1" bestFit="1" width="3.0" style="763"/>
    <col min="2858" max="2858" customWidth="1" bestFit="1" width="3.0" style="763"/>
    <col min="2859" max="2859" customWidth="1" bestFit="1" width="3.0" style="763"/>
    <col min="2860" max="2860" customWidth="1" bestFit="1" width="3.0" style="763"/>
    <col min="2861" max="2861" customWidth="1" bestFit="1" width="3.0" style="763"/>
    <col min="2862" max="2862" customWidth="1" bestFit="1" width="3.0" style="763"/>
    <col min="2863" max="2863" customWidth="1" bestFit="1" width="3.0" style="763"/>
    <col min="2864" max="2864" customWidth="1" bestFit="1" width="3.0" style="763"/>
    <col min="2865" max="2865" customWidth="1" bestFit="1" width="3.0" style="763"/>
    <col min="2866" max="2866" customWidth="1" bestFit="1" width="3.0" style="763"/>
    <col min="2867" max="2867" customWidth="1" bestFit="1" width="3.0" style="763"/>
    <col min="2868" max="2868" customWidth="1" bestFit="1" width="3.0" style="763"/>
    <col min="2869" max="2869" customWidth="1" bestFit="1" width="3.0" style="763"/>
    <col min="2870" max="2870" customWidth="1" bestFit="1" width="3.0" style="763"/>
    <col min="2871" max="2871" customWidth="1" bestFit="1" width="3.0" style="763"/>
    <col min="2872" max="2872" customWidth="1" bestFit="1" width="3.0" style="763"/>
    <col min="2873" max="2873" customWidth="1" bestFit="1" width="3.0" style="763"/>
    <col min="2874" max="2874" customWidth="1" bestFit="1" width="3.0" style="763"/>
    <col min="2875" max="2875" customWidth="1" bestFit="1" width="3.0" style="763"/>
    <col min="2876" max="2876" customWidth="1" bestFit="1" width="3.0" style="763"/>
    <col min="2877" max="2877" customWidth="1" bestFit="1" width="3.0" style="763"/>
    <col min="2878" max="2878" customWidth="1" bestFit="1" width="3.0" style="763"/>
    <col min="2879" max="2879" customWidth="1" bestFit="1" width="3.0" style="763"/>
    <col min="2880" max="2880" customWidth="1" bestFit="1" width="3.0" style="763"/>
    <col min="2881" max="2881" customWidth="1" bestFit="1" width="3.0" style="763"/>
    <col min="2882" max="2882" customWidth="1" bestFit="1" width="3.0" style="763"/>
    <col min="2883" max="2883" customWidth="1" bestFit="1" width="3.0" style="763"/>
    <col min="2884" max="2884" customWidth="1" bestFit="1" width="3.0" style="763"/>
    <col min="2885" max="2885" customWidth="1" bestFit="1" width="3.0" style="763"/>
    <col min="2886" max="2886" customWidth="1" bestFit="1" width="3.0" style="763"/>
    <col min="2887" max="2887" customWidth="1" bestFit="1" width="3.0" style="763"/>
    <col min="2888" max="2888" customWidth="1" bestFit="1" width="3.0" style="763"/>
    <col min="2889" max="2889" customWidth="1" bestFit="1" width="3.0" style="763"/>
    <col min="2890" max="2890" customWidth="1" bestFit="1" width="3.0" style="763"/>
    <col min="2891" max="2891" customWidth="1" bestFit="1" width="3.0" style="763"/>
    <col min="2892" max="2892" customWidth="1" bestFit="1" width="3.0" style="763"/>
    <col min="2893" max="2893" customWidth="1" bestFit="1" width="3.0" style="763"/>
    <col min="2894" max="2894" customWidth="1" bestFit="1" width="3.0" style="763"/>
    <col min="2895" max="2895" customWidth="1" bestFit="1" width="3.0" style="763"/>
    <col min="2896" max="2896" customWidth="1" bestFit="1" width="3.0" style="763"/>
    <col min="2897" max="2897" customWidth="1" bestFit="1" width="3.0" style="763"/>
    <col min="2898" max="2898" customWidth="1" bestFit="1" width="3.0" style="763"/>
    <col min="2899" max="2899" customWidth="1" bestFit="1" width="3.0" style="763"/>
    <col min="2900" max="2900" customWidth="1" bestFit="1" width="3.0" style="763"/>
    <col min="2901" max="2901" customWidth="1" bestFit="1" width="3.0" style="763"/>
    <col min="2902" max="2902" customWidth="1" bestFit="1" width="3.0" style="763"/>
    <col min="2903" max="2903" customWidth="1" bestFit="1" width="3.0" style="763"/>
    <col min="2904" max="2904" customWidth="1" bestFit="1" width="3.0" style="763"/>
    <col min="2905" max="2905" customWidth="1" bestFit="1" width="3.0" style="763"/>
    <col min="2906" max="2906" customWidth="1" bestFit="1" width="3.0" style="763"/>
    <col min="2907" max="2907" customWidth="1" bestFit="1" width="3.0" style="763"/>
    <col min="2908" max="2908" customWidth="1" bestFit="1" width="3.0" style="763"/>
    <col min="2909" max="2909" customWidth="1" bestFit="1" width="3.0" style="763"/>
    <col min="2910" max="2910" customWidth="1" bestFit="1" width="3.0" style="763"/>
    <col min="2911" max="2911" customWidth="1" bestFit="1" width="3.0" style="763"/>
    <col min="2912" max="2912" customWidth="1" bestFit="1" width="3.0" style="763"/>
    <col min="2913" max="2913" customWidth="1" bestFit="1" width="3.0" style="763"/>
    <col min="2914" max="2914" customWidth="1" bestFit="1" width="3.0" style="763"/>
    <col min="2915" max="2915" customWidth="1" bestFit="1" width="3.0" style="763"/>
    <col min="2916" max="2916" customWidth="1" bestFit="1" width="3.0" style="763"/>
    <col min="2917" max="2917" customWidth="1" bestFit="1" width="3.0" style="763"/>
    <col min="2918" max="2918" customWidth="1" bestFit="1" width="3.0" style="763"/>
    <col min="2919" max="2919" customWidth="1" bestFit="1" width="3.0" style="763"/>
    <col min="2920" max="2920" customWidth="1" bestFit="1" width="3.0" style="763"/>
    <col min="2921" max="2921" customWidth="1" bestFit="1" width="3.0" style="763"/>
    <col min="2922" max="2922" customWidth="1" bestFit="1" width="3.0" style="763"/>
    <col min="2923" max="2923" customWidth="1" bestFit="1" width="3.0" style="763"/>
    <col min="2924" max="2924" customWidth="1" bestFit="1" width="3.0" style="763"/>
    <col min="2925" max="2925" customWidth="1" bestFit="1" width="3.0" style="763"/>
    <col min="2926" max="2926" customWidth="1" bestFit="1" width="3.0" style="763"/>
    <col min="2927" max="2927" customWidth="1" bestFit="1" width="3.0" style="763"/>
    <col min="2928" max="2928" customWidth="1" bestFit="1" width="3.0" style="763"/>
    <col min="2929" max="2929" customWidth="1" bestFit="1" width="3.0" style="763"/>
    <col min="2930" max="2930" customWidth="1" bestFit="1" width="3.0" style="763"/>
    <col min="2931" max="2931" customWidth="1" bestFit="1" width="3.0" style="763"/>
    <col min="2932" max="2932" customWidth="1" bestFit="1" width="3.0" style="763"/>
    <col min="2933" max="2933" customWidth="1" bestFit="1" width="3.0" style="763"/>
    <col min="2934" max="2934" customWidth="1" bestFit="1" width="3.0" style="763"/>
    <col min="2935" max="2935" customWidth="1" bestFit="1" width="3.0" style="763"/>
    <col min="2936" max="2936" customWidth="1" bestFit="1" width="3.0" style="763"/>
    <col min="2937" max="2937" customWidth="1" bestFit="1" width="3.0" style="763"/>
    <col min="2938" max="2938" customWidth="1" bestFit="1" width="3.0" style="763"/>
    <col min="2939" max="2939" customWidth="1" bestFit="1" width="3.0" style="763"/>
    <col min="2940" max="2940" customWidth="1" bestFit="1" width="3.0" style="763"/>
    <col min="2941" max="2941" customWidth="1" bestFit="1" width="3.0" style="763"/>
    <col min="2942" max="2942" customWidth="1" bestFit="1" width="3.0" style="763"/>
    <col min="2943" max="2943" customWidth="1" bestFit="1" width="3.0" style="763"/>
    <col min="2944" max="2944" customWidth="1" bestFit="1" width="3.0" style="763"/>
    <col min="2945" max="2945" customWidth="1" bestFit="1" width="3.0" style="763"/>
    <col min="2946" max="2946" customWidth="1" bestFit="1" width="3.0" style="763"/>
    <col min="2947" max="2947" customWidth="1" bestFit="1" width="3.0" style="763"/>
    <col min="2948" max="2948" customWidth="1" bestFit="1" width="3.0" style="763"/>
    <col min="2949" max="2949" customWidth="1" bestFit="1" width="3.0" style="763"/>
    <col min="2950" max="2950" customWidth="1" bestFit="1" width="3.0" style="763"/>
    <col min="2951" max="2951" customWidth="1" bestFit="1" width="3.0" style="763"/>
    <col min="2952" max="2952" customWidth="1" bestFit="1" width="3.0" style="763"/>
    <col min="2953" max="2953" customWidth="1" bestFit="1" width="3.0" style="763"/>
    <col min="2954" max="2954" customWidth="1" bestFit="1" width="3.0" style="763"/>
    <col min="2955" max="2955" customWidth="1" bestFit="1" width="3.0" style="763"/>
    <col min="2956" max="2956" customWidth="1" bestFit="1" width="3.0" style="763"/>
    <col min="2957" max="2957" customWidth="1" bestFit="1" width="3.0" style="763"/>
    <col min="2958" max="2958" customWidth="1" bestFit="1" width="3.0" style="763"/>
    <col min="2959" max="2959" customWidth="1" bestFit="1" width="3.0" style="763"/>
    <col min="2960" max="2960" customWidth="1" bestFit="1" width="3.0" style="763"/>
    <col min="2961" max="2961" customWidth="1" bestFit="1" width="3.0" style="763"/>
    <col min="2962" max="2962" customWidth="1" bestFit="1" width="3.0" style="763"/>
    <col min="2963" max="2963" customWidth="1" bestFit="1" width="3.0" style="763"/>
    <col min="2964" max="2964" customWidth="1" bestFit="1" width="3.0" style="763"/>
    <col min="2965" max="2965" customWidth="1" bestFit="1" width="3.0" style="763"/>
    <col min="2966" max="2966" customWidth="1" bestFit="1" width="3.0" style="763"/>
    <col min="2967" max="2967" customWidth="1" bestFit="1" width="3.0" style="763"/>
    <col min="2968" max="2968" customWidth="1" bestFit="1" width="3.0" style="763"/>
    <col min="2969" max="2969" customWidth="1" bestFit="1" width="3.0" style="763"/>
    <col min="2970" max="2970" customWidth="1" bestFit="1" width="3.0" style="763"/>
    <col min="2971" max="2971" customWidth="1" bestFit="1" width="3.0" style="763"/>
    <col min="2972" max="2972" customWidth="1" bestFit="1" width="3.0" style="763"/>
    <col min="2973" max="2973" customWidth="1" bestFit="1" width="3.0" style="763"/>
    <col min="2974" max="2974" customWidth="1" bestFit="1" width="3.0" style="763"/>
    <col min="2975" max="2975" customWidth="1" bestFit="1" width="3.0" style="763"/>
    <col min="2976" max="2976" customWidth="1" bestFit="1" width="3.0" style="763"/>
    <col min="2977" max="2977" customWidth="1" bestFit="1" width="3.0" style="763"/>
    <col min="2978" max="2978" customWidth="1" bestFit="1" width="3.0" style="763"/>
    <col min="2979" max="2979" customWidth="1" bestFit="1" width="3.0" style="763"/>
    <col min="2980" max="2980" customWidth="1" bestFit="1" width="3.0" style="763"/>
    <col min="2981" max="2981" customWidth="1" bestFit="1" width="3.0" style="763"/>
    <col min="2982" max="2982" customWidth="1" bestFit="1" width="3.0" style="763"/>
    <col min="2983" max="2983" customWidth="1" bestFit="1" width="3.0" style="763"/>
    <col min="2984" max="2984" customWidth="1" bestFit="1" width="3.0" style="763"/>
    <col min="2985" max="2985" customWidth="1" bestFit="1" width="3.0" style="763"/>
    <col min="2986" max="2986" customWidth="1" bestFit="1" width="3.0" style="763"/>
    <col min="2987" max="2987" customWidth="1" bestFit="1" width="3.0" style="763"/>
    <col min="2988" max="2988" customWidth="1" bestFit="1" width="3.0" style="763"/>
    <col min="2989" max="2989" customWidth="1" bestFit="1" width="3.0" style="763"/>
    <col min="2990" max="2990" customWidth="1" bestFit="1" width="3.0" style="763"/>
    <col min="2991" max="2991" customWidth="1" bestFit="1" width="3.0" style="763"/>
    <col min="2992" max="2992" customWidth="1" bestFit="1" width="3.0" style="763"/>
    <col min="2993" max="2993" customWidth="1" bestFit="1" width="3.0" style="763"/>
    <col min="2994" max="2994" customWidth="1" bestFit="1" width="3.0" style="763"/>
    <col min="2995" max="2995" customWidth="1" bestFit="1" width="3.0" style="763"/>
    <col min="2996" max="2996" customWidth="1" bestFit="1" width="3.0" style="763"/>
    <col min="2997" max="2997" customWidth="1" bestFit="1" width="3.0" style="763"/>
    <col min="2998" max="2998" customWidth="1" bestFit="1" width="3.0" style="763"/>
    <col min="2999" max="2999" customWidth="1" bestFit="1" width="3.0" style="763"/>
    <col min="3000" max="3000" customWidth="1" bestFit="1" width="3.0" style="763"/>
    <col min="3001" max="3001" customWidth="1" bestFit="1" width="3.0" style="763"/>
    <col min="3002" max="3002" customWidth="1" bestFit="1" width="3.0" style="763"/>
    <col min="3003" max="3003" customWidth="1" bestFit="1" width="3.0" style="763"/>
    <col min="3004" max="3004" customWidth="1" bestFit="1" width="3.0" style="763"/>
    <col min="3005" max="3005" customWidth="1" bestFit="1" width="3.0" style="763"/>
    <col min="3006" max="3006" customWidth="1" bestFit="1" width="3.0" style="763"/>
    <col min="3007" max="3007" customWidth="1" bestFit="1" width="3.0" style="763"/>
    <col min="3008" max="3008" customWidth="1" bestFit="1" width="3.0" style="763"/>
    <col min="3009" max="3009" customWidth="1" bestFit="1" width="3.0" style="763"/>
    <col min="3010" max="3010" customWidth="1" bestFit="1" width="3.0" style="763"/>
    <col min="3011" max="3011" customWidth="1" bestFit="1" width="3.0" style="763"/>
    <col min="3012" max="3012" customWidth="1" bestFit="1" width="3.0" style="763"/>
    <col min="3013" max="3013" customWidth="1" bestFit="1" width="3.0" style="763"/>
    <col min="3014" max="3014" customWidth="1" bestFit="1" width="3.0" style="763"/>
    <col min="3015" max="3015" customWidth="1" bestFit="1" width="3.0" style="763"/>
    <col min="3016" max="3016" customWidth="1" bestFit="1" width="3.0" style="763"/>
    <col min="3017" max="3017" customWidth="1" bestFit="1" width="3.0" style="763"/>
    <col min="3018" max="3018" customWidth="1" bestFit="1" width="3.0" style="763"/>
    <col min="3019" max="3019" customWidth="1" bestFit="1" width="3.0" style="763"/>
    <col min="3020" max="3020" customWidth="1" bestFit="1" width="3.0" style="763"/>
    <col min="3021" max="3021" customWidth="1" bestFit="1" width="3.0" style="763"/>
    <col min="3022" max="3022" customWidth="1" bestFit="1" width="3.0" style="763"/>
    <col min="3023" max="3023" customWidth="1" bestFit="1" width="3.0" style="763"/>
    <col min="3024" max="3024" customWidth="1" bestFit="1" width="3.0" style="763"/>
    <col min="3025" max="3025" customWidth="1" bestFit="1" width="3.0" style="763"/>
    <col min="3026" max="3026" customWidth="1" bestFit="1" width="3.0" style="763"/>
    <col min="3027" max="3027" customWidth="1" bestFit="1" width="3.0" style="763"/>
    <col min="3028" max="3028" customWidth="1" bestFit="1" width="3.0" style="763"/>
    <col min="3029" max="3029" customWidth="1" bestFit="1" width="3.0" style="763"/>
    <col min="3030" max="3030" customWidth="1" bestFit="1" width="3.0" style="763"/>
    <col min="3031" max="3031" customWidth="1" bestFit="1" width="3.0" style="763"/>
    <col min="3032" max="3032" customWidth="1" bestFit="1" width="3.0" style="763"/>
    <col min="3033" max="3033" customWidth="1" bestFit="1" width="3.0" style="763"/>
    <col min="3034" max="3034" customWidth="1" bestFit="1" width="3.0" style="763"/>
    <col min="3035" max="3035" customWidth="1" bestFit="1" width="3.0" style="763"/>
    <col min="3036" max="3036" customWidth="1" bestFit="1" width="3.0" style="763"/>
    <col min="3037" max="3037" customWidth="1" bestFit="1" width="3.0" style="763"/>
    <col min="3038" max="3038" customWidth="1" bestFit="1" width="3.0" style="763"/>
    <col min="3039" max="3039" customWidth="1" bestFit="1" width="3.0" style="763"/>
    <col min="3040" max="3040" customWidth="1" bestFit="1" width="3.0" style="763"/>
    <col min="3041" max="3041" customWidth="1" bestFit="1" width="3.0" style="763"/>
    <col min="3042" max="3042" customWidth="1" bestFit="1" width="3.0" style="763"/>
    <col min="3043" max="3043" customWidth="1" bestFit="1" width="3.0" style="763"/>
    <col min="3044" max="3044" customWidth="1" bestFit="1" width="3.0" style="763"/>
    <col min="3045" max="3045" customWidth="1" bestFit="1" width="3.0" style="763"/>
    <col min="3046" max="3046" customWidth="1" bestFit="1" width="3.0" style="763"/>
    <col min="3047" max="3047" customWidth="1" bestFit="1" width="3.0" style="763"/>
    <col min="3048" max="3048" customWidth="1" bestFit="1" width="3.0" style="763"/>
    <col min="3049" max="3049" customWidth="1" bestFit="1" width="3.0" style="763"/>
    <col min="3050" max="3050" customWidth="1" bestFit="1" width="3.0" style="763"/>
    <col min="3051" max="3051" customWidth="1" bestFit="1" width="3.0" style="763"/>
    <col min="3052" max="3052" customWidth="1" bestFit="1" width="3.0" style="763"/>
    <col min="3053" max="3053" customWidth="1" bestFit="1" width="3.0" style="763"/>
    <col min="3054" max="3054" customWidth="1" bestFit="1" width="3.0" style="763"/>
    <col min="3055" max="3055" customWidth="1" bestFit="1" width="3.0" style="763"/>
    <col min="3056" max="3056" customWidth="1" bestFit="1" width="3.0" style="763"/>
    <col min="3057" max="3057" customWidth="1" bestFit="1" width="3.0" style="763"/>
    <col min="3058" max="3058" customWidth="1" bestFit="1" width="3.0" style="763"/>
    <col min="3059" max="3059" customWidth="1" bestFit="1" width="3.0" style="763"/>
    <col min="3060" max="3060" customWidth="1" bestFit="1" width="3.0" style="763"/>
    <col min="3061" max="3061" customWidth="1" bestFit="1" width="3.0" style="763"/>
    <col min="3062" max="3062" customWidth="1" bestFit="1" width="3.0" style="763"/>
    <col min="3063" max="3063" customWidth="1" bestFit="1" width="3.0" style="763"/>
    <col min="3064" max="3064" customWidth="1" bestFit="1" width="3.0" style="763"/>
    <col min="3065" max="3065" customWidth="1" bestFit="1" width="3.0" style="763"/>
    <col min="3066" max="3066" customWidth="1" bestFit="1" width="3.0" style="763"/>
    <col min="3067" max="3067" customWidth="1" bestFit="1" width="3.0" style="763"/>
    <col min="3068" max="3068" customWidth="1" bestFit="1" width="3.0" style="763"/>
    <col min="3069" max="3069" customWidth="1" bestFit="1" width="3.0" style="763"/>
    <col min="3070" max="3070" customWidth="1" bestFit="1" width="3.0" style="763"/>
    <col min="3071" max="3071" customWidth="1" bestFit="1" width="3.0" style="763"/>
    <col min="3072" max="3072" customWidth="1" bestFit="1" width="3.0" style="763"/>
    <col min="3073" max="3073" customWidth="1" bestFit="1" width="3.0" style="763"/>
    <col min="3074" max="3074" customWidth="1" bestFit="1" width="3.0" style="763"/>
    <col min="3075" max="3075" customWidth="1" bestFit="1" width="3.0" style="763"/>
    <col min="3076" max="3076" customWidth="1" bestFit="1" width="3.0" style="763"/>
    <col min="3077" max="3077" customWidth="1" bestFit="1" width="3.0" style="763"/>
    <col min="3078" max="3078" customWidth="1" bestFit="1" width="3.0" style="763"/>
    <col min="3079" max="3079" customWidth="1" bestFit="1" width="3.0" style="763"/>
    <col min="3080" max="3080" customWidth="1" bestFit="1" width="3.0" style="763"/>
    <col min="3081" max="3081" customWidth="1" bestFit="1" width="3.0" style="763"/>
    <col min="3082" max="3082" customWidth="1" bestFit="1" width="3.0" style="763"/>
    <col min="3083" max="3083" customWidth="1" bestFit="1" width="3.0" style="763"/>
    <col min="3084" max="3084" customWidth="1" bestFit="1" width="3.0" style="763"/>
    <col min="3085" max="3085" customWidth="1" bestFit="1" width="3.0" style="763"/>
    <col min="3086" max="3086" customWidth="1" bestFit="1" width="3.0" style="763"/>
    <col min="3087" max="3087" customWidth="1" bestFit="1" width="3.0" style="763"/>
    <col min="3088" max="3088" customWidth="1" bestFit="1" width="3.0" style="763"/>
    <col min="3089" max="3089" customWidth="1" bestFit="1" width="3.0" style="763"/>
    <col min="3090" max="3090" customWidth="1" bestFit="1" width="3.0" style="763"/>
    <col min="3091" max="3091" customWidth="1" bestFit="1" width="3.0" style="763"/>
    <col min="3092" max="3092" customWidth="1" bestFit="1" width="3.0" style="763"/>
    <col min="3093" max="3093" customWidth="1" bestFit="1" width="3.0" style="763"/>
    <col min="3094" max="3094" customWidth="1" bestFit="1" width="3.0" style="763"/>
    <col min="3095" max="3095" customWidth="1" bestFit="1" width="3.0" style="763"/>
    <col min="3096" max="3096" customWidth="1" bestFit="1" width="3.0" style="763"/>
    <col min="3097" max="3097" customWidth="1" bestFit="1" width="3.0" style="763"/>
    <col min="3098" max="3098" customWidth="1" bestFit="1" width="3.0" style="763"/>
    <col min="3099" max="3099" customWidth="1" bestFit="1" width="3.0" style="763"/>
    <col min="3100" max="3100" customWidth="1" bestFit="1" width="3.0" style="763"/>
    <col min="3101" max="3101" customWidth="1" bestFit="1" width="3.0" style="763"/>
    <col min="3102" max="3102" customWidth="1" bestFit="1" width="3.0" style="763"/>
    <col min="3103" max="3103" customWidth="1" bestFit="1" width="3.0" style="763"/>
    <col min="3104" max="3104" customWidth="1" bestFit="1" width="3.0" style="763"/>
    <col min="3105" max="3105" customWidth="1" bestFit="1" width="3.0" style="763"/>
    <col min="3106" max="3106" customWidth="1" bestFit="1" width="3.0" style="763"/>
    <col min="3107" max="3107" customWidth="1" bestFit="1" width="3.0" style="763"/>
    <col min="3108" max="3108" customWidth="1" bestFit="1" width="3.0" style="763"/>
    <col min="3109" max="3109" customWidth="1" bestFit="1" width="3.0" style="763"/>
    <col min="3110" max="3110" customWidth="1" bestFit="1" width="3.0" style="763"/>
    <col min="3111" max="3111" customWidth="1" bestFit="1" width="3.0" style="763"/>
    <col min="3112" max="3112" customWidth="1" bestFit="1" width="3.0" style="763"/>
    <col min="3113" max="3113" customWidth="1" bestFit="1" width="3.0" style="763"/>
    <col min="3114" max="3114" customWidth="1" bestFit="1" width="3.0" style="763"/>
    <col min="3115" max="3115" customWidth="1" bestFit="1" width="3.0" style="763"/>
    <col min="3116" max="3116" customWidth="1" bestFit="1" width="3.0" style="763"/>
    <col min="3117" max="3117" customWidth="1" bestFit="1" width="3.0" style="763"/>
    <col min="3118" max="3118" customWidth="1" bestFit="1" width="3.0" style="763"/>
    <col min="3119" max="3119" customWidth="1" bestFit="1" width="3.0" style="763"/>
    <col min="3120" max="3120" customWidth="1" bestFit="1" width="3.0" style="763"/>
    <col min="3121" max="3121" customWidth="1" bestFit="1" width="3.0" style="763"/>
    <col min="3122" max="3122" customWidth="1" bestFit="1" width="3.0" style="763"/>
    <col min="3123" max="3123" customWidth="1" bestFit="1" width="3.0" style="763"/>
    <col min="3124" max="3124" customWidth="1" bestFit="1" width="3.0" style="763"/>
    <col min="3125" max="3125" customWidth="1" bestFit="1" width="3.0" style="763"/>
    <col min="3126" max="3126" customWidth="1" bestFit="1" width="3.0" style="763"/>
    <col min="3127" max="3127" customWidth="1" bestFit="1" width="3.0" style="763"/>
    <col min="3128" max="3128" customWidth="1" bestFit="1" width="3.0" style="763"/>
    <col min="3129" max="3129" customWidth="1" bestFit="1" width="3.0" style="763"/>
    <col min="3130" max="3130" customWidth="1" bestFit="1" width="3.0" style="763"/>
    <col min="3131" max="3131" customWidth="1" bestFit="1" width="3.0" style="763"/>
    <col min="3132" max="3132" customWidth="1" bestFit="1" width="3.0" style="763"/>
    <col min="3133" max="3133" customWidth="1" bestFit="1" width="3.0" style="763"/>
    <col min="3134" max="3134" customWidth="1" bestFit="1" width="3.0" style="763"/>
    <col min="3135" max="3135" customWidth="1" bestFit="1" width="3.0" style="763"/>
    <col min="3136" max="3136" customWidth="1" bestFit="1" width="3.0" style="763"/>
    <col min="3137" max="3137" customWidth="1" bestFit="1" width="3.0" style="763"/>
    <col min="3138" max="3138" customWidth="1" bestFit="1" width="3.0" style="763"/>
    <col min="3139" max="3139" customWidth="1" bestFit="1" width="3.0" style="763"/>
    <col min="3140" max="3140" customWidth="1" bestFit="1" width="3.0" style="763"/>
    <col min="3141" max="3141" customWidth="1" bestFit="1" width="3.0" style="763"/>
    <col min="3142" max="3142" customWidth="1" bestFit="1" width="3.0" style="763"/>
    <col min="3143" max="3143" customWidth="1" bestFit="1" width="3.0" style="763"/>
    <col min="3144" max="3144" customWidth="1" bestFit="1" width="3.0" style="763"/>
    <col min="3145" max="3145" customWidth="1" bestFit="1" width="3.0" style="763"/>
    <col min="3146" max="3146" customWidth="1" bestFit="1" width="3.0" style="763"/>
    <col min="3147" max="3147" customWidth="1" bestFit="1" width="3.0" style="763"/>
    <col min="3148" max="3148" customWidth="1" bestFit="1" width="3.0" style="763"/>
    <col min="3149" max="3149" customWidth="1" bestFit="1" width="3.0" style="763"/>
    <col min="3150" max="3150" customWidth="1" bestFit="1" width="3.0" style="763"/>
    <col min="3151" max="3151" customWidth="1" bestFit="1" width="3.0" style="763"/>
    <col min="3152" max="3152" customWidth="1" bestFit="1" width="3.0" style="763"/>
    <col min="3153" max="3153" customWidth="1" bestFit="1" width="3.0" style="763"/>
    <col min="3154" max="3154" customWidth="1" bestFit="1" width="3.0" style="763"/>
    <col min="3155" max="3155" customWidth="1" bestFit="1" width="3.0" style="763"/>
    <col min="3156" max="3156" customWidth="1" bestFit="1" width="3.0" style="763"/>
    <col min="3157" max="3157" customWidth="1" bestFit="1" width="3.0" style="763"/>
    <col min="3158" max="3158" customWidth="1" bestFit="1" width="3.0" style="763"/>
    <col min="3159" max="3159" customWidth="1" bestFit="1" width="3.0" style="763"/>
    <col min="3160" max="3160" customWidth="1" bestFit="1" width="3.0" style="763"/>
    <col min="3161" max="3161" customWidth="1" bestFit="1" width="3.0" style="763"/>
    <col min="3162" max="3162" customWidth="1" bestFit="1" width="3.0" style="763"/>
    <col min="3163" max="3163" customWidth="1" bestFit="1" width="3.0" style="763"/>
    <col min="3164" max="3164" customWidth="1" bestFit="1" width="3.0" style="763"/>
    <col min="3165" max="3165" customWidth="1" bestFit="1" width="3.0" style="763"/>
    <col min="3166" max="3166" customWidth="1" bestFit="1" width="3.0" style="763"/>
    <col min="3167" max="3167" customWidth="1" bestFit="1" width="3.0" style="763"/>
    <col min="3168" max="3168" customWidth="1" bestFit="1" width="3.0" style="763"/>
    <col min="3169" max="3169" customWidth="1" bestFit="1" width="3.0" style="763"/>
    <col min="3170" max="3170" customWidth="1" bestFit="1" width="3.0" style="763"/>
    <col min="3171" max="3171" customWidth="1" bestFit="1" width="3.0" style="763"/>
    <col min="3172" max="3172" customWidth="1" bestFit="1" width="3.0" style="763"/>
    <col min="3173" max="3173" customWidth="1" bestFit="1" width="3.0" style="763"/>
    <col min="3174" max="3174" customWidth="1" bestFit="1" width="3.0" style="763"/>
    <col min="3175" max="3175" customWidth="1" bestFit="1" width="3.0" style="763"/>
    <col min="3176" max="3176" customWidth="1" bestFit="1" width="3.0" style="763"/>
    <col min="3177" max="3177" customWidth="1" bestFit="1" width="3.0" style="763"/>
    <col min="3178" max="3178" customWidth="1" bestFit="1" width="3.0" style="763"/>
    <col min="3179" max="3179" customWidth="1" bestFit="1" width="3.0" style="763"/>
    <col min="3180" max="3180" customWidth="1" bestFit="1" width="3.0" style="763"/>
    <col min="3181" max="3181" customWidth="1" bestFit="1" width="3.0" style="763"/>
    <col min="3182" max="3182" customWidth="1" bestFit="1" width="3.0" style="763"/>
    <col min="3183" max="3183" customWidth="1" bestFit="1" width="3.0" style="763"/>
    <col min="3184" max="3184" customWidth="1" bestFit="1" width="3.0" style="763"/>
    <col min="3185" max="3185" customWidth="1" bestFit="1" width="3.0" style="763"/>
    <col min="3186" max="3186" customWidth="1" bestFit="1" width="3.0" style="763"/>
    <col min="3187" max="3187" customWidth="1" bestFit="1" width="3.0" style="763"/>
    <col min="3188" max="3188" customWidth="1" bestFit="1" width="3.0" style="763"/>
    <col min="3189" max="3189" customWidth="1" bestFit="1" width="3.0" style="763"/>
    <col min="3190" max="3190" customWidth="1" bestFit="1" width="3.0" style="763"/>
    <col min="3191" max="3191" customWidth="1" bestFit="1" width="3.0" style="763"/>
    <col min="3192" max="3192" customWidth="1" bestFit="1" width="3.0" style="763"/>
    <col min="3193" max="3193" customWidth="1" bestFit="1" width="3.0" style="763"/>
    <col min="3194" max="3194" customWidth="1" bestFit="1" width="3.0" style="763"/>
    <col min="3195" max="3195" customWidth="1" bestFit="1" width="3.0" style="763"/>
    <col min="3196" max="3196" customWidth="1" bestFit="1" width="3.0" style="763"/>
    <col min="3197" max="3197" customWidth="1" bestFit="1" width="3.0" style="763"/>
    <col min="3198" max="3198" customWidth="1" bestFit="1" width="3.0" style="763"/>
    <col min="3199" max="3199" customWidth="1" bestFit="1" width="3.0" style="763"/>
    <col min="3200" max="3200" customWidth="1" bestFit="1" width="3.0" style="763"/>
    <col min="3201" max="3201" customWidth="1" bestFit="1" width="3.0" style="763"/>
    <col min="3202" max="3202" customWidth="1" bestFit="1" width="3.0" style="763"/>
    <col min="3203" max="3203" customWidth="1" bestFit="1" width="3.0" style="763"/>
    <col min="3204" max="3204" customWidth="1" bestFit="1" width="3.0" style="763"/>
    <col min="3205" max="3205" customWidth="1" bestFit="1" width="3.0" style="763"/>
    <col min="3206" max="3206" customWidth="1" bestFit="1" width="3.0" style="763"/>
    <col min="3207" max="3207" customWidth="1" bestFit="1" width="3.0" style="763"/>
    <col min="3208" max="3208" customWidth="1" bestFit="1" width="3.0" style="763"/>
    <col min="3209" max="3209" customWidth="1" bestFit="1" width="3.0" style="763"/>
    <col min="3210" max="3210" customWidth="1" bestFit="1" width="3.0" style="763"/>
    <col min="3211" max="3211" customWidth="1" bestFit="1" width="3.0" style="763"/>
    <col min="3212" max="3212" customWidth="1" bestFit="1" width="3.0" style="763"/>
    <col min="3213" max="3213" customWidth="1" bestFit="1" width="3.0" style="763"/>
    <col min="3214" max="3214" customWidth="1" bestFit="1" width="3.0" style="763"/>
    <col min="3215" max="3215" customWidth="1" bestFit="1" width="3.0" style="763"/>
    <col min="3216" max="3216" customWidth="1" bestFit="1" width="3.0" style="763"/>
    <col min="3217" max="3217" customWidth="1" bestFit="1" width="3.0" style="763"/>
    <col min="3218" max="3218" customWidth="1" bestFit="1" width="3.0" style="763"/>
    <col min="3219" max="3219" customWidth="1" bestFit="1" width="3.0" style="763"/>
    <col min="3220" max="3220" customWidth="1" bestFit="1" width="3.0" style="763"/>
    <col min="3221" max="3221" customWidth="1" bestFit="1" width="3.0" style="763"/>
    <col min="3222" max="3222" customWidth="1" bestFit="1" width="3.0" style="763"/>
    <col min="3223" max="3223" customWidth="1" bestFit="1" width="3.0" style="763"/>
    <col min="3224" max="3224" customWidth="1" bestFit="1" width="3.0" style="763"/>
    <col min="3225" max="3225" customWidth="1" bestFit="1" width="3.0" style="763"/>
    <col min="3226" max="3226" customWidth="1" bestFit="1" width="3.0" style="763"/>
    <col min="3227" max="3227" customWidth="1" bestFit="1" width="3.0" style="763"/>
    <col min="3228" max="3228" customWidth="1" bestFit="1" width="3.0" style="763"/>
    <col min="3229" max="3229" customWidth="1" bestFit="1" width="3.0" style="763"/>
    <col min="3230" max="3230" customWidth="1" bestFit="1" width="3.0" style="763"/>
    <col min="3231" max="3231" customWidth="1" bestFit="1" width="3.0" style="763"/>
    <col min="3232" max="3232" customWidth="1" bestFit="1" width="3.0" style="763"/>
    <col min="3233" max="3233" customWidth="1" bestFit="1" width="3.0" style="763"/>
    <col min="3234" max="3234" customWidth="1" bestFit="1" width="3.0" style="763"/>
    <col min="3235" max="3235" customWidth="1" bestFit="1" width="3.0" style="763"/>
    <col min="3236" max="3236" customWidth="1" bestFit="1" width="3.0" style="763"/>
    <col min="3237" max="3237" customWidth="1" bestFit="1" width="3.0" style="763"/>
    <col min="3238" max="3238" customWidth="1" bestFit="1" width="3.0" style="763"/>
    <col min="3239" max="3239" customWidth="1" bestFit="1" width="3.0" style="763"/>
    <col min="3240" max="3240" customWidth="1" bestFit="1" width="3.0" style="763"/>
    <col min="3241" max="3241" customWidth="1" bestFit="1" width="3.0" style="763"/>
    <col min="3242" max="3242" customWidth="1" bestFit="1" width="3.0" style="763"/>
    <col min="3243" max="3243" customWidth="1" bestFit="1" width="3.0" style="763"/>
    <col min="3244" max="3244" customWidth="1" bestFit="1" width="3.0" style="763"/>
    <col min="3245" max="3245" customWidth="1" bestFit="1" width="3.0" style="763"/>
    <col min="3246" max="3246" customWidth="1" bestFit="1" width="3.0" style="763"/>
    <col min="3247" max="3247" customWidth="1" bestFit="1" width="3.0" style="763"/>
    <col min="3248" max="3248" customWidth="1" bestFit="1" width="3.0" style="763"/>
    <col min="3249" max="3249" customWidth="1" bestFit="1" width="3.0" style="763"/>
    <col min="3250" max="3250" customWidth="1" bestFit="1" width="3.0" style="763"/>
    <col min="3251" max="3251" customWidth="1" bestFit="1" width="3.0" style="763"/>
    <col min="3252" max="3252" customWidth="1" bestFit="1" width="3.0" style="763"/>
    <col min="3253" max="3253" customWidth="1" bestFit="1" width="3.0" style="763"/>
    <col min="3254" max="3254" customWidth="1" bestFit="1" width="3.0" style="763"/>
    <col min="3255" max="3255" customWidth="1" bestFit="1" width="3.0" style="763"/>
    <col min="3256" max="3256" customWidth="1" bestFit="1" width="3.0" style="763"/>
    <col min="3257" max="3257" customWidth="1" bestFit="1" width="3.0" style="763"/>
    <col min="3258" max="3258" customWidth="1" bestFit="1" width="3.0" style="763"/>
    <col min="3259" max="3259" customWidth="1" bestFit="1" width="3.0" style="763"/>
    <col min="3260" max="3260" customWidth="1" bestFit="1" width="3.0" style="763"/>
    <col min="3261" max="3261" customWidth="1" bestFit="1" width="3.0" style="763"/>
    <col min="3262" max="3262" customWidth="1" bestFit="1" width="3.0" style="763"/>
    <col min="3263" max="3263" customWidth="1" bestFit="1" width="3.0" style="763"/>
    <col min="3264" max="3264" customWidth="1" bestFit="1" width="3.0" style="763"/>
    <col min="3265" max="3265" customWidth="1" bestFit="1" width="3.0" style="763"/>
    <col min="3266" max="3266" customWidth="1" bestFit="1" width="3.0" style="763"/>
    <col min="3267" max="3267" customWidth="1" bestFit="1" width="3.0" style="763"/>
    <col min="3268" max="3268" customWidth="1" bestFit="1" width="3.0" style="763"/>
    <col min="3269" max="3269" customWidth="1" bestFit="1" width="3.0" style="763"/>
    <col min="3270" max="3270" customWidth="1" bestFit="1" width="3.0" style="763"/>
    <col min="3271" max="3271" customWidth="1" bestFit="1" width="3.0" style="763"/>
    <col min="3272" max="3272" customWidth="1" bestFit="1" width="3.0" style="763"/>
    <col min="3273" max="3273" customWidth="1" bestFit="1" width="3.0" style="763"/>
    <col min="3274" max="3274" customWidth="1" bestFit="1" width="3.0" style="763"/>
    <col min="3275" max="3275" customWidth="1" bestFit="1" width="3.0" style="763"/>
    <col min="3276" max="3276" customWidth="1" bestFit="1" width="3.0" style="763"/>
    <col min="3277" max="3277" customWidth="1" bestFit="1" width="3.0" style="763"/>
    <col min="3278" max="3278" customWidth="1" bestFit="1" width="3.0" style="763"/>
    <col min="3279" max="3279" customWidth="1" bestFit="1" width="3.0" style="763"/>
    <col min="3280" max="3280" customWidth="1" bestFit="1" width="3.0" style="763"/>
    <col min="3281" max="3281" customWidth="1" bestFit="1" width="3.0" style="763"/>
    <col min="3282" max="3282" customWidth="1" bestFit="1" width="3.0" style="763"/>
    <col min="3283" max="3283" customWidth="1" bestFit="1" width="3.0" style="763"/>
    <col min="3284" max="3284" customWidth="1" bestFit="1" width="3.0" style="763"/>
    <col min="3285" max="3285" customWidth="1" bestFit="1" width="3.0" style="763"/>
    <col min="3286" max="3286" customWidth="1" bestFit="1" width="3.0" style="763"/>
    <col min="3287" max="3287" customWidth="1" bestFit="1" width="3.0" style="763"/>
    <col min="3288" max="3288" customWidth="1" bestFit="1" width="3.0" style="763"/>
    <col min="3289" max="3289" customWidth="1" bestFit="1" width="3.0" style="763"/>
    <col min="3290" max="3290" customWidth="1" bestFit="1" width="3.0" style="763"/>
    <col min="3291" max="3291" customWidth="1" bestFit="1" width="3.0" style="763"/>
    <col min="3292" max="3292" customWidth="1" bestFit="1" width="3.0" style="763"/>
    <col min="3293" max="3293" customWidth="1" bestFit="1" width="3.0" style="763"/>
    <col min="3294" max="3294" customWidth="1" bestFit="1" width="3.0" style="763"/>
    <col min="3295" max="3295" customWidth="1" bestFit="1" width="3.0" style="763"/>
    <col min="3296" max="3296" customWidth="1" bestFit="1" width="3.0" style="763"/>
    <col min="3297" max="3297" customWidth="1" bestFit="1" width="3.0" style="763"/>
    <col min="3298" max="3298" customWidth="1" bestFit="1" width="3.0" style="763"/>
    <col min="3299" max="3299" customWidth="1" bestFit="1" width="3.0" style="763"/>
    <col min="3300" max="3300" customWidth="1" bestFit="1" width="3.0" style="763"/>
    <col min="3301" max="3301" customWidth="1" bestFit="1" width="3.0" style="763"/>
    <col min="3302" max="3302" customWidth="1" bestFit="1" width="3.0" style="763"/>
    <col min="3303" max="3303" customWidth="1" bestFit="1" width="3.0" style="763"/>
    <col min="3304" max="3304" customWidth="1" bestFit="1" width="3.0" style="763"/>
    <col min="3305" max="3305" customWidth="1" bestFit="1" width="3.0" style="763"/>
    <col min="3306" max="3306" customWidth="1" bestFit="1" width="3.0" style="763"/>
    <col min="3307" max="3307" customWidth="1" bestFit="1" width="3.0" style="763"/>
    <col min="3308" max="3308" customWidth="1" bestFit="1" width="3.0" style="763"/>
    <col min="3309" max="3309" customWidth="1" bestFit="1" width="3.0" style="763"/>
    <col min="3310" max="3310" customWidth="1" bestFit="1" width="3.0" style="763"/>
    <col min="3311" max="3311" customWidth="1" bestFit="1" width="3.0" style="763"/>
    <col min="3312" max="3312" customWidth="1" bestFit="1" width="3.0" style="763"/>
    <col min="3313" max="3313" customWidth="1" bestFit="1" width="3.0" style="763"/>
    <col min="3314" max="3314" customWidth="1" bestFit="1" width="3.0" style="763"/>
    <col min="3315" max="3315" customWidth="1" bestFit="1" width="3.0" style="763"/>
    <col min="3316" max="3316" customWidth="1" bestFit="1" width="3.0" style="763"/>
    <col min="3317" max="3317" customWidth="1" bestFit="1" width="3.0" style="763"/>
    <col min="3318" max="3318" customWidth="1" bestFit="1" width="3.0" style="763"/>
    <col min="3319" max="3319" customWidth="1" bestFit="1" width="3.0" style="763"/>
    <col min="3320" max="3320" customWidth="1" bestFit="1" width="3.0" style="763"/>
    <col min="3321" max="3321" customWidth="1" bestFit="1" width="3.0" style="763"/>
    <col min="3322" max="3322" customWidth="1" bestFit="1" width="3.0" style="763"/>
    <col min="3323" max="3323" customWidth="1" bestFit="1" width="3.0" style="763"/>
    <col min="3324" max="3324" customWidth="1" bestFit="1" width="3.0" style="763"/>
    <col min="3325" max="3325" customWidth="1" bestFit="1" width="3.0" style="763"/>
    <col min="3326" max="3326" customWidth="1" bestFit="1" width="3.0" style="763"/>
    <col min="3327" max="3327" customWidth="1" bestFit="1" width="3.0" style="763"/>
    <col min="3328" max="3328" customWidth="1" bestFit="1" width="3.0" style="763"/>
    <col min="3329" max="3329" customWidth="1" bestFit="1" width="3.0" style="763"/>
    <col min="3330" max="3330" customWidth="1" bestFit="1" width="3.0" style="763"/>
    <col min="3331" max="3331" customWidth="1" bestFit="1" width="3.0" style="763"/>
    <col min="3332" max="3332" customWidth="1" bestFit="1" width="3.0" style="763"/>
    <col min="3333" max="3333" customWidth="1" bestFit="1" width="3.0" style="763"/>
    <col min="3334" max="3334" customWidth="1" bestFit="1" width="3.0" style="763"/>
    <col min="3335" max="3335" customWidth="1" bestFit="1" width="3.0" style="763"/>
    <col min="3336" max="3336" customWidth="1" bestFit="1" width="3.0" style="763"/>
    <col min="3337" max="3337" customWidth="1" bestFit="1" width="3.0" style="763"/>
    <col min="3338" max="3338" customWidth="1" bestFit="1" width="3.0" style="763"/>
    <col min="3339" max="3339" customWidth="1" bestFit="1" width="3.0" style="763"/>
    <col min="3340" max="3340" customWidth="1" bestFit="1" width="3.0" style="763"/>
    <col min="3341" max="3341" customWidth="1" bestFit="1" width="3.0" style="763"/>
    <col min="3342" max="3342" customWidth="1" bestFit="1" width="3.0" style="763"/>
    <col min="3343" max="3343" customWidth="1" bestFit="1" width="3.0" style="763"/>
    <col min="3344" max="3344" customWidth="1" bestFit="1" width="3.0" style="763"/>
    <col min="3345" max="3345" customWidth="1" bestFit="1" width="3.0" style="763"/>
    <col min="3346" max="3346" customWidth="1" bestFit="1" width="3.0" style="763"/>
    <col min="3347" max="3347" customWidth="1" bestFit="1" width="3.0" style="763"/>
    <col min="3348" max="3348" customWidth="1" bestFit="1" width="3.0" style="763"/>
    <col min="3349" max="3349" customWidth="1" bestFit="1" width="3.0" style="763"/>
    <col min="3350" max="3350" customWidth="1" bestFit="1" width="3.0" style="763"/>
    <col min="3351" max="3351" customWidth="1" bestFit="1" width="3.0" style="763"/>
    <col min="3352" max="3352" customWidth="1" bestFit="1" width="3.0" style="763"/>
    <col min="3353" max="3353" customWidth="1" bestFit="1" width="3.0" style="763"/>
    <col min="3354" max="3354" customWidth="1" bestFit="1" width="3.0" style="763"/>
    <col min="3355" max="3355" customWidth="1" bestFit="1" width="3.0" style="763"/>
    <col min="3356" max="3356" customWidth="1" bestFit="1" width="3.0" style="763"/>
    <col min="3357" max="3357" customWidth="1" bestFit="1" width="3.0" style="763"/>
    <col min="3358" max="3358" customWidth="1" bestFit="1" width="3.0" style="763"/>
    <col min="3359" max="3359" customWidth="1" bestFit="1" width="3.0" style="763"/>
    <col min="3360" max="3360" customWidth="1" bestFit="1" width="3.0" style="763"/>
    <col min="3361" max="3361" customWidth="1" bestFit="1" width="3.0" style="763"/>
    <col min="3362" max="3362" customWidth="1" bestFit="1" width="3.0" style="763"/>
    <col min="3363" max="3363" customWidth="1" bestFit="1" width="3.0" style="763"/>
    <col min="3364" max="3364" customWidth="1" bestFit="1" width="3.0" style="763"/>
    <col min="3365" max="3365" customWidth="1" bestFit="1" width="3.0" style="763"/>
    <col min="3366" max="3366" customWidth="1" bestFit="1" width="3.0" style="763"/>
    <col min="3367" max="3367" customWidth="1" bestFit="1" width="3.0" style="763"/>
    <col min="3368" max="3368" customWidth="1" bestFit="1" width="3.0" style="763"/>
    <col min="3369" max="3369" customWidth="1" bestFit="1" width="3.0" style="763"/>
    <col min="3370" max="3370" customWidth="1" bestFit="1" width="3.0" style="763"/>
    <col min="3371" max="3371" customWidth="1" bestFit="1" width="3.0" style="763"/>
    <col min="3372" max="3372" customWidth="1" bestFit="1" width="3.0" style="763"/>
    <col min="3373" max="3373" customWidth="1" bestFit="1" width="3.0" style="763"/>
    <col min="3374" max="3374" customWidth="1" bestFit="1" width="3.0" style="763"/>
    <col min="3375" max="3375" customWidth="1" bestFit="1" width="3.0" style="763"/>
    <col min="3376" max="3376" customWidth="1" bestFit="1" width="3.0" style="763"/>
    <col min="3377" max="3377" customWidth="1" bestFit="1" width="3.0" style="763"/>
    <col min="3378" max="3378" customWidth="1" bestFit="1" width="3.0" style="763"/>
    <col min="3379" max="3379" customWidth="1" bestFit="1" width="3.0" style="763"/>
    <col min="3380" max="3380" customWidth="1" bestFit="1" width="3.0" style="763"/>
    <col min="3381" max="3381" customWidth="1" bestFit="1" width="3.0" style="763"/>
    <col min="3382" max="3382" customWidth="1" bestFit="1" width="3.0" style="763"/>
    <col min="3383" max="3383" customWidth="1" bestFit="1" width="3.0" style="763"/>
    <col min="3384" max="3384" customWidth="1" bestFit="1" width="3.0" style="763"/>
    <col min="3385" max="3385" customWidth="1" bestFit="1" width="3.0" style="763"/>
    <col min="3386" max="3386" customWidth="1" bestFit="1" width="3.0" style="763"/>
    <col min="3387" max="3387" customWidth="1" bestFit="1" width="3.0" style="763"/>
    <col min="3388" max="3388" customWidth="1" bestFit="1" width="3.0" style="763"/>
    <col min="3389" max="3389" customWidth="1" bestFit="1" width="3.0" style="763"/>
    <col min="3390" max="3390" customWidth="1" bestFit="1" width="3.0" style="763"/>
    <col min="3391" max="3391" customWidth="1" bestFit="1" width="3.0" style="763"/>
    <col min="3392" max="3392" customWidth="1" bestFit="1" width="3.0" style="763"/>
    <col min="3393" max="3393" customWidth="1" bestFit="1" width="3.0" style="763"/>
    <col min="3394" max="3394" customWidth="1" bestFit="1" width="3.0" style="763"/>
    <col min="3395" max="3395" customWidth="1" bestFit="1" width="3.0" style="763"/>
    <col min="3396" max="3396" customWidth="1" bestFit="1" width="3.0" style="763"/>
    <col min="3397" max="3397" customWidth="1" bestFit="1" width="3.0" style="763"/>
    <col min="3398" max="3398" customWidth="1" bestFit="1" width="3.0" style="763"/>
    <col min="3399" max="3399" customWidth="1" bestFit="1" width="3.0" style="763"/>
    <col min="3400" max="3400" customWidth="1" bestFit="1" width="3.0" style="763"/>
    <col min="3401" max="3401" customWidth="1" bestFit="1" width="3.0" style="763"/>
    <col min="3402" max="3402" customWidth="1" bestFit="1" width="3.0" style="763"/>
    <col min="3403" max="3403" customWidth="1" bestFit="1" width="3.0" style="763"/>
    <col min="3404" max="3404" customWidth="1" bestFit="1" width="3.0" style="763"/>
    <col min="3405" max="3405" customWidth="1" bestFit="1" width="3.0" style="763"/>
    <col min="3406" max="3406" customWidth="1" bestFit="1" width="3.0" style="763"/>
    <col min="3407" max="3407" customWidth="1" bestFit="1" width="3.0" style="763"/>
    <col min="3408" max="3408" customWidth="1" bestFit="1" width="3.0" style="763"/>
    <col min="3409" max="3409" customWidth="1" bestFit="1" width="3.0" style="763"/>
    <col min="3410" max="3410" customWidth="1" bestFit="1" width="3.0" style="763"/>
    <col min="3411" max="3411" customWidth="1" bestFit="1" width="3.0" style="763"/>
    <col min="3412" max="3412" customWidth="1" bestFit="1" width="3.0" style="763"/>
    <col min="3413" max="3413" customWidth="1" bestFit="1" width="3.0" style="763"/>
    <col min="3414" max="3414" customWidth="1" bestFit="1" width="3.0" style="763"/>
    <col min="3415" max="3415" customWidth="1" bestFit="1" width="3.0" style="763"/>
    <col min="3416" max="3416" customWidth="1" bestFit="1" width="3.0" style="763"/>
    <col min="3417" max="3417" customWidth="1" bestFit="1" width="3.0" style="763"/>
    <col min="3418" max="3418" customWidth="1" bestFit="1" width="3.0" style="763"/>
    <col min="3419" max="3419" customWidth="1" bestFit="1" width="3.0" style="763"/>
    <col min="3420" max="3420" customWidth="1" bestFit="1" width="3.0" style="763"/>
    <col min="3421" max="3421" customWidth="1" bestFit="1" width="3.0" style="763"/>
    <col min="3422" max="3422" customWidth="1" bestFit="1" width="3.0" style="763"/>
    <col min="3423" max="3423" customWidth="1" bestFit="1" width="3.0" style="763"/>
    <col min="3424" max="3424" customWidth="1" bestFit="1" width="3.0" style="763"/>
    <col min="3425" max="3425" customWidth="1" bestFit="1" width="3.0" style="763"/>
    <col min="3426" max="3426" customWidth="1" bestFit="1" width="3.0" style="763"/>
    <col min="3427" max="3427" customWidth="1" bestFit="1" width="3.0" style="763"/>
    <col min="3428" max="3428" customWidth="1" bestFit="1" width="3.0" style="763"/>
    <col min="3429" max="3429" customWidth="1" bestFit="1" width="3.0" style="763"/>
    <col min="3430" max="3430" customWidth="1" bestFit="1" width="3.0" style="763"/>
    <col min="3431" max="3431" customWidth="1" bestFit="1" width="3.0" style="763"/>
    <col min="3432" max="3432" customWidth="1" bestFit="1" width="3.0" style="763"/>
    <col min="3433" max="3433" customWidth="1" bestFit="1" width="3.0" style="763"/>
    <col min="3434" max="3434" customWidth="1" bestFit="1" width="3.0" style="763"/>
    <col min="3435" max="3435" customWidth="1" bestFit="1" width="3.0" style="763"/>
    <col min="3436" max="3436" customWidth="1" bestFit="1" width="3.0" style="763"/>
    <col min="3437" max="3437" customWidth="1" bestFit="1" width="3.0" style="763"/>
    <col min="3438" max="3438" customWidth="1" bestFit="1" width="3.0" style="763"/>
    <col min="3439" max="3439" customWidth="1" bestFit="1" width="3.0" style="763"/>
    <col min="3440" max="3440" customWidth="1" bestFit="1" width="3.0" style="763"/>
    <col min="3441" max="3441" customWidth="1" bestFit="1" width="3.0" style="763"/>
    <col min="3442" max="3442" customWidth="1" bestFit="1" width="3.0" style="763"/>
    <col min="3443" max="3443" customWidth="1" bestFit="1" width="3.0" style="763"/>
    <col min="3444" max="3444" customWidth="1" bestFit="1" width="3.0" style="763"/>
    <col min="3445" max="3445" customWidth="1" bestFit="1" width="3.0" style="763"/>
    <col min="3446" max="3446" customWidth="1" bestFit="1" width="3.0" style="763"/>
    <col min="3447" max="3447" customWidth="1" bestFit="1" width="3.0" style="763"/>
    <col min="3448" max="3448" customWidth="1" bestFit="1" width="3.0" style="763"/>
    <col min="3449" max="3449" customWidth="1" bestFit="1" width="3.0" style="763"/>
    <col min="3450" max="3450" customWidth="1" bestFit="1" width="3.0" style="763"/>
    <col min="3451" max="3451" customWidth="1" bestFit="1" width="3.0" style="763"/>
    <col min="3452" max="3452" customWidth="1" bestFit="1" width="3.0" style="763"/>
    <col min="3453" max="3453" customWidth="1" bestFit="1" width="3.0" style="763"/>
    <col min="3454" max="3454" customWidth="1" bestFit="1" width="3.0" style="763"/>
    <col min="3455" max="3455" customWidth="1" bestFit="1" width="3.0" style="763"/>
    <col min="3456" max="3456" customWidth="1" bestFit="1" width="3.0" style="763"/>
    <col min="3457" max="3457" customWidth="1" bestFit="1" width="3.0" style="763"/>
    <col min="3458" max="3458" customWidth="1" bestFit="1" width="3.0" style="763"/>
    <col min="3459" max="3459" customWidth="1" bestFit="1" width="3.0" style="763"/>
    <col min="3460" max="3460" customWidth="1" bestFit="1" width="3.0" style="763"/>
    <col min="3461" max="3461" customWidth="1" bestFit="1" width="3.0" style="763"/>
    <col min="3462" max="3462" customWidth="1" bestFit="1" width="3.0" style="763"/>
    <col min="3463" max="3463" customWidth="1" bestFit="1" width="3.0" style="763"/>
    <col min="3464" max="3464" customWidth="1" bestFit="1" width="3.0" style="763"/>
    <col min="3465" max="3465" customWidth="1" bestFit="1" width="3.0" style="763"/>
    <col min="3466" max="3466" customWidth="1" bestFit="1" width="3.0" style="763"/>
    <col min="3467" max="3467" customWidth="1" bestFit="1" width="3.0" style="763"/>
    <col min="3468" max="3468" customWidth="1" bestFit="1" width="3.0" style="763"/>
    <col min="3469" max="3469" customWidth="1" bestFit="1" width="3.0" style="763"/>
    <col min="3470" max="3470" customWidth="1" bestFit="1" width="3.0" style="763"/>
    <col min="3471" max="3471" customWidth="1" bestFit="1" width="3.0" style="763"/>
    <col min="3472" max="3472" customWidth="1" bestFit="1" width="3.0" style="763"/>
    <col min="3473" max="3473" customWidth="1" bestFit="1" width="3.0" style="763"/>
    <col min="3474" max="3474" customWidth="1" bestFit="1" width="3.0" style="763"/>
    <col min="3475" max="3475" customWidth="1" bestFit="1" width="3.0" style="763"/>
    <col min="3476" max="3476" customWidth="1" bestFit="1" width="3.0" style="763"/>
    <col min="3477" max="3477" customWidth="1" bestFit="1" width="3.0" style="763"/>
    <col min="3478" max="3478" customWidth="1" bestFit="1" width="3.0" style="763"/>
    <col min="3479" max="3479" customWidth="1" bestFit="1" width="3.0" style="763"/>
    <col min="3480" max="3480" customWidth="1" bestFit="1" width="3.0" style="763"/>
    <col min="3481" max="3481" customWidth="1" bestFit="1" width="3.0" style="763"/>
    <col min="3482" max="3482" customWidth="1" bestFit="1" width="3.0" style="763"/>
    <col min="3483" max="3483" customWidth="1" bestFit="1" width="3.0" style="763"/>
    <col min="3484" max="3484" customWidth="1" bestFit="1" width="3.0" style="763"/>
    <col min="3485" max="3485" customWidth="1" bestFit="1" width="3.0" style="763"/>
    <col min="3486" max="3486" customWidth="1" bestFit="1" width="3.0" style="763"/>
    <col min="3487" max="3487" customWidth="1" bestFit="1" width="3.0" style="763"/>
    <col min="3488" max="3488" customWidth="1" bestFit="1" width="3.0" style="763"/>
    <col min="3489" max="3489" customWidth="1" bestFit="1" width="3.0" style="763"/>
    <col min="3490" max="3490" customWidth="1" bestFit="1" width="3.0" style="763"/>
    <col min="3491" max="3491" customWidth="1" bestFit="1" width="3.0" style="763"/>
    <col min="3492" max="3492" customWidth="1" bestFit="1" width="3.0" style="763"/>
    <col min="3493" max="3493" customWidth="1" bestFit="1" width="3.0" style="763"/>
    <col min="3494" max="3494" customWidth="1" bestFit="1" width="3.0" style="763"/>
    <col min="3495" max="3495" customWidth="1" bestFit="1" width="3.0" style="763"/>
    <col min="3496" max="3496" customWidth="1" bestFit="1" width="3.0" style="763"/>
    <col min="3497" max="3497" customWidth="1" bestFit="1" width="3.0" style="763"/>
    <col min="3498" max="3498" customWidth="1" bestFit="1" width="3.0" style="763"/>
    <col min="3499" max="3499" customWidth="1" bestFit="1" width="3.0" style="763"/>
    <col min="3500" max="3500" customWidth="1" bestFit="1" width="3.0" style="763"/>
    <col min="3501" max="3501" customWidth="1" bestFit="1" width="3.0" style="763"/>
    <col min="3502" max="3502" customWidth="1" bestFit="1" width="3.0" style="763"/>
    <col min="3503" max="3503" customWidth="1" bestFit="1" width="3.0" style="763"/>
    <col min="3504" max="3504" customWidth="1" bestFit="1" width="3.0" style="763"/>
    <col min="3505" max="3505" customWidth="1" bestFit="1" width="3.0" style="763"/>
    <col min="3506" max="3506" customWidth="1" bestFit="1" width="3.0" style="763"/>
    <col min="3507" max="3507" customWidth="1" bestFit="1" width="3.0" style="763"/>
    <col min="3508" max="3508" customWidth="1" bestFit="1" width="3.0" style="763"/>
    <col min="3509" max="3509" customWidth="1" bestFit="1" width="3.0" style="763"/>
    <col min="3510" max="3510" customWidth="1" bestFit="1" width="3.0" style="763"/>
    <col min="3511" max="3511" customWidth="1" bestFit="1" width="3.0" style="763"/>
    <col min="3512" max="3512" customWidth="1" bestFit="1" width="3.0" style="763"/>
    <col min="3513" max="3513" customWidth="1" bestFit="1" width="3.0" style="763"/>
    <col min="3514" max="3514" customWidth="1" bestFit="1" width="3.0" style="763"/>
    <col min="3515" max="3515" customWidth="1" bestFit="1" width="3.0" style="763"/>
    <col min="3516" max="3516" customWidth="1" bestFit="1" width="3.0" style="763"/>
    <col min="3517" max="3517" customWidth="1" bestFit="1" width="3.0" style="763"/>
    <col min="3518" max="3518" customWidth="1" bestFit="1" width="3.0" style="763"/>
    <col min="3519" max="3519" customWidth="1" bestFit="1" width="3.0" style="763"/>
    <col min="3520" max="3520" customWidth="1" bestFit="1" width="3.0" style="763"/>
    <col min="3521" max="3521" customWidth="1" bestFit="1" width="3.0" style="763"/>
    <col min="3522" max="3522" customWidth="1" bestFit="1" width="3.0" style="763"/>
    <col min="3523" max="3523" customWidth="1" bestFit="1" width="3.0" style="763"/>
    <col min="3524" max="3524" customWidth="1" bestFit="1" width="3.0" style="763"/>
    <col min="3525" max="3525" customWidth="1" bestFit="1" width="3.0" style="763"/>
    <col min="3526" max="3526" customWidth="1" bestFit="1" width="3.0" style="763"/>
    <col min="3527" max="3527" customWidth="1" bestFit="1" width="3.0" style="763"/>
    <col min="3528" max="3528" customWidth="1" bestFit="1" width="3.0" style="763"/>
    <col min="3529" max="3529" customWidth="1" bestFit="1" width="3.0" style="763"/>
    <col min="3530" max="3530" customWidth="1" bestFit="1" width="3.0" style="763"/>
    <col min="3531" max="3531" customWidth="1" bestFit="1" width="3.0" style="763"/>
    <col min="3532" max="3532" customWidth="1" bestFit="1" width="3.0" style="763"/>
    <col min="3533" max="3533" customWidth="1" bestFit="1" width="3.0" style="763"/>
    <col min="3534" max="3534" customWidth="1" bestFit="1" width="3.0" style="763"/>
    <col min="3535" max="3535" customWidth="1" bestFit="1" width="3.0" style="763"/>
    <col min="3536" max="3536" customWidth="1" bestFit="1" width="3.0" style="763"/>
    <col min="3537" max="3537" customWidth="1" bestFit="1" width="3.0" style="763"/>
    <col min="3538" max="3538" customWidth="1" bestFit="1" width="3.0" style="763"/>
    <col min="3539" max="3539" customWidth="1" bestFit="1" width="3.0" style="763"/>
    <col min="3540" max="3540" customWidth="1" bestFit="1" width="3.0" style="763"/>
    <col min="3541" max="3541" customWidth="1" bestFit="1" width="3.0" style="763"/>
    <col min="3542" max="3542" customWidth="1" bestFit="1" width="3.0" style="763"/>
    <col min="3543" max="3543" customWidth="1" bestFit="1" width="3.0" style="763"/>
    <col min="3544" max="3544" customWidth="1" bestFit="1" width="3.0" style="763"/>
    <col min="3545" max="3545" customWidth="1" bestFit="1" width="3.0" style="763"/>
    <col min="3546" max="3546" customWidth="1" bestFit="1" width="3.0" style="763"/>
    <col min="3547" max="3547" customWidth="1" bestFit="1" width="3.0" style="763"/>
    <col min="3548" max="3548" customWidth="1" bestFit="1" width="3.0" style="763"/>
    <col min="3549" max="3549" customWidth="1" bestFit="1" width="3.0" style="763"/>
    <col min="3550" max="3550" customWidth="1" bestFit="1" width="3.0" style="763"/>
    <col min="3551" max="3551" customWidth="1" bestFit="1" width="3.0" style="763"/>
    <col min="3552" max="3552" customWidth="1" bestFit="1" width="3.0" style="763"/>
    <col min="3553" max="3553" customWidth="1" bestFit="1" width="3.0" style="763"/>
    <col min="3554" max="3554" customWidth="1" bestFit="1" width="3.0" style="763"/>
    <col min="3555" max="3555" customWidth="1" bestFit="1" width="3.0" style="763"/>
    <col min="3556" max="3556" customWidth="1" bestFit="1" width="3.0" style="763"/>
    <col min="3557" max="3557" customWidth="1" bestFit="1" width="3.0" style="763"/>
    <col min="3558" max="3558" customWidth="1" bestFit="1" width="3.0" style="763"/>
    <col min="3559" max="3559" customWidth="1" bestFit="1" width="3.0" style="763"/>
    <col min="3560" max="3560" customWidth="1" bestFit="1" width="3.0" style="763"/>
    <col min="3561" max="3561" customWidth="1" bestFit="1" width="3.0" style="763"/>
    <col min="3562" max="3562" customWidth="1" bestFit="1" width="3.0" style="763"/>
    <col min="3563" max="3563" customWidth="1" bestFit="1" width="3.0" style="763"/>
    <col min="3564" max="3564" customWidth="1" bestFit="1" width="3.0" style="763"/>
    <col min="3565" max="3565" customWidth="1" bestFit="1" width="3.0" style="763"/>
    <col min="3566" max="3566" customWidth="1" bestFit="1" width="3.0" style="763"/>
    <col min="3567" max="3567" customWidth="1" bestFit="1" width="3.0" style="763"/>
    <col min="3568" max="3568" customWidth="1" bestFit="1" width="3.0" style="763"/>
    <col min="3569" max="3569" customWidth="1" bestFit="1" width="3.0" style="763"/>
    <col min="3570" max="3570" customWidth="1" bestFit="1" width="3.0" style="763"/>
    <col min="3571" max="3571" customWidth="1" bestFit="1" width="3.0" style="763"/>
    <col min="3572" max="3572" customWidth="1" bestFit="1" width="3.0" style="763"/>
    <col min="3573" max="3573" customWidth="1" bestFit="1" width="3.0" style="763"/>
    <col min="3574" max="3574" customWidth="1" bestFit="1" width="3.0" style="763"/>
    <col min="3575" max="3575" customWidth="1" bestFit="1" width="3.0" style="763"/>
    <col min="3576" max="3576" customWidth="1" bestFit="1" width="3.0" style="763"/>
    <col min="3577" max="3577" customWidth="1" bestFit="1" width="3.0" style="763"/>
    <col min="3578" max="3578" customWidth="1" bestFit="1" width="3.0" style="763"/>
    <col min="3579" max="3579" customWidth="1" bestFit="1" width="3.0" style="763"/>
    <col min="3580" max="3580" customWidth="1" bestFit="1" width="3.0" style="763"/>
    <col min="3581" max="3581" customWidth="1" bestFit="1" width="3.0" style="763"/>
    <col min="3582" max="3582" customWidth="1" bestFit="1" width="3.0" style="763"/>
    <col min="3583" max="3583" customWidth="1" bestFit="1" width="3.0" style="763"/>
    <col min="3584" max="3584" customWidth="1" bestFit="1" width="3.0" style="763"/>
    <col min="3585" max="3585" customWidth="1" bestFit="1" width="3.0" style="763"/>
    <col min="3586" max="3586" customWidth="1" bestFit="1" width="3.0" style="763"/>
    <col min="3587" max="3587" customWidth="1" bestFit="1" width="3.0" style="763"/>
    <col min="3588" max="3588" customWidth="1" bestFit="1" width="3.0" style="763"/>
    <col min="3589" max="3589" customWidth="1" bestFit="1" width="3.0" style="763"/>
    <col min="3590" max="3590" customWidth="1" bestFit="1" width="3.0" style="763"/>
    <col min="3591" max="3591" customWidth="1" bestFit="1" width="3.0" style="763"/>
    <col min="3592" max="3592" customWidth="1" bestFit="1" width="3.0" style="763"/>
    <col min="3593" max="3593" customWidth="1" bestFit="1" width="3.0" style="763"/>
    <col min="3594" max="3594" customWidth="1" bestFit="1" width="3.0" style="763"/>
    <col min="3595" max="3595" customWidth="1" bestFit="1" width="3.0" style="763"/>
    <col min="3596" max="3596" customWidth="1" bestFit="1" width="3.0" style="763"/>
    <col min="3597" max="3597" customWidth="1" bestFit="1" width="3.0" style="763"/>
    <col min="3598" max="3598" customWidth="1" bestFit="1" width="3.0" style="763"/>
    <col min="3599" max="3599" customWidth="1" bestFit="1" width="3.0" style="763"/>
    <col min="3600" max="3600" customWidth="1" bestFit="1" width="3.0" style="763"/>
    <col min="3601" max="3601" customWidth="1" bestFit="1" width="3.0" style="763"/>
    <col min="3602" max="3602" customWidth="1" bestFit="1" width="3.0" style="763"/>
    <col min="3603" max="3603" customWidth="1" bestFit="1" width="3.0" style="763"/>
    <col min="3604" max="3604" customWidth="1" bestFit="1" width="3.0" style="763"/>
    <col min="3605" max="3605" customWidth="1" bestFit="1" width="3.0" style="763"/>
    <col min="3606" max="3606" customWidth="1" bestFit="1" width="3.0" style="763"/>
    <col min="3607" max="3607" customWidth="1" bestFit="1" width="3.0" style="763"/>
    <col min="3608" max="3608" customWidth="1" bestFit="1" width="3.0" style="763"/>
    <col min="3609" max="3609" customWidth="1" bestFit="1" width="3.0" style="763"/>
    <col min="3610" max="3610" customWidth="1" bestFit="1" width="3.0" style="763"/>
    <col min="3611" max="3611" customWidth="1" bestFit="1" width="3.0" style="763"/>
    <col min="3612" max="3612" customWidth="1" bestFit="1" width="3.0" style="763"/>
    <col min="3613" max="3613" customWidth="1" bestFit="1" width="3.0" style="763"/>
    <col min="3614" max="3614" customWidth="1" bestFit="1" width="3.0" style="763"/>
    <col min="3615" max="3615" customWidth="1" bestFit="1" width="3.0" style="763"/>
    <col min="3616" max="3616" customWidth="1" bestFit="1" width="3.0" style="763"/>
    <col min="3617" max="3617" customWidth="1" bestFit="1" width="3.0" style="763"/>
    <col min="3618" max="3618" customWidth="1" bestFit="1" width="3.0" style="763"/>
    <col min="3619" max="3619" customWidth="1" bestFit="1" width="3.0" style="763"/>
    <col min="3620" max="3620" customWidth="1" bestFit="1" width="3.0" style="763"/>
    <col min="3621" max="3621" customWidth="1" bestFit="1" width="3.0" style="763"/>
    <col min="3622" max="3622" customWidth="1" bestFit="1" width="3.0" style="763"/>
    <col min="3623" max="3623" customWidth="1" bestFit="1" width="3.0" style="763"/>
    <col min="3624" max="3624" customWidth="1" bestFit="1" width="3.0" style="763"/>
    <col min="3625" max="3625" customWidth="1" bestFit="1" width="3.0" style="763"/>
    <col min="3626" max="3626" customWidth="1" bestFit="1" width="3.0" style="763"/>
    <col min="3627" max="3627" customWidth="1" bestFit="1" width="3.0" style="763"/>
    <col min="3628" max="3628" customWidth="1" bestFit="1" width="3.0" style="763"/>
    <col min="3629" max="3629" customWidth="1" bestFit="1" width="3.0" style="763"/>
    <col min="3630" max="3630" customWidth="1" bestFit="1" width="3.0" style="763"/>
    <col min="3631" max="3631" customWidth="1" bestFit="1" width="3.0" style="763"/>
    <col min="3632" max="3632" customWidth="1" bestFit="1" width="3.0" style="763"/>
    <col min="3633" max="3633" customWidth="1" bestFit="1" width="3.0" style="763"/>
    <col min="3634" max="3634" customWidth="1" bestFit="1" width="3.0" style="763"/>
    <col min="3635" max="3635" customWidth="1" bestFit="1" width="3.0" style="763"/>
    <col min="3636" max="3636" customWidth="1" bestFit="1" width="3.0" style="763"/>
    <col min="3637" max="3637" customWidth="1" bestFit="1" width="3.0" style="763"/>
    <col min="3638" max="3638" customWidth="1" bestFit="1" width="3.0" style="763"/>
    <col min="3639" max="3639" customWidth="1" bestFit="1" width="3.0" style="763"/>
    <col min="3640" max="3640" customWidth="1" bestFit="1" width="3.0" style="763"/>
    <col min="3641" max="3641" customWidth="1" bestFit="1" width="3.0" style="763"/>
    <col min="3642" max="3642" customWidth="1" bestFit="1" width="3.0" style="763"/>
    <col min="3643" max="3643" customWidth="1" bestFit="1" width="3.0" style="763"/>
    <col min="3644" max="3644" customWidth="1" bestFit="1" width="3.0" style="763"/>
    <col min="3645" max="3645" customWidth="1" bestFit="1" width="3.0" style="763"/>
    <col min="3646" max="3646" customWidth="1" bestFit="1" width="3.0" style="763"/>
    <col min="3647" max="3647" customWidth="1" bestFit="1" width="3.0" style="763"/>
    <col min="3648" max="3648" customWidth="1" bestFit="1" width="3.0" style="763"/>
    <col min="3649" max="3649" customWidth="1" bestFit="1" width="3.0" style="763"/>
    <col min="3650" max="3650" customWidth="1" bestFit="1" width="3.0" style="763"/>
    <col min="3651" max="3651" customWidth="1" bestFit="1" width="3.0" style="763"/>
    <col min="3652" max="3652" customWidth="1" bestFit="1" width="3.0" style="763"/>
    <col min="3653" max="3653" customWidth="1" bestFit="1" width="3.0" style="763"/>
    <col min="3654" max="3654" customWidth="1" bestFit="1" width="3.0" style="763"/>
    <col min="3655" max="3655" customWidth="1" bestFit="1" width="3.0" style="763"/>
    <col min="3656" max="3656" customWidth="1" bestFit="1" width="3.0" style="763"/>
    <col min="3657" max="3657" customWidth="1" bestFit="1" width="3.0" style="763"/>
    <col min="3658" max="3658" customWidth="1" bestFit="1" width="3.0" style="763"/>
    <col min="3659" max="3659" customWidth="1" bestFit="1" width="3.0" style="763"/>
    <col min="3660" max="3660" customWidth="1" bestFit="1" width="3.0" style="763"/>
    <col min="3661" max="3661" customWidth="1" bestFit="1" width="3.0" style="763"/>
    <col min="3662" max="3662" customWidth="1" bestFit="1" width="3.0" style="763"/>
    <col min="3663" max="3663" customWidth="1" bestFit="1" width="3.0" style="763"/>
    <col min="3664" max="3664" customWidth="1" bestFit="1" width="3.0" style="763"/>
    <col min="3665" max="3665" customWidth="1" bestFit="1" width="3.0" style="763"/>
    <col min="3666" max="3666" customWidth="1" bestFit="1" width="3.0" style="763"/>
    <col min="3667" max="3667" customWidth="1" bestFit="1" width="3.0" style="763"/>
    <col min="3668" max="3668" customWidth="1" bestFit="1" width="3.0" style="763"/>
    <col min="3669" max="3669" customWidth="1" bestFit="1" width="3.0" style="763"/>
    <col min="3670" max="3670" customWidth="1" bestFit="1" width="3.0" style="763"/>
    <col min="3671" max="3671" customWidth="1" bestFit="1" width="3.0" style="763"/>
    <col min="3672" max="3672" customWidth="1" bestFit="1" width="3.0" style="763"/>
    <col min="3673" max="3673" customWidth="1" bestFit="1" width="3.0" style="763"/>
    <col min="3674" max="3674" customWidth="1" bestFit="1" width="3.0" style="763"/>
    <col min="3675" max="3675" customWidth="1" bestFit="1" width="3.0" style="763"/>
    <col min="3676" max="3676" customWidth="1" bestFit="1" width="3.0" style="763"/>
    <col min="3677" max="3677" customWidth="1" bestFit="1" width="3.0" style="763"/>
    <col min="3678" max="3678" customWidth="1" bestFit="1" width="3.0" style="763"/>
    <col min="3679" max="3679" customWidth="1" bestFit="1" width="3.0" style="763"/>
    <col min="3680" max="3680" customWidth="1" bestFit="1" width="3.0" style="763"/>
    <col min="3681" max="3681" customWidth="1" bestFit="1" width="3.0" style="763"/>
    <col min="3682" max="3682" customWidth="1" bestFit="1" width="3.0" style="763"/>
    <col min="3683" max="3683" customWidth="1" bestFit="1" width="3.0" style="763"/>
    <col min="3684" max="3684" customWidth="1" bestFit="1" width="3.0" style="763"/>
    <col min="3685" max="3685" customWidth="1" bestFit="1" width="3.0" style="763"/>
    <col min="3686" max="3686" customWidth="1" bestFit="1" width="3.0" style="763"/>
    <col min="3687" max="3687" customWidth="1" bestFit="1" width="3.0" style="763"/>
    <col min="3688" max="3688" customWidth="1" bestFit="1" width="3.0" style="763"/>
    <col min="3689" max="3689" customWidth="1" bestFit="1" width="3.0" style="763"/>
    <col min="3690" max="3690" customWidth="1" bestFit="1" width="3.0" style="763"/>
    <col min="3691" max="3691" customWidth="1" bestFit="1" width="3.0" style="763"/>
    <col min="3692" max="3692" customWidth="1" bestFit="1" width="3.0" style="763"/>
    <col min="3693" max="3693" customWidth="1" bestFit="1" width="3.0" style="763"/>
    <col min="3694" max="3694" customWidth="1" bestFit="1" width="3.0" style="763"/>
    <col min="3695" max="3695" customWidth="1" bestFit="1" width="3.0" style="763"/>
    <col min="3696" max="3696" customWidth="1" bestFit="1" width="3.0" style="763"/>
    <col min="3697" max="3697" customWidth="1" bestFit="1" width="3.0" style="763"/>
    <col min="3698" max="3698" customWidth="1" bestFit="1" width="3.0" style="763"/>
    <col min="3699" max="3699" customWidth="1" bestFit="1" width="3.0" style="763"/>
    <col min="3700" max="3700" customWidth="1" bestFit="1" width="3.0" style="763"/>
    <col min="3701" max="3701" customWidth="1" bestFit="1" width="3.0" style="763"/>
    <col min="3702" max="3702" customWidth="1" bestFit="1" width="3.0" style="763"/>
    <col min="3703" max="3703" customWidth="1" bestFit="1" width="3.0" style="763"/>
    <col min="3704" max="3704" customWidth="1" bestFit="1" width="3.0" style="763"/>
    <col min="3705" max="3705" customWidth="1" bestFit="1" width="3.0" style="763"/>
    <col min="3706" max="3706" customWidth="1" bestFit="1" width="3.0" style="763"/>
    <col min="3707" max="3707" customWidth="1" bestFit="1" width="3.0" style="763"/>
    <col min="3708" max="3708" customWidth="1" bestFit="1" width="3.0" style="763"/>
    <col min="3709" max="3709" customWidth="1" bestFit="1" width="3.0" style="763"/>
    <col min="3710" max="3710" customWidth="1" bestFit="1" width="3.0" style="763"/>
    <col min="3711" max="3711" customWidth="1" bestFit="1" width="3.0" style="763"/>
    <col min="3712" max="3712" customWidth="1" bestFit="1" width="3.0" style="763"/>
    <col min="3713" max="3713" customWidth="1" bestFit="1" width="3.0" style="763"/>
    <col min="3714" max="3714" customWidth="1" bestFit="1" width="3.0" style="763"/>
    <col min="3715" max="3715" customWidth="1" bestFit="1" width="3.0" style="763"/>
    <col min="3716" max="3716" customWidth="1" bestFit="1" width="3.0" style="763"/>
    <col min="3717" max="3717" customWidth="1" bestFit="1" width="3.0" style="763"/>
    <col min="3718" max="3718" customWidth="1" bestFit="1" width="3.0" style="763"/>
    <col min="3719" max="3719" customWidth="1" bestFit="1" width="3.0" style="763"/>
    <col min="3720" max="3720" customWidth="1" bestFit="1" width="3.0" style="763"/>
    <col min="3721" max="3721" customWidth="1" bestFit="1" width="3.0" style="763"/>
    <col min="3722" max="3722" customWidth="1" bestFit="1" width="3.0" style="763"/>
    <col min="3723" max="3723" customWidth="1" bestFit="1" width="3.0" style="763"/>
    <col min="3724" max="3724" customWidth="1" bestFit="1" width="3.0" style="763"/>
    <col min="3725" max="3725" customWidth="1" bestFit="1" width="3.0" style="763"/>
    <col min="3726" max="3726" customWidth="1" bestFit="1" width="3.0" style="763"/>
    <col min="3727" max="3727" customWidth="1" bestFit="1" width="3.0" style="763"/>
    <col min="3728" max="3728" customWidth="1" bestFit="1" width="3.0" style="763"/>
    <col min="3729" max="3729" customWidth="1" bestFit="1" width="3.0" style="763"/>
    <col min="3730" max="3730" customWidth="1" bestFit="1" width="3.0" style="763"/>
    <col min="3731" max="3731" customWidth="1" bestFit="1" width="3.0" style="763"/>
    <col min="3732" max="3732" customWidth="1" bestFit="1" width="3.0" style="763"/>
    <col min="3733" max="3733" customWidth="1" bestFit="1" width="3.0" style="763"/>
    <col min="3734" max="3734" customWidth="1" bestFit="1" width="3.0" style="763"/>
    <col min="3735" max="3735" customWidth="1" bestFit="1" width="3.0" style="763"/>
    <col min="3736" max="3736" customWidth="1" bestFit="1" width="3.0" style="763"/>
    <col min="3737" max="3737" customWidth="1" bestFit="1" width="3.0" style="763"/>
    <col min="3738" max="3738" customWidth="1" bestFit="1" width="3.0" style="763"/>
    <col min="3739" max="3739" customWidth="1" bestFit="1" width="3.0" style="763"/>
    <col min="3740" max="3740" customWidth="1" bestFit="1" width="3.0" style="763"/>
    <col min="3741" max="3741" customWidth="1" bestFit="1" width="3.0" style="763"/>
    <col min="3742" max="3742" customWidth="1" bestFit="1" width="3.0" style="763"/>
    <col min="3743" max="3743" customWidth="1" bestFit="1" width="3.0" style="763"/>
    <col min="3744" max="3744" customWidth="1" bestFit="1" width="3.0" style="763"/>
    <col min="3745" max="3745" customWidth="1" bestFit="1" width="3.0" style="763"/>
    <col min="3746" max="3746" customWidth="1" bestFit="1" width="3.0" style="763"/>
    <col min="3747" max="3747" customWidth="1" bestFit="1" width="3.0" style="763"/>
    <col min="3748" max="3748" customWidth="1" bestFit="1" width="3.0" style="763"/>
    <col min="3749" max="3749" customWidth="1" bestFit="1" width="3.0" style="763"/>
    <col min="3750" max="3750" customWidth="1" bestFit="1" width="3.0" style="763"/>
    <col min="3751" max="3751" customWidth="1" bestFit="1" width="3.0" style="763"/>
    <col min="3752" max="3752" customWidth="1" bestFit="1" width="3.0" style="763"/>
    <col min="3753" max="3753" customWidth="1" bestFit="1" width="3.0" style="763"/>
    <col min="3754" max="3754" customWidth="1" bestFit="1" width="3.0" style="763"/>
    <col min="3755" max="3755" customWidth="1" bestFit="1" width="3.0" style="763"/>
    <col min="3756" max="3756" customWidth="1" bestFit="1" width="3.0" style="763"/>
    <col min="3757" max="3757" customWidth="1" bestFit="1" width="3.0" style="763"/>
    <col min="3758" max="3758" customWidth="1" bestFit="1" width="3.0" style="763"/>
    <col min="3759" max="3759" customWidth="1" bestFit="1" width="3.0" style="763"/>
    <col min="3760" max="3760" customWidth="1" bestFit="1" width="3.0" style="763"/>
    <col min="3761" max="3761" customWidth="1" bestFit="1" width="3.0" style="763"/>
    <col min="3762" max="3762" customWidth="1" bestFit="1" width="3.0" style="763"/>
    <col min="3763" max="3763" customWidth="1" bestFit="1" width="3.0" style="763"/>
    <col min="3764" max="3764" customWidth="1" bestFit="1" width="3.0" style="763"/>
    <col min="3765" max="3765" customWidth="1" bestFit="1" width="3.0" style="763"/>
    <col min="3766" max="3766" customWidth="1" bestFit="1" width="3.0" style="763"/>
    <col min="3767" max="3767" customWidth="1" bestFit="1" width="3.0" style="763"/>
    <col min="3768" max="3768" customWidth="1" bestFit="1" width="3.0" style="763"/>
    <col min="3769" max="3769" customWidth="1" bestFit="1" width="3.0" style="763"/>
    <col min="3770" max="3770" customWidth="1" bestFit="1" width="3.0" style="763"/>
    <col min="3771" max="3771" customWidth="1" bestFit="1" width="3.0" style="763"/>
    <col min="3772" max="3772" customWidth="1" bestFit="1" width="3.0" style="763"/>
    <col min="3773" max="3773" customWidth="1" bestFit="1" width="3.0" style="763"/>
    <col min="3774" max="3774" customWidth="1" bestFit="1" width="3.0" style="763"/>
    <col min="3775" max="3775" customWidth="1" bestFit="1" width="3.0" style="763"/>
    <col min="3776" max="3776" customWidth="1" bestFit="1" width="3.0" style="763"/>
    <col min="3777" max="3777" customWidth="1" bestFit="1" width="3.0" style="763"/>
    <col min="3778" max="3778" customWidth="1" bestFit="1" width="3.0" style="763"/>
    <col min="3779" max="3779" customWidth="1" bestFit="1" width="3.0" style="763"/>
    <col min="3780" max="3780" customWidth="1" bestFit="1" width="3.0" style="763"/>
    <col min="3781" max="3781" customWidth="1" bestFit="1" width="3.0" style="763"/>
    <col min="3782" max="3782" customWidth="1" bestFit="1" width="3.0" style="763"/>
    <col min="3783" max="3783" customWidth="1" bestFit="1" width="3.0" style="763"/>
    <col min="3784" max="3784" customWidth="1" bestFit="1" width="3.0" style="763"/>
    <col min="3785" max="3785" customWidth="1" bestFit="1" width="3.0" style="763"/>
    <col min="3786" max="3786" customWidth="1" bestFit="1" width="3.0" style="763"/>
    <col min="3787" max="3787" customWidth="1" bestFit="1" width="3.0" style="763"/>
    <col min="3788" max="3788" customWidth="1" bestFit="1" width="3.0" style="763"/>
    <col min="3789" max="3789" customWidth="1" bestFit="1" width="3.0" style="763"/>
    <col min="3790" max="3790" customWidth="1" bestFit="1" width="3.0" style="763"/>
    <col min="3791" max="3791" customWidth="1" bestFit="1" width="3.0" style="763"/>
    <col min="3792" max="3792" customWidth="1" bestFit="1" width="3.0" style="763"/>
    <col min="3793" max="3793" customWidth="1" bestFit="1" width="3.0" style="763"/>
    <col min="3794" max="3794" customWidth="1" bestFit="1" width="3.0" style="763"/>
    <col min="3795" max="3795" customWidth="1" bestFit="1" width="3.0" style="763"/>
    <col min="3796" max="3796" customWidth="1" bestFit="1" width="3.0" style="763"/>
    <col min="3797" max="3797" customWidth="1" bestFit="1" width="3.0" style="763"/>
    <col min="3798" max="3798" customWidth="1" bestFit="1" width="3.0" style="763"/>
    <col min="3799" max="3799" customWidth="1" bestFit="1" width="3.0" style="763"/>
    <col min="3800" max="3800" customWidth="1" bestFit="1" width="3.0" style="763"/>
    <col min="3801" max="3801" customWidth="1" bestFit="1" width="3.0" style="763"/>
    <col min="3802" max="3802" customWidth="1" bestFit="1" width="3.0" style="763"/>
    <col min="3803" max="3803" customWidth="1" bestFit="1" width="3.0" style="763"/>
    <col min="3804" max="3804" customWidth="1" bestFit="1" width="3.0" style="763"/>
    <col min="3805" max="3805" customWidth="1" bestFit="1" width="3.0" style="763"/>
    <col min="3806" max="3806" customWidth="1" bestFit="1" width="3.0" style="763"/>
    <col min="3807" max="3807" customWidth="1" bestFit="1" width="3.0" style="763"/>
    <col min="3808" max="3808" customWidth="1" bestFit="1" width="3.0" style="763"/>
    <col min="3809" max="3809" customWidth="1" bestFit="1" width="3.0" style="763"/>
    <col min="3810" max="3810" customWidth="1" bestFit="1" width="3.0" style="763"/>
    <col min="3811" max="3811" customWidth="1" bestFit="1" width="3.0" style="763"/>
    <col min="3812" max="3812" customWidth="1" bestFit="1" width="3.0" style="763"/>
    <col min="3813" max="3813" customWidth="1" bestFit="1" width="3.0" style="763"/>
    <col min="3814" max="3814" customWidth="1" bestFit="1" width="3.0" style="763"/>
    <col min="3815" max="3815" customWidth="1" bestFit="1" width="3.0" style="763"/>
    <col min="3816" max="3816" customWidth="1" bestFit="1" width="3.0" style="763"/>
    <col min="3817" max="3817" customWidth="1" bestFit="1" width="3.0" style="763"/>
    <col min="3818" max="3818" customWidth="1" bestFit="1" width="3.0" style="763"/>
    <col min="3819" max="3819" customWidth="1" bestFit="1" width="3.0" style="763"/>
    <col min="3820" max="3820" customWidth="1" bestFit="1" width="3.0" style="763"/>
    <col min="3821" max="3821" customWidth="1" bestFit="1" width="3.0" style="763"/>
    <col min="3822" max="3822" customWidth="1" bestFit="1" width="3.0" style="763"/>
    <col min="3823" max="3823" customWidth="1" bestFit="1" width="3.0" style="763"/>
    <col min="3824" max="3824" customWidth="1" bestFit="1" width="3.0" style="763"/>
    <col min="3825" max="3825" customWidth="1" bestFit="1" width="3.0" style="763"/>
    <col min="3826" max="3826" customWidth="1" bestFit="1" width="3.0" style="763"/>
    <col min="3827" max="3827" customWidth="1" bestFit="1" width="3.0" style="763"/>
    <col min="3828" max="3828" customWidth="1" bestFit="1" width="3.0" style="763"/>
    <col min="3829" max="3829" customWidth="1" bestFit="1" width="3.0" style="763"/>
    <col min="3830" max="3830" customWidth="1" bestFit="1" width="3.0" style="763"/>
    <col min="3831" max="3831" customWidth="1" bestFit="1" width="3.0" style="763"/>
    <col min="3832" max="3832" customWidth="1" bestFit="1" width="3.0" style="763"/>
    <col min="3833" max="3833" customWidth="1" bestFit="1" width="3.0" style="763"/>
    <col min="3834" max="3834" customWidth="1" bestFit="1" width="3.0" style="763"/>
    <col min="3835" max="3835" customWidth="1" bestFit="1" width="3.0" style="763"/>
    <col min="3836" max="3836" customWidth="1" bestFit="1" width="3.0" style="763"/>
    <col min="3837" max="3837" customWidth="1" bestFit="1" width="3.0" style="763"/>
    <col min="3838" max="3838" customWidth="1" bestFit="1" width="3.0" style="763"/>
    <col min="3839" max="3839" customWidth="1" bestFit="1" width="3.0" style="763"/>
    <col min="3840" max="3840" customWidth="1" bestFit="1" width="3.0" style="763"/>
    <col min="3841" max="3841" customWidth="1" bestFit="1" width="3.0" style="763"/>
    <col min="3842" max="3842" customWidth="1" bestFit="1" width="3.0" style="763"/>
    <col min="3843" max="3843" customWidth="1" bestFit="1" width="3.0" style="763"/>
    <col min="3844" max="3844" customWidth="1" bestFit="1" width="3.0" style="763"/>
    <col min="3845" max="3845" customWidth="1" bestFit="1" width="3.0" style="763"/>
    <col min="3846" max="3846" customWidth="1" bestFit="1" width="3.0" style="763"/>
    <col min="3847" max="3847" customWidth="1" bestFit="1" width="3.0" style="763"/>
    <col min="3848" max="3848" customWidth="1" bestFit="1" width="3.0" style="763"/>
    <col min="3849" max="3849" customWidth="1" bestFit="1" width="3.0" style="763"/>
    <col min="3850" max="3850" customWidth="1" bestFit="1" width="3.0" style="763"/>
    <col min="3851" max="3851" customWidth="1" bestFit="1" width="3.0" style="763"/>
    <col min="3852" max="3852" customWidth="1" bestFit="1" width="3.0" style="763"/>
    <col min="3853" max="3853" customWidth="1" bestFit="1" width="3.0" style="763"/>
    <col min="3854" max="3854" customWidth="1" bestFit="1" width="3.0" style="763"/>
    <col min="3855" max="3855" customWidth="1" bestFit="1" width="3.0" style="763"/>
    <col min="3856" max="3856" customWidth="1" bestFit="1" width="3.0" style="763"/>
    <col min="3857" max="3857" customWidth="1" bestFit="1" width="3.0" style="763"/>
    <col min="3858" max="3858" customWidth="1" bestFit="1" width="3.0" style="763"/>
    <col min="3859" max="3859" customWidth="1" bestFit="1" width="3.0" style="763"/>
    <col min="3860" max="3860" customWidth="1" bestFit="1" width="3.0" style="763"/>
    <col min="3861" max="3861" customWidth="1" bestFit="1" width="3.0" style="763"/>
    <col min="3862" max="3862" customWidth="1" bestFit="1" width="3.0" style="763"/>
    <col min="3863" max="3863" customWidth="1" bestFit="1" width="3.0" style="763"/>
    <col min="3864" max="3864" customWidth="1" bestFit="1" width="3.0" style="763"/>
    <col min="3865" max="3865" customWidth="1" bestFit="1" width="3.0" style="763"/>
    <col min="3866" max="3866" customWidth="1" bestFit="1" width="3.0" style="763"/>
    <col min="3867" max="3867" customWidth="1" bestFit="1" width="3.0" style="763"/>
    <col min="3868" max="3868" customWidth="1" bestFit="1" width="3.0" style="763"/>
    <col min="3869" max="3869" customWidth="1" bestFit="1" width="3.0" style="763"/>
    <col min="3870" max="3870" customWidth="1" bestFit="1" width="3.0" style="763"/>
    <col min="3871" max="3871" customWidth="1" bestFit="1" width="3.0" style="763"/>
    <col min="3872" max="3872" customWidth="1" bestFit="1" width="3.0" style="763"/>
    <col min="3873" max="3873" customWidth="1" bestFit="1" width="3.0" style="763"/>
    <col min="3874" max="3874" customWidth="1" bestFit="1" width="3.0" style="763"/>
    <col min="3875" max="3875" customWidth="1" bestFit="1" width="3.0" style="763"/>
    <col min="3876" max="3876" customWidth="1" bestFit="1" width="3.0" style="763"/>
    <col min="3877" max="3877" customWidth="1" bestFit="1" width="3.0" style="763"/>
    <col min="3878" max="3878" customWidth="1" bestFit="1" width="3.0" style="763"/>
    <col min="3879" max="3879" customWidth="1" bestFit="1" width="3.0" style="763"/>
    <col min="3880" max="3880" customWidth="1" bestFit="1" width="3.0" style="763"/>
    <col min="3881" max="3881" customWidth="1" bestFit="1" width="3.0" style="763"/>
    <col min="3882" max="3882" customWidth="1" bestFit="1" width="3.0" style="763"/>
    <col min="3883" max="3883" customWidth="1" bestFit="1" width="3.0" style="763"/>
    <col min="3884" max="3884" customWidth="1" bestFit="1" width="3.0" style="763"/>
    <col min="3885" max="3885" customWidth="1" bestFit="1" width="3.0" style="763"/>
    <col min="3886" max="3886" customWidth="1" bestFit="1" width="3.0" style="763"/>
    <col min="3887" max="3887" customWidth="1" bestFit="1" width="3.0" style="763"/>
    <col min="3888" max="3888" customWidth="1" bestFit="1" width="3.0" style="763"/>
    <col min="3889" max="3889" customWidth="1" bestFit="1" width="3.0" style="763"/>
    <col min="3890" max="3890" customWidth="1" bestFit="1" width="3.0" style="763"/>
    <col min="3891" max="3891" customWidth="1" bestFit="1" width="3.0" style="763"/>
    <col min="3892" max="3892" customWidth="1" bestFit="1" width="3.0" style="763"/>
    <col min="3893" max="3893" customWidth="1" bestFit="1" width="3.0" style="763"/>
    <col min="3894" max="3894" customWidth="1" bestFit="1" width="3.0" style="763"/>
    <col min="3895" max="3895" customWidth="1" bestFit="1" width="3.0" style="763"/>
    <col min="3896" max="3896" customWidth="1" bestFit="1" width="3.0" style="763"/>
    <col min="3897" max="3897" customWidth="1" bestFit="1" width="3.0" style="763"/>
    <col min="3898" max="3898" customWidth="1" bestFit="1" width="3.0" style="763"/>
    <col min="3899" max="3899" customWidth="1" bestFit="1" width="3.0" style="763"/>
    <col min="3900" max="3900" customWidth="1" bestFit="1" width="3.0" style="763"/>
    <col min="3901" max="3901" customWidth="1" bestFit="1" width="3.0" style="763"/>
    <col min="3902" max="3902" customWidth="1" bestFit="1" width="3.0" style="763"/>
    <col min="3903" max="3903" customWidth="1" bestFit="1" width="3.0" style="763"/>
    <col min="3904" max="3904" customWidth="1" bestFit="1" width="3.0" style="763"/>
    <col min="3905" max="3905" customWidth="1" bestFit="1" width="3.0" style="763"/>
    <col min="3906" max="3906" customWidth="1" bestFit="1" width="3.0" style="763"/>
    <col min="3907" max="3907" customWidth="1" bestFit="1" width="3.0" style="763"/>
    <col min="3908" max="3908" customWidth="1" bestFit="1" width="3.0" style="763"/>
    <col min="3909" max="3909" customWidth="1" bestFit="1" width="3.0" style="763"/>
    <col min="3910" max="3910" customWidth="1" bestFit="1" width="3.0" style="763"/>
    <col min="3911" max="3911" customWidth="1" bestFit="1" width="3.0" style="763"/>
    <col min="3912" max="3912" customWidth="1" bestFit="1" width="3.0" style="763"/>
    <col min="3913" max="3913" customWidth="1" bestFit="1" width="3.0" style="763"/>
    <col min="3914" max="3914" customWidth="1" bestFit="1" width="3.0" style="763"/>
    <col min="3915" max="3915" customWidth="1" bestFit="1" width="3.0" style="763"/>
    <col min="3916" max="3916" customWidth="1" bestFit="1" width="3.0" style="763"/>
    <col min="3917" max="3917" customWidth="1" bestFit="1" width="3.0" style="763"/>
    <col min="3918" max="3918" customWidth="1" bestFit="1" width="3.0" style="763"/>
    <col min="3919" max="3919" customWidth="1" bestFit="1" width="3.0" style="763"/>
    <col min="3920" max="3920" customWidth="1" bestFit="1" width="3.0" style="763"/>
    <col min="3921" max="3921" customWidth="1" bestFit="1" width="3.0" style="763"/>
    <col min="3922" max="3922" customWidth="1" bestFit="1" width="3.0" style="763"/>
    <col min="3923" max="3923" customWidth="1" bestFit="1" width="3.0" style="763"/>
    <col min="3924" max="3924" customWidth="1" bestFit="1" width="3.0" style="763"/>
    <col min="3925" max="3925" customWidth="1" bestFit="1" width="3.0" style="763"/>
    <col min="3926" max="3926" customWidth="1" bestFit="1" width="3.0" style="763"/>
    <col min="3927" max="3927" customWidth="1" bestFit="1" width="3.0" style="763"/>
    <col min="3928" max="3928" customWidth="1" bestFit="1" width="3.0" style="763"/>
    <col min="3929" max="3929" customWidth="1" bestFit="1" width="3.0" style="763"/>
    <col min="3930" max="3930" customWidth="1" bestFit="1" width="3.0" style="763"/>
    <col min="3931" max="3931" customWidth="1" bestFit="1" width="3.0" style="763"/>
    <col min="3932" max="3932" customWidth="1" bestFit="1" width="3.0" style="763"/>
    <col min="3933" max="3933" customWidth="1" bestFit="1" width="3.0" style="763"/>
    <col min="3934" max="3934" customWidth="1" bestFit="1" width="3.0" style="763"/>
    <col min="3935" max="3935" customWidth="1" bestFit="1" width="3.0" style="763"/>
    <col min="3936" max="3936" customWidth="1" bestFit="1" width="3.0" style="763"/>
    <col min="3937" max="3937" customWidth="1" bestFit="1" width="3.0" style="763"/>
    <col min="3938" max="3938" customWidth="1" bestFit="1" width="3.0" style="763"/>
    <col min="3939" max="3939" customWidth="1" bestFit="1" width="3.0" style="763"/>
    <col min="3940" max="3940" customWidth="1" bestFit="1" width="3.0" style="763"/>
    <col min="3941" max="3941" customWidth="1" bestFit="1" width="3.0" style="763"/>
    <col min="3942" max="3942" customWidth="1" bestFit="1" width="3.0" style="763"/>
    <col min="3943" max="3943" customWidth="1" bestFit="1" width="3.0" style="763"/>
    <col min="3944" max="3944" customWidth="1" bestFit="1" width="3.0" style="763"/>
    <col min="3945" max="3945" customWidth="1" bestFit="1" width="3.0" style="763"/>
    <col min="3946" max="3946" customWidth="1" bestFit="1" width="3.0" style="763"/>
    <col min="3947" max="3947" customWidth="1" bestFit="1" width="3.0" style="763"/>
    <col min="3948" max="3948" customWidth="1" bestFit="1" width="3.0" style="763"/>
    <col min="3949" max="3949" customWidth="1" bestFit="1" width="3.0" style="763"/>
    <col min="3950" max="3950" customWidth="1" bestFit="1" width="3.0" style="763"/>
    <col min="3951" max="3951" customWidth="1" bestFit="1" width="3.0" style="763"/>
    <col min="3952" max="3952" customWidth="1" bestFit="1" width="3.0" style="763"/>
    <col min="3953" max="3953" customWidth="1" bestFit="1" width="3.0" style="763"/>
    <col min="3954" max="3954" customWidth="1" bestFit="1" width="3.0" style="763"/>
    <col min="3955" max="3955" customWidth="1" bestFit="1" width="3.0" style="763"/>
    <col min="3956" max="3956" customWidth="1" bestFit="1" width="3.0" style="763"/>
    <col min="3957" max="3957" customWidth="1" bestFit="1" width="3.0" style="763"/>
    <col min="3958" max="3958" customWidth="1" bestFit="1" width="3.0" style="763"/>
    <col min="3959" max="3959" customWidth="1" bestFit="1" width="3.0" style="763"/>
    <col min="3960" max="3960" customWidth="1" bestFit="1" width="3.0" style="763"/>
    <col min="3961" max="3961" customWidth="1" bestFit="1" width="3.0" style="763"/>
    <col min="3962" max="3962" customWidth="1" bestFit="1" width="3.0" style="763"/>
    <col min="3963" max="3963" customWidth="1" bestFit="1" width="3.0" style="763"/>
    <col min="3964" max="3964" customWidth="1" bestFit="1" width="3.0" style="763"/>
    <col min="3965" max="3965" customWidth="1" bestFit="1" width="3.0" style="763"/>
    <col min="3966" max="3966" customWidth="1" bestFit="1" width="3.0" style="763"/>
    <col min="3967" max="3967" customWidth="1" bestFit="1" width="3.0" style="763"/>
    <col min="3968" max="3968" customWidth="1" bestFit="1" width="3.0" style="763"/>
    <col min="3969" max="3969" customWidth="1" bestFit="1" width="3.0" style="763"/>
    <col min="3970" max="3970" customWidth="1" bestFit="1" width="3.0" style="763"/>
    <col min="3971" max="3971" customWidth="1" bestFit="1" width="3.0" style="763"/>
    <col min="3972" max="3972" customWidth="1" bestFit="1" width="3.0" style="763"/>
    <col min="3973" max="3973" customWidth="1" bestFit="1" width="3.0" style="763"/>
    <col min="3974" max="3974" customWidth="1" bestFit="1" width="3.0" style="763"/>
    <col min="3975" max="3975" customWidth="1" bestFit="1" width="3.0" style="763"/>
    <col min="3976" max="3976" customWidth="1" bestFit="1" width="3.0" style="763"/>
    <col min="3977" max="3977" customWidth="1" bestFit="1" width="3.0" style="763"/>
    <col min="3978" max="3978" customWidth="1" bestFit="1" width="3.0" style="763"/>
    <col min="3979" max="3979" customWidth="1" bestFit="1" width="3.0" style="763"/>
    <col min="3980" max="3980" customWidth="1" bestFit="1" width="3.0" style="763"/>
    <col min="3981" max="3981" customWidth="1" bestFit="1" width="3.0" style="763"/>
    <col min="3982" max="3982" customWidth="1" bestFit="1" width="3.0" style="763"/>
    <col min="3983" max="3983" customWidth="1" bestFit="1" width="3.0" style="763"/>
    <col min="3984" max="3984" customWidth="1" bestFit="1" width="3.0" style="763"/>
    <col min="3985" max="3985" customWidth="1" bestFit="1" width="3.0" style="763"/>
    <col min="3986" max="3986" customWidth="1" bestFit="1" width="3.0" style="763"/>
    <col min="3987" max="3987" customWidth="1" bestFit="1" width="3.0" style="763"/>
    <col min="3988" max="3988" customWidth="1" bestFit="1" width="3.0" style="763"/>
    <col min="3989" max="3989" customWidth="1" bestFit="1" width="3.0" style="763"/>
    <col min="3990" max="3990" customWidth="1" bestFit="1" width="3.0" style="763"/>
    <col min="3991" max="3991" customWidth="1" bestFit="1" width="3.0" style="763"/>
    <col min="3992" max="3992" customWidth="1" bestFit="1" width="3.0" style="763"/>
    <col min="3993" max="3993" customWidth="1" bestFit="1" width="3.0" style="763"/>
    <col min="3994" max="3994" customWidth="1" bestFit="1" width="3.0" style="763"/>
    <col min="3995" max="3995" customWidth="1" bestFit="1" width="3.0" style="763"/>
    <col min="3996" max="3996" customWidth="1" bestFit="1" width="3.0" style="763"/>
    <col min="3997" max="3997" customWidth="1" bestFit="1" width="3.0" style="763"/>
    <col min="3998" max="3998" customWidth="1" bestFit="1" width="3.0" style="763"/>
    <col min="3999" max="3999" customWidth="1" bestFit="1" width="3.0" style="763"/>
    <col min="4000" max="4000" customWidth="1" bestFit="1" width="3.0" style="763"/>
    <col min="4001" max="4001" customWidth="1" bestFit="1" width="3.0" style="763"/>
    <col min="4002" max="4002" customWidth="1" bestFit="1" width="3.0" style="763"/>
    <col min="4003" max="4003" customWidth="1" bestFit="1" width="3.0" style="763"/>
    <col min="4004" max="4004" customWidth="1" bestFit="1" width="3.0" style="763"/>
    <col min="4005" max="4005" customWidth="1" bestFit="1" width="3.0" style="763"/>
    <col min="4006" max="4006" customWidth="1" bestFit="1" width="3.0" style="763"/>
    <col min="4007" max="4007" customWidth="1" bestFit="1" width="3.0" style="763"/>
    <col min="4008" max="4008" customWidth="1" bestFit="1" width="3.0" style="763"/>
    <col min="4009" max="4009" customWidth="1" bestFit="1" width="3.0" style="763"/>
    <col min="4010" max="4010" customWidth="1" bestFit="1" width="3.0" style="763"/>
    <col min="4011" max="4011" customWidth="1" bestFit="1" width="3.0" style="763"/>
    <col min="4012" max="4012" customWidth="1" bestFit="1" width="3.0" style="763"/>
    <col min="4013" max="4013" customWidth="1" bestFit="1" width="3.0" style="763"/>
    <col min="4014" max="4014" customWidth="1" bestFit="1" width="3.0" style="763"/>
    <col min="4015" max="4015" customWidth="1" bestFit="1" width="3.0" style="763"/>
    <col min="4016" max="4016" customWidth="1" bestFit="1" width="3.0" style="763"/>
    <col min="4017" max="4017" customWidth="1" bestFit="1" width="3.0" style="763"/>
    <col min="4018" max="4018" customWidth="1" bestFit="1" width="3.0" style="763"/>
    <col min="4019" max="4019" customWidth="1" bestFit="1" width="3.0" style="763"/>
    <col min="4020" max="4020" customWidth="1" bestFit="1" width="3.0" style="763"/>
    <col min="4021" max="4021" customWidth="1" bestFit="1" width="3.0" style="763"/>
    <col min="4022" max="4022" customWidth="1" bestFit="1" width="3.0" style="763"/>
    <col min="4023" max="4023" customWidth="1" bestFit="1" width="3.0" style="763"/>
    <col min="4024" max="4024" customWidth="1" bestFit="1" width="3.0" style="763"/>
    <col min="4025" max="4025" customWidth="1" bestFit="1" width="3.0" style="763"/>
    <col min="4026" max="4026" customWidth="1" bestFit="1" width="3.0" style="763"/>
    <col min="4027" max="4027" customWidth="1" bestFit="1" width="3.0" style="763"/>
    <col min="4028" max="4028" customWidth="1" bestFit="1" width="3.0" style="763"/>
    <col min="4029" max="4029" customWidth="1" bestFit="1" width="3.0" style="763"/>
    <col min="4030" max="4030" customWidth="1" bestFit="1" width="3.0" style="763"/>
    <col min="4031" max="4031" customWidth="1" bestFit="1" width="3.0" style="763"/>
    <col min="4032" max="4032" customWidth="1" bestFit="1" width="3.0" style="763"/>
    <col min="4033" max="4033" customWidth="1" bestFit="1" width="3.0" style="763"/>
    <col min="4034" max="4034" customWidth="1" bestFit="1" width="3.0" style="763"/>
    <col min="4035" max="4035" customWidth="1" bestFit="1" width="3.0" style="763"/>
    <col min="4036" max="4036" customWidth="1" bestFit="1" width="3.0" style="763"/>
    <col min="4037" max="4037" customWidth="1" bestFit="1" width="3.0" style="763"/>
    <col min="4038" max="4038" customWidth="1" bestFit="1" width="3.0" style="763"/>
    <col min="4039" max="4039" customWidth="1" bestFit="1" width="3.0" style="763"/>
    <col min="4040" max="4040" customWidth="1" bestFit="1" width="3.0" style="763"/>
    <col min="4041" max="4041" customWidth="1" bestFit="1" width="3.0" style="763"/>
    <col min="4042" max="4042" customWidth="1" bestFit="1" width="3.0" style="763"/>
    <col min="4043" max="4043" customWidth="1" bestFit="1" width="3.0" style="763"/>
    <col min="4044" max="4044" customWidth="1" bestFit="1" width="3.0" style="763"/>
    <col min="4045" max="4045" customWidth="1" bestFit="1" width="3.0" style="763"/>
    <col min="4046" max="4046" customWidth="1" bestFit="1" width="3.0" style="763"/>
    <col min="4047" max="4047" customWidth="1" bestFit="1" width="3.0" style="763"/>
    <col min="4048" max="4048" customWidth="1" bestFit="1" width="3.0" style="763"/>
    <col min="4049" max="4049" customWidth="1" bestFit="1" width="3.0" style="763"/>
    <col min="4050" max="4050" customWidth="1" bestFit="1" width="3.0" style="763"/>
    <col min="4051" max="4051" customWidth="1" bestFit="1" width="3.0" style="763"/>
    <col min="4052" max="4052" customWidth="1" bestFit="1" width="3.0" style="763"/>
    <col min="4053" max="4053" customWidth="1" bestFit="1" width="3.0" style="763"/>
    <col min="4054" max="4054" customWidth="1" bestFit="1" width="3.0" style="763"/>
    <col min="4055" max="4055" customWidth="1" bestFit="1" width="3.0" style="763"/>
    <col min="4056" max="4056" customWidth="1" bestFit="1" width="3.0" style="763"/>
    <col min="4057" max="4057" customWidth="1" bestFit="1" width="3.0" style="763"/>
    <col min="4058" max="4058" customWidth="1" bestFit="1" width="3.0" style="763"/>
    <col min="4059" max="4059" customWidth="1" bestFit="1" width="3.0" style="763"/>
    <col min="4060" max="4060" customWidth="1" bestFit="1" width="3.0" style="763"/>
    <col min="4061" max="4061" customWidth="1" bestFit="1" width="3.0" style="763"/>
    <col min="4062" max="4062" customWidth="1" bestFit="1" width="3.0" style="763"/>
    <col min="4063" max="4063" customWidth="1" bestFit="1" width="3.0" style="763"/>
    <col min="4064" max="4064" customWidth="1" bestFit="1" width="3.0" style="763"/>
    <col min="4065" max="4065" customWidth="1" bestFit="1" width="3.0" style="763"/>
    <col min="4066" max="4066" customWidth="1" bestFit="1" width="3.0" style="763"/>
    <col min="4067" max="4067" customWidth="1" bestFit="1" width="3.0" style="763"/>
    <col min="4068" max="4068" customWidth="1" bestFit="1" width="3.0" style="763"/>
    <col min="4069" max="4069" customWidth="1" bestFit="1" width="3.0" style="763"/>
    <col min="4070" max="4070" customWidth="1" bestFit="1" width="3.0" style="763"/>
    <col min="4071" max="4071" customWidth="1" bestFit="1" width="3.0" style="763"/>
    <col min="4072" max="4072" customWidth="1" bestFit="1" width="3.0" style="763"/>
    <col min="4073" max="4073" customWidth="1" bestFit="1" width="3.0" style="763"/>
    <col min="4074" max="4074" customWidth="1" bestFit="1" width="3.0" style="763"/>
    <col min="4075" max="4075" customWidth="1" bestFit="1" width="3.0" style="763"/>
    <col min="4076" max="4076" customWidth="1" bestFit="1" width="3.0" style="763"/>
    <col min="4077" max="4077" customWidth="1" bestFit="1" width="3.0" style="763"/>
    <col min="4078" max="4078" customWidth="1" bestFit="1" width="3.0" style="763"/>
    <col min="4079" max="4079" customWidth="1" bestFit="1" width="3.0" style="763"/>
    <col min="4080" max="4080" customWidth="1" bestFit="1" width="3.0" style="763"/>
    <col min="4081" max="4081" customWidth="1" bestFit="1" width="3.0" style="763"/>
    <col min="4082" max="4082" customWidth="1" bestFit="1" width="3.0" style="763"/>
    <col min="4083" max="4083" customWidth="1" bestFit="1" width="3.0" style="763"/>
    <col min="4084" max="4084" customWidth="1" bestFit="1" width="3.0" style="763"/>
    <col min="4085" max="4085" customWidth="1" bestFit="1" width="3.0" style="763"/>
    <col min="4086" max="4086" customWidth="1" bestFit="1" width="3.0" style="763"/>
    <col min="4087" max="4087" customWidth="1" bestFit="1" width="3.0" style="763"/>
    <col min="4088" max="4088" customWidth="1" bestFit="1" width="3.0" style="763"/>
    <col min="4089" max="4089" customWidth="1" bestFit="1" width="3.0" style="763"/>
    <col min="4090" max="4090" customWidth="1" bestFit="1" width="3.0" style="763"/>
    <col min="4091" max="4091" customWidth="1" bestFit="1" width="3.0" style="763"/>
    <col min="4092" max="4092" customWidth="1" bestFit="1" width="3.0" style="763"/>
    <col min="4093" max="4093" customWidth="1" bestFit="1" width="3.0" style="763"/>
    <col min="4094" max="4094" customWidth="1" bestFit="1" width="3.0" style="763"/>
    <col min="4095" max="4095" customWidth="1" bestFit="1" width="3.0" style="763"/>
    <col min="4096" max="4096" customWidth="1" bestFit="1" width="3.0" style="763"/>
    <col min="4097" max="4097" customWidth="1" bestFit="1" width="3.0" style="763"/>
    <col min="4098" max="4098" customWidth="1" bestFit="1" width="3.0" style="763"/>
    <col min="4099" max="4099" customWidth="1" bestFit="1" width="3.0" style="763"/>
    <col min="4100" max="4100" customWidth="1" bestFit="1" width="3.0" style="763"/>
    <col min="4101" max="4101" customWidth="1" bestFit="1" width="3.0" style="763"/>
    <col min="4102" max="4102" customWidth="1" bestFit="1" width="3.0" style="763"/>
    <col min="4103" max="4103" customWidth="1" bestFit="1" width="3.0" style="763"/>
    <col min="4104" max="4104" customWidth="1" bestFit="1" width="3.0" style="763"/>
    <col min="4105" max="4105" customWidth="1" bestFit="1" width="3.0" style="763"/>
    <col min="4106" max="4106" customWidth="1" bestFit="1" width="3.0" style="763"/>
    <col min="4107" max="4107" customWidth="1" bestFit="1" width="3.0" style="763"/>
    <col min="4108" max="4108" customWidth="1" bestFit="1" width="3.0" style="763"/>
    <col min="4109" max="4109" customWidth="1" bestFit="1" width="3.0" style="763"/>
    <col min="4110" max="4110" customWidth="1" bestFit="1" width="3.0" style="763"/>
    <col min="4111" max="4111" customWidth="1" bestFit="1" width="3.0" style="763"/>
    <col min="4112" max="4112" customWidth="1" bestFit="1" width="3.0" style="763"/>
    <col min="4113" max="4113" customWidth="1" bestFit="1" width="3.0" style="763"/>
    <col min="4114" max="4114" customWidth="1" bestFit="1" width="3.0" style="763"/>
    <col min="4115" max="4115" customWidth="1" bestFit="1" width="3.0" style="763"/>
    <col min="4116" max="4116" customWidth="1" bestFit="1" width="3.0" style="763"/>
    <col min="4117" max="4117" customWidth="1" bestFit="1" width="3.0" style="763"/>
    <col min="4118" max="4118" customWidth="1" bestFit="1" width="3.0" style="763"/>
    <col min="4119" max="4119" customWidth="1" bestFit="1" width="3.0" style="763"/>
    <col min="4120" max="4120" customWidth="1" bestFit="1" width="3.0" style="763"/>
    <col min="4121" max="4121" customWidth="1" bestFit="1" width="3.0" style="763"/>
    <col min="4122" max="4122" customWidth="1" bestFit="1" width="3.0" style="763"/>
    <col min="4123" max="4123" customWidth="1" bestFit="1" width="3.0" style="763"/>
    <col min="4124" max="4124" customWidth="1" bestFit="1" width="3.0" style="763"/>
    <col min="4125" max="4125" customWidth="1" bestFit="1" width="3.0" style="763"/>
    <col min="4126" max="4126" customWidth="1" bestFit="1" width="3.0" style="763"/>
    <col min="4127" max="4127" customWidth="1" bestFit="1" width="3.0" style="763"/>
    <col min="4128" max="4128" customWidth="1" bestFit="1" width="3.0" style="763"/>
    <col min="4129" max="4129" customWidth="1" bestFit="1" width="3.0" style="763"/>
    <col min="4130" max="4130" customWidth="1" bestFit="1" width="3.0" style="763"/>
    <col min="4131" max="4131" customWidth="1" bestFit="1" width="3.0" style="763"/>
    <col min="4132" max="4132" customWidth="1" bestFit="1" width="3.0" style="763"/>
    <col min="4133" max="4133" customWidth="1" bestFit="1" width="3.0" style="763"/>
    <col min="4134" max="4134" customWidth="1" bestFit="1" width="3.0" style="763"/>
    <col min="4135" max="4135" customWidth="1" bestFit="1" width="3.0" style="763"/>
    <col min="4136" max="4136" customWidth="1" bestFit="1" width="3.0" style="763"/>
    <col min="4137" max="4137" customWidth="1" bestFit="1" width="3.0" style="763"/>
    <col min="4138" max="4138" customWidth="1" bestFit="1" width="3.0" style="763"/>
    <col min="4139" max="4139" customWidth="1" bestFit="1" width="3.0" style="763"/>
    <col min="4140" max="4140" customWidth="1" bestFit="1" width="3.0" style="763"/>
    <col min="4141" max="4141" customWidth="1" bestFit="1" width="3.0" style="763"/>
    <col min="4142" max="4142" customWidth="1" bestFit="1" width="3.0" style="763"/>
    <col min="4143" max="4143" customWidth="1" bestFit="1" width="3.0" style="763"/>
    <col min="4144" max="4144" customWidth="1" bestFit="1" width="3.0" style="763"/>
    <col min="4145" max="4145" customWidth="1" bestFit="1" width="3.0" style="763"/>
    <col min="4146" max="4146" customWidth="1" bestFit="1" width="3.0" style="763"/>
    <col min="4147" max="4147" customWidth="1" bestFit="1" width="3.0" style="763"/>
    <col min="4148" max="4148" customWidth="1" bestFit="1" width="3.0" style="763"/>
    <col min="4149" max="4149" customWidth="1" bestFit="1" width="3.0" style="763"/>
    <col min="4150" max="4150" customWidth="1" bestFit="1" width="3.0" style="763"/>
    <col min="4151" max="4151" customWidth="1" bestFit="1" width="3.0" style="763"/>
    <col min="4152" max="4152" customWidth="1" bestFit="1" width="3.0" style="763"/>
    <col min="4153" max="4153" customWidth="1" bestFit="1" width="3.0" style="763"/>
    <col min="4154" max="4154" customWidth="1" bestFit="1" width="3.0" style="763"/>
    <col min="4155" max="4155" customWidth="1" bestFit="1" width="3.0" style="763"/>
    <col min="4156" max="4156" customWidth="1" bestFit="1" width="3.0" style="763"/>
    <col min="4157" max="4157" customWidth="1" bestFit="1" width="3.0" style="763"/>
    <col min="4158" max="4158" customWidth="1" bestFit="1" width="3.0" style="763"/>
    <col min="4159" max="4159" customWidth="1" bestFit="1" width="3.0" style="763"/>
    <col min="4160" max="4160" customWidth="1" bestFit="1" width="3.0" style="763"/>
    <col min="4161" max="4161" customWidth="1" bestFit="1" width="3.0" style="763"/>
    <col min="4162" max="4162" customWidth="1" bestFit="1" width="3.0" style="763"/>
    <col min="4163" max="4163" customWidth="1" bestFit="1" width="3.0" style="763"/>
    <col min="4164" max="4164" customWidth="1" bestFit="1" width="3.0" style="763"/>
    <col min="4165" max="4165" customWidth="1" bestFit="1" width="3.0" style="763"/>
    <col min="4166" max="4166" customWidth="1" bestFit="1" width="3.0" style="763"/>
    <col min="4167" max="4167" customWidth="1" bestFit="1" width="3.0" style="763"/>
    <col min="4168" max="4168" customWidth="1" bestFit="1" width="3.0" style="763"/>
    <col min="4169" max="4169" customWidth="1" bestFit="1" width="3.0" style="763"/>
    <col min="4170" max="4170" customWidth="1" bestFit="1" width="3.0" style="763"/>
    <col min="4171" max="4171" customWidth="1" bestFit="1" width="3.0" style="763"/>
    <col min="4172" max="4172" customWidth="1" bestFit="1" width="3.0" style="763"/>
    <col min="4173" max="4173" customWidth="1" bestFit="1" width="3.0" style="763"/>
    <col min="4174" max="4174" customWidth="1" bestFit="1" width="3.0" style="763"/>
    <col min="4175" max="4175" customWidth="1" bestFit="1" width="3.0" style="763"/>
    <col min="4176" max="4176" customWidth="1" bestFit="1" width="3.0" style="763"/>
    <col min="4177" max="4177" customWidth="1" bestFit="1" width="3.0" style="763"/>
    <col min="4178" max="4178" customWidth="1" bestFit="1" width="3.0" style="763"/>
    <col min="4179" max="4179" customWidth="1" bestFit="1" width="3.0" style="763"/>
    <col min="4180" max="4180" customWidth="1" bestFit="1" width="3.0" style="763"/>
    <col min="4181" max="4181" customWidth="1" bestFit="1" width="3.0" style="763"/>
    <col min="4182" max="4182" customWidth="1" bestFit="1" width="3.0" style="763"/>
    <col min="4183" max="4183" customWidth="1" bestFit="1" width="3.0" style="763"/>
    <col min="4184" max="4184" customWidth="1" bestFit="1" width="3.0" style="763"/>
    <col min="4185" max="4185" customWidth="1" bestFit="1" width="3.0" style="763"/>
    <col min="4186" max="4186" customWidth="1" bestFit="1" width="3.0" style="763"/>
    <col min="4187" max="4187" customWidth="1" bestFit="1" width="3.0" style="763"/>
    <col min="4188" max="4188" customWidth="1" bestFit="1" width="3.0" style="763"/>
    <col min="4189" max="4189" customWidth="1" bestFit="1" width="3.0" style="763"/>
    <col min="4190" max="4190" customWidth="1" bestFit="1" width="3.0" style="763"/>
    <col min="4191" max="4191" customWidth="1" bestFit="1" width="3.0" style="763"/>
    <col min="4192" max="4192" customWidth="1" bestFit="1" width="3.0" style="763"/>
    <col min="4193" max="4193" customWidth="1" bestFit="1" width="3.0" style="763"/>
    <col min="4194" max="4194" customWidth="1" bestFit="1" width="3.0" style="763"/>
    <col min="4195" max="4195" customWidth="1" bestFit="1" width="3.0" style="763"/>
    <col min="4196" max="4196" customWidth="1" bestFit="1" width="3.0" style="763"/>
    <col min="4197" max="4197" customWidth="1" bestFit="1" width="3.0" style="763"/>
    <col min="4198" max="4198" customWidth="1" bestFit="1" width="3.0" style="763"/>
    <col min="4199" max="4199" customWidth="1" bestFit="1" width="3.0" style="763"/>
    <col min="4200" max="4200" customWidth="1" bestFit="1" width="3.0" style="763"/>
    <col min="4201" max="4201" customWidth="1" bestFit="1" width="3.0" style="763"/>
    <col min="4202" max="4202" customWidth="1" bestFit="1" width="3.0" style="763"/>
    <col min="4203" max="4203" customWidth="1" bestFit="1" width="3.0" style="763"/>
    <col min="4204" max="4204" customWidth="1" bestFit="1" width="3.0" style="763"/>
    <col min="4205" max="4205" customWidth="1" bestFit="1" width="3.0" style="763"/>
    <col min="4206" max="4206" customWidth="1" bestFit="1" width="3.0" style="763"/>
    <col min="4207" max="4207" customWidth="1" bestFit="1" width="3.0" style="763"/>
    <col min="4208" max="4208" customWidth="1" bestFit="1" width="3.0" style="763"/>
    <col min="4209" max="4209" customWidth="1" bestFit="1" width="3.0" style="763"/>
    <col min="4210" max="4210" customWidth="1" bestFit="1" width="3.0" style="763"/>
    <col min="4211" max="4211" customWidth="1" bestFit="1" width="3.0" style="763"/>
    <col min="4212" max="4212" customWidth="1" bestFit="1" width="3.0" style="763"/>
    <col min="4213" max="4213" customWidth="1" bestFit="1" width="3.0" style="763"/>
    <col min="4214" max="4214" customWidth="1" bestFit="1" width="3.0" style="763"/>
    <col min="4215" max="4215" customWidth="1" bestFit="1" width="3.0" style="763"/>
    <col min="4216" max="4216" customWidth="1" bestFit="1" width="3.0" style="763"/>
    <col min="4217" max="4217" customWidth="1" bestFit="1" width="3.0" style="763"/>
    <col min="4218" max="4218" customWidth="1" bestFit="1" width="3.0" style="763"/>
    <col min="4219" max="4219" customWidth="1" bestFit="1" width="3.0" style="763"/>
    <col min="4220" max="4220" customWidth="1" bestFit="1" width="3.0" style="763"/>
    <col min="4221" max="4221" customWidth="1" bestFit="1" width="3.0" style="763"/>
    <col min="4222" max="4222" customWidth="1" bestFit="1" width="3.0" style="763"/>
    <col min="4223" max="4223" customWidth="1" bestFit="1" width="3.0" style="763"/>
    <col min="4224" max="4224" customWidth="1" bestFit="1" width="3.0" style="763"/>
    <col min="4225" max="4225" customWidth="1" bestFit="1" width="3.0" style="763"/>
    <col min="4226" max="4226" customWidth="1" bestFit="1" width="3.0" style="763"/>
    <col min="4227" max="4227" customWidth="1" bestFit="1" width="3.0" style="763"/>
    <col min="4228" max="4228" customWidth="1" bestFit="1" width="3.0" style="763"/>
    <col min="4229" max="4229" customWidth="1" bestFit="1" width="3.0" style="763"/>
    <col min="4230" max="4230" customWidth="1" bestFit="1" width="3.0" style="763"/>
    <col min="4231" max="4231" customWidth="1" bestFit="1" width="3.0" style="763"/>
    <col min="4232" max="4232" customWidth="1" bestFit="1" width="3.0" style="763"/>
    <col min="4233" max="4233" customWidth="1" bestFit="1" width="3.0" style="763"/>
    <col min="4234" max="4234" customWidth="1" bestFit="1" width="3.0" style="763"/>
    <col min="4235" max="4235" customWidth="1" bestFit="1" width="3.0" style="763"/>
    <col min="4236" max="4236" customWidth="1" bestFit="1" width="3.0" style="763"/>
    <col min="4237" max="4237" customWidth="1" bestFit="1" width="3.0" style="763"/>
    <col min="4238" max="4238" customWidth="1" bestFit="1" width="3.0" style="763"/>
    <col min="4239" max="4239" customWidth="1" bestFit="1" width="3.0" style="763"/>
    <col min="4240" max="4240" customWidth="1" bestFit="1" width="3.0" style="763"/>
    <col min="4241" max="4241" customWidth="1" bestFit="1" width="3.0" style="763"/>
    <col min="4242" max="4242" customWidth="1" bestFit="1" width="3.0" style="763"/>
    <col min="4243" max="4243" customWidth="1" bestFit="1" width="3.0" style="763"/>
    <col min="4244" max="4244" customWidth="1" bestFit="1" width="3.0" style="763"/>
    <col min="4245" max="4245" customWidth="1" bestFit="1" width="3.0" style="763"/>
    <col min="4246" max="4246" customWidth="1" bestFit="1" width="3.0" style="763"/>
    <col min="4247" max="4247" customWidth="1" bestFit="1" width="3.0" style="763"/>
    <col min="4248" max="4248" customWidth="1" bestFit="1" width="3.0" style="763"/>
    <col min="4249" max="4249" customWidth="1" bestFit="1" width="3.0" style="763"/>
    <col min="4250" max="4250" customWidth="1" bestFit="1" width="3.0" style="763"/>
    <col min="4251" max="4251" customWidth="1" bestFit="1" width="3.0" style="763"/>
    <col min="4252" max="4252" customWidth="1" bestFit="1" width="3.0" style="763"/>
    <col min="4253" max="4253" customWidth="1" bestFit="1" width="3.0" style="763"/>
    <col min="4254" max="4254" customWidth="1" bestFit="1" width="3.0" style="763"/>
    <col min="4255" max="4255" customWidth="1" bestFit="1" width="3.0" style="763"/>
    <col min="4256" max="4256" customWidth="1" bestFit="1" width="3.0" style="763"/>
    <col min="4257" max="4257" customWidth="1" bestFit="1" width="3.0" style="763"/>
    <col min="4258" max="4258" customWidth="1" bestFit="1" width="3.0" style="763"/>
    <col min="4259" max="4259" customWidth="1" bestFit="1" width="3.0" style="763"/>
    <col min="4260" max="4260" customWidth="1" bestFit="1" width="3.0" style="763"/>
    <col min="4261" max="4261" customWidth="1" bestFit="1" width="3.0" style="763"/>
    <col min="4262" max="4262" customWidth="1" bestFit="1" width="3.0" style="763"/>
    <col min="4263" max="4263" customWidth="1" bestFit="1" width="3.0" style="763"/>
    <col min="4264" max="4264" customWidth="1" bestFit="1" width="3.0" style="763"/>
    <col min="4265" max="4265" customWidth="1" bestFit="1" width="3.0" style="763"/>
    <col min="4266" max="4266" customWidth="1" bestFit="1" width="3.0" style="763"/>
    <col min="4267" max="4267" customWidth="1" bestFit="1" width="3.0" style="763"/>
    <col min="4268" max="4268" customWidth="1" bestFit="1" width="3.0" style="763"/>
    <col min="4269" max="4269" customWidth="1" bestFit="1" width="3.0" style="763"/>
    <col min="4270" max="4270" customWidth="1" bestFit="1" width="3.0" style="763"/>
    <col min="4271" max="4271" customWidth="1" bestFit="1" width="3.0" style="763"/>
    <col min="4272" max="4272" customWidth="1" bestFit="1" width="3.0" style="763"/>
    <col min="4273" max="4273" customWidth="1" bestFit="1" width="3.0" style="763"/>
    <col min="4274" max="4274" customWidth="1" bestFit="1" width="3.0" style="763"/>
    <col min="4275" max="4275" customWidth="1" bestFit="1" width="3.0" style="763"/>
    <col min="4276" max="4276" customWidth="1" bestFit="1" width="3.0" style="763"/>
    <col min="4277" max="4277" customWidth="1" bestFit="1" width="3.0" style="763"/>
    <col min="4278" max="4278" customWidth="1" bestFit="1" width="3.0" style="763"/>
    <col min="4279" max="4279" customWidth="1" bestFit="1" width="3.0" style="763"/>
    <col min="4280" max="4280" customWidth="1" bestFit="1" width="3.0" style="763"/>
    <col min="4281" max="4281" customWidth="1" bestFit="1" width="3.0" style="763"/>
    <col min="4282" max="4282" customWidth="1" bestFit="1" width="3.0" style="763"/>
    <col min="4283" max="4283" customWidth="1" bestFit="1" width="3.0" style="763"/>
    <col min="4284" max="4284" customWidth="1" bestFit="1" width="3.0" style="763"/>
    <col min="4285" max="4285" customWidth="1" bestFit="1" width="3.0" style="763"/>
    <col min="4286" max="4286" customWidth="1" bestFit="1" width="3.0" style="763"/>
    <col min="4287" max="4287" customWidth="1" bestFit="1" width="3.0" style="763"/>
    <col min="4288" max="4288" customWidth="1" bestFit="1" width="3.0" style="763"/>
    <col min="4289" max="4289" customWidth="1" bestFit="1" width="3.0" style="763"/>
    <col min="4290" max="4290" customWidth="1" bestFit="1" width="3.0" style="763"/>
    <col min="4291" max="4291" customWidth="1" bestFit="1" width="3.0" style="763"/>
    <col min="4292" max="4292" customWidth="1" bestFit="1" width="3.0" style="763"/>
    <col min="4293" max="4293" customWidth="1" bestFit="1" width="3.0" style="763"/>
    <col min="4294" max="4294" customWidth="1" bestFit="1" width="3.0" style="763"/>
    <col min="4295" max="4295" customWidth="1" bestFit="1" width="3.0" style="763"/>
    <col min="4296" max="4296" customWidth="1" bestFit="1" width="3.0" style="763"/>
    <col min="4297" max="4297" customWidth="1" bestFit="1" width="3.0" style="763"/>
    <col min="4298" max="4298" customWidth="1" bestFit="1" width="3.0" style="763"/>
    <col min="4299" max="4299" customWidth="1" bestFit="1" width="3.0" style="763"/>
    <col min="4300" max="4300" customWidth="1" bestFit="1" width="3.0" style="763"/>
    <col min="4301" max="4301" customWidth="1" bestFit="1" width="3.0" style="763"/>
    <col min="4302" max="4302" customWidth="1" bestFit="1" width="3.0" style="763"/>
    <col min="4303" max="4303" customWidth="1" bestFit="1" width="3.0" style="763"/>
    <col min="4304" max="4304" customWidth="1" bestFit="1" width="3.0" style="763"/>
    <col min="4305" max="4305" customWidth="1" bestFit="1" width="3.0" style="763"/>
    <col min="4306" max="4306" customWidth="1" bestFit="1" width="3.0" style="763"/>
    <col min="4307" max="4307" customWidth="1" bestFit="1" width="3.0" style="763"/>
    <col min="4308" max="4308" customWidth="1" bestFit="1" width="3.0" style="763"/>
    <col min="4309" max="4309" customWidth="1" bestFit="1" width="3.0" style="763"/>
    <col min="4310" max="4310" customWidth="1" bestFit="1" width="3.0" style="763"/>
    <col min="4311" max="4311" customWidth="1" bestFit="1" width="3.0" style="763"/>
    <col min="4312" max="4312" customWidth="1" bestFit="1" width="3.0" style="763"/>
    <col min="4313" max="4313" customWidth="1" bestFit="1" width="3.0" style="763"/>
    <col min="4314" max="4314" customWidth="1" bestFit="1" width="3.0" style="763"/>
    <col min="4315" max="4315" customWidth="1" bestFit="1" width="3.0" style="763"/>
    <col min="4316" max="4316" customWidth="1" bestFit="1" width="3.0" style="763"/>
    <col min="4317" max="4317" customWidth="1" bestFit="1" width="3.0" style="763"/>
    <col min="4318" max="4318" customWidth="1" bestFit="1" width="3.0" style="763"/>
    <col min="4319" max="4319" customWidth="1" bestFit="1" width="3.0" style="763"/>
    <col min="4320" max="4320" customWidth="1" bestFit="1" width="3.0" style="763"/>
    <col min="4321" max="4321" customWidth="1" bestFit="1" width="3.0" style="763"/>
    <col min="4322" max="4322" customWidth="1" bestFit="1" width="3.0" style="763"/>
    <col min="4323" max="4323" customWidth="1" bestFit="1" width="3.0" style="763"/>
    <col min="4324" max="4324" customWidth="1" bestFit="1" width="3.0" style="763"/>
    <col min="4325" max="4325" customWidth="1" bestFit="1" width="3.0" style="763"/>
    <col min="4326" max="4326" customWidth="1" bestFit="1" width="3.0" style="763"/>
    <col min="4327" max="4327" customWidth="1" bestFit="1" width="3.0" style="763"/>
    <col min="4328" max="4328" customWidth="1" bestFit="1" width="3.0" style="763"/>
    <col min="4329" max="4329" customWidth="1" bestFit="1" width="3.0" style="763"/>
    <col min="4330" max="4330" customWidth="1" bestFit="1" width="3.0" style="763"/>
    <col min="4331" max="4331" customWidth="1" bestFit="1" width="3.0" style="763"/>
    <col min="4332" max="4332" customWidth="1" bestFit="1" width="3.0" style="763"/>
    <col min="4333" max="4333" customWidth="1" bestFit="1" width="3.0" style="763"/>
    <col min="4334" max="4334" customWidth="1" bestFit="1" width="3.0" style="763"/>
    <col min="4335" max="4335" customWidth="1" bestFit="1" width="3.0" style="763"/>
    <col min="4336" max="4336" customWidth="1" bestFit="1" width="3.0" style="763"/>
    <col min="4337" max="4337" customWidth="1" bestFit="1" width="3.0" style="763"/>
    <col min="4338" max="4338" customWidth="1" bestFit="1" width="3.0" style="763"/>
    <col min="4339" max="4339" customWidth="1" bestFit="1" width="3.0" style="763"/>
    <col min="4340" max="4340" customWidth="1" bestFit="1" width="3.0" style="763"/>
    <col min="4341" max="4341" customWidth="1" bestFit="1" width="3.0" style="763"/>
    <col min="4342" max="4342" customWidth="1" bestFit="1" width="3.0" style="763"/>
    <col min="4343" max="4343" customWidth="1" bestFit="1" width="3.0" style="763"/>
    <col min="4344" max="4344" customWidth="1" bestFit="1" width="3.0" style="763"/>
    <col min="4345" max="4345" customWidth="1" bestFit="1" width="3.0" style="763"/>
    <col min="4346" max="4346" customWidth="1" bestFit="1" width="3.0" style="763"/>
    <col min="4347" max="4347" customWidth="1" bestFit="1" width="3.0" style="763"/>
    <col min="4348" max="4348" customWidth="1" bestFit="1" width="3.0" style="763"/>
    <col min="4349" max="4349" customWidth="1" bestFit="1" width="3.0" style="763"/>
    <col min="4350" max="4350" customWidth="1" bestFit="1" width="3.0" style="763"/>
    <col min="4351" max="4351" customWidth="1" bestFit="1" width="3.0" style="763"/>
    <col min="4352" max="4352" customWidth="1" bestFit="1" width="3.0" style="763"/>
    <col min="4353" max="4353" customWidth="1" bestFit="1" width="3.0" style="763"/>
    <col min="4354" max="4354" customWidth="1" bestFit="1" width="3.0" style="763"/>
    <col min="4355" max="4355" customWidth="1" bestFit="1" width="3.0" style="763"/>
    <col min="4356" max="4356" customWidth="1" bestFit="1" width="3.0" style="763"/>
    <col min="4357" max="4357" customWidth="1" bestFit="1" width="3.0" style="763"/>
    <col min="4358" max="4358" customWidth="1" bestFit="1" width="3.0" style="763"/>
    <col min="4359" max="4359" customWidth="1" bestFit="1" width="3.0" style="763"/>
    <col min="4360" max="4360" customWidth="1" bestFit="1" width="3.0" style="763"/>
    <col min="4361" max="4361" customWidth="1" bestFit="1" width="3.0" style="763"/>
    <col min="4362" max="4362" customWidth="1" bestFit="1" width="3.0" style="763"/>
    <col min="4363" max="4363" customWidth="1" bestFit="1" width="3.0" style="763"/>
    <col min="4364" max="4364" customWidth="1" bestFit="1" width="3.0" style="763"/>
    <col min="4365" max="4365" customWidth="1" bestFit="1" width="3.0" style="763"/>
    <col min="4366" max="4366" customWidth="1" bestFit="1" width="3.0" style="763"/>
    <col min="4367" max="4367" customWidth="1" bestFit="1" width="3.0" style="763"/>
    <col min="4368" max="4368" customWidth="1" bestFit="1" width="3.0" style="763"/>
    <col min="4369" max="4369" customWidth="1" bestFit="1" width="3.0" style="763"/>
    <col min="4370" max="4370" customWidth="1" bestFit="1" width="3.0" style="763"/>
    <col min="4371" max="4371" customWidth="1" bestFit="1" width="3.0" style="763"/>
    <col min="4372" max="4372" customWidth="1" bestFit="1" width="3.0" style="763"/>
    <col min="4373" max="4373" customWidth="1" bestFit="1" width="3.0" style="763"/>
    <col min="4374" max="4374" customWidth="1" bestFit="1" width="3.0" style="763"/>
    <col min="4375" max="4375" customWidth="1" bestFit="1" width="3.0" style="763"/>
    <col min="4376" max="4376" customWidth="1" bestFit="1" width="3.0" style="763"/>
    <col min="4377" max="4377" customWidth="1" bestFit="1" width="3.0" style="763"/>
    <col min="4378" max="4378" customWidth="1" bestFit="1" width="3.0" style="763"/>
    <col min="4379" max="4379" customWidth="1" bestFit="1" width="3.0" style="763"/>
    <col min="4380" max="4380" customWidth="1" bestFit="1" width="3.0" style="763"/>
    <col min="4381" max="4381" customWidth="1" bestFit="1" width="3.0" style="763"/>
    <col min="4382" max="4382" customWidth="1" bestFit="1" width="3.0" style="763"/>
    <col min="4383" max="4383" customWidth="1" bestFit="1" width="3.0" style="763"/>
    <col min="4384" max="4384" customWidth="1" bestFit="1" width="3.0" style="763"/>
    <col min="4385" max="4385" customWidth="1" bestFit="1" width="3.0" style="763"/>
    <col min="4386" max="4386" customWidth="1" bestFit="1" width="3.0" style="763"/>
    <col min="4387" max="4387" customWidth="1" bestFit="1" width="3.0" style="763"/>
    <col min="4388" max="4388" customWidth="1" bestFit="1" width="3.0" style="763"/>
    <col min="4389" max="4389" customWidth="1" bestFit="1" width="3.0" style="763"/>
    <col min="4390" max="4390" customWidth="1" bestFit="1" width="3.0" style="763"/>
    <col min="4391" max="4391" customWidth="1" bestFit="1" width="3.0" style="763"/>
    <col min="4392" max="4392" customWidth="1" bestFit="1" width="3.0" style="763"/>
    <col min="4393" max="4393" customWidth="1" bestFit="1" width="3.0" style="763"/>
    <col min="4394" max="4394" customWidth="1" bestFit="1" width="3.0" style="763"/>
    <col min="4395" max="4395" customWidth="1" bestFit="1" width="3.0" style="763"/>
    <col min="4396" max="4396" customWidth="1" bestFit="1" width="3.0" style="763"/>
    <col min="4397" max="4397" customWidth="1" bestFit="1" width="3.0" style="763"/>
    <col min="4398" max="4398" customWidth="1" bestFit="1" width="3.0" style="763"/>
    <col min="4399" max="4399" customWidth="1" bestFit="1" width="3.0" style="763"/>
    <col min="4400" max="4400" customWidth="1" bestFit="1" width="3.0" style="763"/>
    <col min="4401" max="4401" customWidth="1" bestFit="1" width="3.0" style="763"/>
    <col min="4402" max="4402" customWidth="1" bestFit="1" width="3.0" style="763"/>
    <col min="4403" max="4403" customWidth="1" bestFit="1" width="3.0" style="763"/>
    <col min="4404" max="4404" customWidth="1" bestFit="1" width="3.0" style="763"/>
    <col min="4405" max="4405" customWidth="1" bestFit="1" width="3.0" style="763"/>
    <col min="4406" max="4406" customWidth="1" bestFit="1" width="3.0" style="763"/>
    <col min="4407" max="4407" customWidth="1" bestFit="1" width="3.0" style="763"/>
    <col min="4408" max="4408" customWidth="1" bestFit="1" width="3.0" style="763"/>
    <col min="4409" max="4409" customWidth="1" bestFit="1" width="3.0" style="763"/>
    <col min="4410" max="4410" customWidth="1" bestFit="1" width="3.0" style="763"/>
    <col min="4411" max="4411" customWidth="1" bestFit="1" width="3.0" style="763"/>
    <col min="4412" max="4412" customWidth="1" bestFit="1" width="3.0" style="763"/>
    <col min="4413" max="4413" customWidth="1" bestFit="1" width="3.0" style="763"/>
    <col min="4414" max="4414" customWidth="1" bestFit="1" width="3.0" style="763"/>
    <col min="4415" max="4415" customWidth="1" bestFit="1" width="3.0" style="763"/>
    <col min="4416" max="4416" customWidth="1" bestFit="1" width="3.0" style="763"/>
    <col min="4417" max="4417" customWidth="1" bestFit="1" width="3.0" style="763"/>
    <col min="4418" max="4418" customWidth="1" bestFit="1" width="3.0" style="763"/>
    <col min="4419" max="4419" customWidth="1" bestFit="1" width="3.0" style="763"/>
    <col min="4420" max="4420" customWidth="1" bestFit="1" width="3.0" style="763"/>
    <col min="4421" max="4421" customWidth="1" bestFit="1" width="3.0" style="763"/>
    <col min="4422" max="4422" customWidth="1" bestFit="1" width="3.0" style="763"/>
    <col min="4423" max="4423" customWidth="1" bestFit="1" width="3.0" style="763"/>
    <col min="4424" max="4424" customWidth="1" bestFit="1" width="3.0" style="763"/>
    <col min="4425" max="4425" customWidth="1" bestFit="1" width="3.0" style="763"/>
    <col min="4426" max="4426" customWidth="1" bestFit="1" width="3.0" style="763"/>
    <col min="4427" max="4427" customWidth="1" bestFit="1" width="3.0" style="763"/>
    <col min="4428" max="4428" customWidth="1" bestFit="1" width="3.0" style="763"/>
    <col min="4429" max="4429" customWidth="1" bestFit="1" width="3.0" style="763"/>
    <col min="4430" max="4430" customWidth="1" bestFit="1" width="3.0" style="763"/>
    <col min="4431" max="4431" customWidth="1" bestFit="1" width="3.0" style="763"/>
    <col min="4432" max="4432" customWidth="1" bestFit="1" width="3.0" style="763"/>
    <col min="4433" max="4433" customWidth="1" bestFit="1" width="3.0" style="763"/>
    <col min="4434" max="4434" customWidth="1" bestFit="1" width="3.0" style="763"/>
    <col min="4435" max="4435" customWidth="1" bestFit="1" width="3.0" style="763"/>
    <col min="4436" max="4436" customWidth="1" bestFit="1" width="3.0" style="763"/>
    <col min="4437" max="4437" customWidth="1" bestFit="1" width="3.0" style="763"/>
    <col min="4438" max="4438" customWidth="1" bestFit="1" width="3.0" style="763"/>
    <col min="4439" max="4439" customWidth="1" bestFit="1" width="3.0" style="763"/>
    <col min="4440" max="4440" customWidth="1" bestFit="1" width="3.0" style="763"/>
    <col min="4441" max="4441" customWidth="1" bestFit="1" width="3.0" style="763"/>
    <col min="4442" max="4442" customWidth="1" bestFit="1" width="3.0" style="763"/>
    <col min="4443" max="4443" customWidth="1" bestFit="1" width="3.0" style="763"/>
    <col min="4444" max="4444" customWidth="1" bestFit="1" width="3.0" style="763"/>
    <col min="4445" max="4445" customWidth="1" bestFit="1" width="3.0" style="763"/>
    <col min="4446" max="4446" customWidth="1" bestFit="1" width="3.0" style="763"/>
    <col min="4447" max="4447" customWidth="1" bestFit="1" width="3.0" style="763"/>
    <col min="4448" max="4448" customWidth="1" bestFit="1" width="3.0" style="763"/>
    <col min="4449" max="4449" customWidth="1" bestFit="1" width="3.0" style="763"/>
    <col min="4450" max="4450" customWidth="1" bestFit="1" width="3.0" style="763"/>
    <col min="4451" max="4451" customWidth="1" bestFit="1" width="3.0" style="763"/>
    <col min="4452" max="4452" customWidth="1" bestFit="1" width="3.0" style="763"/>
    <col min="4453" max="4453" customWidth="1" bestFit="1" width="3.0" style="763"/>
    <col min="4454" max="4454" customWidth="1" bestFit="1" width="3.0" style="763"/>
    <col min="4455" max="4455" customWidth="1" bestFit="1" width="3.0" style="763"/>
    <col min="4456" max="4456" customWidth="1" bestFit="1" width="3.0" style="763"/>
    <col min="4457" max="4457" customWidth="1" bestFit="1" width="3.0" style="763"/>
    <col min="4458" max="4458" customWidth="1" bestFit="1" width="3.0" style="763"/>
    <col min="4459" max="4459" customWidth="1" bestFit="1" width="3.0" style="763"/>
    <col min="4460" max="4460" customWidth="1" bestFit="1" width="3.0" style="763"/>
    <col min="4461" max="4461" customWidth="1" bestFit="1" width="3.0" style="763"/>
    <col min="4462" max="4462" customWidth="1" bestFit="1" width="3.0" style="763"/>
    <col min="4463" max="4463" customWidth="1" bestFit="1" width="3.0" style="763"/>
    <col min="4464" max="4464" customWidth="1" bestFit="1" width="3.0" style="763"/>
    <col min="4465" max="4465" customWidth="1" bestFit="1" width="3.0" style="763"/>
    <col min="4466" max="4466" customWidth="1" bestFit="1" width="3.0" style="763"/>
    <col min="4467" max="4467" customWidth="1" bestFit="1" width="3.0" style="763"/>
    <col min="4468" max="4468" customWidth="1" bestFit="1" width="3.0" style="763"/>
    <col min="4469" max="4469" customWidth="1" bestFit="1" width="3.0" style="763"/>
    <col min="4470" max="4470" customWidth="1" bestFit="1" width="3.0" style="763"/>
    <col min="4471" max="4471" customWidth="1" bestFit="1" width="3.0" style="763"/>
    <col min="4472" max="4472" customWidth="1" bestFit="1" width="3.0" style="763"/>
    <col min="4473" max="4473" customWidth="1" bestFit="1" width="3.0" style="763"/>
    <col min="4474" max="4474" customWidth="1" bestFit="1" width="3.0" style="763"/>
    <col min="4475" max="4475" customWidth="1" bestFit="1" width="3.0" style="763"/>
    <col min="4476" max="4476" customWidth="1" bestFit="1" width="3.0" style="763"/>
    <col min="4477" max="4477" customWidth="1" bestFit="1" width="3.0" style="763"/>
    <col min="4478" max="4478" customWidth="1" bestFit="1" width="3.0" style="763"/>
    <col min="4479" max="4479" customWidth="1" bestFit="1" width="3.0" style="763"/>
    <col min="4480" max="4480" customWidth="1" bestFit="1" width="3.0" style="763"/>
    <col min="4481" max="4481" customWidth="1" bestFit="1" width="3.0" style="763"/>
    <col min="4482" max="4482" customWidth="1" bestFit="1" width="3.0" style="763"/>
    <col min="4483" max="4483" customWidth="1" bestFit="1" width="3.0" style="763"/>
    <col min="4484" max="4484" customWidth="1" bestFit="1" width="3.0" style="763"/>
    <col min="4485" max="4485" customWidth="1" bestFit="1" width="3.0" style="763"/>
    <col min="4486" max="4486" customWidth="1" bestFit="1" width="3.0" style="763"/>
    <col min="4487" max="4487" customWidth="1" bestFit="1" width="3.0" style="763"/>
    <col min="4488" max="4488" customWidth="1" bestFit="1" width="3.0" style="763"/>
    <col min="4489" max="4489" customWidth="1" bestFit="1" width="3.0" style="763"/>
    <col min="4490" max="4490" customWidth="1" bestFit="1" width="3.0" style="763"/>
    <col min="4491" max="4491" customWidth="1" bestFit="1" width="3.0" style="763"/>
    <col min="4492" max="4492" customWidth="1" bestFit="1" width="3.0" style="763"/>
    <col min="4493" max="4493" customWidth="1" bestFit="1" width="3.0" style="763"/>
    <col min="4494" max="4494" customWidth="1" bestFit="1" width="3.0" style="763"/>
    <col min="4495" max="4495" customWidth="1" bestFit="1" width="3.0" style="763"/>
    <col min="4496" max="4496" customWidth="1" bestFit="1" width="3.0" style="763"/>
    <col min="4497" max="4497" customWidth="1" bestFit="1" width="3.0" style="763"/>
    <col min="4498" max="4498" customWidth="1" bestFit="1" width="3.0" style="763"/>
    <col min="4499" max="4499" customWidth="1" bestFit="1" width="3.0" style="763"/>
    <col min="4500" max="4500" customWidth="1" bestFit="1" width="3.0" style="763"/>
    <col min="4501" max="4501" customWidth="1" bestFit="1" width="3.0" style="763"/>
    <col min="4502" max="4502" customWidth="1" bestFit="1" width="3.0" style="763"/>
    <col min="4503" max="4503" customWidth="1" bestFit="1" width="3.0" style="763"/>
    <col min="4504" max="4504" customWidth="1" bestFit="1" width="3.0" style="763"/>
    <col min="4505" max="4505" customWidth="1" bestFit="1" width="3.0" style="763"/>
    <col min="4506" max="4506" customWidth="1" bestFit="1" width="3.0" style="763"/>
    <col min="4507" max="4507" customWidth="1" bestFit="1" width="3.0" style="763"/>
    <col min="4508" max="4508" customWidth="1" bestFit="1" width="3.0" style="763"/>
    <col min="4509" max="4509" customWidth="1" bestFit="1" width="3.0" style="763"/>
    <col min="4510" max="4510" customWidth="1" bestFit="1" width="3.0" style="763"/>
    <col min="4511" max="4511" customWidth="1" bestFit="1" width="3.0" style="763"/>
    <col min="4512" max="4512" customWidth="1" bestFit="1" width="3.0" style="763"/>
    <col min="4513" max="4513" customWidth="1" bestFit="1" width="3.0" style="763"/>
    <col min="4514" max="4514" customWidth="1" bestFit="1" width="3.0" style="763"/>
    <col min="4515" max="4515" customWidth="1" bestFit="1" width="3.0" style="763"/>
    <col min="4516" max="4516" customWidth="1" bestFit="1" width="3.0" style="763"/>
    <col min="4517" max="4517" customWidth="1" bestFit="1" width="3.0" style="763"/>
    <col min="4518" max="4518" customWidth="1" bestFit="1" width="3.0" style="763"/>
    <col min="4519" max="4519" customWidth="1" bestFit="1" width="3.0" style="763"/>
    <col min="4520" max="4520" customWidth="1" bestFit="1" width="3.0" style="763"/>
    <col min="4521" max="4521" customWidth="1" bestFit="1" width="3.0" style="763"/>
    <col min="4522" max="4522" customWidth="1" bestFit="1" width="3.0" style="763"/>
    <col min="4523" max="4523" customWidth="1" bestFit="1" width="3.0" style="763"/>
    <col min="4524" max="4524" customWidth="1" bestFit="1" width="3.0" style="763"/>
    <col min="4525" max="4525" customWidth="1" bestFit="1" width="3.0" style="763"/>
    <col min="4526" max="4526" customWidth="1" bestFit="1" width="3.0" style="763"/>
    <col min="4527" max="4527" customWidth="1" bestFit="1" width="3.0" style="763"/>
    <col min="4528" max="4528" customWidth="1" bestFit="1" width="3.0" style="763"/>
    <col min="4529" max="4529" customWidth="1" bestFit="1" width="3.0" style="763"/>
    <col min="4530" max="4530" customWidth="1" bestFit="1" width="3.0" style="763"/>
    <col min="4531" max="4531" customWidth="1" bestFit="1" width="3.0" style="763"/>
    <col min="4532" max="4532" customWidth="1" bestFit="1" width="3.0" style="763"/>
    <col min="4533" max="4533" customWidth="1" bestFit="1" width="3.0" style="763"/>
    <col min="4534" max="4534" customWidth="1" bestFit="1" width="3.0" style="763"/>
    <col min="4535" max="4535" customWidth="1" bestFit="1" width="3.0" style="763"/>
    <col min="4536" max="4536" customWidth="1" bestFit="1" width="3.0" style="763"/>
    <col min="4537" max="4537" customWidth="1" bestFit="1" width="3.0" style="763"/>
    <col min="4538" max="4538" customWidth="1" bestFit="1" width="3.0" style="763"/>
    <col min="4539" max="4539" customWidth="1" bestFit="1" width="3.0" style="763"/>
    <col min="4540" max="4540" customWidth="1" bestFit="1" width="3.0" style="763"/>
    <col min="4541" max="4541" customWidth="1" bestFit="1" width="3.0" style="763"/>
    <col min="4542" max="4542" customWidth="1" bestFit="1" width="3.0" style="763"/>
    <col min="4543" max="4543" customWidth="1" bestFit="1" width="3.0" style="763"/>
    <col min="4544" max="4544" customWidth="1" bestFit="1" width="3.0" style="763"/>
    <col min="4545" max="4545" customWidth="1" bestFit="1" width="3.0" style="763"/>
    <col min="4546" max="4546" customWidth="1" bestFit="1" width="3.0" style="763"/>
    <col min="4547" max="4547" customWidth="1" bestFit="1" width="3.0" style="763"/>
    <col min="4548" max="4548" customWidth="1" bestFit="1" width="3.0" style="763"/>
    <col min="4549" max="4549" customWidth="1" bestFit="1" width="3.0" style="763"/>
    <col min="4550" max="4550" customWidth="1" bestFit="1" width="3.0" style="763"/>
    <col min="4551" max="4551" customWidth="1" bestFit="1" width="3.0" style="763"/>
    <col min="4552" max="4552" customWidth="1" bestFit="1" width="3.0" style="763"/>
    <col min="4553" max="4553" customWidth="1" bestFit="1" width="3.0" style="763"/>
    <col min="4554" max="4554" customWidth="1" bestFit="1" width="3.0" style="763"/>
    <col min="4555" max="4555" customWidth="1" bestFit="1" width="3.0" style="763"/>
    <col min="4556" max="4556" customWidth="1" bestFit="1" width="3.0" style="763"/>
    <col min="4557" max="4557" customWidth="1" bestFit="1" width="3.0" style="763"/>
    <col min="4558" max="4558" customWidth="1" bestFit="1" width="3.0" style="763"/>
    <col min="4559" max="4559" customWidth="1" bestFit="1" width="3.0" style="763"/>
    <col min="4560" max="4560" customWidth="1" bestFit="1" width="3.0" style="763"/>
    <col min="4561" max="4561" customWidth="1" bestFit="1" width="3.0" style="763"/>
    <col min="4562" max="4562" customWidth="1" bestFit="1" width="3.0" style="763"/>
    <col min="4563" max="4563" customWidth="1" bestFit="1" width="3.0" style="763"/>
    <col min="4564" max="4564" customWidth="1" bestFit="1" width="3.0" style="763"/>
    <col min="4565" max="4565" customWidth="1" bestFit="1" width="3.0" style="763"/>
    <col min="4566" max="4566" customWidth="1" bestFit="1" width="3.0" style="763"/>
    <col min="4567" max="4567" customWidth="1" bestFit="1" width="3.0" style="763"/>
    <col min="4568" max="4568" customWidth="1" bestFit="1" width="3.0" style="763"/>
    <col min="4569" max="4569" customWidth="1" bestFit="1" width="3.0" style="763"/>
    <col min="4570" max="4570" customWidth="1" bestFit="1" width="3.0" style="763"/>
    <col min="4571" max="4571" customWidth="1" bestFit="1" width="3.0" style="763"/>
    <col min="4572" max="4572" customWidth="1" bestFit="1" width="3.0" style="763"/>
    <col min="4573" max="4573" customWidth="1" bestFit="1" width="3.0" style="763"/>
    <col min="4574" max="4574" customWidth="1" bestFit="1" width="3.0" style="763"/>
    <col min="4575" max="4575" customWidth="1" bestFit="1" width="3.0" style="763"/>
    <col min="4576" max="4576" customWidth="1" bestFit="1" width="3.0" style="763"/>
    <col min="4577" max="4577" customWidth="1" bestFit="1" width="3.0" style="763"/>
    <col min="4578" max="4578" customWidth="1" bestFit="1" width="3.0" style="763"/>
    <col min="4579" max="4579" customWidth="1" bestFit="1" width="3.0" style="763"/>
    <col min="4580" max="4580" customWidth="1" bestFit="1" width="3.0" style="763"/>
    <col min="4581" max="4581" customWidth="1" bestFit="1" width="3.0" style="763"/>
    <col min="4582" max="4582" customWidth="1" bestFit="1" width="3.0" style="763"/>
    <col min="4583" max="4583" customWidth="1" bestFit="1" width="3.0" style="763"/>
    <col min="4584" max="4584" customWidth="1" bestFit="1" width="3.0" style="763"/>
    <col min="4585" max="4585" customWidth="1" bestFit="1" width="3.0" style="763"/>
    <col min="4586" max="4586" customWidth="1" bestFit="1" width="3.0" style="763"/>
    <col min="4587" max="4587" customWidth="1" bestFit="1" width="3.0" style="763"/>
    <col min="4588" max="4588" customWidth="1" bestFit="1" width="3.0" style="763"/>
    <col min="4589" max="4589" customWidth="1" bestFit="1" width="3.0" style="763"/>
    <col min="4590" max="4590" customWidth="1" bestFit="1" width="3.0" style="763"/>
    <col min="4591" max="4591" customWidth="1" bestFit="1" width="3.0" style="763"/>
    <col min="4592" max="4592" customWidth="1" bestFit="1" width="3.0" style="763"/>
    <col min="4593" max="4593" customWidth="1" bestFit="1" width="3.0" style="763"/>
    <col min="4594" max="4594" customWidth="1" bestFit="1" width="3.0" style="763"/>
    <col min="4595" max="4595" customWidth="1" bestFit="1" width="3.0" style="763"/>
    <col min="4596" max="4596" customWidth="1" bestFit="1" width="3.0" style="763"/>
    <col min="4597" max="4597" customWidth="1" bestFit="1" width="3.0" style="763"/>
    <col min="4598" max="4598" customWidth="1" bestFit="1" width="3.0" style="763"/>
    <col min="4599" max="4599" customWidth="1" bestFit="1" width="3.0" style="763"/>
    <col min="4600" max="4600" customWidth="1" bestFit="1" width="3.0" style="763"/>
    <col min="4601" max="4601" customWidth="1" bestFit="1" width="3.0" style="763"/>
    <col min="4602" max="4602" customWidth="1" bestFit="1" width="3.0" style="763"/>
    <col min="4603" max="4603" customWidth="1" bestFit="1" width="3.0" style="763"/>
    <col min="4604" max="4604" customWidth="1" bestFit="1" width="3.0" style="763"/>
    <col min="4605" max="4605" customWidth="1" bestFit="1" width="3.0" style="763"/>
    <col min="4606" max="4606" customWidth="1" bestFit="1" width="3.0" style="763"/>
    <col min="4607" max="4607" customWidth="1" bestFit="1" width="3.0" style="763"/>
    <col min="4608" max="4608" customWidth="1" bestFit="1" width="3.0" style="763"/>
    <col min="4609" max="4609" customWidth="1" bestFit="1" width="3.0" style="763"/>
    <col min="4610" max="4610" customWidth="1" bestFit="1" width="3.0" style="763"/>
    <col min="4611" max="4611" customWidth="1" bestFit="1" width="3.0" style="763"/>
    <col min="4612" max="4612" customWidth="1" bestFit="1" width="3.0" style="763"/>
    <col min="4613" max="4613" customWidth="1" bestFit="1" width="3.0" style="763"/>
    <col min="4614" max="4614" customWidth="1" bestFit="1" width="3.0" style="763"/>
    <col min="4615" max="4615" customWidth="1" bestFit="1" width="3.0" style="763"/>
    <col min="4616" max="4616" customWidth="1" bestFit="1" width="3.0" style="763"/>
    <col min="4617" max="4617" customWidth="1" bestFit="1" width="3.0" style="763"/>
    <col min="4618" max="4618" customWidth="1" bestFit="1" width="3.0" style="763"/>
    <col min="4619" max="4619" customWidth="1" bestFit="1" width="3.0" style="763"/>
    <col min="4620" max="4620" customWidth="1" bestFit="1" width="3.0" style="763"/>
    <col min="4621" max="4621" customWidth="1" bestFit="1" width="3.0" style="763"/>
    <col min="4622" max="4622" customWidth="1" bestFit="1" width="3.0" style="763"/>
    <col min="4623" max="4623" customWidth="1" bestFit="1" width="3.0" style="763"/>
    <col min="4624" max="4624" customWidth="1" bestFit="1" width="3.0" style="763"/>
    <col min="4625" max="4625" customWidth="1" bestFit="1" width="3.0" style="763"/>
    <col min="4626" max="4626" customWidth="1" bestFit="1" width="3.0" style="763"/>
    <col min="4627" max="4627" customWidth="1" bestFit="1" width="3.0" style="763"/>
    <col min="4628" max="4628" customWidth="1" bestFit="1" width="3.0" style="763"/>
    <col min="4629" max="4629" customWidth="1" bestFit="1" width="3.0" style="763"/>
    <col min="4630" max="4630" customWidth="1" bestFit="1" width="3.0" style="763"/>
    <col min="4631" max="4631" customWidth="1" bestFit="1" width="3.0" style="763"/>
    <col min="4632" max="4632" customWidth="1" bestFit="1" width="3.0" style="763"/>
    <col min="4633" max="4633" customWidth="1" bestFit="1" width="3.0" style="763"/>
    <col min="4634" max="4634" customWidth="1" bestFit="1" width="3.0" style="763"/>
    <col min="4635" max="4635" customWidth="1" bestFit="1" width="3.0" style="763"/>
    <col min="4636" max="4636" customWidth="1" bestFit="1" width="3.0" style="763"/>
    <col min="4637" max="4637" customWidth="1" bestFit="1" width="3.0" style="763"/>
    <col min="4638" max="4638" customWidth="1" bestFit="1" width="3.0" style="763"/>
    <col min="4639" max="4639" customWidth="1" bestFit="1" width="3.0" style="763"/>
    <col min="4640" max="4640" customWidth="1" bestFit="1" width="3.0" style="763"/>
    <col min="4641" max="4641" customWidth="1" bestFit="1" width="3.0" style="763"/>
    <col min="4642" max="4642" customWidth="1" bestFit="1" width="3.0" style="763"/>
    <col min="4643" max="4643" customWidth="1" bestFit="1" width="3.0" style="763"/>
    <col min="4644" max="4644" customWidth="1" bestFit="1" width="3.0" style="763"/>
    <col min="4645" max="4645" customWidth="1" bestFit="1" width="3.0" style="763"/>
    <col min="4646" max="4646" customWidth="1" bestFit="1" width="3.0" style="763"/>
    <col min="4647" max="4647" customWidth="1" bestFit="1" width="3.0" style="763"/>
    <col min="4648" max="4648" customWidth="1" bestFit="1" width="3.0" style="763"/>
    <col min="4649" max="4649" customWidth="1" bestFit="1" width="3.0" style="763"/>
    <col min="4650" max="4650" customWidth="1" bestFit="1" width="3.0" style="763"/>
    <col min="4651" max="4651" customWidth="1" bestFit="1" width="3.0" style="763"/>
    <col min="4652" max="4652" customWidth="1" bestFit="1" width="3.0" style="763"/>
    <col min="4653" max="4653" customWidth="1" bestFit="1" width="3.0" style="763"/>
    <col min="4654" max="4654" customWidth="1" bestFit="1" width="3.0" style="763"/>
    <col min="4655" max="4655" customWidth="1" bestFit="1" width="3.0" style="763"/>
    <col min="4656" max="4656" customWidth="1" bestFit="1" width="3.0" style="763"/>
    <col min="4657" max="4657" customWidth="1" bestFit="1" width="3.0" style="763"/>
    <col min="4658" max="4658" customWidth="1" bestFit="1" width="3.0" style="763"/>
    <col min="4659" max="4659" customWidth="1" bestFit="1" width="3.0" style="763"/>
    <col min="4660" max="4660" customWidth="1" bestFit="1" width="3.0" style="763"/>
    <col min="4661" max="4661" customWidth="1" bestFit="1" width="3.0" style="763"/>
    <col min="4662" max="4662" customWidth="1" bestFit="1" width="3.0" style="763"/>
    <col min="4663" max="4663" customWidth="1" bestFit="1" width="3.0" style="763"/>
    <col min="4664" max="4664" customWidth="1" bestFit="1" width="3.0" style="763"/>
    <col min="4665" max="4665" customWidth="1" bestFit="1" width="3.0" style="763"/>
    <col min="4666" max="4666" customWidth="1" bestFit="1" width="3.0" style="763"/>
    <col min="4667" max="4667" customWidth="1" bestFit="1" width="3.0" style="763"/>
    <col min="4668" max="4668" customWidth="1" bestFit="1" width="3.0" style="763"/>
    <col min="4669" max="4669" customWidth="1" bestFit="1" width="3.0" style="763"/>
    <col min="4670" max="4670" customWidth="1" bestFit="1" width="3.0" style="763"/>
    <col min="4671" max="4671" customWidth="1" bestFit="1" width="3.0" style="763"/>
    <col min="4672" max="4672" customWidth="1" bestFit="1" width="3.0" style="763"/>
    <col min="4673" max="4673" customWidth="1" bestFit="1" width="3.0" style="763"/>
    <col min="4674" max="4674" customWidth="1" bestFit="1" width="3.0" style="763"/>
    <col min="4675" max="4675" customWidth="1" bestFit="1" width="3.0" style="763"/>
    <col min="4676" max="4676" customWidth="1" bestFit="1" width="3.0" style="763"/>
    <col min="4677" max="4677" customWidth="1" bestFit="1" width="3.0" style="763"/>
    <col min="4678" max="4678" customWidth="1" bestFit="1" width="3.0" style="763"/>
    <col min="4679" max="4679" customWidth="1" bestFit="1" width="3.0" style="763"/>
    <col min="4680" max="4680" customWidth="1" bestFit="1" width="3.0" style="763"/>
    <col min="4681" max="4681" customWidth="1" bestFit="1" width="3.0" style="763"/>
    <col min="4682" max="4682" customWidth="1" bestFit="1" width="3.0" style="763"/>
    <col min="4683" max="4683" customWidth="1" bestFit="1" width="3.0" style="763"/>
    <col min="4684" max="4684" customWidth="1" bestFit="1" width="3.0" style="763"/>
    <col min="4685" max="4685" customWidth="1" bestFit="1" width="3.0" style="763"/>
    <col min="4686" max="4686" customWidth="1" bestFit="1" width="3.0" style="763"/>
    <col min="4687" max="4687" customWidth="1" bestFit="1" width="3.0" style="763"/>
    <col min="4688" max="4688" customWidth="1" bestFit="1" width="3.0" style="763"/>
    <col min="4689" max="4689" customWidth="1" bestFit="1" width="3.0" style="763"/>
    <col min="4690" max="4690" customWidth="1" bestFit="1" width="3.0" style="763"/>
    <col min="4691" max="4691" customWidth="1" bestFit="1" width="3.0" style="763"/>
    <col min="4692" max="4692" customWidth="1" bestFit="1" width="3.0" style="763"/>
    <col min="4693" max="4693" customWidth="1" bestFit="1" width="3.0" style="763"/>
    <col min="4694" max="4694" customWidth="1" bestFit="1" width="3.0" style="763"/>
    <col min="4695" max="4695" customWidth="1" bestFit="1" width="3.0" style="763"/>
    <col min="4696" max="4696" customWidth="1" bestFit="1" width="3.0" style="763"/>
    <col min="4697" max="4697" customWidth="1" bestFit="1" width="3.0" style="763"/>
    <col min="4698" max="4698" customWidth="1" bestFit="1" width="3.0" style="763"/>
    <col min="4699" max="4699" customWidth="1" bestFit="1" width="3.0" style="763"/>
    <col min="4700" max="4700" customWidth="1" bestFit="1" width="3.0" style="763"/>
    <col min="4701" max="4701" customWidth="1" bestFit="1" width="3.0" style="763"/>
    <col min="4702" max="4702" customWidth="1" bestFit="1" width="3.0" style="763"/>
    <col min="4703" max="4703" customWidth="1" bestFit="1" width="3.0" style="763"/>
    <col min="4704" max="4704" customWidth="1" bestFit="1" width="3.0" style="763"/>
    <col min="4705" max="4705" customWidth="1" bestFit="1" width="3.0" style="763"/>
    <col min="4706" max="4706" customWidth="1" bestFit="1" width="3.0" style="763"/>
    <col min="4707" max="4707" customWidth="1" bestFit="1" width="3.0" style="763"/>
    <col min="4708" max="4708" customWidth="1" bestFit="1" width="3.0" style="763"/>
    <col min="4709" max="4709" customWidth="1" bestFit="1" width="3.0" style="763"/>
    <col min="4710" max="4710" customWidth="1" bestFit="1" width="3.0" style="763"/>
    <col min="4711" max="4711" customWidth="1" bestFit="1" width="3.0" style="763"/>
    <col min="4712" max="4712" customWidth="1" bestFit="1" width="3.0" style="763"/>
    <col min="4713" max="4713" customWidth="1" bestFit="1" width="3.0" style="763"/>
    <col min="4714" max="4714" customWidth="1" bestFit="1" width="3.0" style="763"/>
    <col min="4715" max="4715" customWidth="1" bestFit="1" width="3.0" style="763"/>
    <col min="4716" max="4716" customWidth="1" bestFit="1" width="3.0" style="763"/>
    <col min="4717" max="4717" customWidth="1" bestFit="1" width="3.0" style="763"/>
    <col min="4718" max="4718" customWidth="1" bestFit="1" width="3.0" style="763"/>
    <col min="4719" max="4719" customWidth="1" bestFit="1" width="3.0" style="763"/>
    <col min="4720" max="4720" customWidth="1" bestFit="1" width="3.0" style="763"/>
    <col min="4721" max="4721" customWidth="1" bestFit="1" width="3.0" style="763"/>
    <col min="4722" max="4722" customWidth="1" bestFit="1" width="3.0" style="763"/>
    <col min="4723" max="4723" customWidth="1" bestFit="1" width="3.0" style="763"/>
    <col min="4724" max="4724" customWidth="1" bestFit="1" width="3.0" style="763"/>
    <col min="4725" max="4725" customWidth="1" bestFit="1" width="3.0" style="763"/>
    <col min="4726" max="4726" customWidth="1" bestFit="1" width="3.0" style="763"/>
    <col min="4727" max="4727" customWidth="1" bestFit="1" width="3.0" style="763"/>
    <col min="4728" max="4728" customWidth="1" bestFit="1" width="3.0" style="763"/>
    <col min="4729" max="4729" customWidth="1" bestFit="1" width="3.0" style="763"/>
    <col min="4730" max="4730" customWidth="1" bestFit="1" width="3.0" style="763"/>
    <col min="4731" max="4731" customWidth="1" bestFit="1" width="3.0" style="763"/>
    <col min="4732" max="4732" customWidth="1" bestFit="1" width="3.0" style="763"/>
    <col min="4733" max="4733" customWidth="1" bestFit="1" width="3.0" style="763"/>
    <col min="4734" max="4734" customWidth="1" bestFit="1" width="3.0" style="763"/>
    <col min="4735" max="4735" customWidth="1" bestFit="1" width="3.0" style="763"/>
    <col min="4736" max="4736" customWidth="1" bestFit="1" width="3.0" style="763"/>
    <col min="4737" max="4737" customWidth="1" bestFit="1" width="3.0" style="763"/>
    <col min="4738" max="4738" customWidth="1" bestFit="1" width="3.0" style="763"/>
    <col min="4739" max="4739" customWidth="1" bestFit="1" width="3.0" style="763"/>
    <col min="4740" max="4740" customWidth="1" bestFit="1" width="3.0" style="763"/>
    <col min="4741" max="4741" customWidth="1" bestFit="1" width="3.0" style="763"/>
    <col min="4742" max="4742" customWidth="1" bestFit="1" width="3.0" style="763"/>
    <col min="4743" max="4743" customWidth="1" bestFit="1" width="3.0" style="763"/>
    <col min="4744" max="4744" customWidth="1" bestFit="1" width="3.0" style="763"/>
    <col min="4745" max="4745" customWidth="1" bestFit="1" width="3.0" style="763"/>
    <col min="4746" max="4746" customWidth="1" bestFit="1" width="3.0" style="763"/>
    <col min="4747" max="4747" customWidth="1" bestFit="1" width="3.0" style="763"/>
    <col min="4748" max="4748" customWidth="1" bestFit="1" width="3.0" style="763"/>
    <col min="4749" max="4749" customWidth="1" bestFit="1" width="3.0" style="763"/>
    <col min="4750" max="4750" customWidth="1" bestFit="1" width="3.0" style="763"/>
    <col min="4751" max="4751" customWidth="1" bestFit="1" width="3.0" style="763"/>
    <col min="4752" max="4752" customWidth="1" bestFit="1" width="3.0" style="763"/>
    <col min="4753" max="4753" customWidth="1" bestFit="1" width="3.0" style="763"/>
    <col min="4754" max="4754" customWidth="1" bestFit="1" width="3.0" style="763"/>
    <col min="4755" max="4755" customWidth="1" bestFit="1" width="3.0" style="763"/>
    <col min="4756" max="4756" customWidth="1" bestFit="1" width="3.0" style="763"/>
    <col min="4757" max="4757" customWidth="1" bestFit="1" width="3.0" style="763"/>
    <col min="4758" max="4758" customWidth="1" bestFit="1" width="3.0" style="763"/>
    <col min="4759" max="4759" customWidth="1" bestFit="1" width="3.0" style="763"/>
    <col min="4760" max="4760" customWidth="1" bestFit="1" width="3.0" style="763"/>
    <col min="4761" max="4761" customWidth="1" bestFit="1" width="3.0" style="763"/>
    <col min="4762" max="4762" customWidth="1" bestFit="1" width="3.0" style="763"/>
    <col min="4763" max="4763" customWidth="1" bestFit="1" width="3.0" style="763"/>
    <col min="4764" max="4764" customWidth="1" bestFit="1" width="3.0" style="763"/>
    <col min="4765" max="4765" customWidth="1" bestFit="1" width="3.0" style="763"/>
    <col min="4766" max="4766" customWidth="1" bestFit="1" width="3.0" style="763"/>
    <col min="4767" max="4767" customWidth="1" bestFit="1" width="3.0" style="763"/>
    <col min="4768" max="4768" customWidth="1" bestFit="1" width="3.0" style="763"/>
    <col min="4769" max="4769" customWidth="1" bestFit="1" width="3.0" style="763"/>
    <col min="4770" max="4770" customWidth="1" bestFit="1" width="3.0" style="763"/>
    <col min="4771" max="4771" customWidth="1" bestFit="1" width="3.0" style="763"/>
    <col min="4772" max="4772" customWidth="1" bestFit="1" width="3.0" style="763"/>
    <col min="4773" max="4773" customWidth="1" bestFit="1" width="3.0" style="763"/>
    <col min="4774" max="4774" customWidth="1" bestFit="1" width="3.0" style="763"/>
    <col min="4775" max="4775" customWidth="1" bestFit="1" width="3.0" style="763"/>
    <col min="4776" max="4776" customWidth="1" bestFit="1" width="3.0" style="763"/>
    <col min="4777" max="4777" customWidth="1" bestFit="1" width="3.0" style="763"/>
    <col min="4778" max="4778" customWidth="1" bestFit="1" width="3.0" style="763"/>
    <col min="4779" max="4779" customWidth="1" bestFit="1" width="3.0" style="763"/>
    <col min="4780" max="4780" customWidth="1" bestFit="1" width="3.0" style="763"/>
    <col min="4781" max="4781" customWidth="1" bestFit="1" width="3.0" style="763"/>
    <col min="4782" max="4782" customWidth="1" bestFit="1" width="3.0" style="763"/>
    <col min="4783" max="4783" customWidth="1" bestFit="1" width="3.0" style="763"/>
    <col min="4784" max="4784" customWidth="1" bestFit="1" width="3.0" style="763"/>
    <col min="4785" max="4785" customWidth="1" bestFit="1" width="3.0" style="763"/>
    <col min="4786" max="4786" customWidth="1" bestFit="1" width="3.0" style="763"/>
    <col min="4787" max="4787" customWidth="1" bestFit="1" width="3.0" style="763"/>
    <col min="4788" max="4788" customWidth="1" bestFit="1" width="3.0" style="763"/>
    <col min="4789" max="4789" customWidth="1" bestFit="1" width="3.0" style="763"/>
    <col min="4790" max="4790" customWidth="1" bestFit="1" width="3.0" style="763"/>
    <col min="4791" max="4791" customWidth="1" bestFit="1" width="3.0" style="763"/>
    <col min="4792" max="4792" customWidth="1" bestFit="1" width="3.0" style="763"/>
    <col min="4793" max="4793" customWidth="1" bestFit="1" width="3.0" style="763"/>
    <col min="4794" max="4794" customWidth="1" bestFit="1" width="3.0" style="763"/>
    <col min="4795" max="4795" customWidth="1" bestFit="1" width="3.0" style="763"/>
    <col min="4796" max="4796" customWidth="1" bestFit="1" width="3.0" style="763"/>
    <col min="4797" max="4797" customWidth="1" bestFit="1" width="3.0" style="763"/>
    <col min="4798" max="4798" customWidth="1" bestFit="1" width="3.0" style="763"/>
    <col min="4799" max="4799" customWidth="1" bestFit="1" width="3.0" style="763"/>
    <col min="4800" max="4800" customWidth="1" bestFit="1" width="3.0" style="763"/>
    <col min="4801" max="4801" customWidth="1" bestFit="1" width="3.0" style="763"/>
    <col min="4802" max="4802" customWidth="1" bestFit="1" width="3.0" style="763"/>
    <col min="4803" max="4803" customWidth="1" bestFit="1" width="3.0" style="763"/>
    <col min="4804" max="4804" customWidth="1" bestFit="1" width="3.0" style="763"/>
    <col min="4805" max="4805" customWidth="1" bestFit="1" width="3.0" style="763"/>
    <col min="4806" max="4806" customWidth="1" bestFit="1" width="3.0" style="763"/>
    <col min="4807" max="4807" customWidth="1" bestFit="1" width="3.0" style="763"/>
    <col min="4808" max="4808" customWidth="1" bestFit="1" width="3.0" style="763"/>
    <col min="4809" max="4809" customWidth="1" bestFit="1" width="3.0" style="763"/>
    <col min="4810" max="4810" customWidth="1" bestFit="1" width="3.0" style="763"/>
    <col min="4811" max="4811" customWidth="1" bestFit="1" width="3.0" style="763"/>
    <col min="4812" max="4812" customWidth="1" bestFit="1" width="3.0" style="763"/>
    <col min="4813" max="4813" customWidth="1" bestFit="1" width="3.0" style="763"/>
    <col min="4814" max="4814" customWidth="1" bestFit="1" width="3.0" style="763"/>
    <col min="4815" max="4815" customWidth="1" bestFit="1" width="3.0" style="763"/>
    <col min="4816" max="4816" customWidth="1" bestFit="1" width="3.0" style="763"/>
    <col min="4817" max="4817" customWidth="1" bestFit="1" width="3.0" style="763"/>
    <col min="4818" max="4818" customWidth="1" bestFit="1" width="3.0" style="763"/>
    <col min="4819" max="4819" customWidth="1" bestFit="1" width="3.0" style="763"/>
    <col min="4820" max="4820" customWidth="1" bestFit="1" width="3.0" style="763"/>
    <col min="4821" max="4821" customWidth="1" bestFit="1" width="3.0" style="763"/>
    <col min="4822" max="4822" customWidth="1" bestFit="1" width="3.0" style="763"/>
    <col min="4823" max="4823" customWidth="1" bestFit="1" width="3.0" style="763"/>
    <col min="4824" max="4824" customWidth="1" bestFit="1" width="3.0" style="763"/>
    <col min="4825" max="4825" customWidth="1" bestFit="1" width="3.0" style="763"/>
    <col min="4826" max="4826" customWidth="1" bestFit="1" width="3.0" style="763"/>
    <col min="4827" max="4827" customWidth="1" bestFit="1" width="3.0" style="763"/>
    <col min="4828" max="4828" customWidth="1" bestFit="1" width="3.0" style="763"/>
    <col min="4829" max="4829" customWidth="1" bestFit="1" width="3.0" style="763"/>
    <col min="4830" max="4830" customWidth="1" bestFit="1" width="3.0" style="763"/>
    <col min="4831" max="4831" customWidth="1" bestFit="1" width="3.0" style="763"/>
    <col min="4832" max="4832" customWidth="1" bestFit="1" width="3.0" style="763"/>
    <col min="4833" max="4833" customWidth="1" bestFit="1" width="3.0" style="763"/>
    <col min="4834" max="4834" customWidth="1" bestFit="1" width="3.0" style="763"/>
    <col min="4835" max="4835" customWidth="1" bestFit="1" width="3.0" style="763"/>
    <col min="4836" max="4836" customWidth="1" bestFit="1" width="3.0" style="763"/>
    <col min="4837" max="4837" customWidth="1" bestFit="1" width="3.0" style="763"/>
    <col min="4838" max="4838" customWidth="1" bestFit="1" width="3.0" style="763"/>
    <col min="4839" max="4839" customWidth="1" bestFit="1" width="3.0" style="763"/>
    <col min="4840" max="4840" customWidth="1" bestFit="1" width="3.0" style="763"/>
    <col min="4841" max="4841" customWidth="1" bestFit="1" width="3.0" style="763"/>
    <col min="4842" max="4842" customWidth="1" bestFit="1" width="3.0" style="763"/>
    <col min="4843" max="4843" customWidth="1" bestFit="1" width="3.0" style="763"/>
    <col min="4844" max="4844" customWidth="1" bestFit="1" width="3.0" style="763"/>
    <col min="4845" max="4845" customWidth="1" bestFit="1" width="3.0" style="763"/>
    <col min="4846" max="4846" customWidth="1" bestFit="1" width="3.0" style="763"/>
    <col min="4847" max="4847" customWidth="1" bestFit="1" width="3.0" style="763"/>
    <col min="4848" max="4848" customWidth="1" bestFit="1" width="3.0" style="763"/>
    <col min="4849" max="4849" customWidth="1" bestFit="1" width="3.0" style="763"/>
    <col min="4850" max="4850" customWidth="1" bestFit="1" width="3.0" style="763"/>
    <col min="4851" max="4851" customWidth="1" bestFit="1" width="3.0" style="763"/>
    <col min="4852" max="4852" customWidth="1" bestFit="1" width="3.0" style="763"/>
    <col min="4853" max="4853" customWidth="1" bestFit="1" width="3.0" style="763"/>
    <col min="4854" max="4854" customWidth="1" bestFit="1" width="3.0" style="763"/>
    <col min="4855" max="4855" customWidth="1" bestFit="1" width="3.0" style="763"/>
    <col min="4856" max="4856" customWidth="1" bestFit="1" width="3.0" style="763"/>
    <col min="4857" max="4857" customWidth="1" bestFit="1" width="3.0" style="763"/>
    <col min="4858" max="4858" customWidth="1" bestFit="1" width="3.0" style="763"/>
    <col min="4859" max="4859" customWidth="1" bestFit="1" width="3.0" style="763"/>
    <col min="4860" max="4860" customWidth="1" bestFit="1" width="3.0" style="763"/>
    <col min="4861" max="4861" customWidth="1" bestFit="1" width="3.0" style="763"/>
    <col min="4862" max="4862" customWidth="1" bestFit="1" width="3.0" style="763"/>
    <col min="4863" max="4863" customWidth="1" bestFit="1" width="3.0" style="763"/>
    <col min="4864" max="4864" customWidth="1" bestFit="1" width="3.0" style="763"/>
    <col min="4865" max="4865" customWidth="1" bestFit="1" width="3.0" style="763"/>
    <col min="4866" max="4866" customWidth="1" bestFit="1" width="3.0" style="763"/>
    <col min="4867" max="4867" customWidth="1" bestFit="1" width="3.0" style="763"/>
    <col min="4868" max="4868" customWidth="1" bestFit="1" width="3.0" style="763"/>
    <col min="4869" max="4869" customWidth="1" bestFit="1" width="3.0" style="763"/>
    <col min="4870" max="4870" customWidth="1" bestFit="1" width="3.0" style="763"/>
    <col min="4871" max="4871" customWidth="1" bestFit="1" width="3.0" style="763"/>
    <col min="4872" max="4872" customWidth="1" bestFit="1" width="3.0" style="763"/>
    <col min="4873" max="4873" customWidth="1" bestFit="1" width="3.0" style="763"/>
    <col min="4874" max="4874" customWidth="1" bestFit="1" width="3.0" style="763"/>
    <col min="4875" max="4875" customWidth="1" bestFit="1" width="3.0" style="763"/>
    <col min="4876" max="4876" customWidth="1" bestFit="1" width="3.0" style="763"/>
    <col min="4877" max="4877" customWidth="1" bestFit="1" width="3.0" style="763"/>
    <col min="4878" max="4878" customWidth="1" bestFit="1" width="3.0" style="763"/>
    <col min="4879" max="4879" customWidth="1" bestFit="1" width="3.0" style="763"/>
    <col min="4880" max="4880" customWidth="1" bestFit="1" width="3.0" style="763"/>
    <col min="4881" max="4881" customWidth="1" bestFit="1" width="3.0" style="763"/>
    <col min="4882" max="4882" customWidth="1" bestFit="1" width="3.0" style="763"/>
    <col min="4883" max="4883" customWidth="1" bestFit="1" width="3.0" style="763"/>
    <col min="4884" max="4884" customWidth="1" bestFit="1" width="3.0" style="763"/>
    <col min="4885" max="4885" customWidth="1" bestFit="1" width="3.0" style="763"/>
    <col min="4886" max="4886" customWidth="1" bestFit="1" width="3.0" style="763"/>
    <col min="4887" max="4887" customWidth="1" bestFit="1" width="3.0" style="763"/>
    <col min="4888" max="4888" customWidth="1" bestFit="1" width="3.0" style="763"/>
    <col min="4889" max="4889" customWidth="1" bestFit="1" width="3.0" style="763"/>
    <col min="4890" max="4890" customWidth="1" bestFit="1" width="3.0" style="763"/>
    <col min="4891" max="4891" customWidth="1" bestFit="1" width="3.0" style="763"/>
    <col min="4892" max="4892" customWidth="1" bestFit="1" width="3.0" style="763"/>
    <col min="4893" max="4893" customWidth="1" bestFit="1" width="3.0" style="763"/>
    <col min="4894" max="4894" customWidth="1" bestFit="1" width="3.0" style="763"/>
    <col min="4895" max="4895" customWidth="1" bestFit="1" width="3.0" style="763"/>
    <col min="4896" max="4896" customWidth="1" bestFit="1" width="3.0" style="763"/>
    <col min="4897" max="4897" customWidth="1" bestFit="1" width="3.0" style="763"/>
    <col min="4898" max="4898" customWidth="1" bestFit="1" width="3.0" style="763"/>
    <col min="4899" max="4899" customWidth="1" bestFit="1" width="3.0" style="763"/>
    <col min="4900" max="4900" customWidth="1" bestFit="1" width="3.0" style="763"/>
    <col min="4901" max="4901" customWidth="1" bestFit="1" width="3.0" style="763"/>
    <col min="4902" max="4902" customWidth="1" bestFit="1" width="3.0" style="763"/>
    <col min="4903" max="4903" customWidth="1" bestFit="1" width="3.0" style="763"/>
    <col min="4904" max="4904" customWidth="1" bestFit="1" width="3.0" style="763"/>
    <col min="4905" max="4905" customWidth="1" bestFit="1" width="3.0" style="763"/>
    <col min="4906" max="4906" customWidth="1" bestFit="1" width="3.0" style="763"/>
    <col min="4907" max="4907" customWidth="1" bestFit="1" width="3.0" style="763"/>
    <col min="4908" max="4908" customWidth="1" bestFit="1" width="3.0" style="763"/>
    <col min="4909" max="4909" customWidth="1" bestFit="1" width="3.0" style="763"/>
    <col min="4910" max="4910" customWidth="1" bestFit="1" width="3.0" style="763"/>
    <col min="4911" max="4911" customWidth="1" bestFit="1" width="3.0" style="763"/>
    <col min="4912" max="4912" customWidth="1" bestFit="1" width="3.0" style="763"/>
    <col min="4913" max="4913" customWidth="1" bestFit="1" width="3.0" style="763"/>
    <col min="4914" max="4914" customWidth="1" bestFit="1" width="3.0" style="763"/>
    <col min="4915" max="4915" customWidth="1" bestFit="1" width="3.0" style="763"/>
    <col min="4916" max="4916" customWidth="1" bestFit="1" width="3.0" style="763"/>
    <col min="4917" max="4917" customWidth="1" bestFit="1" width="3.0" style="763"/>
    <col min="4918" max="4918" customWidth="1" bestFit="1" width="3.0" style="763"/>
    <col min="4919" max="4919" customWidth="1" bestFit="1" width="3.0" style="763"/>
    <col min="4920" max="4920" customWidth="1" bestFit="1" width="3.0" style="763"/>
    <col min="4921" max="4921" customWidth="1" bestFit="1" width="3.0" style="763"/>
    <col min="4922" max="4922" customWidth="1" bestFit="1" width="3.0" style="763"/>
    <col min="4923" max="4923" customWidth="1" bestFit="1" width="3.0" style="763"/>
    <col min="4924" max="4924" customWidth="1" bestFit="1" width="3.0" style="763"/>
    <col min="4925" max="4925" customWidth="1" bestFit="1" width="3.0" style="763"/>
    <col min="4926" max="4926" customWidth="1" bestFit="1" width="3.0" style="763"/>
    <col min="4927" max="4927" customWidth="1" bestFit="1" width="3.0" style="763"/>
    <col min="4928" max="4928" customWidth="1" bestFit="1" width="3.0" style="763"/>
    <col min="4929" max="4929" customWidth="1" bestFit="1" width="3.0" style="763"/>
    <col min="4930" max="4930" customWidth="1" bestFit="1" width="3.0" style="763"/>
    <col min="4931" max="4931" customWidth="1" bestFit="1" width="3.0" style="763"/>
    <col min="4932" max="4932" customWidth="1" bestFit="1" width="3.0" style="763"/>
    <col min="4933" max="4933" customWidth="1" bestFit="1" width="3.0" style="763"/>
    <col min="4934" max="4934" customWidth="1" bestFit="1" width="3.0" style="763"/>
    <col min="4935" max="4935" customWidth="1" bestFit="1" width="3.0" style="763"/>
    <col min="4936" max="4936" customWidth="1" bestFit="1" width="3.0" style="763"/>
    <col min="4937" max="4937" customWidth="1" bestFit="1" width="3.0" style="763"/>
    <col min="4938" max="4938" customWidth="1" bestFit="1" width="3.0" style="763"/>
    <col min="4939" max="4939" customWidth="1" bestFit="1" width="3.0" style="763"/>
    <col min="4940" max="4940" customWidth="1" bestFit="1" width="3.0" style="763"/>
    <col min="4941" max="4941" customWidth="1" bestFit="1" width="3.0" style="763"/>
    <col min="4942" max="4942" customWidth="1" bestFit="1" width="3.0" style="763"/>
    <col min="4943" max="4943" customWidth="1" bestFit="1" width="3.0" style="763"/>
    <col min="4944" max="4944" customWidth="1" bestFit="1" width="3.0" style="763"/>
    <col min="4945" max="4945" customWidth="1" bestFit="1" width="3.0" style="763"/>
    <col min="4946" max="4946" customWidth="1" bestFit="1" width="3.0" style="763"/>
    <col min="4947" max="4947" customWidth="1" bestFit="1" width="3.0" style="763"/>
    <col min="4948" max="4948" customWidth="1" bestFit="1" width="3.0" style="763"/>
    <col min="4949" max="4949" customWidth="1" bestFit="1" width="3.0" style="763"/>
    <col min="4950" max="4950" customWidth="1" bestFit="1" width="3.0" style="763"/>
    <col min="4951" max="4951" customWidth="1" bestFit="1" width="3.0" style="763"/>
    <col min="4952" max="4952" customWidth="1" bestFit="1" width="3.0" style="763"/>
    <col min="4953" max="4953" customWidth="1" bestFit="1" width="3.0" style="763"/>
    <col min="4954" max="4954" customWidth="1" bestFit="1" width="3.0" style="763"/>
    <col min="4955" max="4955" customWidth="1" bestFit="1" width="3.0" style="763"/>
    <col min="4956" max="4956" customWidth="1" bestFit="1" width="3.0" style="763"/>
    <col min="4957" max="4957" customWidth="1" bestFit="1" width="3.0" style="763"/>
    <col min="4958" max="4958" customWidth="1" bestFit="1" width="3.0" style="763"/>
    <col min="4959" max="4959" customWidth="1" bestFit="1" width="3.0" style="763"/>
    <col min="4960" max="4960" customWidth="1" bestFit="1" width="3.0" style="763"/>
    <col min="4961" max="4961" customWidth="1" bestFit="1" width="3.0" style="763"/>
    <col min="4962" max="4962" customWidth="1" bestFit="1" width="3.0" style="763"/>
    <col min="4963" max="4963" customWidth="1" bestFit="1" width="3.0" style="763"/>
    <col min="4964" max="4964" customWidth="1" bestFit="1" width="3.0" style="763"/>
    <col min="4965" max="4965" customWidth="1" bestFit="1" width="3.0" style="763"/>
    <col min="4966" max="4966" customWidth="1" bestFit="1" width="3.0" style="763"/>
    <col min="4967" max="4967" customWidth="1" bestFit="1" width="3.0" style="763"/>
    <col min="4968" max="4968" customWidth="1" bestFit="1" width="3.0" style="763"/>
    <col min="4969" max="4969" customWidth="1" bestFit="1" width="3.0" style="763"/>
    <col min="4970" max="4970" customWidth="1" bestFit="1" width="3.0" style="763"/>
    <col min="4971" max="4971" customWidth="1" bestFit="1" width="3.0" style="763"/>
    <col min="4972" max="4972" customWidth="1" bestFit="1" width="3.0" style="763"/>
    <col min="4973" max="4973" customWidth="1" bestFit="1" width="3.0" style="763"/>
    <col min="4974" max="4974" customWidth="1" bestFit="1" width="3.0" style="763"/>
    <col min="4975" max="4975" customWidth="1" bestFit="1" width="3.0" style="763"/>
    <col min="4976" max="4976" customWidth="1" bestFit="1" width="3.0" style="763"/>
    <col min="4977" max="4977" customWidth="1" bestFit="1" width="3.0" style="763"/>
    <col min="4978" max="4978" customWidth="1" bestFit="1" width="3.0" style="763"/>
    <col min="4979" max="4979" customWidth="1" bestFit="1" width="3.0" style="763"/>
    <col min="4980" max="4980" customWidth="1" bestFit="1" width="3.0" style="763"/>
    <col min="4981" max="4981" customWidth="1" bestFit="1" width="3.0" style="763"/>
    <col min="4982" max="4982" customWidth="1" bestFit="1" width="3.0" style="763"/>
    <col min="4983" max="4983" customWidth="1" bestFit="1" width="3.0" style="763"/>
    <col min="4984" max="4984" customWidth="1" bestFit="1" width="3.0" style="763"/>
    <col min="4985" max="4985" customWidth="1" bestFit="1" width="3.0" style="763"/>
    <col min="4986" max="4986" customWidth="1" bestFit="1" width="3.0" style="763"/>
    <col min="4987" max="4987" customWidth="1" bestFit="1" width="3.0" style="763"/>
    <col min="4988" max="4988" customWidth="1" bestFit="1" width="3.0" style="763"/>
    <col min="4989" max="4989" customWidth="1" bestFit="1" width="3.0" style="763"/>
    <col min="4990" max="4990" customWidth="1" bestFit="1" width="3.0" style="763"/>
    <col min="4991" max="4991" customWidth="1" bestFit="1" width="3.0" style="763"/>
    <col min="4992" max="4992" customWidth="1" bestFit="1" width="3.0" style="763"/>
    <col min="4993" max="4993" customWidth="1" bestFit="1" width="3.0" style="763"/>
    <col min="4994" max="4994" customWidth="1" bestFit="1" width="3.0" style="763"/>
    <col min="4995" max="4995" customWidth="1" bestFit="1" width="3.0" style="763"/>
    <col min="4996" max="4996" customWidth="1" bestFit="1" width="3.0" style="763"/>
    <col min="4997" max="4997" customWidth="1" bestFit="1" width="3.0" style="763"/>
    <col min="4998" max="4998" customWidth="1" bestFit="1" width="3.0" style="763"/>
    <col min="4999" max="4999" customWidth="1" bestFit="1" width="3.0" style="763"/>
    <col min="5000" max="5000" customWidth="1" bestFit="1" width="3.0" style="763"/>
    <col min="5001" max="5001" customWidth="1" bestFit="1" width="3.0" style="763"/>
    <col min="5002" max="5002" customWidth="1" bestFit="1" width="3.0" style="763"/>
    <col min="5003" max="5003" customWidth="1" bestFit="1" width="3.0" style="763"/>
    <col min="5004" max="5004" customWidth="1" bestFit="1" width="3.0" style="763"/>
    <col min="5005" max="5005" customWidth="1" bestFit="1" width="3.0" style="763"/>
    <col min="5006" max="5006" customWidth="1" bestFit="1" width="3.0" style="763"/>
    <col min="5007" max="5007" customWidth="1" bestFit="1" width="3.0" style="763"/>
    <col min="5008" max="5008" customWidth="1" bestFit="1" width="3.0" style="763"/>
    <col min="5009" max="5009" customWidth="1" bestFit="1" width="3.0" style="763"/>
    <col min="5010" max="5010" customWidth="1" bestFit="1" width="3.0" style="763"/>
    <col min="5011" max="5011" customWidth="1" bestFit="1" width="3.0" style="763"/>
    <col min="5012" max="5012" customWidth="1" bestFit="1" width="3.0" style="763"/>
    <col min="5013" max="5013" customWidth="1" bestFit="1" width="3.0" style="763"/>
    <col min="5014" max="5014" customWidth="1" bestFit="1" width="3.0" style="763"/>
    <col min="5015" max="5015" customWidth="1" bestFit="1" width="3.0" style="763"/>
    <col min="5016" max="5016" customWidth="1" bestFit="1" width="3.0" style="763"/>
    <col min="5017" max="5017" customWidth="1" bestFit="1" width="3.0" style="763"/>
    <col min="5018" max="5018" customWidth="1" bestFit="1" width="3.0" style="763"/>
    <col min="5019" max="5019" customWidth="1" bestFit="1" width="3.0" style="763"/>
    <col min="5020" max="5020" customWidth="1" bestFit="1" width="3.0" style="763"/>
    <col min="5021" max="5021" customWidth="1" bestFit="1" width="3.0" style="763"/>
    <col min="5022" max="5022" customWidth="1" bestFit="1" width="3.0" style="763"/>
    <col min="5023" max="5023" customWidth="1" bestFit="1" width="3.0" style="763"/>
    <col min="5024" max="5024" customWidth="1" bestFit="1" width="3.0" style="763"/>
    <col min="5025" max="5025" customWidth="1" bestFit="1" width="3.0" style="763"/>
    <col min="5026" max="5026" customWidth="1" bestFit="1" width="3.0" style="763"/>
    <col min="5027" max="5027" customWidth="1" bestFit="1" width="3.0" style="763"/>
    <col min="5028" max="5028" customWidth="1" bestFit="1" width="3.0" style="763"/>
    <col min="5029" max="5029" customWidth="1" bestFit="1" width="3.0" style="763"/>
    <col min="5030" max="5030" customWidth="1" bestFit="1" width="3.0" style="763"/>
    <col min="5031" max="5031" customWidth="1" bestFit="1" width="3.0" style="763"/>
    <col min="5032" max="5032" customWidth="1" bestFit="1" width="3.0" style="763"/>
    <col min="5033" max="5033" customWidth="1" bestFit="1" width="3.0" style="763"/>
    <col min="5034" max="5034" customWidth="1" bestFit="1" width="3.0" style="763"/>
    <col min="5035" max="5035" customWidth="1" bestFit="1" width="3.0" style="763"/>
    <col min="5036" max="5036" customWidth="1" bestFit="1" width="3.0" style="763"/>
    <col min="5037" max="5037" customWidth="1" bestFit="1" width="3.0" style="763"/>
    <col min="5038" max="5038" customWidth="1" bestFit="1" width="3.0" style="763"/>
    <col min="5039" max="5039" customWidth="1" bestFit="1" width="3.0" style="763"/>
    <col min="5040" max="5040" customWidth="1" bestFit="1" width="3.0" style="763"/>
    <col min="5041" max="5041" customWidth="1" bestFit="1" width="3.0" style="763"/>
    <col min="5042" max="5042" customWidth="1" bestFit="1" width="3.0" style="763"/>
    <col min="5043" max="5043" customWidth="1" bestFit="1" width="3.0" style="763"/>
    <col min="5044" max="5044" customWidth="1" bestFit="1" width="3.0" style="763"/>
    <col min="5045" max="5045" customWidth="1" bestFit="1" width="3.0" style="763"/>
    <col min="5046" max="5046" customWidth="1" bestFit="1" width="3.0" style="763"/>
    <col min="5047" max="5047" customWidth="1" bestFit="1" width="3.0" style="763"/>
    <col min="5048" max="5048" customWidth="1" bestFit="1" width="3.0" style="763"/>
    <col min="5049" max="5049" customWidth="1" bestFit="1" width="3.0" style="763"/>
    <col min="5050" max="5050" customWidth="1" bestFit="1" width="3.0" style="763"/>
    <col min="5051" max="5051" customWidth="1" bestFit="1" width="3.0" style="763"/>
    <col min="5052" max="5052" customWidth="1" bestFit="1" width="3.0" style="763"/>
    <col min="5053" max="5053" customWidth="1" bestFit="1" width="3.0" style="763"/>
    <col min="5054" max="5054" customWidth="1" bestFit="1" width="3.0" style="763"/>
    <col min="5055" max="5055" customWidth="1" bestFit="1" width="3.0" style="763"/>
    <col min="5056" max="5056" customWidth="1" bestFit="1" width="3.0" style="763"/>
    <col min="5057" max="5057" customWidth="1" bestFit="1" width="3.0" style="763"/>
    <col min="5058" max="5058" customWidth="1" bestFit="1" width="3.0" style="763"/>
    <col min="5059" max="5059" customWidth="1" bestFit="1" width="3.0" style="763"/>
    <col min="5060" max="5060" customWidth="1" bestFit="1" width="3.0" style="763"/>
    <col min="5061" max="5061" customWidth="1" bestFit="1" width="3.0" style="763"/>
    <col min="5062" max="5062" customWidth="1" bestFit="1" width="3.0" style="763"/>
    <col min="5063" max="5063" customWidth="1" bestFit="1" width="3.0" style="763"/>
    <col min="5064" max="5064" customWidth="1" bestFit="1" width="3.0" style="763"/>
    <col min="5065" max="5065" customWidth="1" bestFit="1" width="3.0" style="763"/>
    <col min="5066" max="5066" customWidth="1" bestFit="1" width="3.0" style="763"/>
    <col min="5067" max="5067" customWidth="1" bestFit="1" width="3.0" style="763"/>
    <col min="5068" max="5068" customWidth="1" bestFit="1" width="3.0" style="763"/>
    <col min="5069" max="5069" customWidth="1" bestFit="1" width="3.0" style="763"/>
    <col min="5070" max="5070" customWidth="1" bestFit="1" width="3.0" style="763"/>
    <col min="5071" max="5071" customWidth="1" bestFit="1" width="3.0" style="763"/>
    <col min="5072" max="5072" customWidth="1" bestFit="1" width="3.0" style="763"/>
    <col min="5073" max="5073" customWidth="1" bestFit="1" width="3.0" style="763"/>
    <col min="5074" max="5074" customWidth="1" bestFit="1" width="3.0" style="763"/>
    <col min="5075" max="5075" customWidth="1" bestFit="1" width="3.0" style="763"/>
    <col min="5076" max="5076" customWidth="1" bestFit="1" width="3.0" style="763"/>
    <col min="5077" max="5077" customWidth="1" bestFit="1" width="3.0" style="763"/>
    <col min="5078" max="5078" customWidth="1" bestFit="1" width="3.0" style="763"/>
    <col min="5079" max="5079" customWidth="1" bestFit="1" width="3.0" style="763"/>
    <col min="5080" max="5080" customWidth="1" bestFit="1" width="3.0" style="763"/>
    <col min="5081" max="5081" customWidth="1" bestFit="1" width="3.0" style="763"/>
    <col min="5082" max="5082" customWidth="1" bestFit="1" width="3.0" style="763"/>
    <col min="5083" max="5083" customWidth="1" bestFit="1" width="3.0" style="763"/>
    <col min="5084" max="5084" customWidth="1" bestFit="1" width="3.0" style="763"/>
    <col min="5085" max="5085" customWidth="1" bestFit="1" width="3.0" style="763"/>
    <col min="5086" max="5086" customWidth="1" bestFit="1" width="3.0" style="763"/>
    <col min="5087" max="5087" customWidth="1" bestFit="1" width="3.0" style="763"/>
    <col min="5088" max="5088" customWidth="1" bestFit="1" width="3.0" style="763"/>
    <col min="5089" max="5089" customWidth="1" bestFit="1" width="3.0" style="763"/>
    <col min="5090" max="5090" customWidth="1" bestFit="1" width="3.0" style="763"/>
    <col min="5091" max="5091" customWidth="1" bestFit="1" width="3.0" style="763"/>
    <col min="5092" max="5092" customWidth="1" bestFit="1" width="3.0" style="763"/>
    <col min="5093" max="5093" customWidth="1" bestFit="1" width="3.0" style="763"/>
    <col min="5094" max="5094" customWidth="1" bestFit="1" width="3.0" style="763"/>
    <col min="5095" max="5095" customWidth="1" bestFit="1" width="3.0" style="763"/>
    <col min="5096" max="5096" customWidth="1" bestFit="1" width="3.0" style="763"/>
    <col min="5097" max="5097" customWidth="1" bestFit="1" width="3.0" style="763"/>
    <col min="5098" max="5098" customWidth="1" bestFit="1" width="3.0" style="763"/>
    <col min="5099" max="5099" customWidth="1" bestFit="1" width="3.0" style="763"/>
    <col min="5100" max="5100" customWidth="1" bestFit="1" width="3.0" style="763"/>
    <col min="5101" max="5101" customWidth="1" bestFit="1" width="3.0" style="763"/>
    <col min="5102" max="5102" customWidth="1" bestFit="1" width="3.0" style="763"/>
    <col min="5103" max="5103" customWidth="1" bestFit="1" width="3.0" style="763"/>
    <col min="5104" max="5104" customWidth="1" bestFit="1" width="3.0" style="763"/>
    <col min="5105" max="5105" customWidth="1" bestFit="1" width="3.0" style="763"/>
    <col min="5106" max="5106" customWidth="1" bestFit="1" width="3.0" style="763"/>
    <col min="5107" max="5107" customWidth="1" bestFit="1" width="3.0" style="763"/>
    <col min="5108" max="5108" customWidth="1" bestFit="1" width="3.0" style="763"/>
    <col min="5109" max="5109" customWidth="1" bestFit="1" width="3.0" style="763"/>
    <col min="5110" max="5110" customWidth="1" bestFit="1" width="3.0" style="763"/>
    <col min="5111" max="5111" customWidth="1" bestFit="1" width="3.0" style="763"/>
    <col min="5112" max="5112" customWidth="1" bestFit="1" width="3.0" style="763"/>
    <col min="5113" max="5113" customWidth="1" bestFit="1" width="3.0" style="763"/>
    <col min="5114" max="5114" customWidth="1" bestFit="1" width="3.0" style="763"/>
    <col min="5115" max="5115" customWidth="1" bestFit="1" width="3.0" style="763"/>
    <col min="5116" max="5116" customWidth="1" bestFit="1" width="3.0" style="763"/>
    <col min="5117" max="5117" customWidth="1" bestFit="1" width="3.0" style="763"/>
    <col min="5118" max="5118" customWidth="1" bestFit="1" width="3.0" style="763"/>
    <col min="5119" max="5119" customWidth="1" bestFit="1" width="3.0" style="763"/>
    <col min="5120" max="5120" customWidth="1" bestFit="1" width="3.0" style="763"/>
    <col min="5121" max="5121" customWidth="1" bestFit="1" width="3.0" style="763"/>
    <col min="5122" max="5122" customWidth="1" bestFit="1" width="3.0" style="763"/>
    <col min="5123" max="5123" customWidth="1" bestFit="1" width="3.0" style="763"/>
    <col min="5124" max="5124" customWidth="1" bestFit="1" width="3.0" style="763"/>
    <col min="5125" max="5125" customWidth="1" bestFit="1" width="3.0" style="763"/>
    <col min="5126" max="5126" customWidth="1" bestFit="1" width="3.0" style="763"/>
    <col min="5127" max="5127" customWidth="1" bestFit="1" width="3.0" style="763"/>
    <col min="5128" max="5128" customWidth="1" bestFit="1" width="3.0" style="763"/>
    <col min="5129" max="5129" customWidth="1" bestFit="1" width="3.0" style="763"/>
    <col min="5130" max="5130" customWidth="1" bestFit="1" width="3.0" style="763"/>
    <col min="5131" max="5131" customWidth="1" bestFit="1" width="3.0" style="763"/>
    <col min="5132" max="5132" customWidth="1" bestFit="1" width="3.0" style="763"/>
    <col min="5133" max="5133" customWidth="1" bestFit="1" width="3.0" style="763"/>
    <col min="5134" max="5134" customWidth="1" bestFit="1" width="3.0" style="763"/>
    <col min="5135" max="5135" customWidth="1" bestFit="1" width="3.0" style="763"/>
    <col min="5136" max="5136" customWidth="1" bestFit="1" width="3.0" style="763"/>
    <col min="5137" max="5137" customWidth="1" bestFit="1" width="3.0" style="763"/>
    <col min="5138" max="5138" customWidth="1" bestFit="1" width="3.0" style="763"/>
    <col min="5139" max="5139" customWidth="1" bestFit="1" width="3.0" style="763"/>
    <col min="5140" max="5140" customWidth="1" bestFit="1" width="3.0" style="763"/>
    <col min="5141" max="5141" customWidth="1" bestFit="1" width="3.0" style="763"/>
    <col min="5142" max="5142" customWidth="1" bestFit="1" width="3.0" style="763"/>
    <col min="5143" max="5143" customWidth="1" bestFit="1" width="3.0" style="763"/>
    <col min="5144" max="5144" customWidth="1" bestFit="1" width="3.0" style="763"/>
    <col min="5145" max="5145" customWidth="1" bestFit="1" width="3.0" style="763"/>
    <col min="5146" max="5146" customWidth="1" bestFit="1" width="3.0" style="763"/>
    <col min="5147" max="5147" customWidth="1" bestFit="1" width="3.0" style="763"/>
    <col min="5148" max="5148" customWidth="1" bestFit="1" width="3.0" style="763"/>
    <col min="5149" max="5149" customWidth="1" bestFit="1" width="3.0" style="763"/>
    <col min="5150" max="5150" customWidth="1" bestFit="1" width="3.0" style="763"/>
    <col min="5151" max="5151" customWidth="1" bestFit="1" width="3.0" style="763"/>
    <col min="5152" max="5152" customWidth="1" bestFit="1" width="3.0" style="763"/>
    <col min="5153" max="5153" customWidth="1" bestFit="1" width="3.0" style="763"/>
    <col min="5154" max="5154" customWidth="1" bestFit="1" width="3.0" style="763"/>
    <col min="5155" max="5155" customWidth="1" bestFit="1" width="3.0" style="763"/>
    <col min="5156" max="5156" customWidth="1" bestFit="1" width="3.0" style="763"/>
    <col min="5157" max="5157" customWidth="1" bestFit="1" width="3.0" style="763"/>
    <col min="5158" max="5158" customWidth="1" bestFit="1" width="3.0" style="763"/>
    <col min="5159" max="5159" customWidth="1" bestFit="1" width="3.0" style="763"/>
    <col min="5160" max="5160" customWidth="1" bestFit="1" width="3.0" style="763"/>
    <col min="5161" max="5161" customWidth="1" bestFit="1" width="3.0" style="763"/>
    <col min="5162" max="5162" customWidth="1" bestFit="1" width="3.0" style="763"/>
    <col min="5163" max="5163" customWidth="1" bestFit="1" width="3.0" style="763"/>
    <col min="5164" max="5164" customWidth="1" bestFit="1" width="3.0" style="763"/>
    <col min="5165" max="5165" customWidth="1" bestFit="1" width="3.0" style="763"/>
    <col min="5166" max="5166" customWidth="1" bestFit="1" width="3.0" style="763"/>
    <col min="5167" max="5167" customWidth="1" bestFit="1" width="3.0" style="763"/>
    <col min="5168" max="5168" customWidth="1" bestFit="1" width="3.0" style="763"/>
    <col min="5169" max="5169" customWidth="1" bestFit="1" width="3.0" style="763"/>
    <col min="5170" max="5170" customWidth="1" bestFit="1" width="3.0" style="763"/>
    <col min="5171" max="5171" customWidth="1" bestFit="1" width="3.0" style="763"/>
    <col min="5172" max="5172" customWidth="1" bestFit="1" width="3.0" style="763"/>
    <col min="5173" max="5173" customWidth="1" bestFit="1" width="3.0" style="763"/>
    <col min="5174" max="5174" customWidth="1" bestFit="1" width="3.0" style="763"/>
    <col min="5175" max="5175" customWidth="1" bestFit="1" width="3.0" style="763"/>
    <col min="5176" max="5176" customWidth="1" bestFit="1" width="3.0" style="763"/>
    <col min="5177" max="5177" customWidth="1" bestFit="1" width="3.0" style="763"/>
    <col min="5178" max="5178" customWidth="1" bestFit="1" width="3.0" style="763"/>
    <col min="5179" max="5179" customWidth="1" bestFit="1" width="3.0" style="763"/>
    <col min="5180" max="5180" customWidth="1" bestFit="1" width="3.0" style="763"/>
    <col min="5181" max="5181" customWidth="1" bestFit="1" width="3.0" style="763"/>
    <col min="5182" max="5182" customWidth="1" bestFit="1" width="3.0" style="763"/>
    <col min="5183" max="5183" customWidth="1" bestFit="1" width="3.0" style="763"/>
    <col min="5184" max="5184" customWidth="1" bestFit="1" width="3.0" style="763"/>
    <col min="5185" max="5185" customWidth="1" bestFit="1" width="3.0" style="763"/>
    <col min="5186" max="5186" customWidth="1" bestFit="1" width="3.0" style="763"/>
    <col min="5187" max="5187" customWidth="1" bestFit="1" width="3.0" style="763"/>
    <col min="5188" max="5188" customWidth="1" bestFit="1" width="3.0" style="763"/>
    <col min="5189" max="5189" customWidth="1" bestFit="1" width="3.0" style="763"/>
    <col min="5190" max="5190" customWidth="1" bestFit="1" width="3.0" style="763"/>
    <col min="5191" max="5191" customWidth="1" bestFit="1" width="3.0" style="763"/>
    <col min="5192" max="5192" customWidth="1" bestFit="1" width="3.0" style="763"/>
    <col min="5193" max="5193" customWidth="1" bestFit="1" width="3.0" style="763"/>
    <col min="5194" max="5194" customWidth="1" bestFit="1" width="3.0" style="763"/>
    <col min="5195" max="5195" customWidth="1" bestFit="1" width="3.0" style="763"/>
    <col min="5196" max="5196" customWidth="1" bestFit="1" width="3.0" style="763"/>
    <col min="5197" max="5197" customWidth="1" bestFit="1" width="3.0" style="763"/>
    <col min="5198" max="5198" customWidth="1" bestFit="1" width="3.0" style="763"/>
    <col min="5199" max="5199" customWidth="1" bestFit="1" width="3.0" style="763"/>
    <col min="5200" max="5200" customWidth="1" bestFit="1" width="3.0" style="763"/>
    <col min="5201" max="5201" customWidth="1" bestFit="1" width="3.0" style="763"/>
    <col min="5202" max="5202" customWidth="1" bestFit="1" width="3.0" style="763"/>
    <col min="5203" max="5203" customWidth="1" bestFit="1" width="3.0" style="763"/>
    <col min="5204" max="5204" customWidth="1" bestFit="1" width="3.0" style="763"/>
    <col min="5205" max="5205" customWidth="1" bestFit="1" width="3.0" style="763"/>
    <col min="5206" max="5206" customWidth="1" bestFit="1" width="3.0" style="763"/>
    <col min="5207" max="5207" customWidth="1" bestFit="1" width="3.0" style="763"/>
    <col min="5208" max="5208" customWidth="1" bestFit="1" width="3.0" style="763"/>
    <col min="5209" max="5209" customWidth="1" bestFit="1" width="3.0" style="763"/>
    <col min="5210" max="5210" customWidth="1" bestFit="1" width="3.0" style="763"/>
    <col min="5211" max="5211" customWidth="1" bestFit="1" width="3.0" style="763"/>
    <col min="5212" max="5212" customWidth="1" bestFit="1" width="3.0" style="763"/>
    <col min="5213" max="5213" customWidth="1" bestFit="1" width="3.0" style="763"/>
    <col min="5214" max="5214" customWidth="1" bestFit="1" width="3.0" style="763"/>
    <col min="5215" max="5215" customWidth="1" bestFit="1" width="3.0" style="763"/>
    <col min="5216" max="5216" customWidth="1" bestFit="1" width="3.0" style="763"/>
    <col min="5217" max="5217" customWidth="1" bestFit="1" width="3.0" style="763"/>
    <col min="5218" max="5218" customWidth="1" bestFit="1" width="3.0" style="763"/>
    <col min="5219" max="5219" customWidth="1" bestFit="1" width="3.0" style="763"/>
    <col min="5220" max="5220" customWidth="1" bestFit="1" width="3.0" style="763"/>
    <col min="5221" max="5221" customWidth="1" bestFit="1" width="3.0" style="763"/>
    <col min="5222" max="5222" customWidth="1" bestFit="1" width="3.0" style="763"/>
    <col min="5223" max="5223" customWidth="1" bestFit="1" width="3.0" style="763"/>
    <col min="5224" max="5224" customWidth="1" bestFit="1" width="3.0" style="763"/>
    <col min="5225" max="5225" customWidth="1" bestFit="1" width="3.0" style="763"/>
    <col min="5226" max="5226" customWidth="1" bestFit="1" width="3.0" style="763"/>
    <col min="5227" max="5227" customWidth="1" bestFit="1" width="3.0" style="763"/>
    <col min="5228" max="5228" customWidth="1" bestFit="1" width="3.0" style="763"/>
    <col min="5229" max="5229" customWidth="1" bestFit="1" width="3.0" style="763"/>
    <col min="5230" max="5230" customWidth="1" bestFit="1" width="3.0" style="763"/>
    <col min="5231" max="5231" customWidth="1" bestFit="1" width="3.0" style="763"/>
    <col min="5232" max="5232" customWidth="1" bestFit="1" width="3.0" style="763"/>
    <col min="5233" max="5233" customWidth="1" bestFit="1" width="3.0" style="763"/>
    <col min="5234" max="5234" customWidth="1" bestFit="1" width="3.0" style="763"/>
    <col min="5235" max="5235" customWidth="1" bestFit="1" width="3.0" style="763"/>
    <col min="5236" max="5236" customWidth="1" bestFit="1" width="3.0" style="763"/>
    <col min="5237" max="5237" customWidth="1" bestFit="1" width="3.0" style="763"/>
    <col min="5238" max="5238" customWidth="1" bestFit="1" width="3.0" style="763"/>
    <col min="5239" max="5239" customWidth="1" bestFit="1" width="3.0" style="763"/>
    <col min="5240" max="5240" customWidth="1" bestFit="1" width="3.0" style="763"/>
    <col min="5241" max="5241" customWidth="1" bestFit="1" width="3.0" style="763"/>
    <col min="5242" max="5242" customWidth="1" bestFit="1" width="3.0" style="763"/>
    <col min="5243" max="5243" customWidth="1" bestFit="1" width="3.0" style="763"/>
    <col min="5244" max="5244" customWidth="1" bestFit="1" width="3.0" style="763"/>
    <col min="5245" max="5245" customWidth="1" bestFit="1" width="3.0" style="763"/>
    <col min="5246" max="5246" customWidth="1" bestFit="1" width="3.0" style="763"/>
    <col min="5247" max="5247" customWidth="1" bestFit="1" width="3.0" style="763"/>
    <col min="5248" max="5248" customWidth="1" bestFit="1" width="3.0" style="763"/>
    <col min="5249" max="5249" customWidth="1" bestFit="1" width="3.0" style="763"/>
    <col min="5250" max="5250" customWidth="1" bestFit="1" width="3.0" style="763"/>
    <col min="5251" max="5251" customWidth="1" bestFit="1" width="3.0" style="763"/>
    <col min="5252" max="5252" customWidth="1" bestFit="1" width="3.0" style="763"/>
    <col min="5253" max="5253" customWidth="1" bestFit="1" width="3.0" style="763"/>
    <col min="5254" max="5254" customWidth="1" bestFit="1" width="3.0" style="763"/>
    <col min="5255" max="5255" customWidth="1" bestFit="1" width="3.0" style="763"/>
    <col min="5256" max="5256" customWidth="1" bestFit="1" width="3.0" style="763"/>
    <col min="5257" max="5257" customWidth="1" bestFit="1" width="3.0" style="763"/>
    <col min="5258" max="5258" customWidth="1" bestFit="1" width="3.0" style="763"/>
    <col min="5259" max="5259" customWidth="1" bestFit="1" width="3.0" style="763"/>
    <col min="5260" max="5260" customWidth="1" bestFit="1" width="3.0" style="763"/>
    <col min="5261" max="5261" customWidth="1" bestFit="1" width="3.0" style="763"/>
    <col min="5262" max="5262" customWidth="1" bestFit="1" width="3.0" style="763"/>
    <col min="5263" max="5263" customWidth="1" bestFit="1" width="3.0" style="763"/>
    <col min="5264" max="5264" customWidth="1" bestFit="1" width="3.0" style="763"/>
    <col min="5265" max="5265" customWidth="1" bestFit="1" width="3.0" style="763"/>
    <col min="5266" max="5266" customWidth="1" bestFit="1" width="3.0" style="763"/>
    <col min="5267" max="5267" customWidth="1" bestFit="1" width="3.0" style="763"/>
    <col min="5268" max="5268" customWidth="1" bestFit="1" width="3.0" style="763"/>
    <col min="5269" max="5269" customWidth="1" bestFit="1" width="3.0" style="763"/>
    <col min="5270" max="5270" customWidth="1" bestFit="1" width="3.0" style="763"/>
    <col min="5271" max="5271" customWidth="1" bestFit="1" width="3.0" style="763"/>
    <col min="5272" max="5272" customWidth="1" bestFit="1" width="3.0" style="763"/>
    <col min="5273" max="5273" customWidth="1" bestFit="1" width="3.0" style="763"/>
    <col min="5274" max="5274" customWidth="1" bestFit="1" width="3.0" style="763"/>
    <col min="5275" max="5275" customWidth="1" bestFit="1" width="3.0" style="763"/>
    <col min="5276" max="5276" customWidth="1" bestFit="1" width="3.0" style="763"/>
    <col min="5277" max="5277" customWidth="1" bestFit="1" width="3.0" style="763"/>
    <col min="5278" max="5278" customWidth="1" bestFit="1" width="3.0" style="763"/>
    <col min="5279" max="5279" customWidth="1" bestFit="1" width="3.0" style="763"/>
    <col min="5280" max="5280" customWidth="1" bestFit="1" width="3.0" style="763"/>
    <col min="5281" max="5281" customWidth="1" bestFit="1" width="3.0" style="763"/>
    <col min="5282" max="5282" customWidth="1" bestFit="1" width="3.0" style="763"/>
    <col min="5283" max="5283" customWidth="1" bestFit="1" width="3.0" style="763"/>
    <col min="5284" max="5284" customWidth="1" bestFit="1" width="3.0" style="763"/>
    <col min="5285" max="5285" customWidth="1" bestFit="1" width="3.0" style="763"/>
    <col min="5286" max="5286" customWidth="1" bestFit="1" width="3.0" style="763"/>
    <col min="5287" max="5287" customWidth="1" bestFit="1" width="3.0" style="763"/>
    <col min="5288" max="5288" customWidth="1" bestFit="1" width="3.0" style="763"/>
    <col min="5289" max="5289" customWidth="1" bestFit="1" width="3.0" style="763"/>
    <col min="5290" max="5290" customWidth="1" bestFit="1" width="3.0" style="763"/>
    <col min="5291" max="5291" customWidth="1" bestFit="1" width="3.0" style="763"/>
    <col min="5292" max="5292" customWidth="1" bestFit="1" width="3.0" style="763"/>
    <col min="5293" max="5293" customWidth="1" bestFit="1" width="3.0" style="763"/>
    <col min="5294" max="5294" customWidth="1" bestFit="1" width="3.0" style="763"/>
    <col min="5295" max="5295" customWidth="1" bestFit="1" width="3.0" style="763"/>
    <col min="5296" max="5296" customWidth="1" bestFit="1" width="3.0" style="763"/>
    <col min="5297" max="5297" customWidth="1" bestFit="1" width="3.0" style="763"/>
    <col min="5298" max="5298" customWidth="1" bestFit="1" width="3.0" style="763"/>
    <col min="5299" max="5299" customWidth="1" bestFit="1" width="3.0" style="763"/>
    <col min="5300" max="5300" customWidth="1" bestFit="1" width="3.0" style="763"/>
    <col min="5301" max="5301" customWidth="1" bestFit="1" width="3.0" style="763"/>
    <col min="5302" max="5302" customWidth="1" bestFit="1" width="3.0" style="763"/>
    <col min="5303" max="5303" customWidth="1" bestFit="1" width="3.0" style="763"/>
    <col min="5304" max="5304" customWidth="1" bestFit="1" width="3.0" style="763"/>
    <col min="5305" max="5305" customWidth="1" bestFit="1" width="3.0" style="763"/>
    <col min="5306" max="5306" customWidth="1" bestFit="1" width="3.0" style="763"/>
    <col min="5307" max="5307" customWidth="1" bestFit="1" width="3.0" style="763"/>
    <col min="5308" max="5308" customWidth="1" bestFit="1" width="3.0" style="763"/>
    <col min="5309" max="5309" customWidth="1" bestFit="1" width="3.0" style="763"/>
    <col min="5310" max="5310" customWidth="1" bestFit="1" width="3.0" style="763"/>
    <col min="5311" max="5311" customWidth="1" bestFit="1" width="3.0" style="763"/>
    <col min="5312" max="5312" customWidth="1" bestFit="1" width="3.0" style="763"/>
    <col min="5313" max="5313" customWidth="1" bestFit="1" width="3.0" style="763"/>
    <col min="5314" max="5314" customWidth="1" bestFit="1" width="3.0" style="763"/>
    <col min="5315" max="5315" customWidth="1" bestFit="1" width="3.0" style="763"/>
    <col min="5316" max="5316" customWidth="1" bestFit="1" width="3.0" style="763"/>
    <col min="5317" max="5317" customWidth="1" bestFit="1" width="3.0" style="763"/>
    <col min="5318" max="5318" customWidth="1" bestFit="1" width="3.0" style="763"/>
    <col min="5319" max="5319" customWidth="1" bestFit="1" width="3.0" style="763"/>
    <col min="5320" max="5320" customWidth="1" bestFit="1" width="3.0" style="763"/>
    <col min="5321" max="5321" customWidth="1" bestFit="1" width="3.0" style="763"/>
    <col min="5322" max="5322" customWidth="1" bestFit="1" width="3.0" style="763"/>
    <col min="5323" max="5323" customWidth="1" bestFit="1" width="3.0" style="763"/>
    <col min="5324" max="5324" customWidth="1" bestFit="1" width="3.0" style="763"/>
    <col min="5325" max="5325" customWidth="1" bestFit="1" width="3.0" style="763"/>
    <col min="5326" max="5326" customWidth="1" bestFit="1" width="3.0" style="763"/>
    <col min="5327" max="5327" customWidth="1" bestFit="1" width="3.0" style="763"/>
    <col min="5328" max="5328" customWidth="1" bestFit="1" width="3.0" style="763"/>
    <col min="5329" max="5329" customWidth="1" bestFit="1" width="3.0" style="763"/>
    <col min="5330" max="5330" customWidth="1" bestFit="1" width="3.0" style="763"/>
    <col min="5331" max="5331" customWidth="1" bestFit="1" width="3.0" style="763"/>
    <col min="5332" max="5332" customWidth="1" bestFit="1" width="3.0" style="763"/>
    <col min="5333" max="5333" customWidth="1" bestFit="1" width="3.0" style="763"/>
    <col min="5334" max="5334" customWidth="1" bestFit="1" width="3.0" style="763"/>
    <col min="5335" max="5335" customWidth="1" bestFit="1" width="3.0" style="763"/>
    <col min="5336" max="5336" customWidth="1" bestFit="1" width="3.0" style="763"/>
    <col min="5337" max="5337" customWidth="1" bestFit="1" width="3.0" style="763"/>
    <col min="5338" max="5338" customWidth="1" bestFit="1" width="3.0" style="763"/>
    <col min="5339" max="5339" customWidth="1" bestFit="1" width="3.0" style="763"/>
    <col min="5340" max="5340" customWidth="1" bestFit="1" width="3.0" style="763"/>
    <col min="5341" max="5341" customWidth="1" bestFit="1" width="3.0" style="763"/>
    <col min="5342" max="5342" customWidth="1" bestFit="1" width="3.0" style="763"/>
    <col min="5343" max="5343" customWidth="1" bestFit="1" width="3.0" style="763"/>
    <col min="5344" max="5344" customWidth="1" bestFit="1" width="3.0" style="763"/>
    <col min="5345" max="5345" customWidth="1" bestFit="1" width="3.0" style="763"/>
    <col min="5346" max="5346" customWidth="1" bestFit="1" width="3.0" style="763"/>
    <col min="5347" max="5347" customWidth="1" bestFit="1" width="3.0" style="763"/>
    <col min="5348" max="5348" customWidth="1" bestFit="1" width="3.0" style="763"/>
    <col min="5349" max="5349" customWidth="1" bestFit="1" width="3.0" style="763"/>
    <col min="5350" max="5350" customWidth="1" bestFit="1" width="3.0" style="763"/>
    <col min="5351" max="5351" customWidth="1" bestFit="1" width="3.0" style="763"/>
    <col min="5352" max="5352" customWidth="1" bestFit="1" width="3.0" style="763"/>
    <col min="5353" max="5353" customWidth="1" bestFit="1" width="3.0" style="763"/>
    <col min="5354" max="5354" customWidth="1" bestFit="1" width="3.0" style="763"/>
    <col min="5355" max="5355" customWidth="1" bestFit="1" width="3.0" style="763"/>
    <col min="5356" max="5356" customWidth="1" bestFit="1" width="3.0" style="763"/>
    <col min="5357" max="5357" customWidth="1" bestFit="1" width="3.0" style="763"/>
    <col min="5358" max="5358" customWidth="1" bestFit="1" width="3.0" style="763"/>
    <col min="5359" max="5359" customWidth="1" bestFit="1" width="3.0" style="763"/>
    <col min="5360" max="5360" customWidth="1" bestFit="1" width="3.0" style="763"/>
    <col min="5361" max="5361" customWidth="1" bestFit="1" width="3.0" style="763"/>
    <col min="5362" max="5362" customWidth="1" bestFit="1" width="3.0" style="763"/>
    <col min="5363" max="5363" customWidth="1" bestFit="1" width="3.0" style="763"/>
    <col min="5364" max="5364" customWidth="1" bestFit="1" width="3.0" style="763"/>
    <col min="5365" max="5365" customWidth="1" bestFit="1" width="3.0" style="763"/>
    <col min="5366" max="5366" customWidth="1" bestFit="1" width="3.0" style="763"/>
    <col min="5367" max="5367" customWidth="1" bestFit="1" width="3.0" style="763"/>
    <col min="5368" max="5368" customWidth="1" bestFit="1" width="3.0" style="763"/>
    <col min="5369" max="5369" customWidth="1" bestFit="1" width="3.0" style="763"/>
    <col min="5370" max="5370" customWidth="1" bestFit="1" width="3.0" style="763"/>
    <col min="5371" max="5371" customWidth="1" bestFit="1" width="3.0" style="763"/>
    <col min="5372" max="5372" customWidth="1" bestFit="1" width="3.0" style="763"/>
    <col min="5373" max="5373" customWidth="1" bestFit="1" width="3.0" style="763"/>
    <col min="5374" max="5374" customWidth="1" bestFit="1" width="3.0" style="763"/>
    <col min="5375" max="5375" customWidth="1" bestFit="1" width="3.0" style="763"/>
    <col min="5376" max="5376" customWidth="1" bestFit="1" width="3.0" style="763"/>
    <col min="5377" max="5377" customWidth="1" bestFit="1" width="3.0" style="763"/>
    <col min="5378" max="5378" customWidth="1" bestFit="1" width="3.0" style="763"/>
    <col min="5379" max="5379" customWidth="1" bestFit="1" width="3.0" style="763"/>
    <col min="5380" max="5380" customWidth="1" bestFit="1" width="3.0" style="763"/>
    <col min="5381" max="5381" customWidth="1" bestFit="1" width="3.0" style="763"/>
    <col min="5382" max="5382" customWidth="1" bestFit="1" width="3.0" style="763"/>
    <col min="5383" max="5383" customWidth="1" bestFit="1" width="3.0" style="763"/>
    <col min="5384" max="5384" customWidth="1" bestFit="1" width="3.0" style="763"/>
    <col min="5385" max="5385" customWidth="1" bestFit="1" width="3.0" style="763"/>
    <col min="5386" max="5386" customWidth="1" bestFit="1" width="3.0" style="763"/>
    <col min="5387" max="5387" customWidth="1" bestFit="1" width="3.0" style="763"/>
    <col min="5388" max="5388" customWidth="1" bestFit="1" width="3.0" style="763"/>
    <col min="5389" max="5389" customWidth="1" bestFit="1" width="3.0" style="763"/>
    <col min="5390" max="5390" customWidth="1" bestFit="1" width="3.0" style="763"/>
    <col min="5391" max="5391" customWidth="1" bestFit="1" width="3.0" style="763"/>
    <col min="5392" max="5392" customWidth="1" bestFit="1" width="3.0" style="763"/>
    <col min="5393" max="5393" customWidth="1" bestFit="1" width="3.0" style="763"/>
    <col min="5394" max="5394" customWidth="1" bestFit="1" width="3.0" style="763"/>
    <col min="5395" max="5395" customWidth="1" bestFit="1" width="3.0" style="763"/>
    <col min="5396" max="5396" customWidth="1" bestFit="1" width="3.0" style="763"/>
    <col min="5397" max="5397" customWidth="1" bestFit="1" width="3.0" style="763"/>
    <col min="5398" max="5398" customWidth="1" bestFit="1" width="3.0" style="763"/>
    <col min="5399" max="5399" customWidth="1" bestFit="1" width="3.0" style="763"/>
    <col min="5400" max="5400" customWidth="1" bestFit="1" width="3.0" style="763"/>
    <col min="5401" max="5401" customWidth="1" bestFit="1" width="3.0" style="763"/>
    <col min="5402" max="5402" customWidth="1" bestFit="1" width="3.0" style="763"/>
    <col min="5403" max="5403" customWidth="1" bestFit="1" width="3.0" style="763"/>
    <col min="5404" max="5404" customWidth="1" bestFit="1" width="3.0" style="763"/>
    <col min="5405" max="5405" customWidth="1" bestFit="1" width="3.0" style="763"/>
    <col min="5406" max="5406" customWidth="1" bestFit="1" width="3.0" style="763"/>
    <col min="5407" max="5407" customWidth="1" bestFit="1" width="3.0" style="763"/>
    <col min="5408" max="5408" customWidth="1" bestFit="1" width="3.0" style="763"/>
    <col min="5409" max="5409" customWidth="1" bestFit="1" width="3.0" style="763"/>
    <col min="5410" max="5410" customWidth="1" bestFit="1" width="3.0" style="763"/>
    <col min="5411" max="5411" customWidth="1" bestFit="1" width="3.0" style="763"/>
    <col min="5412" max="5412" customWidth="1" bestFit="1" width="3.0" style="763"/>
    <col min="5413" max="5413" customWidth="1" bestFit="1" width="3.0" style="763"/>
    <col min="5414" max="5414" customWidth="1" bestFit="1" width="3.0" style="763"/>
    <col min="5415" max="5415" customWidth="1" bestFit="1" width="3.0" style="763"/>
    <col min="5416" max="5416" customWidth="1" bestFit="1" width="3.0" style="763"/>
    <col min="5417" max="5417" customWidth="1" bestFit="1" width="3.0" style="763"/>
    <col min="5418" max="5418" customWidth="1" bestFit="1" width="3.0" style="763"/>
    <col min="5419" max="5419" customWidth="1" bestFit="1" width="3.0" style="763"/>
    <col min="5420" max="5420" customWidth="1" bestFit="1" width="3.0" style="763"/>
    <col min="5421" max="5421" customWidth="1" bestFit="1" width="3.0" style="763"/>
    <col min="5422" max="5422" customWidth="1" bestFit="1" width="3.0" style="763"/>
    <col min="5423" max="5423" customWidth="1" bestFit="1" width="3.0" style="763"/>
    <col min="5424" max="5424" customWidth="1" bestFit="1" width="3.0" style="763"/>
    <col min="5425" max="5425" customWidth="1" bestFit="1" width="3.0" style="763"/>
    <col min="5426" max="5426" customWidth="1" bestFit="1" width="3.0" style="763"/>
    <col min="5427" max="5427" customWidth="1" bestFit="1" width="3.0" style="763"/>
    <col min="5428" max="5428" customWidth="1" bestFit="1" width="3.0" style="763"/>
    <col min="5429" max="5429" customWidth="1" bestFit="1" width="3.0" style="763"/>
    <col min="5430" max="5430" customWidth="1" bestFit="1" width="3.0" style="763"/>
    <col min="5431" max="5431" customWidth="1" bestFit="1" width="3.0" style="763"/>
    <col min="5432" max="5432" customWidth="1" bestFit="1" width="3.0" style="763"/>
    <col min="5433" max="5433" customWidth="1" bestFit="1" width="3.0" style="763"/>
    <col min="5434" max="5434" customWidth="1" bestFit="1" width="3.0" style="763"/>
    <col min="5435" max="5435" customWidth="1" bestFit="1" width="3.0" style="763"/>
    <col min="5436" max="5436" customWidth="1" bestFit="1" width="3.0" style="763"/>
    <col min="5437" max="5437" customWidth="1" bestFit="1" width="3.0" style="763"/>
    <col min="5438" max="5438" customWidth="1" bestFit="1" width="3.0" style="763"/>
    <col min="5439" max="5439" customWidth="1" bestFit="1" width="3.0" style="763"/>
    <col min="5440" max="5440" customWidth="1" bestFit="1" width="3.0" style="763"/>
    <col min="5441" max="5441" customWidth="1" bestFit="1" width="3.0" style="763"/>
    <col min="5442" max="5442" customWidth="1" bestFit="1" width="3.0" style="763"/>
    <col min="5443" max="5443" customWidth="1" bestFit="1" width="3.0" style="763"/>
    <col min="5444" max="5444" customWidth="1" bestFit="1" width="3.0" style="763"/>
    <col min="5445" max="5445" customWidth="1" bestFit="1" width="3.0" style="763"/>
    <col min="5446" max="5446" customWidth="1" bestFit="1" width="3.0" style="763"/>
    <col min="5447" max="5447" customWidth="1" bestFit="1" width="3.0" style="763"/>
    <col min="5448" max="5448" customWidth="1" bestFit="1" width="3.0" style="763"/>
    <col min="5449" max="5449" customWidth="1" bestFit="1" width="3.0" style="763"/>
    <col min="5450" max="5450" customWidth="1" bestFit="1" width="3.0" style="763"/>
    <col min="5451" max="5451" customWidth="1" bestFit="1" width="3.0" style="763"/>
    <col min="5452" max="5452" customWidth="1" bestFit="1" width="3.0" style="763"/>
    <col min="5453" max="5453" customWidth="1" bestFit="1" width="3.0" style="763"/>
    <col min="5454" max="5454" customWidth="1" bestFit="1" width="3.0" style="763"/>
    <col min="5455" max="5455" customWidth="1" bestFit="1" width="3.0" style="763"/>
    <col min="5456" max="5456" customWidth="1" bestFit="1" width="3.0" style="763"/>
    <col min="5457" max="5457" customWidth="1" bestFit="1" width="3.0" style="763"/>
    <col min="5458" max="5458" customWidth="1" bestFit="1" width="3.0" style="763"/>
    <col min="5459" max="5459" customWidth="1" bestFit="1" width="3.0" style="763"/>
    <col min="5460" max="5460" customWidth="1" bestFit="1" width="3.0" style="763"/>
    <col min="5461" max="5461" customWidth="1" bestFit="1" width="3.0" style="763"/>
    <col min="5462" max="5462" customWidth="1" bestFit="1" width="3.0" style="763"/>
    <col min="5463" max="5463" customWidth="1" bestFit="1" width="3.0" style="763"/>
    <col min="5464" max="5464" customWidth="1" bestFit="1" width="3.0" style="763"/>
    <col min="5465" max="5465" customWidth="1" bestFit="1" width="3.0" style="763"/>
    <col min="5466" max="5466" customWidth="1" bestFit="1" width="3.0" style="763"/>
    <col min="5467" max="5467" customWidth="1" bestFit="1" width="3.0" style="763"/>
    <col min="5468" max="5468" customWidth="1" bestFit="1" width="3.0" style="763"/>
    <col min="5469" max="5469" customWidth="1" bestFit="1" width="3.0" style="763"/>
    <col min="5470" max="5470" customWidth="1" bestFit="1" width="3.0" style="763"/>
    <col min="5471" max="5471" customWidth="1" bestFit="1" width="3.0" style="763"/>
    <col min="5472" max="5472" customWidth="1" bestFit="1" width="3.0" style="763"/>
    <col min="5473" max="5473" customWidth="1" bestFit="1" width="3.0" style="763"/>
    <col min="5474" max="5474" customWidth="1" bestFit="1" width="3.0" style="763"/>
    <col min="5475" max="5475" customWidth="1" bestFit="1" width="3.0" style="763"/>
    <col min="5476" max="5476" customWidth="1" bestFit="1" width="3.0" style="763"/>
    <col min="5477" max="5477" customWidth="1" bestFit="1" width="3.0" style="763"/>
    <col min="5478" max="5478" customWidth="1" bestFit="1" width="3.0" style="763"/>
    <col min="5479" max="5479" customWidth="1" bestFit="1" width="3.0" style="763"/>
    <col min="5480" max="5480" customWidth="1" bestFit="1" width="3.0" style="763"/>
    <col min="5481" max="5481" customWidth="1" bestFit="1" width="3.0" style="763"/>
    <col min="5482" max="5482" customWidth="1" bestFit="1" width="3.0" style="763"/>
    <col min="5483" max="5483" customWidth="1" bestFit="1" width="3.0" style="763"/>
    <col min="5484" max="5484" customWidth="1" bestFit="1" width="3.0" style="763"/>
    <col min="5485" max="5485" customWidth="1" bestFit="1" width="3.0" style="763"/>
    <col min="5486" max="5486" customWidth="1" bestFit="1" width="3.0" style="763"/>
    <col min="5487" max="5487" customWidth="1" bestFit="1" width="3.0" style="763"/>
    <col min="5488" max="5488" customWidth="1" bestFit="1" width="3.0" style="763"/>
    <col min="5489" max="5489" customWidth="1" bestFit="1" width="3.0" style="763"/>
    <col min="5490" max="5490" customWidth="1" bestFit="1" width="3.0" style="763"/>
    <col min="5491" max="5491" customWidth="1" bestFit="1" width="3.0" style="763"/>
    <col min="5492" max="5492" customWidth="1" bestFit="1" width="3.0" style="763"/>
    <col min="5493" max="5493" customWidth="1" bestFit="1" width="3.0" style="763"/>
    <col min="5494" max="5494" customWidth="1" bestFit="1" width="3.0" style="763"/>
    <col min="5495" max="5495" customWidth="1" bestFit="1" width="3.0" style="763"/>
    <col min="5496" max="5496" customWidth="1" bestFit="1" width="3.0" style="763"/>
    <col min="5497" max="5497" customWidth="1" bestFit="1" width="3.0" style="763"/>
    <col min="5498" max="5498" customWidth="1" bestFit="1" width="3.0" style="763"/>
    <col min="5499" max="5499" customWidth="1" bestFit="1" width="3.0" style="763"/>
    <col min="5500" max="5500" customWidth="1" bestFit="1" width="3.0" style="763"/>
    <col min="5501" max="5501" customWidth="1" bestFit="1" width="3.0" style="763"/>
    <col min="5502" max="5502" customWidth="1" bestFit="1" width="3.0" style="763"/>
    <col min="5503" max="5503" customWidth="1" bestFit="1" width="3.0" style="763"/>
    <col min="5504" max="5504" customWidth="1" bestFit="1" width="3.0" style="763"/>
    <col min="5505" max="5505" customWidth="1" bestFit="1" width="3.0" style="763"/>
    <col min="5506" max="5506" customWidth="1" bestFit="1" width="3.0" style="763"/>
    <col min="5507" max="5507" customWidth="1" bestFit="1" width="3.0" style="763"/>
    <col min="5508" max="5508" customWidth="1" bestFit="1" width="3.0" style="763"/>
    <col min="5509" max="5509" customWidth="1" bestFit="1" width="3.0" style="763"/>
    <col min="5510" max="5510" customWidth="1" bestFit="1" width="3.0" style="763"/>
    <col min="5511" max="5511" customWidth="1" bestFit="1" width="3.0" style="763"/>
    <col min="5512" max="5512" customWidth="1" bestFit="1" width="3.0" style="763"/>
    <col min="5513" max="5513" customWidth="1" bestFit="1" width="3.0" style="763"/>
    <col min="5514" max="5514" customWidth="1" bestFit="1" width="3.0" style="763"/>
    <col min="5515" max="5515" customWidth="1" bestFit="1" width="3.0" style="763"/>
    <col min="5516" max="5516" customWidth="1" bestFit="1" width="3.0" style="763"/>
    <col min="5517" max="5517" customWidth="1" bestFit="1" width="3.0" style="763"/>
    <col min="5518" max="5518" customWidth="1" bestFit="1" width="3.0" style="763"/>
    <col min="5519" max="5519" customWidth="1" bestFit="1" width="3.0" style="763"/>
    <col min="5520" max="5520" customWidth="1" bestFit="1" width="3.0" style="763"/>
    <col min="5521" max="5521" customWidth="1" bestFit="1" width="3.0" style="763"/>
    <col min="5522" max="5522" customWidth="1" bestFit="1" width="3.0" style="763"/>
    <col min="5523" max="5523" customWidth="1" bestFit="1" width="3.0" style="763"/>
    <col min="5524" max="5524" customWidth="1" bestFit="1" width="3.0" style="763"/>
    <col min="5525" max="5525" customWidth="1" bestFit="1" width="3.0" style="763"/>
    <col min="5526" max="5526" customWidth="1" bestFit="1" width="3.0" style="763"/>
    <col min="5527" max="5527" customWidth="1" bestFit="1" width="3.0" style="763"/>
    <col min="5528" max="5528" customWidth="1" bestFit="1" width="3.0" style="763"/>
    <col min="5529" max="5529" customWidth="1" bestFit="1" width="3.0" style="763"/>
    <col min="5530" max="5530" customWidth="1" bestFit="1" width="3.0" style="763"/>
    <col min="5531" max="5531" customWidth="1" bestFit="1" width="3.0" style="763"/>
    <col min="5532" max="5532" customWidth="1" bestFit="1" width="3.0" style="763"/>
    <col min="5533" max="5533" customWidth="1" bestFit="1" width="3.0" style="763"/>
    <col min="5534" max="5534" customWidth="1" bestFit="1" width="3.0" style="763"/>
    <col min="5535" max="5535" customWidth="1" bestFit="1" width="3.0" style="763"/>
    <col min="5536" max="5536" customWidth="1" bestFit="1" width="3.0" style="763"/>
    <col min="5537" max="5537" customWidth="1" bestFit="1" width="3.0" style="763"/>
    <col min="5538" max="5538" customWidth="1" bestFit="1" width="3.0" style="763"/>
    <col min="5539" max="5539" customWidth="1" bestFit="1" width="3.0" style="763"/>
    <col min="5540" max="5540" customWidth="1" bestFit="1" width="3.0" style="763"/>
    <col min="5541" max="5541" customWidth="1" bestFit="1" width="3.0" style="763"/>
    <col min="5542" max="5542" customWidth="1" bestFit="1" width="3.0" style="763"/>
    <col min="5543" max="5543" customWidth="1" bestFit="1" width="3.0" style="763"/>
    <col min="5544" max="5544" customWidth="1" bestFit="1" width="3.0" style="763"/>
    <col min="5545" max="5545" customWidth="1" bestFit="1" width="3.0" style="763"/>
    <col min="5546" max="5546" customWidth="1" bestFit="1" width="3.0" style="763"/>
    <col min="5547" max="5547" customWidth="1" bestFit="1" width="3.0" style="763"/>
    <col min="5548" max="5548" customWidth="1" bestFit="1" width="3.0" style="763"/>
    <col min="5549" max="5549" customWidth="1" bestFit="1" width="3.0" style="763"/>
    <col min="5550" max="5550" customWidth="1" bestFit="1" width="3.0" style="763"/>
    <col min="5551" max="5551" customWidth="1" bestFit="1" width="3.0" style="763"/>
    <col min="5552" max="5552" customWidth="1" bestFit="1" width="3.0" style="763"/>
    <col min="5553" max="5553" customWidth="1" bestFit="1" width="3.0" style="763"/>
    <col min="5554" max="5554" customWidth="1" bestFit="1" width="3.0" style="763"/>
    <col min="5555" max="5555" customWidth="1" bestFit="1" width="3.0" style="763"/>
    <col min="5556" max="5556" customWidth="1" bestFit="1" width="3.0" style="763"/>
    <col min="5557" max="5557" customWidth="1" bestFit="1" width="3.0" style="763"/>
    <col min="5558" max="5558" customWidth="1" bestFit="1" width="3.0" style="763"/>
    <col min="5559" max="5559" customWidth="1" bestFit="1" width="3.0" style="763"/>
    <col min="5560" max="5560" customWidth="1" bestFit="1" width="3.0" style="763"/>
    <col min="5561" max="5561" customWidth="1" bestFit="1" width="3.0" style="763"/>
    <col min="5562" max="5562" customWidth="1" bestFit="1" width="3.0" style="763"/>
    <col min="5563" max="5563" customWidth="1" bestFit="1" width="3.0" style="763"/>
    <col min="5564" max="5564" customWidth="1" bestFit="1" width="3.0" style="763"/>
    <col min="5565" max="5565" customWidth="1" bestFit="1" width="3.0" style="763"/>
    <col min="5566" max="5566" customWidth="1" bestFit="1" width="3.0" style="763"/>
    <col min="5567" max="5567" customWidth="1" bestFit="1" width="3.0" style="763"/>
    <col min="5568" max="5568" customWidth="1" bestFit="1" width="3.0" style="763"/>
    <col min="5569" max="5569" customWidth="1" bestFit="1" width="3.0" style="763"/>
    <col min="5570" max="5570" customWidth="1" bestFit="1" width="3.0" style="763"/>
    <col min="5571" max="5571" customWidth="1" bestFit="1" width="3.0" style="763"/>
    <col min="5572" max="5572" customWidth="1" bestFit="1" width="3.0" style="763"/>
    <col min="5573" max="5573" customWidth="1" bestFit="1" width="3.0" style="763"/>
    <col min="5574" max="5574" customWidth="1" bestFit="1" width="3.0" style="763"/>
    <col min="5575" max="5575" customWidth="1" bestFit="1" width="3.0" style="763"/>
    <col min="5576" max="5576" customWidth="1" bestFit="1" width="3.0" style="763"/>
    <col min="5577" max="5577" customWidth="1" bestFit="1" width="3.0" style="763"/>
    <col min="5578" max="5578" customWidth="1" bestFit="1" width="3.0" style="763"/>
    <col min="5579" max="5579" customWidth="1" bestFit="1" width="3.0" style="763"/>
    <col min="5580" max="5580" customWidth="1" bestFit="1" width="3.0" style="763"/>
    <col min="5581" max="5581" customWidth="1" bestFit="1" width="3.0" style="763"/>
    <col min="5582" max="5582" customWidth="1" bestFit="1" width="3.0" style="763"/>
    <col min="5583" max="5583" customWidth="1" bestFit="1" width="3.0" style="763"/>
    <col min="5584" max="5584" customWidth="1" bestFit="1" width="3.0" style="763"/>
    <col min="5585" max="5585" customWidth="1" bestFit="1" width="3.0" style="763"/>
    <col min="5586" max="5586" customWidth="1" bestFit="1" width="3.0" style="763"/>
    <col min="5587" max="5587" customWidth="1" bestFit="1" width="3.0" style="763"/>
    <col min="5588" max="5588" customWidth="1" bestFit="1" width="3.0" style="763"/>
    <col min="5589" max="5589" customWidth="1" bestFit="1" width="3.0" style="763"/>
    <col min="5590" max="5590" customWidth="1" bestFit="1" width="3.0" style="763"/>
    <col min="5591" max="5591" customWidth="1" bestFit="1" width="3.0" style="763"/>
    <col min="5592" max="5592" customWidth="1" bestFit="1" width="3.0" style="763"/>
    <col min="5593" max="5593" customWidth="1" bestFit="1" width="3.0" style="763"/>
    <col min="5594" max="5594" customWidth="1" bestFit="1" width="3.0" style="763"/>
    <col min="5595" max="5595" customWidth="1" bestFit="1" width="3.0" style="763"/>
    <col min="5596" max="5596" customWidth="1" bestFit="1" width="3.0" style="763"/>
    <col min="5597" max="5597" customWidth="1" bestFit="1" width="3.0" style="763"/>
    <col min="5598" max="5598" customWidth="1" bestFit="1" width="3.0" style="763"/>
    <col min="5599" max="5599" customWidth="1" bestFit="1" width="3.0" style="763"/>
    <col min="5600" max="5600" customWidth="1" bestFit="1" width="3.0" style="763"/>
    <col min="5601" max="5601" customWidth="1" bestFit="1" width="3.0" style="763"/>
    <col min="5602" max="5602" customWidth="1" bestFit="1" width="3.0" style="763"/>
    <col min="5603" max="5603" customWidth="1" bestFit="1" width="3.0" style="763"/>
    <col min="5604" max="5604" customWidth="1" bestFit="1" width="3.0" style="763"/>
    <col min="5605" max="5605" customWidth="1" bestFit="1" width="3.0" style="763"/>
    <col min="5606" max="5606" customWidth="1" bestFit="1" width="3.0" style="763"/>
    <col min="5607" max="5607" customWidth="1" bestFit="1" width="3.0" style="763"/>
    <col min="5608" max="5608" customWidth="1" bestFit="1" width="3.0" style="763"/>
    <col min="5609" max="5609" customWidth="1" bestFit="1" width="3.0" style="763"/>
    <col min="5610" max="5610" customWidth="1" bestFit="1" width="3.0" style="763"/>
    <col min="5611" max="5611" customWidth="1" bestFit="1" width="3.0" style="763"/>
    <col min="5612" max="5612" customWidth="1" bestFit="1" width="3.0" style="763"/>
    <col min="5613" max="5613" customWidth="1" bestFit="1" width="3.0" style="763"/>
    <col min="5614" max="5614" customWidth="1" bestFit="1" width="3.0" style="763"/>
    <col min="5615" max="5615" customWidth="1" bestFit="1" width="3.0" style="763"/>
    <col min="5616" max="5616" customWidth="1" bestFit="1" width="3.0" style="763"/>
    <col min="5617" max="5617" customWidth="1" bestFit="1" width="3.0" style="763"/>
    <col min="5618" max="5618" customWidth="1" bestFit="1" width="3.0" style="763"/>
    <col min="5619" max="5619" customWidth="1" bestFit="1" width="3.0" style="763"/>
    <col min="5620" max="5620" customWidth="1" bestFit="1" width="3.0" style="763"/>
    <col min="5621" max="5621" customWidth="1" bestFit="1" width="3.0" style="763"/>
    <col min="5622" max="5622" customWidth="1" bestFit="1" width="3.0" style="763"/>
    <col min="5623" max="5623" customWidth="1" bestFit="1" width="3.0" style="763"/>
    <col min="5624" max="5624" customWidth="1" bestFit="1" width="3.0" style="763"/>
    <col min="5625" max="5625" customWidth="1" bestFit="1" width="3.0" style="763"/>
    <col min="5626" max="5626" customWidth="1" bestFit="1" width="3.0" style="763"/>
    <col min="5627" max="5627" customWidth="1" bestFit="1" width="3.0" style="763"/>
    <col min="5628" max="5628" customWidth="1" bestFit="1" width="3.0" style="763"/>
    <col min="5629" max="5629" customWidth="1" bestFit="1" width="3.0" style="763"/>
    <col min="5630" max="5630" customWidth="1" bestFit="1" width="3.0" style="763"/>
    <col min="5631" max="5631" customWidth="1" bestFit="1" width="3.0" style="763"/>
    <col min="5632" max="5632" customWidth="1" bestFit="1" width="3.0" style="763"/>
    <col min="5633" max="5633" customWidth="1" bestFit="1" width="3.0" style="763"/>
    <col min="5634" max="5634" customWidth="1" bestFit="1" width="3.0" style="763"/>
    <col min="5635" max="5635" customWidth="1" bestFit="1" width="3.0" style="763"/>
    <col min="5636" max="5636" customWidth="1" bestFit="1" width="3.0" style="763"/>
    <col min="5637" max="5637" customWidth="1" bestFit="1" width="3.0" style="763"/>
    <col min="5638" max="5638" customWidth="1" bestFit="1" width="3.0" style="763"/>
    <col min="5639" max="5639" customWidth="1" bestFit="1" width="3.0" style="763"/>
    <col min="5640" max="5640" customWidth="1" bestFit="1" width="3.0" style="763"/>
    <col min="5641" max="5641" customWidth="1" bestFit="1" width="3.0" style="763"/>
    <col min="5642" max="5642" customWidth="1" bestFit="1" width="3.0" style="763"/>
    <col min="5643" max="5643" customWidth="1" bestFit="1" width="3.0" style="763"/>
    <col min="5644" max="5644" customWidth="1" bestFit="1" width="3.0" style="763"/>
    <col min="5645" max="5645" customWidth="1" bestFit="1" width="3.0" style="763"/>
    <col min="5646" max="5646" customWidth="1" bestFit="1" width="3.0" style="763"/>
    <col min="5647" max="5647" customWidth="1" bestFit="1" width="3.0" style="763"/>
    <col min="5648" max="5648" customWidth="1" bestFit="1" width="3.0" style="763"/>
    <col min="5649" max="5649" customWidth="1" bestFit="1" width="3.0" style="763"/>
    <col min="5650" max="5650" customWidth="1" bestFit="1" width="3.0" style="763"/>
    <col min="5651" max="5651" customWidth="1" bestFit="1" width="3.0" style="763"/>
    <col min="5652" max="5652" customWidth="1" bestFit="1" width="3.0" style="763"/>
    <col min="5653" max="5653" customWidth="1" bestFit="1" width="3.0" style="763"/>
    <col min="5654" max="5654" customWidth="1" bestFit="1" width="3.0" style="763"/>
    <col min="5655" max="5655" customWidth="1" bestFit="1" width="3.0" style="763"/>
    <col min="5656" max="5656" customWidth="1" bestFit="1" width="3.0" style="763"/>
    <col min="5657" max="5657" customWidth="1" bestFit="1" width="3.0" style="763"/>
    <col min="5658" max="5658" customWidth="1" bestFit="1" width="3.0" style="763"/>
    <col min="5659" max="5659" customWidth="1" bestFit="1" width="3.0" style="763"/>
    <col min="5660" max="5660" customWidth="1" bestFit="1" width="3.0" style="763"/>
    <col min="5661" max="5661" customWidth="1" bestFit="1" width="3.0" style="763"/>
    <col min="5662" max="5662" customWidth="1" bestFit="1" width="3.0" style="763"/>
    <col min="5663" max="5663" customWidth="1" bestFit="1" width="3.0" style="763"/>
    <col min="5664" max="5664" customWidth="1" bestFit="1" width="3.0" style="763"/>
    <col min="5665" max="5665" customWidth="1" bestFit="1" width="3.0" style="763"/>
    <col min="5666" max="5666" customWidth="1" bestFit="1" width="3.0" style="763"/>
    <col min="5667" max="5667" customWidth="1" bestFit="1" width="3.0" style="763"/>
    <col min="5668" max="5668" customWidth="1" bestFit="1" width="3.0" style="763"/>
    <col min="5669" max="5669" customWidth="1" bestFit="1" width="3.0" style="763"/>
    <col min="5670" max="5670" customWidth="1" bestFit="1" width="3.0" style="763"/>
    <col min="5671" max="5671" customWidth="1" bestFit="1" width="3.0" style="763"/>
    <col min="5672" max="5672" customWidth="1" bestFit="1" width="3.0" style="763"/>
    <col min="5673" max="5673" customWidth="1" bestFit="1" width="3.0" style="763"/>
    <col min="5674" max="5674" customWidth="1" bestFit="1" width="3.0" style="763"/>
    <col min="5675" max="5675" customWidth="1" bestFit="1" width="3.0" style="763"/>
    <col min="5676" max="5676" customWidth="1" bestFit="1" width="3.0" style="763"/>
    <col min="5677" max="5677" customWidth="1" bestFit="1" width="3.0" style="763"/>
    <col min="5678" max="5678" customWidth="1" bestFit="1" width="3.0" style="763"/>
    <col min="5679" max="5679" customWidth="1" bestFit="1" width="3.0" style="763"/>
    <col min="5680" max="5680" customWidth="1" bestFit="1" width="3.0" style="763"/>
    <col min="5681" max="5681" customWidth="1" bestFit="1" width="3.0" style="763"/>
    <col min="5682" max="5682" customWidth="1" bestFit="1" width="3.0" style="763"/>
    <col min="5683" max="5683" customWidth="1" bestFit="1" width="3.0" style="763"/>
    <col min="5684" max="5684" customWidth="1" bestFit="1" width="3.0" style="763"/>
    <col min="5685" max="5685" customWidth="1" bestFit="1" width="3.0" style="763"/>
    <col min="5686" max="5686" customWidth="1" bestFit="1" width="3.0" style="763"/>
    <col min="5687" max="5687" customWidth="1" bestFit="1" width="3.0" style="763"/>
    <col min="5688" max="5688" customWidth="1" bestFit="1" width="3.0" style="763"/>
    <col min="5689" max="5689" customWidth="1" bestFit="1" width="3.0" style="763"/>
    <col min="5690" max="5690" customWidth="1" bestFit="1" width="3.0" style="763"/>
    <col min="5691" max="5691" customWidth="1" bestFit="1" width="3.0" style="763"/>
    <col min="5692" max="5692" customWidth="1" bestFit="1" width="3.0" style="763"/>
    <col min="5693" max="5693" customWidth="1" bestFit="1" width="3.0" style="763"/>
    <col min="5694" max="5694" customWidth="1" bestFit="1" width="3.0" style="763"/>
    <col min="5695" max="5695" customWidth="1" bestFit="1" width="3.0" style="763"/>
    <col min="5696" max="5696" customWidth="1" bestFit="1" width="3.0" style="763"/>
    <col min="5697" max="5697" customWidth="1" bestFit="1" width="3.0" style="763"/>
    <col min="5698" max="5698" customWidth="1" bestFit="1" width="3.0" style="763"/>
    <col min="5699" max="5699" customWidth="1" bestFit="1" width="3.0" style="763"/>
    <col min="5700" max="5700" customWidth="1" bestFit="1" width="3.0" style="763"/>
    <col min="5701" max="5701" customWidth="1" bestFit="1" width="3.0" style="763"/>
    <col min="5702" max="5702" customWidth="1" bestFit="1" width="3.0" style="763"/>
    <col min="5703" max="5703" customWidth="1" bestFit="1" width="3.0" style="763"/>
    <col min="5704" max="5704" customWidth="1" bestFit="1" width="3.0" style="763"/>
    <col min="5705" max="5705" customWidth="1" bestFit="1" width="3.0" style="763"/>
    <col min="5706" max="5706" customWidth="1" bestFit="1" width="3.0" style="763"/>
    <col min="5707" max="5707" customWidth="1" bestFit="1" width="3.0" style="763"/>
    <col min="5708" max="5708" customWidth="1" bestFit="1" width="3.0" style="763"/>
    <col min="5709" max="5709" customWidth="1" bestFit="1" width="3.0" style="763"/>
    <col min="5710" max="5710" customWidth="1" bestFit="1" width="3.0" style="763"/>
    <col min="5711" max="5711" customWidth="1" bestFit="1" width="3.0" style="763"/>
    <col min="5712" max="5712" customWidth="1" bestFit="1" width="3.0" style="763"/>
    <col min="5713" max="5713" customWidth="1" bestFit="1" width="3.0" style="763"/>
    <col min="5714" max="5714" customWidth="1" bestFit="1" width="3.0" style="763"/>
    <col min="5715" max="5715" customWidth="1" bestFit="1" width="3.0" style="763"/>
    <col min="5716" max="5716" customWidth="1" bestFit="1" width="3.0" style="763"/>
    <col min="5717" max="5717" customWidth="1" bestFit="1" width="3.0" style="763"/>
    <col min="5718" max="5718" customWidth="1" bestFit="1" width="3.0" style="763"/>
    <col min="5719" max="5719" customWidth="1" bestFit="1" width="3.0" style="763"/>
    <col min="5720" max="5720" customWidth="1" bestFit="1" width="3.0" style="763"/>
    <col min="5721" max="5721" customWidth="1" bestFit="1" width="3.0" style="763"/>
    <col min="5722" max="5722" customWidth="1" bestFit="1" width="3.0" style="763"/>
    <col min="5723" max="5723" customWidth="1" bestFit="1" width="3.0" style="763"/>
    <col min="5724" max="5724" customWidth="1" bestFit="1" width="3.0" style="763"/>
    <col min="5725" max="5725" customWidth="1" bestFit="1" width="3.0" style="763"/>
    <col min="5726" max="5726" customWidth="1" bestFit="1" width="3.0" style="763"/>
    <col min="5727" max="5727" customWidth="1" bestFit="1" width="3.0" style="763"/>
    <col min="5728" max="5728" customWidth="1" bestFit="1" width="3.0" style="763"/>
    <col min="5729" max="5729" customWidth="1" bestFit="1" width="3.0" style="763"/>
    <col min="5730" max="5730" customWidth="1" bestFit="1" width="3.0" style="763"/>
    <col min="5731" max="5731" customWidth="1" bestFit="1" width="3.0" style="763"/>
    <col min="5732" max="5732" customWidth="1" bestFit="1" width="3.0" style="763"/>
    <col min="5733" max="5733" customWidth="1" bestFit="1" width="3.0" style="763"/>
    <col min="5734" max="5734" customWidth="1" bestFit="1" width="3.0" style="763"/>
    <col min="5735" max="5735" customWidth="1" bestFit="1" width="3.0" style="763"/>
    <col min="5736" max="5736" customWidth="1" bestFit="1" width="3.0" style="763"/>
    <col min="5737" max="5737" customWidth="1" bestFit="1" width="3.0" style="763"/>
    <col min="5738" max="5738" customWidth="1" bestFit="1" width="3.0" style="763"/>
    <col min="5739" max="5739" customWidth="1" bestFit="1" width="3.0" style="763"/>
    <col min="5740" max="5740" customWidth="1" bestFit="1" width="3.0" style="763"/>
    <col min="5741" max="5741" customWidth="1" bestFit="1" width="3.0" style="763"/>
    <col min="5742" max="5742" customWidth="1" bestFit="1" width="3.0" style="763"/>
    <col min="5743" max="5743" customWidth="1" bestFit="1" width="3.0" style="763"/>
    <col min="5744" max="5744" customWidth="1" bestFit="1" width="3.0" style="763"/>
    <col min="5745" max="5745" customWidth="1" bestFit="1" width="3.0" style="763"/>
    <col min="5746" max="5746" customWidth="1" bestFit="1" width="3.0" style="763"/>
    <col min="5747" max="5747" customWidth="1" bestFit="1" width="3.0" style="763"/>
    <col min="5748" max="5748" customWidth="1" bestFit="1" width="3.0" style="763"/>
    <col min="5749" max="5749" customWidth="1" bestFit="1" width="3.0" style="763"/>
    <col min="5750" max="5750" customWidth="1" bestFit="1" width="3.0" style="763"/>
    <col min="5751" max="5751" customWidth="1" bestFit="1" width="3.0" style="763"/>
    <col min="5752" max="5752" customWidth="1" bestFit="1" width="3.0" style="763"/>
    <col min="5753" max="5753" customWidth="1" bestFit="1" width="3.0" style="763"/>
    <col min="5754" max="5754" customWidth="1" bestFit="1" width="3.0" style="763"/>
    <col min="5755" max="5755" customWidth="1" bestFit="1" width="3.0" style="763"/>
    <col min="5756" max="5756" customWidth="1" bestFit="1" width="3.0" style="763"/>
    <col min="5757" max="5757" customWidth="1" bestFit="1" width="3.0" style="763"/>
    <col min="5758" max="5758" customWidth="1" bestFit="1" width="3.0" style="763"/>
    <col min="5759" max="5759" customWidth="1" bestFit="1" width="3.0" style="763"/>
    <col min="5760" max="5760" customWidth="1" bestFit="1" width="3.0" style="763"/>
    <col min="5761" max="5761" customWidth="1" bestFit="1" width="3.0" style="763"/>
    <col min="5762" max="5762" customWidth="1" bestFit="1" width="3.0" style="763"/>
    <col min="5763" max="5763" customWidth="1" bestFit="1" width="3.0" style="763"/>
    <col min="5764" max="5764" customWidth="1" bestFit="1" width="3.0" style="763"/>
    <col min="5765" max="5765" customWidth="1" bestFit="1" width="3.0" style="763"/>
    <col min="5766" max="5766" customWidth="1" bestFit="1" width="3.0" style="763"/>
    <col min="5767" max="5767" customWidth="1" bestFit="1" width="3.0" style="763"/>
    <col min="5768" max="5768" customWidth="1" bestFit="1" width="3.0" style="763"/>
    <col min="5769" max="5769" customWidth="1" bestFit="1" width="3.0" style="763"/>
    <col min="5770" max="5770" customWidth="1" bestFit="1" width="3.0" style="763"/>
    <col min="5771" max="5771" customWidth="1" bestFit="1" width="3.0" style="763"/>
    <col min="5772" max="5772" customWidth="1" bestFit="1" width="3.0" style="763"/>
    <col min="5773" max="5773" customWidth="1" bestFit="1" width="3.0" style="763"/>
    <col min="5774" max="5774" customWidth="1" bestFit="1" width="3.0" style="763"/>
    <col min="5775" max="5775" customWidth="1" bestFit="1" width="3.0" style="763"/>
    <col min="5776" max="5776" customWidth="1" bestFit="1" width="3.0" style="763"/>
    <col min="5777" max="5777" customWidth="1" bestFit="1" width="3.0" style="763"/>
    <col min="5778" max="5778" customWidth="1" bestFit="1" width="3.0" style="763"/>
    <col min="5779" max="5779" customWidth="1" bestFit="1" width="3.0" style="763"/>
    <col min="5780" max="5780" customWidth="1" bestFit="1" width="3.0" style="763"/>
    <col min="5781" max="5781" customWidth="1" bestFit="1" width="3.0" style="763"/>
    <col min="5782" max="5782" customWidth="1" bestFit="1" width="3.0" style="763"/>
    <col min="5783" max="5783" customWidth="1" bestFit="1" width="3.0" style="763"/>
    <col min="5784" max="5784" customWidth="1" bestFit="1" width="3.0" style="763"/>
    <col min="5785" max="5785" customWidth="1" bestFit="1" width="3.0" style="763"/>
    <col min="5786" max="5786" customWidth="1" bestFit="1" width="3.0" style="763"/>
    <col min="5787" max="5787" customWidth="1" bestFit="1" width="3.0" style="763"/>
    <col min="5788" max="5788" customWidth="1" bestFit="1" width="3.0" style="763"/>
    <col min="5789" max="5789" customWidth="1" bestFit="1" width="3.0" style="763"/>
    <col min="5790" max="5790" customWidth="1" bestFit="1" width="3.0" style="763"/>
    <col min="5791" max="5791" customWidth="1" bestFit="1" width="3.0" style="763"/>
    <col min="5792" max="5792" customWidth="1" bestFit="1" width="3.0" style="763"/>
    <col min="5793" max="5793" customWidth="1" bestFit="1" width="3.0" style="763"/>
    <col min="5794" max="5794" customWidth="1" bestFit="1" width="3.0" style="763"/>
    <col min="5795" max="5795" customWidth="1" bestFit="1" width="3.0" style="763"/>
    <col min="5796" max="5796" customWidth="1" bestFit="1" width="3.0" style="763"/>
    <col min="5797" max="5797" customWidth="1" bestFit="1" width="3.0" style="763"/>
    <col min="5798" max="5798" customWidth="1" bestFit="1" width="3.0" style="763"/>
    <col min="5799" max="5799" customWidth="1" bestFit="1" width="3.0" style="763"/>
    <col min="5800" max="5800" customWidth="1" bestFit="1" width="3.0" style="763"/>
    <col min="5801" max="5801" customWidth="1" bestFit="1" width="3.0" style="763"/>
    <col min="5802" max="5802" customWidth="1" bestFit="1" width="3.0" style="763"/>
    <col min="5803" max="5803" customWidth="1" bestFit="1" width="3.0" style="763"/>
    <col min="5804" max="5804" customWidth="1" bestFit="1" width="3.0" style="763"/>
    <col min="5805" max="5805" customWidth="1" bestFit="1" width="3.0" style="763"/>
    <col min="5806" max="5806" customWidth="1" bestFit="1" width="3.0" style="763"/>
    <col min="5807" max="5807" customWidth="1" bestFit="1" width="3.0" style="763"/>
    <col min="5808" max="5808" customWidth="1" bestFit="1" width="3.0" style="763"/>
    <col min="5809" max="5809" customWidth="1" bestFit="1" width="3.0" style="763"/>
    <col min="5810" max="5810" customWidth="1" bestFit="1" width="3.0" style="763"/>
    <col min="5811" max="5811" customWidth="1" bestFit="1" width="3.0" style="763"/>
    <col min="5812" max="5812" customWidth="1" bestFit="1" width="3.0" style="763"/>
    <col min="5813" max="5813" customWidth="1" bestFit="1" width="3.0" style="763"/>
    <col min="5814" max="5814" customWidth="1" bestFit="1" width="3.0" style="763"/>
    <col min="5815" max="5815" customWidth="1" bestFit="1" width="3.0" style="763"/>
    <col min="5816" max="5816" customWidth="1" bestFit="1" width="3.0" style="763"/>
    <col min="5817" max="5817" customWidth="1" bestFit="1" width="3.0" style="763"/>
    <col min="5818" max="5818" customWidth="1" bestFit="1" width="3.0" style="763"/>
    <col min="5819" max="5819" customWidth="1" bestFit="1" width="3.0" style="763"/>
    <col min="5820" max="5820" customWidth="1" bestFit="1" width="3.0" style="763"/>
    <col min="5821" max="5821" customWidth="1" bestFit="1" width="3.0" style="763"/>
    <col min="5822" max="5822" customWidth="1" bestFit="1" width="3.0" style="763"/>
    <col min="5823" max="5823" customWidth="1" bestFit="1" width="3.0" style="763"/>
    <col min="5824" max="5824" customWidth="1" bestFit="1" width="3.0" style="763"/>
    <col min="5825" max="5825" customWidth="1" bestFit="1" width="3.0" style="763"/>
    <col min="5826" max="5826" customWidth="1" bestFit="1" width="3.0" style="763"/>
    <col min="5827" max="5827" customWidth="1" bestFit="1" width="3.0" style="763"/>
    <col min="5828" max="5828" customWidth="1" bestFit="1" width="3.0" style="763"/>
    <col min="5829" max="5829" customWidth="1" bestFit="1" width="3.0" style="763"/>
    <col min="5830" max="5830" customWidth="1" bestFit="1" width="3.0" style="763"/>
    <col min="5831" max="5831" customWidth="1" bestFit="1" width="3.0" style="763"/>
    <col min="5832" max="5832" customWidth="1" bestFit="1" width="3.0" style="763"/>
    <col min="5833" max="5833" customWidth="1" bestFit="1" width="3.0" style="763"/>
    <col min="5834" max="5834" customWidth="1" bestFit="1" width="3.0" style="763"/>
    <col min="5835" max="5835" customWidth="1" bestFit="1" width="3.0" style="763"/>
    <col min="5836" max="5836" customWidth="1" bestFit="1" width="3.0" style="763"/>
    <col min="5837" max="5837" customWidth="1" bestFit="1" width="3.0" style="763"/>
    <col min="5838" max="5838" customWidth="1" bestFit="1" width="3.0" style="763"/>
    <col min="5839" max="5839" customWidth="1" bestFit="1" width="3.0" style="763"/>
    <col min="5840" max="5840" customWidth="1" bestFit="1" width="3.0" style="763"/>
    <col min="5841" max="5841" customWidth="1" bestFit="1" width="3.0" style="763"/>
    <col min="5842" max="5842" customWidth="1" bestFit="1" width="3.0" style="763"/>
    <col min="5843" max="5843" customWidth="1" bestFit="1" width="3.0" style="763"/>
    <col min="5844" max="5844" customWidth="1" bestFit="1" width="3.0" style="763"/>
    <col min="5845" max="5845" customWidth="1" bestFit="1" width="3.0" style="763"/>
    <col min="5846" max="5846" customWidth="1" bestFit="1" width="3.0" style="763"/>
    <col min="5847" max="5847" customWidth="1" bestFit="1" width="3.0" style="763"/>
    <col min="5848" max="5848" customWidth="1" bestFit="1" width="3.0" style="763"/>
    <col min="5849" max="5849" customWidth="1" bestFit="1" width="3.0" style="763"/>
    <col min="5850" max="5850" customWidth="1" bestFit="1" width="3.0" style="763"/>
    <col min="5851" max="5851" customWidth="1" bestFit="1" width="3.0" style="763"/>
    <col min="5852" max="5852" customWidth="1" bestFit="1" width="3.0" style="763"/>
    <col min="5853" max="5853" customWidth="1" bestFit="1" width="3.0" style="763"/>
    <col min="5854" max="5854" customWidth="1" bestFit="1" width="3.0" style="763"/>
    <col min="5855" max="5855" customWidth="1" bestFit="1" width="3.0" style="763"/>
    <col min="5856" max="5856" customWidth="1" bestFit="1" width="3.0" style="763"/>
    <col min="5857" max="5857" customWidth="1" bestFit="1" width="3.0" style="763"/>
    <col min="5858" max="5858" customWidth="1" bestFit="1" width="3.0" style="763"/>
    <col min="5859" max="5859" customWidth="1" bestFit="1" width="3.0" style="763"/>
    <col min="5860" max="5860" customWidth="1" bestFit="1" width="3.0" style="763"/>
    <col min="5861" max="5861" customWidth="1" bestFit="1" width="3.0" style="763"/>
    <col min="5862" max="5862" customWidth="1" bestFit="1" width="3.0" style="763"/>
    <col min="5863" max="5863" customWidth="1" bestFit="1" width="3.0" style="763"/>
    <col min="5864" max="5864" customWidth="1" bestFit="1" width="3.0" style="763"/>
    <col min="5865" max="5865" customWidth="1" bestFit="1" width="3.0" style="763"/>
    <col min="5866" max="5866" customWidth="1" bestFit="1" width="3.0" style="763"/>
    <col min="5867" max="5867" customWidth="1" bestFit="1" width="3.0" style="763"/>
    <col min="5868" max="5868" customWidth="1" bestFit="1" width="3.0" style="763"/>
    <col min="5869" max="5869" customWidth="1" bestFit="1" width="3.0" style="763"/>
    <col min="5870" max="5870" customWidth="1" bestFit="1" width="3.0" style="763"/>
    <col min="5871" max="5871" customWidth="1" bestFit="1" width="3.0" style="763"/>
    <col min="5872" max="5872" customWidth="1" bestFit="1" width="3.0" style="763"/>
    <col min="5873" max="5873" customWidth="1" bestFit="1" width="3.0" style="763"/>
    <col min="5874" max="5874" customWidth="1" bestFit="1" width="3.0" style="763"/>
    <col min="5875" max="5875" customWidth="1" bestFit="1" width="3.0" style="763"/>
    <col min="5876" max="5876" customWidth="1" bestFit="1" width="3.0" style="763"/>
    <col min="5877" max="5877" customWidth="1" bestFit="1" width="3.0" style="763"/>
    <col min="5878" max="5878" customWidth="1" bestFit="1" width="3.0" style="763"/>
    <col min="5879" max="5879" customWidth="1" bestFit="1" width="3.0" style="763"/>
    <col min="5880" max="5880" customWidth="1" bestFit="1" width="3.0" style="763"/>
    <col min="5881" max="5881" customWidth="1" bestFit="1" width="3.0" style="763"/>
    <col min="5882" max="5882" customWidth="1" bestFit="1" width="3.0" style="763"/>
    <col min="5883" max="5883" customWidth="1" bestFit="1" width="3.0" style="763"/>
    <col min="5884" max="5884" customWidth="1" bestFit="1" width="3.0" style="763"/>
    <col min="5885" max="5885" customWidth="1" bestFit="1" width="3.0" style="763"/>
    <col min="5886" max="5886" customWidth="1" bestFit="1" width="3.0" style="763"/>
    <col min="5887" max="5887" customWidth="1" bestFit="1" width="3.0" style="763"/>
    <col min="5888" max="5888" customWidth="1" bestFit="1" width="3.0" style="763"/>
    <col min="5889" max="5889" customWidth="1" bestFit="1" width="3.0" style="763"/>
    <col min="5890" max="5890" customWidth="1" bestFit="1" width="3.0" style="763"/>
    <col min="5891" max="5891" customWidth="1" bestFit="1" width="3.0" style="763"/>
    <col min="5892" max="5892" customWidth="1" bestFit="1" width="3.0" style="763"/>
    <col min="5893" max="5893" customWidth="1" bestFit="1" width="3.0" style="763"/>
    <col min="5894" max="5894" customWidth="1" bestFit="1" width="3.0" style="763"/>
    <col min="5895" max="5895" customWidth="1" bestFit="1" width="3.0" style="763"/>
    <col min="5896" max="5896" customWidth="1" bestFit="1" width="3.0" style="763"/>
    <col min="5897" max="5897" customWidth="1" bestFit="1" width="3.0" style="763"/>
    <col min="5898" max="5898" customWidth="1" bestFit="1" width="3.0" style="763"/>
    <col min="5899" max="5899" customWidth="1" bestFit="1" width="3.0" style="763"/>
    <col min="5900" max="5900" customWidth="1" bestFit="1" width="3.0" style="763"/>
    <col min="5901" max="5901" customWidth="1" bestFit="1" width="3.0" style="763"/>
    <col min="5902" max="5902" customWidth="1" bestFit="1" width="3.0" style="763"/>
    <col min="5903" max="5903" customWidth="1" bestFit="1" width="3.0" style="763"/>
    <col min="5904" max="5904" customWidth="1" bestFit="1" width="3.0" style="763"/>
    <col min="5905" max="5905" customWidth="1" bestFit="1" width="3.0" style="763"/>
    <col min="5906" max="5906" customWidth="1" bestFit="1" width="3.0" style="763"/>
    <col min="5907" max="5907" customWidth="1" bestFit="1" width="3.0" style="763"/>
    <col min="5908" max="5908" customWidth="1" bestFit="1" width="3.0" style="763"/>
    <col min="5909" max="5909" customWidth="1" bestFit="1" width="3.0" style="763"/>
    <col min="5910" max="5910" customWidth="1" bestFit="1" width="3.0" style="763"/>
    <col min="5911" max="5911" customWidth="1" bestFit="1" width="3.0" style="763"/>
    <col min="5912" max="5912" customWidth="1" bestFit="1" width="3.0" style="763"/>
    <col min="5913" max="5913" customWidth="1" bestFit="1" width="3.0" style="763"/>
    <col min="5914" max="5914" customWidth="1" bestFit="1" width="3.0" style="763"/>
    <col min="5915" max="5915" customWidth="1" bestFit="1" width="3.0" style="763"/>
    <col min="5916" max="5916" customWidth="1" bestFit="1" width="3.0" style="763"/>
    <col min="5917" max="5917" customWidth="1" bestFit="1" width="3.0" style="763"/>
    <col min="5918" max="5918" customWidth="1" bestFit="1" width="3.0" style="763"/>
    <col min="5919" max="5919" customWidth="1" bestFit="1" width="3.0" style="763"/>
    <col min="5920" max="5920" customWidth="1" bestFit="1" width="3.0" style="763"/>
    <col min="5921" max="5921" customWidth="1" bestFit="1" width="3.0" style="763"/>
    <col min="5922" max="5922" customWidth="1" bestFit="1" width="3.0" style="763"/>
    <col min="5923" max="5923" customWidth="1" bestFit="1" width="3.0" style="763"/>
    <col min="5924" max="5924" customWidth="1" bestFit="1" width="3.0" style="763"/>
    <col min="5925" max="5925" customWidth="1" bestFit="1" width="3.0" style="763"/>
    <col min="5926" max="5926" customWidth="1" bestFit="1" width="3.0" style="763"/>
    <col min="5927" max="5927" customWidth="1" bestFit="1" width="3.0" style="763"/>
    <col min="5928" max="5928" customWidth="1" bestFit="1" width="3.0" style="763"/>
    <col min="5929" max="5929" customWidth="1" bestFit="1" width="3.0" style="763"/>
    <col min="5930" max="5930" customWidth="1" bestFit="1" width="3.0" style="763"/>
    <col min="5931" max="5931" customWidth="1" bestFit="1" width="3.0" style="763"/>
    <col min="5932" max="5932" customWidth="1" bestFit="1" width="3.0" style="763"/>
    <col min="5933" max="5933" customWidth="1" bestFit="1" width="3.0" style="763"/>
    <col min="5934" max="5934" customWidth="1" bestFit="1" width="3.0" style="763"/>
    <col min="5935" max="5935" customWidth="1" bestFit="1" width="3.0" style="763"/>
    <col min="5936" max="5936" customWidth="1" bestFit="1" width="3.0" style="763"/>
    <col min="5937" max="5937" customWidth="1" bestFit="1" width="3.0" style="763"/>
    <col min="5938" max="5938" customWidth="1" bestFit="1" width="3.0" style="763"/>
    <col min="5939" max="5939" customWidth="1" bestFit="1" width="3.0" style="763"/>
    <col min="5940" max="5940" customWidth="1" bestFit="1" width="3.0" style="763"/>
    <col min="5941" max="5941" customWidth="1" bestFit="1" width="3.0" style="763"/>
    <col min="5942" max="5942" customWidth="1" bestFit="1" width="3.0" style="763"/>
    <col min="5943" max="5943" customWidth="1" bestFit="1" width="3.0" style="763"/>
    <col min="5944" max="5944" customWidth="1" bestFit="1" width="3.0" style="763"/>
    <col min="5945" max="5945" customWidth="1" bestFit="1" width="3.0" style="763"/>
    <col min="5946" max="5946" customWidth="1" bestFit="1" width="3.0" style="763"/>
    <col min="5947" max="5947" customWidth="1" bestFit="1" width="3.0" style="763"/>
    <col min="5948" max="5948" customWidth="1" bestFit="1" width="3.0" style="763"/>
    <col min="5949" max="5949" customWidth="1" bestFit="1" width="3.0" style="763"/>
    <col min="5950" max="5950" customWidth="1" bestFit="1" width="3.0" style="763"/>
    <col min="5951" max="5951" customWidth="1" bestFit="1" width="3.0" style="763"/>
    <col min="5952" max="5952" customWidth="1" bestFit="1" width="3.0" style="763"/>
    <col min="5953" max="5953" customWidth="1" bestFit="1" width="3.0" style="763"/>
    <col min="5954" max="5954" customWidth="1" bestFit="1" width="3.0" style="763"/>
    <col min="5955" max="5955" customWidth="1" bestFit="1" width="3.0" style="763"/>
    <col min="5956" max="5956" customWidth="1" bestFit="1" width="3.0" style="763"/>
    <col min="5957" max="5957" customWidth="1" bestFit="1" width="3.0" style="763"/>
    <col min="5958" max="5958" customWidth="1" bestFit="1" width="3.0" style="763"/>
    <col min="5959" max="5959" customWidth="1" bestFit="1" width="3.0" style="763"/>
    <col min="5960" max="5960" customWidth="1" bestFit="1" width="3.0" style="763"/>
    <col min="5961" max="5961" customWidth="1" bestFit="1" width="3.0" style="763"/>
    <col min="5962" max="5962" customWidth="1" bestFit="1" width="3.0" style="763"/>
    <col min="5963" max="5963" customWidth="1" bestFit="1" width="3.0" style="763"/>
    <col min="5964" max="5964" customWidth="1" bestFit="1" width="3.0" style="763"/>
    <col min="5965" max="5965" customWidth="1" bestFit="1" width="3.0" style="763"/>
    <col min="5966" max="5966" customWidth="1" bestFit="1" width="3.0" style="763"/>
    <col min="5967" max="5967" customWidth="1" bestFit="1" width="3.0" style="763"/>
    <col min="5968" max="5968" customWidth="1" bestFit="1" width="3.0" style="763"/>
    <col min="5969" max="5969" customWidth="1" bestFit="1" width="3.0" style="763"/>
    <col min="5970" max="5970" customWidth="1" bestFit="1" width="3.0" style="763"/>
    <col min="5971" max="5971" customWidth="1" bestFit="1" width="3.0" style="763"/>
    <col min="5972" max="5972" customWidth="1" bestFit="1" width="3.0" style="763"/>
    <col min="5973" max="5973" customWidth="1" bestFit="1" width="3.0" style="763"/>
    <col min="5974" max="5974" customWidth="1" bestFit="1" width="3.0" style="763"/>
    <col min="5975" max="5975" customWidth="1" bestFit="1" width="3.0" style="763"/>
    <col min="5976" max="5976" customWidth="1" bestFit="1" width="3.0" style="763"/>
    <col min="5977" max="5977" customWidth="1" bestFit="1" width="3.0" style="763"/>
    <col min="5978" max="5978" customWidth="1" bestFit="1" width="3.0" style="763"/>
    <col min="5979" max="5979" customWidth="1" bestFit="1" width="3.0" style="763"/>
    <col min="5980" max="5980" customWidth="1" bestFit="1" width="3.0" style="763"/>
    <col min="5981" max="5981" customWidth="1" bestFit="1" width="3.0" style="763"/>
    <col min="5982" max="5982" customWidth="1" bestFit="1" width="3.0" style="763"/>
    <col min="5983" max="5983" customWidth="1" bestFit="1" width="3.0" style="763"/>
    <col min="5984" max="5984" customWidth="1" bestFit="1" width="3.0" style="763"/>
    <col min="5985" max="5985" customWidth="1" bestFit="1" width="3.0" style="763"/>
    <col min="5986" max="5986" customWidth="1" bestFit="1" width="3.0" style="763"/>
    <col min="5987" max="5987" customWidth="1" bestFit="1" width="3.0" style="763"/>
    <col min="5988" max="5988" customWidth="1" bestFit="1" width="3.0" style="763"/>
    <col min="5989" max="5989" customWidth="1" bestFit="1" width="3.0" style="763"/>
    <col min="5990" max="5990" customWidth="1" bestFit="1" width="3.0" style="763"/>
    <col min="5991" max="5991" customWidth="1" bestFit="1" width="3.0" style="763"/>
    <col min="5992" max="5992" customWidth="1" bestFit="1" width="3.0" style="763"/>
    <col min="5993" max="5993" customWidth="1" bestFit="1" width="3.0" style="763"/>
    <col min="5994" max="5994" customWidth="1" bestFit="1" width="3.0" style="763"/>
    <col min="5995" max="5995" customWidth="1" bestFit="1" width="3.0" style="763"/>
    <col min="5996" max="5996" customWidth="1" bestFit="1" width="3.0" style="763"/>
    <col min="5997" max="5997" customWidth="1" bestFit="1" width="3.0" style="763"/>
    <col min="5998" max="5998" customWidth="1" bestFit="1" width="3.0" style="763"/>
    <col min="5999" max="5999" customWidth="1" bestFit="1" width="3.0" style="763"/>
    <col min="6000" max="6000" customWidth="1" bestFit="1" width="3.0" style="763"/>
    <col min="6001" max="6001" customWidth="1" bestFit="1" width="3.0" style="763"/>
    <col min="6002" max="6002" customWidth="1" bestFit="1" width="3.0" style="763"/>
    <col min="6003" max="6003" customWidth="1" bestFit="1" width="3.0" style="763"/>
    <col min="6004" max="6004" customWidth="1" bestFit="1" width="3.0" style="763"/>
    <col min="6005" max="6005" customWidth="1" bestFit="1" width="3.0" style="763"/>
    <col min="6006" max="6006" customWidth="1" bestFit="1" width="3.0" style="763"/>
    <col min="6007" max="6007" customWidth="1" bestFit="1" width="3.0" style="763"/>
    <col min="6008" max="6008" customWidth="1" bestFit="1" width="3.0" style="763"/>
    <col min="6009" max="6009" customWidth="1" bestFit="1" width="3.0" style="763"/>
    <col min="6010" max="6010" customWidth="1" bestFit="1" width="3.0" style="763"/>
    <col min="6011" max="6011" customWidth="1" bestFit="1" width="3.0" style="763"/>
    <col min="6012" max="6012" customWidth="1" bestFit="1" width="3.0" style="763"/>
    <col min="6013" max="6013" customWidth="1" bestFit="1" width="3.0" style="763"/>
    <col min="6014" max="6014" customWidth="1" bestFit="1" width="3.0" style="763"/>
    <col min="6015" max="6015" customWidth="1" bestFit="1" width="3.0" style="763"/>
    <col min="6016" max="6016" customWidth="1" bestFit="1" width="3.0" style="763"/>
    <col min="6017" max="6017" customWidth="1" bestFit="1" width="3.0" style="763"/>
    <col min="6018" max="6018" customWidth="1" bestFit="1" width="3.0" style="763"/>
    <col min="6019" max="6019" customWidth="1" bestFit="1" width="3.0" style="763"/>
    <col min="6020" max="6020" customWidth="1" bestFit="1" width="3.0" style="763"/>
    <col min="6021" max="6021" customWidth="1" bestFit="1" width="3.0" style="763"/>
    <col min="6022" max="6022" customWidth="1" bestFit="1" width="3.0" style="763"/>
    <col min="6023" max="6023" customWidth="1" bestFit="1" width="3.0" style="763"/>
    <col min="6024" max="6024" customWidth="1" bestFit="1" width="3.0" style="763"/>
    <col min="6025" max="6025" customWidth="1" bestFit="1" width="3.0" style="763"/>
    <col min="6026" max="6026" customWidth="1" bestFit="1" width="3.0" style="763"/>
    <col min="6027" max="6027" customWidth="1" bestFit="1" width="3.0" style="763"/>
    <col min="6028" max="6028" customWidth="1" bestFit="1" width="3.0" style="763"/>
    <col min="6029" max="6029" customWidth="1" bestFit="1" width="3.0" style="763"/>
    <col min="6030" max="6030" customWidth="1" bestFit="1" width="3.0" style="763"/>
    <col min="6031" max="6031" customWidth="1" bestFit="1" width="3.0" style="763"/>
    <col min="6032" max="6032" customWidth="1" bestFit="1" width="3.0" style="763"/>
    <col min="6033" max="6033" customWidth="1" bestFit="1" width="3.0" style="763"/>
    <col min="6034" max="6034" customWidth="1" bestFit="1" width="3.0" style="763"/>
    <col min="6035" max="6035" customWidth="1" bestFit="1" width="3.0" style="763"/>
    <col min="6036" max="6036" customWidth="1" bestFit="1" width="3.0" style="763"/>
    <col min="6037" max="6037" customWidth="1" bestFit="1" width="3.0" style="763"/>
    <col min="6038" max="6038" customWidth="1" bestFit="1" width="3.0" style="763"/>
    <col min="6039" max="6039" customWidth="1" bestFit="1" width="3.0" style="763"/>
    <col min="6040" max="6040" customWidth="1" bestFit="1" width="3.0" style="763"/>
    <col min="6041" max="6041" customWidth="1" bestFit="1" width="3.0" style="763"/>
    <col min="6042" max="6042" customWidth="1" bestFit="1" width="3.0" style="763"/>
    <col min="6043" max="6043" customWidth="1" bestFit="1" width="3.0" style="763"/>
    <col min="6044" max="6044" customWidth="1" bestFit="1" width="3.0" style="763"/>
    <col min="6045" max="6045" customWidth="1" bestFit="1" width="3.0" style="763"/>
    <col min="6046" max="6046" customWidth="1" bestFit="1" width="3.0" style="763"/>
    <col min="6047" max="6047" customWidth="1" bestFit="1" width="3.0" style="763"/>
    <col min="6048" max="6048" customWidth="1" bestFit="1" width="3.0" style="763"/>
    <col min="6049" max="6049" customWidth="1" bestFit="1" width="3.0" style="763"/>
    <col min="6050" max="6050" customWidth="1" bestFit="1" width="3.0" style="763"/>
    <col min="6051" max="6051" customWidth="1" bestFit="1" width="3.0" style="763"/>
    <col min="6052" max="6052" customWidth="1" bestFit="1" width="3.0" style="763"/>
    <col min="6053" max="6053" customWidth="1" bestFit="1" width="3.0" style="763"/>
    <col min="6054" max="6054" customWidth="1" bestFit="1" width="3.0" style="763"/>
    <col min="6055" max="6055" customWidth="1" bestFit="1" width="3.0" style="763"/>
    <col min="6056" max="6056" customWidth="1" bestFit="1" width="3.0" style="763"/>
    <col min="6057" max="6057" customWidth="1" bestFit="1" width="3.0" style="763"/>
    <col min="6058" max="6058" customWidth="1" bestFit="1" width="3.0" style="763"/>
    <col min="6059" max="6059" customWidth="1" bestFit="1" width="3.0" style="763"/>
    <col min="6060" max="6060" customWidth="1" bestFit="1" width="3.0" style="763"/>
    <col min="6061" max="6061" customWidth="1" bestFit="1" width="3.0" style="763"/>
    <col min="6062" max="6062" customWidth="1" bestFit="1" width="3.0" style="763"/>
    <col min="6063" max="6063" customWidth="1" bestFit="1" width="3.0" style="763"/>
    <col min="6064" max="6064" customWidth="1" bestFit="1" width="3.0" style="763"/>
    <col min="6065" max="6065" customWidth="1" bestFit="1" width="3.0" style="763"/>
    <col min="6066" max="6066" customWidth="1" bestFit="1" width="3.0" style="763"/>
    <col min="6067" max="6067" customWidth="1" bestFit="1" width="3.0" style="763"/>
    <col min="6068" max="6068" customWidth="1" bestFit="1" width="3.0" style="763"/>
    <col min="6069" max="6069" customWidth="1" bestFit="1" width="3.0" style="763"/>
    <col min="6070" max="6070" customWidth="1" bestFit="1" width="3.0" style="763"/>
    <col min="6071" max="6071" customWidth="1" bestFit="1" width="3.0" style="763"/>
    <col min="6072" max="6072" customWidth="1" bestFit="1" width="3.0" style="763"/>
    <col min="6073" max="6073" customWidth="1" bestFit="1" width="3.0" style="763"/>
    <col min="6074" max="6074" customWidth="1" bestFit="1" width="3.0" style="763"/>
    <col min="6075" max="6075" customWidth="1" bestFit="1" width="3.0" style="763"/>
    <col min="6076" max="6076" customWidth="1" bestFit="1" width="3.0" style="763"/>
    <col min="6077" max="6077" customWidth="1" bestFit="1" width="3.0" style="763"/>
    <col min="6078" max="6078" customWidth="1" bestFit="1" width="3.0" style="763"/>
    <col min="6079" max="6079" customWidth="1" bestFit="1" width="3.0" style="763"/>
    <col min="6080" max="6080" customWidth="1" bestFit="1" width="3.0" style="763"/>
    <col min="6081" max="6081" customWidth="1" bestFit="1" width="3.0" style="763"/>
    <col min="6082" max="6082" customWidth="1" bestFit="1" width="3.0" style="763"/>
    <col min="6083" max="6083" customWidth="1" bestFit="1" width="3.0" style="763"/>
    <col min="6084" max="6084" customWidth="1" bestFit="1" width="3.0" style="763"/>
    <col min="6085" max="6085" customWidth="1" bestFit="1" width="3.0" style="763"/>
    <col min="6086" max="6086" customWidth="1" bestFit="1" width="3.0" style="763"/>
    <col min="6087" max="6087" customWidth="1" bestFit="1" width="3.0" style="763"/>
    <col min="6088" max="6088" customWidth="1" bestFit="1" width="3.0" style="763"/>
    <col min="6089" max="6089" customWidth="1" bestFit="1" width="3.0" style="763"/>
    <col min="6090" max="6090" customWidth="1" bestFit="1" width="3.0" style="763"/>
    <col min="6091" max="6091" customWidth="1" bestFit="1" width="3.0" style="763"/>
    <col min="6092" max="6092" customWidth="1" bestFit="1" width="3.0" style="763"/>
    <col min="6093" max="6093" customWidth="1" bestFit="1" width="3.0" style="763"/>
    <col min="6094" max="6094" customWidth="1" bestFit="1" width="3.0" style="763"/>
    <col min="6095" max="6095" customWidth="1" bestFit="1" width="3.0" style="763"/>
    <col min="6096" max="6096" customWidth="1" bestFit="1" width="3.0" style="763"/>
    <col min="6097" max="6097" customWidth="1" bestFit="1" width="3.0" style="763"/>
    <col min="6098" max="6098" customWidth="1" bestFit="1" width="3.0" style="763"/>
    <col min="6099" max="6099" customWidth="1" bestFit="1" width="3.0" style="763"/>
    <col min="6100" max="6100" customWidth="1" bestFit="1" width="3.0" style="763"/>
    <col min="6101" max="6101" customWidth="1" bestFit="1" width="3.0" style="763"/>
    <col min="6102" max="6102" customWidth="1" bestFit="1" width="3.0" style="763"/>
    <col min="6103" max="6103" customWidth="1" bestFit="1" width="3.0" style="763"/>
    <col min="6104" max="6104" customWidth="1" bestFit="1" width="3.0" style="763"/>
    <col min="6105" max="6105" customWidth="1" bestFit="1" width="3.0" style="763"/>
    <col min="6106" max="6106" customWidth="1" bestFit="1" width="3.0" style="763"/>
    <col min="6107" max="6107" customWidth="1" bestFit="1" width="3.0" style="763"/>
    <col min="6108" max="6108" customWidth="1" bestFit="1" width="3.0" style="763"/>
    <col min="6109" max="6109" customWidth="1" bestFit="1" width="3.0" style="763"/>
    <col min="6110" max="6110" customWidth="1" bestFit="1" width="3.0" style="763"/>
    <col min="6111" max="6111" customWidth="1" bestFit="1" width="3.0" style="763"/>
    <col min="6112" max="6112" customWidth="1" bestFit="1" width="3.0" style="763"/>
    <col min="6113" max="6113" customWidth="1" bestFit="1" width="3.0" style="763"/>
    <col min="6114" max="6114" customWidth="1" bestFit="1" width="3.0" style="763"/>
    <col min="6115" max="6115" customWidth="1" bestFit="1" width="3.0" style="763"/>
    <col min="6116" max="6116" customWidth="1" bestFit="1" width="3.0" style="763"/>
    <col min="6117" max="6117" customWidth="1" bestFit="1" width="3.0" style="763"/>
    <col min="6118" max="6118" customWidth="1" bestFit="1" width="3.0" style="763"/>
    <col min="6119" max="6119" customWidth="1" bestFit="1" width="3.0" style="763"/>
    <col min="6120" max="6120" customWidth="1" bestFit="1" width="3.0" style="763"/>
    <col min="6121" max="6121" customWidth="1" bestFit="1" width="3.0" style="763"/>
    <col min="6122" max="6122" customWidth="1" bestFit="1" width="3.0" style="763"/>
    <col min="6123" max="6123" customWidth="1" bestFit="1" width="3.0" style="763"/>
    <col min="6124" max="6124" customWidth="1" bestFit="1" width="3.0" style="763"/>
    <col min="6125" max="6125" customWidth="1" bestFit="1" width="3.0" style="763"/>
    <col min="6126" max="6126" customWidth="1" bestFit="1" width="3.0" style="763"/>
    <col min="6127" max="6127" customWidth="1" bestFit="1" width="3.0" style="763"/>
    <col min="6128" max="6128" customWidth="1" bestFit="1" width="3.0" style="763"/>
    <col min="6129" max="6129" customWidth="1" bestFit="1" width="3.0" style="763"/>
    <col min="6130" max="6130" customWidth="1" bestFit="1" width="3.0" style="763"/>
    <col min="6131" max="6131" customWidth="1" bestFit="1" width="3.0" style="763"/>
    <col min="6132" max="6132" customWidth="1" bestFit="1" width="3.0" style="763"/>
    <col min="6133" max="6133" customWidth="1" bestFit="1" width="3.0" style="763"/>
    <col min="6134" max="6134" customWidth="1" bestFit="1" width="3.0" style="763"/>
    <col min="6135" max="6135" customWidth="1" bestFit="1" width="3.0" style="763"/>
    <col min="6136" max="6136" customWidth="1" bestFit="1" width="3.0" style="763"/>
    <col min="6137" max="6137" customWidth="1" bestFit="1" width="3.0" style="763"/>
    <col min="6138" max="6138" customWidth="1" bestFit="1" width="3.0" style="763"/>
    <col min="6139" max="6139" customWidth="1" bestFit="1" width="3.0" style="763"/>
    <col min="6140" max="6140" customWidth="1" bestFit="1" width="3.0" style="763"/>
    <col min="6141" max="6141" customWidth="1" bestFit="1" width="3.0" style="763"/>
    <col min="6142" max="6142" customWidth="1" bestFit="1" width="3.0" style="763"/>
    <col min="6143" max="6143" customWidth="1" bestFit="1" width="3.0" style="763"/>
    <col min="6144" max="6144" customWidth="1" bestFit="1" width="3.0" style="763"/>
    <col min="6145" max="6145" customWidth="1" bestFit="1" width="3.0" style="763"/>
    <col min="6146" max="6146" customWidth="1" bestFit="1" width="3.0" style="763"/>
    <col min="6147" max="6147" customWidth="1" bestFit="1" width="3.0" style="763"/>
    <col min="6148" max="6148" customWidth="1" bestFit="1" width="3.0" style="763"/>
    <col min="6149" max="6149" customWidth="1" bestFit="1" width="3.0" style="763"/>
    <col min="6150" max="6150" customWidth="1" bestFit="1" width="3.0" style="763"/>
    <col min="6151" max="6151" customWidth="1" bestFit="1" width="3.0" style="763"/>
    <col min="6152" max="6152" customWidth="1" bestFit="1" width="3.0" style="763"/>
    <col min="6153" max="6153" customWidth="1" bestFit="1" width="3.0" style="763"/>
    <col min="6154" max="6154" customWidth="1" bestFit="1" width="3.0" style="763"/>
    <col min="6155" max="6155" customWidth="1" bestFit="1" width="3.0" style="763"/>
    <col min="6156" max="6156" customWidth="1" bestFit="1" width="3.0" style="763"/>
    <col min="6157" max="6157" customWidth="1" bestFit="1" width="3.0" style="763"/>
    <col min="6158" max="6158" customWidth="1" bestFit="1" width="3.0" style="763"/>
    <col min="6159" max="6159" customWidth="1" bestFit="1" width="3.0" style="763"/>
    <col min="6160" max="6160" customWidth="1" bestFit="1" width="3.0" style="763"/>
    <col min="6161" max="6161" customWidth="1" bestFit="1" width="3.0" style="763"/>
    <col min="6162" max="6162" customWidth="1" bestFit="1" width="3.0" style="763"/>
    <col min="6163" max="6163" customWidth="1" bestFit="1" width="3.0" style="763"/>
    <col min="6164" max="6164" customWidth="1" bestFit="1" width="3.0" style="763"/>
    <col min="6165" max="6165" customWidth="1" bestFit="1" width="3.0" style="763"/>
    <col min="6166" max="6166" customWidth="1" bestFit="1" width="3.0" style="763"/>
    <col min="6167" max="6167" customWidth="1" bestFit="1" width="3.0" style="763"/>
    <col min="6168" max="6168" customWidth="1" bestFit="1" width="3.0" style="763"/>
    <col min="6169" max="6169" customWidth="1" bestFit="1" width="3.0" style="763"/>
    <col min="6170" max="6170" customWidth="1" bestFit="1" width="3.0" style="763"/>
    <col min="6171" max="6171" customWidth="1" bestFit="1" width="3.0" style="763"/>
    <col min="6172" max="6172" customWidth="1" bestFit="1" width="3.0" style="763"/>
    <col min="6173" max="6173" customWidth="1" bestFit="1" width="3.0" style="763"/>
    <col min="6174" max="6174" customWidth="1" bestFit="1" width="3.0" style="763"/>
    <col min="6175" max="6175" customWidth="1" bestFit="1" width="3.0" style="763"/>
    <col min="6176" max="6176" customWidth="1" bestFit="1" width="3.0" style="763"/>
    <col min="6177" max="6177" customWidth="1" bestFit="1" width="3.0" style="763"/>
    <col min="6178" max="6178" customWidth="1" bestFit="1" width="3.0" style="763"/>
    <col min="6179" max="6179" customWidth="1" bestFit="1" width="3.0" style="763"/>
    <col min="6180" max="6180" customWidth="1" bestFit="1" width="3.0" style="763"/>
    <col min="6181" max="6181" customWidth="1" bestFit="1" width="3.0" style="763"/>
    <col min="6182" max="6182" customWidth="1" bestFit="1" width="3.0" style="763"/>
    <col min="6183" max="6183" customWidth="1" bestFit="1" width="3.0" style="763"/>
    <col min="6184" max="6184" customWidth="1" bestFit="1" width="3.0" style="763"/>
    <col min="6185" max="6185" customWidth="1" bestFit="1" width="3.0" style="763"/>
    <col min="6186" max="6186" customWidth="1" bestFit="1" width="3.0" style="763"/>
    <col min="6187" max="6187" customWidth="1" bestFit="1" width="3.0" style="763"/>
    <col min="6188" max="6188" customWidth="1" bestFit="1" width="3.0" style="763"/>
    <col min="6189" max="6189" customWidth="1" bestFit="1" width="3.0" style="763"/>
    <col min="6190" max="6190" customWidth="1" bestFit="1" width="3.0" style="763"/>
    <col min="6191" max="6191" customWidth="1" bestFit="1" width="3.0" style="763"/>
    <col min="6192" max="6192" customWidth="1" bestFit="1" width="3.0" style="763"/>
    <col min="6193" max="6193" customWidth="1" bestFit="1" width="3.0" style="763"/>
    <col min="6194" max="6194" customWidth="1" bestFit="1" width="3.0" style="763"/>
    <col min="6195" max="6195" customWidth="1" bestFit="1" width="3.0" style="763"/>
    <col min="6196" max="6196" customWidth="1" bestFit="1" width="3.0" style="763"/>
    <col min="6197" max="6197" customWidth="1" bestFit="1" width="3.0" style="763"/>
    <col min="6198" max="6198" customWidth="1" bestFit="1" width="3.0" style="763"/>
    <col min="6199" max="6199" customWidth="1" bestFit="1" width="3.0" style="763"/>
    <col min="6200" max="6200" customWidth="1" bestFit="1" width="3.0" style="763"/>
    <col min="6201" max="6201" customWidth="1" bestFit="1" width="3.0" style="763"/>
    <col min="6202" max="6202" customWidth="1" bestFit="1" width="3.0" style="763"/>
    <col min="6203" max="6203" customWidth="1" bestFit="1" width="3.0" style="763"/>
    <col min="6204" max="6204" customWidth="1" bestFit="1" width="3.0" style="763"/>
    <col min="6205" max="6205" customWidth="1" bestFit="1" width="3.0" style="763"/>
    <col min="6206" max="6206" customWidth="1" bestFit="1" width="3.0" style="763"/>
    <col min="6207" max="6207" customWidth="1" bestFit="1" width="3.0" style="763"/>
    <col min="6208" max="6208" customWidth="1" bestFit="1" width="3.0" style="763"/>
    <col min="6209" max="6209" customWidth="1" bestFit="1" width="3.0" style="763"/>
    <col min="6210" max="6210" customWidth="1" bestFit="1" width="3.0" style="763"/>
    <col min="6211" max="6211" customWidth="1" bestFit="1" width="3.0" style="763"/>
    <col min="6212" max="6212" customWidth="1" bestFit="1" width="3.0" style="763"/>
    <col min="6213" max="6213" customWidth="1" bestFit="1" width="3.0" style="763"/>
    <col min="6214" max="6214" customWidth="1" bestFit="1" width="3.0" style="763"/>
    <col min="6215" max="6215" customWidth="1" bestFit="1" width="3.0" style="763"/>
    <col min="6216" max="6216" customWidth="1" bestFit="1" width="3.0" style="763"/>
    <col min="6217" max="6217" customWidth="1" bestFit="1" width="3.0" style="763"/>
    <col min="6218" max="6218" customWidth="1" bestFit="1" width="3.0" style="763"/>
    <col min="6219" max="6219" customWidth="1" bestFit="1" width="3.0" style="763"/>
    <col min="6220" max="6220" customWidth="1" bestFit="1" width="3.0" style="763"/>
    <col min="6221" max="6221" customWidth="1" bestFit="1" width="3.0" style="763"/>
    <col min="6222" max="6222" customWidth="1" bestFit="1" width="3.0" style="763"/>
    <col min="6223" max="6223" customWidth="1" bestFit="1" width="3.0" style="763"/>
    <col min="6224" max="6224" customWidth="1" bestFit="1" width="3.0" style="763"/>
    <col min="6225" max="6225" customWidth="1" bestFit="1" width="3.0" style="763"/>
    <col min="6226" max="6226" customWidth="1" bestFit="1" width="3.0" style="763"/>
    <col min="6227" max="6227" customWidth="1" bestFit="1" width="3.0" style="763"/>
    <col min="6228" max="6228" customWidth="1" bestFit="1" width="3.0" style="763"/>
    <col min="6229" max="6229" customWidth="1" bestFit="1" width="3.0" style="763"/>
    <col min="6230" max="6230" customWidth="1" bestFit="1" width="3.0" style="763"/>
    <col min="6231" max="6231" customWidth="1" bestFit="1" width="3.0" style="763"/>
    <col min="6232" max="6232" customWidth="1" bestFit="1" width="3.0" style="763"/>
    <col min="6233" max="6233" customWidth="1" bestFit="1" width="3.0" style="763"/>
    <col min="6234" max="6234" customWidth="1" bestFit="1" width="3.0" style="763"/>
    <col min="6235" max="6235" customWidth="1" bestFit="1" width="3.0" style="763"/>
    <col min="6236" max="6236" customWidth="1" bestFit="1" width="3.0" style="763"/>
    <col min="6237" max="6237" customWidth="1" bestFit="1" width="3.0" style="763"/>
    <col min="6238" max="6238" customWidth="1" bestFit="1" width="3.0" style="763"/>
    <col min="6239" max="6239" customWidth="1" bestFit="1" width="3.0" style="763"/>
    <col min="6240" max="6240" customWidth="1" bestFit="1" width="3.0" style="763"/>
    <col min="6241" max="6241" customWidth="1" bestFit="1" width="3.0" style="763"/>
    <col min="6242" max="6242" customWidth="1" bestFit="1" width="3.0" style="763"/>
    <col min="6243" max="6243" customWidth="1" bestFit="1" width="3.0" style="763"/>
    <col min="6244" max="6244" customWidth="1" bestFit="1" width="3.0" style="763"/>
    <col min="6245" max="6245" customWidth="1" bestFit="1" width="3.0" style="763"/>
    <col min="6246" max="6246" customWidth="1" bestFit="1" width="3.0" style="763"/>
    <col min="6247" max="6247" customWidth="1" bestFit="1" width="3.0" style="763"/>
    <col min="6248" max="6248" customWidth="1" bestFit="1" width="3.0" style="763"/>
    <col min="6249" max="6249" customWidth="1" bestFit="1" width="3.0" style="763"/>
    <col min="6250" max="6250" customWidth="1" bestFit="1" width="3.0" style="763"/>
    <col min="6251" max="6251" customWidth="1" bestFit="1" width="3.0" style="763"/>
    <col min="6252" max="6252" customWidth="1" bestFit="1" width="3.0" style="763"/>
    <col min="6253" max="6253" customWidth="1" bestFit="1" width="3.0" style="763"/>
    <col min="6254" max="6254" customWidth="1" bestFit="1" width="3.0" style="763"/>
    <col min="6255" max="6255" customWidth="1" bestFit="1" width="3.0" style="763"/>
    <col min="6256" max="6256" customWidth="1" bestFit="1" width="3.0" style="763"/>
    <col min="6257" max="6257" customWidth="1" bestFit="1" width="3.0" style="763"/>
    <col min="6258" max="6258" customWidth="1" bestFit="1" width="3.0" style="763"/>
    <col min="6259" max="6259" customWidth="1" bestFit="1" width="3.0" style="763"/>
    <col min="6260" max="6260" customWidth="1" bestFit="1" width="3.0" style="763"/>
    <col min="6261" max="6261" customWidth="1" bestFit="1" width="3.0" style="763"/>
    <col min="6262" max="6262" customWidth="1" bestFit="1" width="3.0" style="763"/>
    <col min="6263" max="6263" customWidth="1" bestFit="1" width="3.0" style="763"/>
    <col min="6264" max="6264" customWidth="1" bestFit="1" width="3.0" style="763"/>
    <col min="6265" max="6265" customWidth="1" bestFit="1" width="3.0" style="763"/>
    <col min="6266" max="6266" customWidth="1" bestFit="1" width="3.0" style="763"/>
    <col min="6267" max="6267" customWidth="1" bestFit="1" width="3.0" style="763"/>
    <col min="6268" max="6268" customWidth="1" bestFit="1" width="3.0" style="763"/>
    <col min="6269" max="6269" customWidth="1" bestFit="1" width="3.0" style="763"/>
    <col min="6270" max="6270" customWidth="1" bestFit="1" width="3.0" style="763"/>
    <col min="6271" max="6271" customWidth="1" bestFit="1" width="3.0" style="763"/>
    <col min="6272" max="6272" customWidth="1" bestFit="1" width="3.0" style="763"/>
    <col min="6273" max="6273" customWidth="1" bestFit="1" width="3.0" style="763"/>
    <col min="6274" max="6274" customWidth="1" bestFit="1" width="3.0" style="763"/>
    <col min="6275" max="6275" customWidth="1" bestFit="1" width="3.0" style="763"/>
    <col min="6276" max="6276" customWidth="1" bestFit="1" width="3.0" style="763"/>
    <col min="6277" max="6277" customWidth="1" bestFit="1" width="3.0" style="763"/>
    <col min="6278" max="6278" customWidth="1" bestFit="1" width="3.0" style="763"/>
    <col min="6279" max="6279" customWidth="1" bestFit="1" width="3.0" style="763"/>
    <col min="6280" max="6280" customWidth="1" bestFit="1" width="3.0" style="763"/>
    <col min="6281" max="6281" customWidth="1" bestFit="1" width="3.0" style="763"/>
    <col min="6282" max="6282" customWidth="1" bestFit="1" width="3.0" style="763"/>
    <col min="6283" max="6283" customWidth="1" bestFit="1" width="3.0" style="763"/>
    <col min="6284" max="6284" customWidth="1" bestFit="1" width="3.0" style="763"/>
    <col min="6285" max="6285" customWidth="1" bestFit="1" width="3.0" style="763"/>
    <col min="6286" max="6286" customWidth="1" bestFit="1" width="3.0" style="763"/>
    <col min="6287" max="6287" customWidth="1" bestFit="1" width="3.0" style="763"/>
    <col min="6288" max="6288" customWidth="1" bestFit="1" width="3.0" style="763"/>
    <col min="6289" max="6289" customWidth="1" bestFit="1" width="3.0" style="763"/>
    <col min="6290" max="6290" customWidth="1" bestFit="1" width="3.0" style="763"/>
    <col min="6291" max="6291" customWidth="1" bestFit="1" width="3.0" style="763"/>
    <col min="6292" max="6292" customWidth="1" bestFit="1" width="3.0" style="763"/>
    <col min="6293" max="6293" customWidth="1" bestFit="1" width="3.0" style="763"/>
    <col min="6294" max="6294" customWidth="1" bestFit="1" width="3.0" style="763"/>
    <col min="6295" max="6295" customWidth="1" bestFit="1" width="3.0" style="763"/>
    <col min="6296" max="6296" customWidth="1" bestFit="1" width="3.0" style="763"/>
    <col min="6297" max="6297" customWidth="1" bestFit="1" width="3.0" style="763"/>
    <col min="6298" max="6298" customWidth="1" bestFit="1" width="3.0" style="763"/>
    <col min="6299" max="6299" customWidth="1" bestFit="1" width="3.0" style="763"/>
    <col min="6300" max="6300" customWidth="1" bestFit="1" width="3.0" style="763"/>
    <col min="6301" max="6301" customWidth="1" bestFit="1" width="3.0" style="763"/>
    <col min="6302" max="6302" customWidth="1" bestFit="1" width="3.0" style="763"/>
    <col min="6303" max="6303" customWidth="1" bestFit="1" width="3.0" style="763"/>
    <col min="6304" max="6304" customWidth="1" bestFit="1" width="3.0" style="763"/>
    <col min="6305" max="6305" customWidth="1" bestFit="1" width="3.0" style="763"/>
    <col min="6306" max="6306" customWidth="1" bestFit="1" width="3.0" style="763"/>
    <col min="6307" max="6307" customWidth="1" bestFit="1" width="3.0" style="763"/>
    <col min="6308" max="6308" customWidth="1" bestFit="1" width="3.0" style="763"/>
    <col min="6309" max="6309" customWidth="1" bestFit="1" width="3.0" style="763"/>
    <col min="6310" max="6310" customWidth="1" bestFit="1" width="3.0" style="763"/>
    <col min="6311" max="6311" customWidth="1" bestFit="1" width="3.0" style="763"/>
    <col min="6312" max="6312" customWidth="1" bestFit="1" width="3.0" style="763"/>
    <col min="6313" max="6313" customWidth="1" bestFit="1" width="3.0" style="763"/>
    <col min="6314" max="6314" customWidth="1" bestFit="1" width="3.0" style="763"/>
    <col min="6315" max="6315" customWidth="1" bestFit="1" width="3.0" style="763"/>
    <col min="6316" max="6316" customWidth="1" bestFit="1" width="3.0" style="763"/>
    <col min="6317" max="6317" customWidth="1" bestFit="1" width="3.0" style="763"/>
    <col min="6318" max="6318" customWidth="1" bestFit="1" width="3.0" style="763"/>
    <col min="6319" max="6319" customWidth="1" bestFit="1" width="3.0" style="763"/>
    <col min="6320" max="6320" customWidth="1" bestFit="1" width="3.0" style="763"/>
    <col min="6321" max="6321" customWidth="1" bestFit="1" width="3.0" style="763"/>
    <col min="6322" max="6322" customWidth="1" bestFit="1" width="3.0" style="763"/>
    <col min="6323" max="6323" customWidth="1" bestFit="1" width="3.0" style="763"/>
    <col min="6324" max="6324" customWidth="1" bestFit="1" width="3.0" style="763"/>
    <col min="6325" max="6325" customWidth="1" bestFit="1" width="3.0" style="763"/>
    <col min="6326" max="6326" customWidth="1" bestFit="1" width="3.0" style="763"/>
    <col min="6327" max="6327" customWidth="1" bestFit="1" width="3.0" style="763"/>
    <col min="6328" max="6328" customWidth="1" bestFit="1" width="3.0" style="763"/>
    <col min="6329" max="6329" customWidth="1" bestFit="1" width="3.0" style="763"/>
    <col min="6330" max="6330" customWidth="1" bestFit="1" width="3.0" style="763"/>
    <col min="6331" max="6331" customWidth="1" bestFit="1" width="3.0" style="763"/>
    <col min="6332" max="6332" customWidth="1" bestFit="1" width="3.0" style="763"/>
    <col min="6333" max="6333" customWidth="1" bestFit="1" width="3.0" style="763"/>
    <col min="6334" max="6334" customWidth="1" bestFit="1" width="3.0" style="763"/>
    <col min="6335" max="6335" customWidth="1" bestFit="1" width="3.0" style="763"/>
    <col min="6336" max="6336" customWidth="1" bestFit="1" width="3.0" style="763"/>
    <col min="6337" max="6337" customWidth="1" bestFit="1" width="3.0" style="763"/>
    <col min="6338" max="6338" customWidth="1" bestFit="1" width="3.0" style="763"/>
    <col min="6339" max="6339" customWidth="1" bestFit="1" width="3.0" style="763"/>
    <col min="6340" max="6340" customWidth="1" bestFit="1" width="3.0" style="763"/>
    <col min="6341" max="6341" customWidth="1" bestFit="1" width="3.0" style="763"/>
    <col min="6342" max="6342" customWidth="1" bestFit="1" width="3.0" style="763"/>
    <col min="6343" max="6343" customWidth="1" bestFit="1" width="3.0" style="763"/>
    <col min="6344" max="6344" customWidth="1" bestFit="1" width="3.0" style="763"/>
    <col min="6345" max="6345" customWidth="1" bestFit="1" width="3.0" style="763"/>
    <col min="6346" max="6346" customWidth="1" bestFit="1" width="3.0" style="763"/>
    <col min="6347" max="6347" customWidth="1" bestFit="1" width="3.0" style="763"/>
    <col min="6348" max="6348" customWidth="1" bestFit="1" width="3.0" style="763"/>
    <col min="6349" max="6349" customWidth="1" bestFit="1" width="3.0" style="763"/>
    <col min="6350" max="6350" customWidth="1" bestFit="1" width="3.0" style="763"/>
    <col min="6351" max="6351" customWidth="1" bestFit="1" width="3.0" style="763"/>
    <col min="6352" max="6352" customWidth="1" bestFit="1" width="3.0" style="763"/>
    <col min="6353" max="6353" customWidth="1" bestFit="1" width="3.0" style="763"/>
    <col min="6354" max="6354" customWidth="1" bestFit="1" width="3.0" style="763"/>
    <col min="6355" max="6355" customWidth="1" bestFit="1" width="3.0" style="763"/>
    <col min="6356" max="6356" customWidth="1" bestFit="1" width="3.0" style="763"/>
    <col min="6357" max="6357" customWidth="1" bestFit="1" width="3.0" style="763"/>
    <col min="6358" max="6358" customWidth="1" bestFit="1" width="3.0" style="763"/>
    <col min="6359" max="6359" customWidth="1" bestFit="1" width="3.0" style="763"/>
    <col min="6360" max="6360" customWidth="1" bestFit="1" width="3.0" style="763"/>
    <col min="6361" max="6361" customWidth="1" bestFit="1" width="3.0" style="763"/>
    <col min="6362" max="6362" customWidth="1" bestFit="1" width="3.0" style="763"/>
    <col min="6363" max="6363" customWidth="1" bestFit="1" width="3.0" style="763"/>
    <col min="6364" max="6364" customWidth="1" bestFit="1" width="3.0" style="763"/>
    <col min="6365" max="6365" customWidth="1" bestFit="1" width="3.0" style="763"/>
    <col min="6366" max="6366" customWidth="1" bestFit="1" width="3.0" style="763"/>
    <col min="6367" max="6367" customWidth="1" bestFit="1" width="3.0" style="763"/>
    <col min="6368" max="6368" customWidth="1" bestFit="1" width="3.0" style="763"/>
    <col min="6369" max="6369" customWidth="1" bestFit="1" width="3.0" style="763"/>
    <col min="6370" max="6370" customWidth="1" bestFit="1" width="3.0" style="763"/>
    <col min="6371" max="6371" customWidth="1" bestFit="1" width="3.0" style="763"/>
    <col min="6372" max="6372" customWidth="1" bestFit="1" width="3.0" style="763"/>
    <col min="6373" max="6373" customWidth="1" bestFit="1" width="3.0" style="763"/>
    <col min="6374" max="6374" customWidth="1" bestFit="1" width="3.0" style="763"/>
    <col min="6375" max="6375" customWidth="1" bestFit="1" width="3.0" style="763"/>
    <col min="6376" max="6376" customWidth="1" bestFit="1" width="3.0" style="763"/>
    <col min="6377" max="6377" customWidth="1" bestFit="1" width="3.0" style="763"/>
    <col min="6378" max="6378" customWidth="1" bestFit="1" width="3.0" style="763"/>
    <col min="6379" max="6379" customWidth="1" bestFit="1" width="3.0" style="763"/>
    <col min="6380" max="6380" customWidth="1" bestFit="1" width="3.0" style="763"/>
    <col min="6381" max="6381" customWidth="1" bestFit="1" width="3.0" style="763"/>
    <col min="6382" max="6382" customWidth="1" bestFit="1" width="3.0" style="763"/>
    <col min="6383" max="6383" customWidth="1" bestFit="1" width="3.0" style="763"/>
    <col min="6384" max="6384" customWidth="1" bestFit="1" width="3.0" style="763"/>
    <col min="6385" max="6385" customWidth="1" bestFit="1" width="3.0" style="763"/>
    <col min="6386" max="6386" customWidth="1" bestFit="1" width="3.0" style="763"/>
    <col min="6387" max="6387" customWidth="1" bestFit="1" width="3.0" style="763"/>
    <col min="6388" max="6388" customWidth="1" bestFit="1" width="3.0" style="763"/>
    <col min="6389" max="6389" customWidth="1" bestFit="1" width="3.0" style="763"/>
    <col min="6390" max="6390" customWidth="1" bestFit="1" width="3.0" style="763"/>
    <col min="6391" max="6391" customWidth="1" bestFit="1" width="3.0" style="763"/>
    <col min="6392" max="6392" customWidth="1" bestFit="1" width="3.0" style="763"/>
    <col min="6393" max="6393" customWidth="1" bestFit="1" width="3.0" style="763"/>
    <col min="6394" max="6394" customWidth="1" bestFit="1" width="3.0" style="763"/>
    <col min="6395" max="6395" customWidth="1" bestFit="1" width="3.0" style="763"/>
    <col min="6396" max="6396" customWidth="1" bestFit="1" width="3.0" style="763"/>
    <col min="6397" max="6397" customWidth="1" bestFit="1" width="3.0" style="763"/>
    <col min="6398" max="6398" customWidth="1" bestFit="1" width="3.0" style="763"/>
    <col min="6399" max="6399" customWidth="1" bestFit="1" width="3.0" style="763"/>
    <col min="6400" max="6400" customWidth="1" bestFit="1" width="3.0" style="763"/>
    <col min="6401" max="6401" customWidth="1" bestFit="1" width="3.0" style="763"/>
    <col min="6402" max="6402" customWidth="1" bestFit="1" width="3.0" style="763"/>
    <col min="6403" max="6403" customWidth="1" bestFit="1" width="3.0" style="763"/>
    <col min="6404" max="6404" customWidth="1" bestFit="1" width="3.0" style="763"/>
    <col min="6405" max="6405" customWidth="1" bestFit="1" width="3.0" style="763"/>
    <col min="6406" max="6406" customWidth="1" bestFit="1" width="3.0" style="763"/>
    <col min="6407" max="6407" customWidth="1" bestFit="1" width="3.0" style="763"/>
    <col min="6408" max="6408" customWidth="1" bestFit="1" width="3.0" style="763"/>
    <col min="6409" max="6409" customWidth="1" bestFit="1" width="3.0" style="763"/>
    <col min="6410" max="6410" customWidth="1" bestFit="1" width="3.0" style="763"/>
    <col min="6411" max="6411" customWidth="1" bestFit="1" width="3.0" style="763"/>
    <col min="6412" max="6412" customWidth="1" bestFit="1" width="3.0" style="763"/>
    <col min="6413" max="6413" customWidth="1" bestFit="1" width="3.0" style="763"/>
    <col min="6414" max="6414" customWidth="1" bestFit="1" width="3.0" style="763"/>
    <col min="6415" max="6415" customWidth="1" bestFit="1" width="3.0" style="763"/>
    <col min="6416" max="6416" customWidth="1" bestFit="1" width="3.0" style="763"/>
    <col min="6417" max="6417" customWidth="1" bestFit="1" width="3.0" style="763"/>
    <col min="6418" max="6418" customWidth="1" bestFit="1" width="3.0" style="763"/>
    <col min="6419" max="6419" customWidth="1" bestFit="1" width="3.0" style="763"/>
    <col min="6420" max="6420" customWidth="1" bestFit="1" width="3.0" style="763"/>
    <col min="6421" max="6421" customWidth="1" bestFit="1" width="3.0" style="763"/>
    <col min="6422" max="6422" customWidth="1" bestFit="1" width="3.0" style="763"/>
    <col min="6423" max="6423" customWidth="1" bestFit="1" width="3.0" style="763"/>
    <col min="6424" max="6424" customWidth="1" bestFit="1" width="3.0" style="763"/>
    <col min="6425" max="6425" customWidth="1" bestFit="1" width="3.0" style="763"/>
    <col min="6426" max="6426" customWidth="1" bestFit="1" width="3.0" style="763"/>
    <col min="6427" max="6427" customWidth="1" bestFit="1" width="3.0" style="763"/>
    <col min="6428" max="6428" customWidth="1" bestFit="1" width="3.0" style="763"/>
    <col min="6429" max="6429" customWidth="1" bestFit="1" width="3.0" style="763"/>
    <col min="6430" max="6430" customWidth="1" bestFit="1" width="3.0" style="763"/>
    <col min="6431" max="6431" customWidth="1" bestFit="1" width="3.0" style="763"/>
    <col min="6432" max="6432" customWidth="1" bestFit="1" width="3.0" style="763"/>
    <col min="6433" max="6433" customWidth="1" bestFit="1" width="3.0" style="763"/>
    <col min="6434" max="6434" customWidth="1" bestFit="1" width="3.0" style="763"/>
    <col min="6435" max="6435" customWidth="1" bestFit="1" width="3.0" style="763"/>
    <col min="6436" max="6436" customWidth="1" bestFit="1" width="3.0" style="763"/>
    <col min="6437" max="6437" customWidth="1" bestFit="1" width="3.0" style="763"/>
    <col min="6438" max="6438" customWidth="1" bestFit="1" width="3.0" style="763"/>
    <col min="6439" max="6439" customWidth="1" bestFit="1" width="3.0" style="763"/>
    <col min="6440" max="6440" customWidth="1" bestFit="1" width="3.0" style="763"/>
    <col min="6441" max="6441" customWidth="1" bestFit="1" width="3.0" style="763"/>
    <col min="6442" max="6442" customWidth="1" bestFit="1" width="3.0" style="763"/>
    <col min="6443" max="6443" customWidth="1" bestFit="1" width="3.0" style="763"/>
    <col min="6444" max="6444" customWidth="1" bestFit="1" width="3.0" style="763"/>
    <col min="6445" max="6445" customWidth="1" bestFit="1" width="3.0" style="763"/>
    <col min="6446" max="6446" customWidth="1" bestFit="1" width="3.0" style="763"/>
    <col min="6447" max="6447" customWidth="1" bestFit="1" width="3.0" style="763"/>
    <col min="6448" max="6448" customWidth="1" bestFit="1" width="3.0" style="763"/>
    <col min="6449" max="6449" customWidth="1" bestFit="1" width="3.0" style="763"/>
    <col min="6450" max="6450" customWidth="1" bestFit="1" width="3.0" style="763"/>
    <col min="6451" max="6451" customWidth="1" bestFit="1" width="3.0" style="763"/>
    <col min="6452" max="6452" customWidth="1" bestFit="1" width="3.0" style="763"/>
    <col min="6453" max="6453" customWidth="1" bestFit="1" width="3.0" style="763"/>
    <col min="6454" max="6454" customWidth="1" bestFit="1" width="3.0" style="763"/>
    <col min="6455" max="6455" customWidth="1" bestFit="1" width="3.0" style="763"/>
    <col min="6456" max="6456" customWidth="1" bestFit="1" width="3.0" style="763"/>
    <col min="6457" max="6457" customWidth="1" bestFit="1" width="3.0" style="763"/>
    <col min="6458" max="6458" customWidth="1" bestFit="1" width="3.0" style="763"/>
    <col min="6459" max="6459" customWidth="1" bestFit="1" width="3.0" style="763"/>
    <col min="6460" max="6460" customWidth="1" bestFit="1" width="3.0" style="763"/>
    <col min="6461" max="6461" customWidth="1" bestFit="1" width="3.0" style="763"/>
    <col min="6462" max="6462" customWidth="1" bestFit="1" width="3.0" style="763"/>
    <col min="6463" max="6463" customWidth="1" bestFit="1" width="3.0" style="763"/>
    <col min="6464" max="6464" customWidth="1" bestFit="1" width="3.0" style="763"/>
    <col min="6465" max="6465" customWidth="1" bestFit="1" width="3.0" style="763"/>
    <col min="6466" max="6466" customWidth="1" bestFit="1" width="3.0" style="763"/>
    <col min="6467" max="6467" customWidth="1" bestFit="1" width="3.0" style="763"/>
    <col min="6468" max="6468" customWidth="1" bestFit="1" width="3.0" style="763"/>
    <col min="6469" max="6469" customWidth="1" bestFit="1" width="3.0" style="763"/>
    <col min="6470" max="6470" customWidth="1" bestFit="1" width="3.0" style="763"/>
    <col min="6471" max="6471" customWidth="1" bestFit="1" width="3.0" style="763"/>
    <col min="6472" max="6472" customWidth="1" bestFit="1" width="3.0" style="763"/>
    <col min="6473" max="6473" customWidth="1" bestFit="1" width="3.0" style="763"/>
    <col min="6474" max="6474" customWidth="1" bestFit="1" width="3.0" style="763"/>
    <col min="6475" max="6475" customWidth="1" bestFit="1" width="3.0" style="763"/>
    <col min="6476" max="6476" customWidth="1" bestFit="1" width="3.0" style="763"/>
    <col min="6477" max="6477" customWidth="1" bestFit="1" width="3.0" style="763"/>
    <col min="6478" max="6478" customWidth="1" bestFit="1" width="3.0" style="763"/>
    <col min="6479" max="6479" customWidth="1" bestFit="1" width="3.0" style="763"/>
    <col min="6480" max="6480" customWidth="1" bestFit="1" width="3.0" style="763"/>
    <col min="6481" max="6481" customWidth="1" bestFit="1" width="3.0" style="763"/>
    <col min="6482" max="6482" customWidth="1" bestFit="1" width="3.0" style="763"/>
    <col min="6483" max="6483" customWidth="1" bestFit="1" width="3.0" style="763"/>
    <col min="6484" max="6484" customWidth="1" bestFit="1" width="3.0" style="763"/>
    <col min="6485" max="6485" customWidth="1" bestFit="1" width="3.0" style="763"/>
    <col min="6486" max="6486" customWidth="1" bestFit="1" width="3.0" style="763"/>
    <col min="6487" max="6487" customWidth="1" bestFit="1" width="3.0" style="763"/>
    <col min="6488" max="6488" customWidth="1" bestFit="1" width="3.0" style="763"/>
    <col min="6489" max="6489" customWidth="1" bestFit="1" width="3.0" style="763"/>
    <col min="6490" max="6490" customWidth="1" bestFit="1" width="3.0" style="763"/>
    <col min="6491" max="6491" customWidth="1" bestFit="1" width="3.0" style="763"/>
    <col min="6492" max="6492" customWidth="1" bestFit="1" width="3.0" style="763"/>
    <col min="6493" max="6493" customWidth="1" bestFit="1" width="3.0" style="763"/>
    <col min="6494" max="6494" customWidth="1" bestFit="1" width="3.0" style="763"/>
    <col min="6495" max="6495" customWidth="1" bestFit="1" width="3.0" style="763"/>
    <col min="6496" max="6496" customWidth="1" bestFit="1" width="3.0" style="763"/>
    <col min="6497" max="6497" customWidth="1" bestFit="1" width="3.0" style="763"/>
    <col min="6498" max="6498" customWidth="1" bestFit="1" width="3.0" style="763"/>
    <col min="6499" max="6499" customWidth="1" bestFit="1" width="3.0" style="763"/>
    <col min="6500" max="6500" customWidth="1" bestFit="1" width="3.0" style="763"/>
    <col min="6501" max="6501" customWidth="1" bestFit="1" width="3.0" style="763"/>
    <col min="6502" max="6502" customWidth="1" bestFit="1" width="3.0" style="763"/>
    <col min="6503" max="6503" customWidth="1" bestFit="1" width="3.0" style="763"/>
    <col min="6504" max="6504" customWidth="1" bestFit="1" width="3.0" style="763"/>
    <col min="6505" max="6505" customWidth="1" bestFit="1" width="3.0" style="763"/>
    <col min="6506" max="6506" customWidth="1" bestFit="1" width="3.0" style="763"/>
    <col min="6507" max="6507" customWidth="1" bestFit="1" width="3.0" style="763"/>
    <col min="6508" max="6508" customWidth="1" bestFit="1" width="3.0" style="763"/>
    <col min="6509" max="6509" customWidth="1" bestFit="1" width="3.0" style="763"/>
    <col min="6510" max="6510" customWidth="1" bestFit="1" width="3.0" style="763"/>
    <col min="6511" max="6511" customWidth="1" bestFit="1" width="3.0" style="763"/>
    <col min="6512" max="6512" customWidth="1" bestFit="1" width="3.0" style="763"/>
    <col min="6513" max="6513" customWidth="1" bestFit="1" width="3.0" style="763"/>
    <col min="6514" max="6514" customWidth="1" bestFit="1" width="3.0" style="763"/>
    <col min="6515" max="6515" customWidth="1" bestFit="1" width="3.0" style="763"/>
    <col min="6516" max="6516" customWidth="1" bestFit="1" width="3.0" style="763"/>
    <col min="6517" max="6517" customWidth="1" bestFit="1" width="3.0" style="763"/>
    <col min="6518" max="6518" customWidth="1" bestFit="1" width="3.0" style="763"/>
    <col min="6519" max="6519" customWidth="1" bestFit="1" width="3.0" style="763"/>
    <col min="6520" max="6520" customWidth="1" bestFit="1" width="3.0" style="763"/>
    <col min="6521" max="6521" customWidth="1" bestFit="1" width="3.0" style="763"/>
    <col min="6522" max="6522" customWidth="1" bestFit="1" width="3.0" style="763"/>
    <col min="6523" max="6523" customWidth="1" bestFit="1" width="3.0" style="763"/>
    <col min="6524" max="6524" customWidth="1" bestFit="1" width="3.0" style="763"/>
    <col min="6525" max="6525" customWidth="1" bestFit="1" width="3.0" style="763"/>
    <col min="6526" max="6526" customWidth="1" bestFit="1" width="3.0" style="763"/>
    <col min="6527" max="6527" customWidth="1" bestFit="1" width="3.0" style="763"/>
    <col min="6528" max="6528" customWidth="1" bestFit="1" width="3.0" style="763"/>
    <col min="6529" max="6529" customWidth="1" bestFit="1" width="3.0" style="763"/>
    <col min="6530" max="6530" customWidth="1" bestFit="1" width="3.0" style="763"/>
    <col min="6531" max="6531" customWidth="1" bestFit="1" width="3.0" style="763"/>
    <col min="6532" max="6532" customWidth="1" bestFit="1" width="3.0" style="763"/>
    <col min="6533" max="6533" customWidth="1" bestFit="1" width="3.0" style="763"/>
    <col min="6534" max="6534" customWidth="1" bestFit="1" width="3.0" style="763"/>
    <col min="6535" max="6535" customWidth="1" bestFit="1" width="3.0" style="763"/>
    <col min="6536" max="6536" customWidth="1" bestFit="1" width="3.0" style="763"/>
    <col min="6537" max="6537" customWidth="1" bestFit="1" width="3.0" style="763"/>
    <col min="6538" max="6538" customWidth="1" bestFit="1" width="3.0" style="763"/>
    <col min="6539" max="6539" customWidth="1" bestFit="1" width="3.0" style="763"/>
    <col min="6540" max="6540" customWidth="1" bestFit="1" width="3.0" style="763"/>
    <col min="6541" max="6541" customWidth="1" bestFit="1" width="3.0" style="763"/>
    <col min="6542" max="6542" customWidth="1" bestFit="1" width="3.0" style="763"/>
    <col min="6543" max="6543" customWidth="1" bestFit="1" width="3.0" style="763"/>
    <col min="6544" max="6544" customWidth="1" bestFit="1" width="3.0" style="763"/>
    <col min="6545" max="6545" customWidth="1" bestFit="1" width="3.0" style="763"/>
    <col min="6546" max="6546" customWidth="1" bestFit="1" width="3.0" style="763"/>
    <col min="6547" max="6547" customWidth="1" bestFit="1" width="3.0" style="763"/>
    <col min="6548" max="6548" customWidth="1" bestFit="1" width="3.0" style="763"/>
    <col min="6549" max="6549" customWidth="1" bestFit="1" width="3.0" style="763"/>
    <col min="6550" max="6550" customWidth="1" bestFit="1" width="3.0" style="763"/>
    <col min="6551" max="6551" customWidth="1" bestFit="1" width="3.0" style="763"/>
    <col min="6552" max="6552" customWidth="1" bestFit="1" width="3.0" style="763"/>
    <col min="6553" max="6553" customWidth="1" bestFit="1" width="3.0" style="763"/>
    <col min="6554" max="6554" customWidth="1" bestFit="1" width="3.0" style="763"/>
    <col min="6555" max="6555" customWidth="1" bestFit="1" width="3.0" style="763"/>
    <col min="6556" max="6556" customWidth="1" bestFit="1" width="3.0" style="763"/>
    <col min="6557" max="6557" customWidth="1" bestFit="1" width="3.0" style="763"/>
    <col min="6558" max="6558" customWidth="1" bestFit="1" width="3.0" style="763"/>
    <col min="6559" max="6559" customWidth="1" bestFit="1" width="3.0" style="763"/>
    <col min="6560" max="6560" customWidth="1" bestFit="1" width="3.0" style="763"/>
    <col min="6561" max="6561" customWidth="1" bestFit="1" width="3.0" style="763"/>
    <col min="6562" max="6562" customWidth="1" bestFit="1" width="3.0" style="763"/>
    <col min="6563" max="6563" customWidth="1" bestFit="1" width="3.0" style="763"/>
    <col min="6564" max="6564" customWidth="1" bestFit="1" width="3.0" style="763"/>
    <col min="6565" max="6565" customWidth="1" bestFit="1" width="3.0" style="763"/>
    <col min="6566" max="6566" customWidth="1" bestFit="1" width="3.0" style="763"/>
    <col min="6567" max="6567" customWidth="1" bestFit="1" width="3.0" style="763"/>
    <col min="6568" max="6568" customWidth="1" bestFit="1" width="3.0" style="763"/>
    <col min="6569" max="6569" customWidth="1" bestFit="1" width="3.0" style="763"/>
    <col min="6570" max="6570" customWidth="1" bestFit="1" width="3.0" style="763"/>
    <col min="6571" max="6571" customWidth="1" bestFit="1" width="3.0" style="763"/>
    <col min="6572" max="6572" customWidth="1" bestFit="1" width="3.0" style="763"/>
    <col min="6573" max="6573" customWidth="1" bestFit="1" width="3.0" style="763"/>
    <col min="6574" max="6574" customWidth="1" bestFit="1" width="3.0" style="763"/>
    <col min="6575" max="6575" customWidth="1" bestFit="1" width="3.0" style="763"/>
    <col min="6576" max="6576" customWidth="1" bestFit="1" width="3.0" style="763"/>
    <col min="6577" max="6577" customWidth="1" bestFit="1" width="3.0" style="763"/>
    <col min="6578" max="6578" customWidth="1" bestFit="1" width="3.0" style="763"/>
    <col min="6579" max="6579" customWidth="1" bestFit="1" width="3.0" style="763"/>
    <col min="6580" max="6580" customWidth="1" bestFit="1" width="3.0" style="763"/>
    <col min="6581" max="6581" customWidth="1" bestFit="1" width="3.0" style="763"/>
    <col min="6582" max="6582" customWidth="1" bestFit="1" width="3.0" style="763"/>
    <col min="6583" max="6583" customWidth="1" bestFit="1" width="3.0" style="763"/>
    <col min="6584" max="6584" customWidth="1" bestFit="1" width="3.0" style="763"/>
    <col min="6585" max="6585" customWidth="1" bestFit="1" width="3.0" style="763"/>
    <col min="6586" max="6586" customWidth="1" bestFit="1" width="3.0" style="763"/>
    <col min="6587" max="6587" customWidth="1" bestFit="1" width="3.0" style="763"/>
    <col min="6588" max="6588" customWidth="1" bestFit="1" width="3.0" style="763"/>
    <col min="6589" max="6589" customWidth="1" bestFit="1" width="3.0" style="763"/>
    <col min="6590" max="6590" customWidth="1" bestFit="1" width="3.0" style="763"/>
    <col min="6591" max="6591" customWidth="1" bestFit="1" width="3.0" style="763"/>
    <col min="6592" max="6592" customWidth="1" bestFit="1" width="3.0" style="763"/>
    <col min="6593" max="6593" customWidth="1" bestFit="1" width="3.0" style="763"/>
    <col min="6594" max="6594" customWidth="1" bestFit="1" width="3.0" style="763"/>
    <col min="6595" max="6595" customWidth="1" bestFit="1" width="3.0" style="763"/>
    <col min="6596" max="6596" customWidth="1" bestFit="1" width="3.0" style="763"/>
    <col min="6597" max="6597" customWidth="1" bestFit="1" width="3.0" style="763"/>
    <col min="6598" max="6598" customWidth="1" bestFit="1" width="3.0" style="763"/>
    <col min="6599" max="6599" customWidth="1" bestFit="1" width="3.0" style="763"/>
    <col min="6600" max="6600" customWidth="1" bestFit="1" width="3.0" style="763"/>
    <col min="6601" max="6601" customWidth="1" bestFit="1" width="3.0" style="763"/>
    <col min="6602" max="6602" customWidth="1" bestFit="1" width="3.0" style="763"/>
    <col min="6603" max="6603" customWidth="1" bestFit="1" width="3.0" style="763"/>
    <col min="6604" max="6604" customWidth="1" bestFit="1" width="3.0" style="763"/>
    <col min="6605" max="6605" customWidth="1" bestFit="1" width="3.0" style="763"/>
    <col min="6606" max="6606" customWidth="1" bestFit="1" width="3.0" style="763"/>
    <col min="6607" max="6607" customWidth="1" bestFit="1" width="3.0" style="763"/>
    <col min="6608" max="6608" customWidth="1" bestFit="1" width="3.0" style="763"/>
    <col min="6609" max="6609" customWidth="1" bestFit="1" width="3.0" style="763"/>
    <col min="6610" max="6610" customWidth="1" bestFit="1" width="3.0" style="763"/>
    <col min="6611" max="6611" customWidth="1" bestFit="1" width="3.0" style="763"/>
    <col min="6612" max="6612" customWidth="1" bestFit="1" width="3.0" style="763"/>
    <col min="6613" max="6613" customWidth="1" bestFit="1" width="3.0" style="763"/>
    <col min="6614" max="6614" customWidth="1" bestFit="1" width="3.0" style="763"/>
    <col min="6615" max="6615" customWidth="1" bestFit="1" width="3.0" style="763"/>
    <col min="6616" max="6616" customWidth="1" bestFit="1" width="3.0" style="763"/>
    <col min="6617" max="6617" customWidth="1" bestFit="1" width="3.0" style="763"/>
    <col min="6618" max="6618" customWidth="1" bestFit="1" width="3.0" style="763"/>
    <col min="6619" max="6619" customWidth="1" bestFit="1" width="3.0" style="763"/>
    <col min="6620" max="6620" customWidth="1" bestFit="1" width="3.0" style="763"/>
    <col min="6621" max="6621" customWidth="1" bestFit="1" width="3.0" style="763"/>
    <col min="6622" max="6622" customWidth="1" bestFit="1" width="3.0" style="763"/>
    <col min="6623" max="6623" customWidth="1" bestFit="1" width="3.0" style="763"/>
    <col min="6624" max="6624" customWidth="1" bestFit="1" width="3.0" style="763"/>
    <col min="6625" max="6625" customWidth="1" bestFit="1" width="3.0" style="763"/>
    <col min="6626" max="6626" customWidth="1" bestFit="1" width="3.0" style="763"/>
    <col min="6627" max="6627" customWidth="1" bestFit="1" width="3.0" style="763"/>
    <col min="6628" max="6628" customWidth="1" bestFit="1" width="3.0" style="763"/>
    <col min="6629" max="6629" customWidth="1" bestFit="1" width="3.0" style="763"/>
    <col min="6630" max="6630" customWidth="1" bestFit="1" width="3.0" style="763"/>
    <col min="6631" max="6631" customWidth="1" bestFit="1" width="3.0" style="763"/>
    <col min="6632" max="6632" customWidth="1" bestFit="1" width="3.0" style="763"/>
    <col min="6633" max="6633" customWidth="1" bestFit="1" width="3.0" style="763"/>
    <col min="6634" max="6634" customWidth="1" bestFit="1" width="3.0" style="763"/>
    <col min="6635" max="6635" customWidth="1" bestFit="1" width="3.0" style="763"/>
    <col min="6636" max="6636" customWidth="1" bestFit="1" width="3.0" style="763"/>
    <col min="6637" max="6637" customWidth="1" bestFit="1" width="3.0" style="763"/>
    <col min="6638" max="6638" customWidth="1" bestFit="1" width="3.0" style="763"/>
    <col min="6639" max="6639" customWidth="1" bestFit="1" width="3.0" style="763"/>
    <col min="6640" max="6640" customWidth="1" bestFit="1" width="3.0" style="763"/>
    <col min="6641" max="6641" customWidth="1" bestFit="1" width="3.0" style="763"/>
    <col min="6642" max="6642" customWidth="1" bestFit="1" width="3.0" style="763"/>
    <col min="6643" max="6643" customWidth="1" bestFit="1" width="3.0" style="763"/>
    <col min="6644" max="6644" customWidth="1" bestFit="1" width="3.0" style="763"/>
    <col min="6645" max="6645" customWidth="1" bestFit="1" width="3.0" style="763"/>
    <col min="6646" max="6646" customWidth="1" bestFit="1" width="3.0" style="763"/>
    <col min="6647" max="6647" customWidth="1" bestFit="1" width="3.0" style="763"/>
    <col min="6648" max="6648" customWidth="1" bestFit="1" width="3.0" style="763"/>
    <col min="6649" max="6649" customWidth="1" bestFit="1" width="3.0" style="763"/>
    <col min="6650" max="6650" customWidth="1" bestFit="1" width="3.0" style="763"/>
    <col min="6651" max="6651" customWidth="1" bestFit="1" width="3.0" style="763"/>
    <col min="6652" max="6652" customWidth="1" bestFit="1" width="3.0" style="763"/>
    <col min="6653" max="6653" customWidth="1" bestFit="1" width="3.0" style="763"/>
    <col min="6654" max="6654" customWidth="1" bestFit="1" width="3.0" style="763"/>
    <col min="6655" max="6655" customWidth="1" bestFit="1" width="3.0" style="763"/>
    <col min="6656" max="6656" customWidth="1" bestFit="1" width="3.0" style="763"/>
    <col min="6657" max="6657" customWidth="1" bestFit="1" width="3.0" style="763"/>
    <col min="6658" max="6658" customWidth="1" bestFit="1" width="3.0" style="763"/>
    <col min="6659" max="6659" customWidth="1" bestFit="1" width="3.0" style="763"/>
    <col min="6660" max="6660" customWidth="1" bestFit="1" width="3.0" style="763"/>
    <col min="6661" max="6661" customWidth="1" bestFit="1" width="3.0" style="763"/>
    <col min="6662" max="6662" customWidth="1" bestFit="1" width="3.0" style="763"/>
    <col min="6663" max="6663" customWidth="1" bestFit="1" width="3.0" style="763"/>
    <col min="6664" max="6664" customWidth="1" bestFit="1" width="3.0" style="763"/>
    <col min="6665" max="6665" customWidth="1" bestFit="1" width="3.0" style="763"/>
    <col min="6666" max="6666" customWidth="1" bestFit="1" width="3.0" style="763"/>
    <col min="6667" max="6667" customWidth="1" bestFit="1" width="3.0" style="763"/>
    <col min="6668" max="6668" customWidth="1" bestFit="1" width="3.0" style="763"/>
    <col min="6669" max="6669" customWidth="1" bestFit="1" width="3.0" style="763"/>
    <col min="6670" max="6670" customWidth="1" bestFit="1" width="3.0" style="763"/>
    <col min="6671" max="6671" customWidth="1" bestFit="1" width="3.0" style="763"/>
    <col min="6672" max="6672" customWidth="1" bestFit="1" width="3.0" style="763"/>
    <col min="6673" max="6673" customWidth="1" bestFit="1" width="3.0" style="763"/>
    <col min="6674" max="6674" customWidth="1" bestFit="1" width="3.0" style="763"/>
    <col min="6675" max="6675" customWidth="1" bestFit="1" width="3.0" style="763"/>
    <col min="6676" max="6676" customWidth="1" bestFit="1" width="3.0" style="763"/>
    <col min="6677" max="6677" customWidth="1" bestFit="1" width="3.0" style="763"/>
    <col min="6678" max="6678" customWidth="1" bestFit="1" width="3.0" style="763"/>
    <col min="6679" max="6679" customWidth="1" bestFit="1" width="3.0" style="763"/>
    <col min="6680" max="6680" customWidth="1" bestFit="1" width="3.0" style="763"/>
    <col min="6681" max="6681" customWidth="1" bestFit="1" width="3.0" style="763"/>
    <col min="6682" max="6682" customWidth="1" bestFit="1" width="3.0" style="763"/>
    <col min="6683" max="6683" customWidth="1" bestFit="1" width="3.0" style="763"/>
    <col min="6684" max="6684" customWidth="1" bestFit="1" width="3.0" style="763"/>
    <col min="6685" max="6685" customWidth="1" bestFit="1" width="3.0" style="763"/>
    <col min="6686" max="6686" customWidth="1" bestFit="1" width="3.0" style="763"/>
    <col min="6687" max="6687" customWidth="1" bestFit="1" width="3.0" style="763"/>
    <col min="6688" max="6688" customWidth="1" bestFit="1" width="3.0" style="763"/>
    <col min="6689" max="6689" customWidth="1" bestFit="1" width="3.0" style="763"/>
    <col min="6690" max="6690" customWidth="1" bestFit="1" width="3.0" style="763"/>
    <col min="6691" max="6691" customWidth="1" bestFit="1" width="3.0" style="763"/>
    <col min="6692" max="6692" customWidth="1" bestFit="1" width="3.0" style="763"/>
    <col min="6693" max="6693" customWidth="1" bestFit="1" width="3.0" style="763"/>
    <col min="6694" max="6694" customWidth="1" bestFit="1" width="3.0" style="763"/>
    <col min="6695" max="6695" customWidth="1" bestFit="1" width="3.0" style="763"/>
    <col min="6696" max="6696" customWidth="1" bestFit="1" width="3.0" style="763"/>
    <col min="6697" max="6697" customWidth="1" bestFit="1" width="3.0" style="763"/>
    <col min="6698" max="6698" customWidth="1" bestFit="1" width="3.0" style="763"/>
    <col min="6699" max="6699" customWidth="1" bestFit="1" width="3.0" style="763"/>
    <col min="6700" max="6700" customWidth="1" bestFit="1" width="3.0" style="763"/>
    <col min="6701" max="6701" customWidth="1" bestFit="1" width="3.0" style="763"/>
    <col min="6702" max="6702" customWidth="1" bestFit="1" width="3.0" style="763"/>
    <col min="6703" max="6703" customWidth="1" bestFit="1" width="3.0" style="763"/>
    <col min="6704" max="6704" customWidth="1" bestFit="1" width="3.0" style="763"/>
    <col min="6705" max="6705" customWidth="1" bestFit="1" width="3.0" style="763"/>
    <col min="6706" max="6706" customWidth="1" bestFit="1" width="3.0" style="763"/>
    <col min="6707" max="6707" customWidth="1" bestFit="1" width="3.0" style="763"/>
    <col min="6708" max="6708" customWidth="1" bestFit="1" width="3.0" style="763"/>
    <col min="6709" max="6709" customWidth="1" bestFit="1" width="3.0" style="763"/>
    <col min="6710" max="6710" customWidth="1" bestFit="1" width="3.0" style="763"/>
    <col min="6711" max="6711" customWidth="1" bestFit="1" width="3.0" style="763"/>
    <col min="6712" max="6712" customWidth="1" bestFit="1" width="3.0" style="763"/>
    <col min="6713" max="6713" customWidth="1" bestFit="1" width="3.0" style="763"/>
    <col min="6714" max="6714" customWidth="1" bestFit="1" width="3.0" style="763"/>
    <col min="6715" max="6715" customWidth="1" bestFit="1" width="3.0" style="763"/>
    <col min="6716" max="6716" customWidth="1" bestFit="1" width="3.0" style="763"/>
    <col min="6717" max="6717" customWidth="1" bestFit="1" width="3.0" style="763"/>
    <col min="6718" max="6718" customWidth="1" bestFit="1" width="3.0" style="763"/>
    <col min="6719" max="6719" customWidth="1" bestFit="1" width="3.0" style="763"/>
    <col min="6720" max="6720" customWidth="1" bestFit="1" width="3.0" style="763"/>
    <col min="6721" max="6721" customWidth="1" bestFit="1" width="3.0" style="763"/>
    <col min="6722" max="6722" customWidth="1" bestFit="1" width="3.0" style="763"/>
    <col min="6723" max="6723" customWidth="1" bestFit="1" width="3.0" style="763"/>
    <col min="6724" max="6724" customWidth="1" bestFit="1" width="3.0" style="763"/>
    <col min="6725" max="6725" customWidth="1" bestFit="1" width="3.0" style="763"/>
    <col min="6726" max="6726" customWidth="1" bestFit="1" width="3.0" style="763"/>
    <col min="6727" max="6727" customWidth="1" bestFit="1" width="3.0" style="763"/>
    <col min="6728" max="6728" customWidth="1" bestFit="1" width="3.0" style="763"/>
    <col min="6729" max="6729" customWidth="1" bestFit="1" width="3.0" style="763"/>
    <col min="6730" max="6730" customWidth="1" bestFit="1" width="3.0" style="763"/>
    <col min="6731" max="6731" customWidth="1" bestFit="1" width="3.0" style="763"/>
    <col min="6732" max="6732" customWidth="1" bestFit="1" width="3.0" style="763"/>
    <col min="6733" max="6733" customWidth="1" bestFit="1" width="3.0" style="763"/>
    <col min="6734" max="6734" customWidth="1" bestFit="1" width="3.0" style="763"/>
    <col min="6735" max="6735" customWidth="1" bestFit="1" width="3.0" style="763"/>
    <col min="6736" max="6736" customWidth="1" bestFit="1" width="3.0" style="763"/>
    <col min="6737" max="6737" customWidth="1" bestFit="1" width="3.0" style="763"/>
    <col min="6738" max="6738" customWidth="1" bestFit="1" width="3.0" style="763"/>
    <col min="6739" max="6739" customWidth="1" bestFit="1" width="3.0" style="763"/>
    <col min="6740" max="6740" customWidth="1" bestFit="1" width="3.0" style="763"/>
    <col min="6741" max="6741" customWidth="1" bestFit="1" width="3.0" style="763"/>
    <col min="6742" max="6742" customWidth="1" bestFit="1" width="3.0" style="763"/>
    <col min="6743" max="6743" customWidth="1" bestFit="1" width="3.0" style="763"/>
    <col min="6744" max="6744" customWidth="1" bestFit="1" width="3.0" style="763"/>
    <col min="6745" max="6745" customWidth="1" bestFit="1" width="3.0" style="763"/>
    <col min="6746" max="6746" customWidth="1" bestFit="1" width="3.0" style="763"/>
    <col min="6747" max="6747" customWidth="1" bestFit="1" width="3.0" style="763"/>
    <col min="6748" max="6748" customWidth="1" bestFit="1" width="3.0" style="763"/>
    <col min="6749" max="6749" customWidth="1" bestFit="1" width="3.0" style="763"/>
    <col min="6750" max="6750" customWidth="1" bestFit="1" width="3.0" style="763"/>
    <col min="6751" max="6751" customWidth="1" bestFit="1" width="3.0" style="763"/>
    <col min="6752" max="6752" customWidth="1" bestFit="1" width="3.0" style="763"/>
    <col min="6753" max="6753" customWidth="1" bestFit="1" width="3.0" style="763"/>
    <col min="6754" max="6754" customWidth="1" bestFit="1" width="3.0" style="763"/>
    <col min="6755" max="6755" customWidth="1" bestFit="1" width="3.0" style="763"/>
    <col min="6756" max="6756" customWidth="1" bestFit="1" width="3.0" style="763"/>
    <col min="6757" max="6757" customWidth="1" bestFit="1" width="3.0" style="763"/>
    <col min="6758" max="6758" customWidth="1" bestFit="1" width="3.0" style="763"/>
    <col min="6759" max="6759" customWidth="1" bestFit="1" width="3.0" style="763"/>
    <col min="6760" max="6760" customWidth="1" bestFit="1" width="3.0" style="763"/>
    <col min="6761" max="6761" customWidth="1" bestFit="1" width="3.0" style="763"/>
    <col min="6762" max="6762" customWidth="1" bestFit="1" width="3.0" style="763"/>
    <col min="6763" max="6763" customWidth="1" bestFit="1" width="3.0" style="763"/>
    <col min="6764" max="6764" customWidth="1" bestFit="1" width="3.0" style="763"/>
    <col min="6765" max="6765" customWidth="1" bestFit="1" width="3.0" style="763"/>
    <col min="6766" max="6766" customWidth="1" bestFit="1" width="3.0" style="763"/>
    <col min="6767" max="6767" customWidth="1" bestFit="1" width="3.0" style="763"/>
    <col min="6768" max="6768" customWidth="1" bestFit="1" width="3.0" style="763"/>
    <col min="6769" max="6769" customWidth="1" bestFit="1" width="3.0" style="763"/>
    <col min="6770" max="6770" customWidth="1" bestFit="1" width="3.0" style="763"/>
    <col min="6771" max="6771" customWidth="1" bestFit="1" width="3.0" style="763"/>
    <col min="6772" max="6772" customWidth="1" bestFit="1" width="3.0" style="763"/>
    <col min="6773" max="6773" customWidth="1" bestFit="1" width="3.0" style="763"/>
    <col min="6774" max="6774" customWidth="1" bestFit="1" width="3.0" style="763"/>
    <col min="6775" max="6775" customWidth="1" bestFit="1" width="3.0" style="763"/>
    <col min="6776" max="6776" customWidth="1" bestFit="1" width="3.0" style="763"/>
    <col min="6777" max="6777" customWidth="1" bestFit="1" width="3.0" style="763"/>
    <col min="6778" max="6778" customWidth="1" bestFit="1" width="3.0" style="763"/>
    <col min="6779" max="6779" customWidth="1" bestFit="1" width="3.0" style="763"/>
    <col min="6780" max="6780" customWidth="1" bestFit="1" width="3.0" style="763"/>
    <col min="6781" max="6781" customWidth="1" bestFit="1" width="3.0" style="763"/>
    <col min="6782" max="6782" customWidth="1" bestFit="1" width="3.0" style="763"/>
    <col min="6783" max="6783" customWidth="1" bestFit="1" width="3.0" style="763"/>
    <col min="6784" max="6784" customWidth="1" bestFit="1" width="3.0" style="763"/>
    <col min="6785" max="6785" customWidth="1" bestFit="1" width="3.0" style="763"/>
    <col min="6786" max="6786" customWidth="1" bestFit="1" width="3.0" style="763"/>
    <col min="6787" max="6787" customWidth="1" bestFit="1" width="3.0" style="763"/>
    <col min="6788" max="6788" customWidth="1" bestFit="1" width="3.0" style="763"/>
    <col min="6789" max="6789" customWidth="1" bestFit="1" width="3.0" style="763"/>
    <col min="6790" max="6790" customWidth="1" bestFit="1" width="3.0" style="763"/>
    <col min="6791" max="6791" customWidth="1" bestFit="1" width="3.0" style="763"/>
    <col min="6792" max="6792" customWidth="1" bestFit="1" width="3.0" style="763"/>
    <col min="6793" max="6793" customWidth="1" bestFit="1" width="3.0" style="763"/>
    <col min="6794" max="6794" customWidth="1" bestFit="1" width="3.0" style="763"/>
    <col min="6795" max="6795" customWidth="1" bestFit="1" width="3.0" style="763"/>
    <col min="6796" max="6796" customWidth="1" bestFit="1" width="3.0" style="763"/>
    <col min="6797" max="6797" customWidth="1" bestFit="1" width="3.0" style="763"/>
    <col min="6798" max="6798" customWidth="1" bestFit="1" width="3.0" style="763"/>
    <col min="6799" max="6799" customWidth="1" bestFit="1" width="3.0" style="763"/>
    <col min="6800" max="6800" customWidth="1" bestFit="1" width="3.0" style="763"/>
    <col min="6801" max="6801" customWidth="1" bestFit="1" width="3.0" style="763"/>
    <col min="6802" max="6802" customWidth="1" bestFit="1" width="3.0" style="763"/>
    <col min="6803" max="6803" customWidth="1" bestFit="1" width="3.0" style="763"/>
    <col min="6804" max="6804" customWidth="1" bestFit="1" width="3.0" style="763"/>
    <col min="6805" max="6805" customWidth="1" bestFit="1" width="3.0" style="763"/>
    <col min="6806" max="6806" customWidth="1" bestFit="1" width="3.0" style="763"/>
    <col min="6807" max="6807" customWidth="1" bestFit="1" width="3.0" style="763"/>
    <col min="6808" max="6808" customWidth="1" bestFit="1" width="3.0" style="763"/>
    <col min="6809" max="6809" customWidth="1" bestFit="1" width="3.0" style="763"/>
    <col min="6810" max="6810" customWidth="1" bestFit="1" width="3.0" style="763"/>
    <col min="6811" max="6811" customWidth="1" bestFit="1" width="3.0" style="763"/>
    <col min="6812" max="6812" customWidth="1" bestFit="1" width="3.0" style="763"/>
    <col min="6813" max="6813" customWidth="1" bestFit="1" width="3.0" style="763"/>
    <col min="6814" max="6814" customWidth="1" bestFit="1" width="3.0" style="763"/>
    <col min="6815" max="6815" customWidth="1" bestFit="1" width="3.0" style="763"/>
    <col min="6816" max="6816" customWidth="1" bestFit="1" width="3.0" style="763"/>
    <col min="6817" max="6817" customWidth="1" bestFit="1" width="3.0" style="763"/>
    <col min="6818" max="6818" customWidth="1" bestFit="1" width="3.0" style="763"/>
    <col min="6819" max="6819" customWidth="1" bestFit="1" width="3.0" style="763"/>
    <col min="6820" max="6820" customWidth="1" bestFit="1" width="3.0" style="763"/>
    <col min="6821" max="6821" customWidth="1" bestFit="1" width="3.0" style="763"/>
    <col min="6822" max="6822" customWidth="1" bestFit="1" width="3.0" style="763"/>
    <col min="6823" max="6823" customWidth="1" bestFit="1" width="3.0" style="763"/>
    <col min="6824" max="6824" customWidth="1" bestFit="1" width="3.0" style="763"/>
    <col min="6825" max="6825" customWidth="1" bestFit="1" width="3.0" style="763"/>
    <col min="6826" max="6826" customWidth="1" bestFit="1" width="3.0" style="763"/>
    <col min="6827" max="6827" customWidth="1" bestFit="1" width="3.0" style="763"/>
    <col min="6828" max="6828" customWidth="1" bestFit="1" width="3.0" style="763"/>
    <col min="6829" max="6829" customWidth="1" bestFit="1" width="3.0" style="763"/>
    <col min="6830" max="6830" customWidth="1" bestFit="1" width="3.0" style="763"/>
    <col min="6831" max="6831" customWidth="1" bestFit="1" width="3.0" style="763"/>
    <col min="6832" max="6832" customWidth="1" bestFit="1" width="3.0" style="763"/>
    <col min="6833" max="6833" customWidth="1" bestFit="1" width="3.0" style="763"/>
    <col min="6834" max="6834" customWidth="1" bestFit="1" width="3.0" style="763"/>
    <col min="6835" max="6835" customWidth="1" bestFit="1" width="3.0" style="763"/>
    <col min="6836" max="6836" customWidth="1" bestFit="1" width="3.0" style="763"/>
    <col min="6837" max="6837" customWidth="1" bestFit="1" width="3.0" style="763"/>
    <col min="6838" max="6838" customWidth="1" bestFit="1" width="3.0" style="763"/>
    <col min="6839" max="6839" customWidth="1" bestFit="1" width="3.0" style="763"/>
    <col min="6840" max="6840" customWidth="1" bestFit="1" width="3.0" style="763"/>
    <col min="6841" max="6841" customWidth="1" bestFit="1" width="3.0" style="763"/>
    <col min="6842" max="6842" customWidth="1" bestFit="1" width="3.0" style="763"/>
    <col min="6843" max="6843" customWidth="1" bestFit="1" width="3.0" style="763"/>
    <col min="6844" max="6844" customWidth="1" bestFit="1" width="3.0" style="763"/>
    <col min="6845" max="6845" customWidth="1" bestFit="1" width="3.0" style="763"/>
    <col min="6846" max="6846" customWidth="1" bestFit="1" width="3.0" style="763"/>
    <col min="6847" max="6847" customWidth="1" bestFit="1" width="3.0" style="763"/>
    <col min="6848" max="6848" customWidth="1" bestFit="1" width="3.0" style="763"/>
    <col min="6849" max="6849" customWidth="1" bestFit="1" width="3.0" style="763"/>
    <col min="6850" max="6850" customWidth="1" bestFit="1" width="3.0" style="763"/>
    <col min="6851" max="6851" customWidth="1" bestFit="1" width="3.0" style="763"/>
    <col min="6852" max="6852" customWidth="1" bestFit="1" width="3.0" style="763"/>
    <col min="6853" max="6853" customWidth="1" bestFit="1" width="3.0" style="763"/>
    <col min="6854" max="6854" customWidth="1" bestFit="1" width="3.0" style="763"/>
    <col min="6855" max="6855" customWidth="1" bestFit="1" width="3.0" style="763"/>
    <col min="6856" max="6856" customWidth="1" bestFit="1" width="3.0" style="763"/>
    <col min="6857" max="6857" customWidth="1" bestFit="1" width="3.0" style="763"/>
    <col min="6858" max="6858" customWidth="1" bestFit="1" width="3.0" style="763"/>
    <col min="6859" max="6859" customWidth="1" bestFit="1" width="3.0" style="763"/>
    <col min="6860" max="6860" customWidth="1" bestFit="1" width="3.0" style="763"/>
    <col min="6861" max="6861" customWidth="1" bestFit="1" width="3.0" style="763"/>
    <col min="6862" max="6862" customWidth="1" bestFit="1" width="3.0" style="763"/>
    <col min="6863" max="6863" customWidth="1" bestFit="1" width="3.0" style="763"/>
    <col min="6864" max="6864" customWidth="1" bestFit="1" width="3.0" style="763"/>
    <col min="6865" max="6865" customWidth="1" bestFit="1" width="3.0" style="763"/>
    <col min="6866" max="6866" customWidth="1" bestFit="1" width="3.0" style="763"/>
    <col min="6867" max="6867" customWidth="1" bestFit="1" width="3.0" style="763"/>
    <col min="6868" max="6868" customWidth="1" bestFit="1" width="3.0" style="763"/>
    <col min="6869" max="6869" customWidth="1" bestFit="1" width="3.0" style="763"/>
    <col min="6870" max="6870" customWidth="1" bestFit="1" width="3.0" style="763"/>
    <col min="6871" max="6871" customWidth="1" bestFit="1" width="3.0" style="763"/>
    <col min="6872" max="6872" customWidth="1" bestFit="1" width="3.0" style="763"/>
    <col min="6873" max="6873" customWidth="1" bestFit="1" width="3.0" style="763"/>
    <col min="6874" max="6874" customWidth="1" bestFit="1" width="3.0" style="763"/>
    <col min="6875" max="6875" customWidth="1" bestFit="1" width="3.0" style="763"/>
    <col min="6876" max="6876" customWidth="1" bestFit="1" width="3.0" style="763"/>
    <col min="6877" max="6877" customWidth="1" bestFit="1" width="3.0" style="763"/>
    <col min="6878" max="6878" customWidth="1" bestFit="1" width="3.0" style="763"/>
    <col min="6879" max="6879" customWidth="1" bestFit="1" width="3.0" style="763"/>
    <col min="6880" max="6880" customWidth="1" bestFit="1" width="3.0" style="763"/>
    <col min="6881" max="6881" customWidth="1" bestFit="1" width="3.0" style="763"/>
    <col min="6882" max="6882" customWidth="1" bestFit="1" width="3.0" style="763"/>
    <col min="6883" max="6883" customWidth="1" bestFit="1" width="3.0" style="763"/>
    <col min="6884" max="6884" customWidth="1" bestFit="1" width="3.0" style="763"/>
    <col min="6885" max="6885" customWidth="1" bestFit="1" width="3.0" style="763"/>
    <col min="6886" max="6886" customWidth="1" bestFit="1" width="3.0" style="763"/>
    <col min="6887" max="6887" customWidth="1" bestFit="1" width="3.0" style="763"/>
    <col min="6888" max="6888" customWidth="1" bestFit="1" width="3.0" style="763"/>
    <col min="6889" max="6889" customWidth="1" bestFit="1" width="3.0" style="763"/>
    <col min="6890" max="6890" customWidth="1" bestFit="1" width="3.0" style="763"/>
    <col min="6891" max="6891" customWidth="1" bestFit="1" width="3.0" style="763"/>
    <col min="6892" max="6892" customWidth="1" bestFit="1" width="3.0" style="763"/>
    <col min="6893" max="6893" customWidth="1" bestFit="1" width="3.0" style="763"/>
    <col min="6894" max="6894" customWidth="1" bestFit="1" width="3.0" style="763"/>
    <col min="6895" max="6895" customWidth="1" bestFit="1" width="3.0" style="763"/>
    <col min="6896" max="6896" customWidth="1" bestFit="1" width="3.0" style="763"/>
    <col min="6897" max="6897" customWidth="1" bestFit="1" width="3.0" style="763"/>
    <col min="6898" max="6898" customWidth="1" bestFit="1" width="3.0" style="763"/>
    <col min="6899" max="6899" customWidth="1" bestFit="1" width="3.0" style="763"/>
    <col min="6900" max="6900" customWidth="1" bestFit="1" width="3.0" style="763"/>
    <col min="6901" max="6901" customWidth="1" bestFit="1" width="3.0" style="763"/>
    <col min="6902" max="6902" customWidth="1" bestFit="1" width="3.0" style="763"/>
    <col min="6903" max="6903" customWidth="1" bestFit="1" width="3.0" style="763"/>
    <col min="6904" max="6904" customWidth="1" bestFit="1" width="3.0" style="763"/>
    <col min="6905" max="6905" customWidth="1" bestFit="1" width="3.0" style="763"/>
    <col min="6906" max="6906" customWidth="1" bestFit="1" width="3.0" style="763"/>
    <col min="6907" max="6907" customWidth="1" bestFit="1" width="3.0" style="763"/>
    <col min="6908" max="6908" customWidth="1" bestFit="1" width="3.0" style="763"/>
    <col min="6909" max="6909" customWidth="1" bestFit="1" width="3.0" style="763"/>
    <col min="6910" max="6910" customWidth="1" bestFit="1" width="3.0" style="763"/>
    <col min="6911" max="6911" customWidth="1" bestFit="1" width="3.0" style="763"/>
    <col min="6912" max="6912" customWidth="1" bestFit="1" width="3.0" style="763"/>
    <col min="6913" max="6913" customWidth="1" bestFit="1" width="3.0" style="763"/>
    <col min="6914" max="6914" customWidth="1" bestFit="1" width="3.0" style="763"/>
    <col min="6915" max="6915" customWidth="1" bestFit="1" width="3.0" style="763"/>
    <col min="6916" max="6916" customWidth="1" bestFit="1" width="3.0" style="763"/>
    <col min="6917" max="6917" customWidth="1" bestFit="1" width="3.0" style="763"/>
    <col min="6918" max="6918" customWidth="1" bestFit="1" width="3.0" style="763"/>
    <col min="6919" max="6919" customWidth="1" bestFit="1" width="3.0" style="763"/>
    <col min="6920" max="6920" customWidth="1" bestFit="1" width="3.0" style="763"/>
    <col min="6921" max="6921" customWidth="1" bestFit="1" width="3.0" style="763"/>
    <col min="6922" max="6922" customWidth="1" bestFit="1" width="3.0" style="763"/>
    <col min="6923" max="6923" customWidth="1" bestFit="1" width="3.0" style="763"/>
    <col min="6924" max="6924" customWidth="1" bestFit="1" width="3.0" style="763"/>
    <col min="6925" max="6925" customWidth="1" bestFit="1" width="3.0" style="763"/>
    <col min="6926" max="6926" customWidth="1" bestFit="1" width="3.0" style="763"/>
    <col min="6927" max="6927" customWidth="1" bestFit="1" width="3.0" style="763"/>
    <col min="6928" max="6928" customWidth="1" bestFit="1" width="3.0" style="763"/>
    <col min="6929" max="6929" customWidth="1" bestFit="1" width="3.0" style="763"/>
    <col min="6930" max="6930" customWidth="1" bestFit="1" width="3.0" style="763"/>
    <col min="6931" max="6931" customWidth="1" bestFit="1" width="3.0" style="763"/>
    <col min="6932" max="6932" customWidth="1" bestFit="1" width="3.0" style="763"/>
    <col min="6933" max="6933" customWidth="1" bestFit="1" width="3.0" style="763"/>
    <col min="6934" max="6934" customWidth="1" bestFit="1" width="3.0" style="763"/>
    <col min="6935" max="6935" customWidth="1" bestFit="1" width="3.0" style="763"/>
    <col min="6936" max="6936" customWidth="1" bestFit="1" width="3.0" style="763"/>
    <col min="6937" max="6937" customWidth="1" bestFit="1" width="3.0" style="763"/>
    <col min="6938" max="6938" customWidth="1" bestFit="1" width="3.0" style="763"/>
    <col min="6939" max="6939" customWidth="1" bestFit="1" width="3.0" style="763"/>
    <col min="6940" max="6940" customWidth="1" bestFit="1" width="3.0" style="763"/>
    <col min="6941" max="6941" customWidth="1" bestFit="1" width="3.0" style="763"/>
    <col min="6942" max="6942" customWidth="1" bestFit="1" width="3.0" style="763"/>
    <col min="6943" max="6943" customWidth="1" bestFit="1" width="3.0" style="763"/>
    <col min="6944" max="6944" customWidth="1" bestFit="1" width="3.0" style="763"/>
    <col min="6945" max="6945" customWidth="1" bestFit="1" width="3.0" style="763"/>
    <col min="6946" max="6946" customWidth="1" bestFit="1" width="3.0" style="763"/>
    <col min="6947" max="6947" customWidth="1" bestFit="1" width="3.0" style="763"/>
    <col min="6948" max="6948" customWidth="1" bestFit="1" width="3.0" style="763"/>
    <col min="6949" max="6949" customWidth="1" bestFit="1" width="3.0" style="763"/>
    <col min="6950" max="6950" customWidth="1" bestFit="1" width="3.0" style="763"/>
    <col min="6951" max="6951" customWidth="1" bestFit="1" width="3.0" style="763"/>
    <col min="6952" max="6952" customWidth="1" bestFit="1" width="3.0" style="763"/>
    <col min="6953" max="6953" customWidth="1" bestFit="1" width="3.0" style="763"/>
    <col min="6954" max="6954" customWidth="1" bestFit="1" width="3.0" style="763"/>
    <col min="6955" max="6955" customWidth="1" bestFit="1" width="3.0" style="763"/>
    <col min="6956" max="6956" customWidth="1" bestFit="1" width="3.0" style="763"/>
    <col min="6957" max="6957" customWidth="1" bestFit="1" width="3.0" style="763"/>
    <col min="6958" max="6958" customWidth="1" bestFit="1" width="3.0" style="763"/>
    <col min="6959" max="6959" customWidth="1" bestFit="1" width="3.0" style="763"/>
    <col min="6960" max="6960" customWidth="1" bestFit="1" width="3.0" style="763"/>
    <col min="6961" max="6961" customWidth="1" bestFit="1" width="3.0" style="763"/>
    <col min="6962" max="6962" customWidth="1" bestFit="1" width="3.0" style="763"/>
    <col min="6963" max="6963" customWidth="1" bestFit="1" width="3.0" style="763"/>
    <col min="6964" max="6964" customWidth="1" bestFit="1" width="3.0" style="763"/>
    <col min="6965" max="6965" customWidth="1" bestFit="1" width="3.0" style="763"/>
    <col min="6966" max="6966" customWidth="1" bestFit="1" width="3.0" style="763"/>
    <col min="6967" max="6967" customWidth="1" bestFit="1" width="3.0" style="763"/>
    <col min="6968" max="6968" customWidth="1" bestFit="1" width="3.0" style="763"/>
    <col min="6969" max="6969" customWidth="1" bestFit="1" width="3.0" style="763"/>
    <col min="6970" max="6970" customWidth="1" bestFit="1" width="3.0" style="763"/>
    <col min="6971" max="6971" customWidth="1" bestFit="1" width="3.0" style="763"/>
    <col min="6972" max="6972" customWidth="1" bestFit="1" width="3.0" style="763"/>
    <col min="6973" max="6973" customWidth="1" bestFit="1" width="3.0" style="763"/>
    <col min="6974" max="6974" customWidth="1" bestFit="1" width="3.0" style="763"/>
    <col min="6975" max="6975" customWidth="1" bestFit="1" width="3.0" style="763"/>
    <col min="6976" max="6976" customWidth="1" bestFit="1" width="3.0" style="763"/>
    <col min="6977" max="6977" customWidth="1" bestFit="1" width="3.0" style="763"/>
    <col min="6978" max="6978" customWidth="1" bestFit="1" width="3.0" style="763"/>
    <col min="6979" max="6979" customWidth="1" bestFit="1" width="3.0" style="763"/>
    <col min="6980" max="6980" customWidth="1" bestFit="1" width="3.0" style="763"/>
    <col min="6981" max="6981" customWidth="1" bestFit="1" width="3.0" style="763"/>
    <col min="6982" max="6982" customWidth="1" bestFit="1" width="3.0" style="763"/>
    <col min="6983" max="6983" customWidth="1" bestFit="1" width="3.0" style="763"/>
    <col min="6984" max="6984" customWidth="1" bestFit="1" width="3.0" style="763"/>
    <col min="6985" max="6985" customWidth="1" bestFit="1" width="3.0" style="763"/>
    <col min="6986" max="6986" customWidth="1" bestFit="1" width="3.0" style="763"/>
    <col min="6987" max="6987" customWidth="1" bestFit="1" width="3.0" style="763"/>
    <col min="6988" max="6988" customWidth="1" bestFit="1" width="3.0" style="763"/>
    <col min="6989" max="6989" customWidth="1" bestFit="1" width="3.0" style="763"/>
    <col min="6990" max="6990" customWidth="1" bestFit="1" width="3.0" style="763"/>
    <col min="6991" max="6991" customWidth="1" bestFit="1" width="3.0" style="763"/>
    <col min="6992" max="6992" customWidth="1" bestFit="1" width="3.0" style="763"/>
    <col min="6993" max="6993" customWidth="1" bestFit="1" width="3.0" style="763"/>
    <col min="6994" max="6994" customWidth="1" bestFit="1" width="3.0" style="763"/>
    <col min="6995" max="6995" customWidth="1" bestFit="1" width="3.0" style="763"/>
    <col min="6996" max="6996" customWidth="1" bestFit="1" width="3.0" style="763"/>
    <col min="6997" max="6997" customWidth="1" bestFit="1" width="3.0" style="763"/>
    <col min="6998" max="6998" customWidth="1" bestFit="1" width="3.0" style="763"/>
    <col min="6999" max="6999" customWidth="1" bestFit="1" width="3.0" style="763"/>
    <col min="7000" max="7000" customWidth="1" bestFit="1" width="3.0" style="763"/>
    <col min="7001" max="7001" customWidth="1" bestFit="1" width="3.0" style="763"/>
    <col min="7002" max="7002" customWidth="1" bestFit="1" width="3.0" style="763"/>
    <col min="7003" max="7003" customWidth="1" bestFit="1" width="3.0" style="763"/>
    <col min="7004" max="7004" customWidth="1" bestFit="1" width="3.0" style="763"/>
    <col min="7005" max="7005" customWidth="1" bestFit="1" width="3.0" style="763"/>
    <col min="7006" max="7006" customWidth="1" bestFit="1" width="3.0" style="763"/>
    <col min="7007" max="7007" customWidth="1" bestFit="1" width="3.0" style="763"/>
    <col min="7008" max="7008" customWidth="1" bestFit="1" width="3.0" style="763"/>
    <col min="7009" max="7009" customWidth="1" bestFit="1" width="3.0" style="763"/>
    <col min="7010" max="7010" customWidth="1" bestFit="1" width="3.0" style="763"/>
    <col min="7011" max="7011" customWidth="1" bestFit="1" width="3.0" style="763"/>
    <col min="7012" max="7012" customWidth="1" bestFit="1" width="3.0" style="763"/>
    <col min="7013" max="7013" customWidth="1" bestFit="1" width="3.0" style="763"/>
    <col min="7014" max="7014" customWidth="1" bestFit="1" width="3.0" style="763"/>
    <col min="7015" max="7015" customWidth="1" bestFit="1" width="3.0" style="763"/>
    <col min="7016" max="7016" customWidth="1" bestFit="1" width="3.0" style="763"/>
    <col min="7017" max="7017" customWidth="1" bestFit="1" width="3.0" style="763"/>
    <col min="7018" max="7018" customWidth="1" bestFit="1" width="3.0" style="763"/>
    <col min="7019" max="7019" customWidth="1" bestFit="1" width="3.0" style="763"/>
    <col min="7020" max="7020" customWidth="1" bestFit="1" width="3.0" style="763"/>
    <col min="7021" max="7021" customWidth="1" bestFit="1" width="3.0" style="763"/>
    <col min="7022" max="7022" customWidth="1" bestFit="1" width="3.0" style="763"/>
    <col min="7023" max="7023" customWidth="1" bestFit="1" width="3.0" style="763"/>
    <col min="7024" max="7024" customWidth="1" bestFit="1" width="3.0" style="763"/>
    <col min="7025" max="7025" customWidth="1" bestFit="1" width="3.0" style="763"/>
    <col min="7026" max="7026" customWidth="1" bestFit="1" width="3.0" style="763"/>
    <col min="7027" max="7027" customWidth="1" bestFit="1" width="3.0" style="763"/>
    <col min="7028" max="7028" customWidth="1" bestFit="1" width="3.0" style="763"/>
    <col min="7029" max="7029" customWidth="1" bestFit="1" width="3.0" style="763"/>
    <col min="7030" max="7030" customWidth="1" bestFit="1" width="3.0" style="763"/>
    <col min="7031" max="7031" customWidth="1" bestFit="1" width="3.0" style="763"/>
    <col min="7032" max="7032" customWidth="1" bestFit="1" width="3.0" style="763"/>
    <col min="7033" max="7033" customWidth="1" bestFit="1" width="3.0" style="763"/>
    <col min="7034" max="7034" customWidth="1" bestFit="1" width="3.0" style="763"/>
    <col min="7035" max="7035" customWidth="1" bestFit="1" width="3.0" style="763"/>
    <col min="7036" max="7036" customWidth="1" bestFit="1" width="3.0" style="763"/>
    <col min="7037" max="7037" customWidth="1" bestFit="1" width="3.0" style="763"/>
    <col min="7038" max="7038" customWidth="1" bestFit="1" width="3.0" style="763"/>
    <col min="7039" max="7039" customWidth="1" bestFit="1" width="3.0" style="763"/>
    <col min="7040" max="7040" customWidth="1" bestFit="1" width="3.0" style="763"/>
    <col min="7041" max="7041" customWidth="1" bestFit="1" width="3.0" style="763"/>
    <col min="7042" max="7042" customWidth="1" bestFit="1" width="3.0" style="763"/>
    <col min="7043" max="7043" customWidth="1" bestFit="1" width="3.0" style="763"/>
    <col min="7044" max="7044" customWidth="1" bestFit="1" width="3.0" style="763"/>
    <col min="7045" max="7045" customWidth="1" bestFit="1" width="3.0" style="763"/>
    <col min="7046" max="7046" customWidth="1" bestFit="1" width="3.0" style="763"/>
    <col min="7047" max="7047" customWidth="1" bestFit="1" width="3.0" style="763"/>
    <col min="7048" max="7048" customWidth="1" bestFit="1" width="3.0" style="763"/>
    <col min="7049" max="7049" customWidth="1" bestFit="1" width="3.0" style="763"/>
    <col min="7050" max="7050" customWidth="1" bestFit="1" width="3.0" style="763"/>
    <col min="7051" max="7051" customWidth="1" bestFit="1" width="3.0" style="763"/>
    <col min="7052" max="7052" customWidth="1" bestFit="1" width="3.0" style="763"/>
    <col min="7053" max="7053" customWidth="1" bestFit="1" width="3.0" style="763"/>
    <col min="7054" max="7054" customWidth="1" bestFit="1" width="3.0" style="763"/>
    <col min="7055" max="7055" customWidth="1" bestFit="1" width="3.0" style="763"/>
    <col min="7056" max="7056" customWidth="1" bestFit="1" width="3.0" style="763"/>
    <col min="7057" max="7057" customWidth="1" bestFit="1" width="3.0" style="763"/>
    <col min="7058" max="7058" customWidth="1" bestFit="1" width="3.0" style="763"/>
    <col min="7059" max="7059" customWidth="1" bestFit="1" width="3.0" style="763"/>
    <col min="7060" max="7060" customWidth="1" bestFit="1" width="3.0" style="763"/>
    <col min="7061" max="7061" customWidth="1" bestFit="1" width="3.0" style="763"/>
    <col min="7062" max="7062" customWidth="1" bestFit="1" width="3.0" style="763"/>
    <col min="7063" max="7063" customWidth="1" bestFit="1" width="3.0" style="763"/>
    <col min="7064" max="7064" customWidth="1" bestFit="1" width="3.0" style="763"/>
    <col min="7065" max="7065" customWidth="1" bestFit="1" width="3.0" style="763"/>
    <col min="7066" max="7066" customWidth="1" bestFit="1" width="3.0" style="763"/>
    <col min="7067" max="7067" customWidth="1" bestFit="1" width="3.0" style="763"/>
    <col min="7068" max="7068" customWidth="1" bestFit="1" width="3.0" style="763"/>
    <col min="7069" max="7069" customWidth="1" bestFit="1" width="3.0" style="763"/>
    <col min="7070" max="7070" customWidth="1" bestFit="1" width="3.0" style="763"/>
    <col min="7071" max="7071" customWidth="1" bestFit="1" width="3.0" style="763"/>
    <col min="7072" max="7072" customWidth="1" bestFit="1" width="3.0" style="763"/>
    <col min="7073" max="7073" customWidth="1" bestFit="1" width="3.0" style="763"/>
    <col min="7074" max="7074" customWidth="1" bestFit="1" width="3.0" style="763"/>
    <col min="7075" max="7075" customWidth="1" bestFit="1" width="3.0" style="763"/>
    <col min="7076" max="7076" customWidth="1" bestFit="1" width="3.0" style="763"/>
    <col min="7077" max="7077" customWidth="1" bestFit="1" width="3.0" style="763"/>
    <col min="7078" max="7078" customWidth="1" bestFit="1" width="3.0" style="763"/>
    <col min="7079" max="7079" customWidth="1" bestFit="1" width="3.0" style="763"/>
    <col min="7080" max="7080" customWidth="1" bestFit="1" width="3.0" style="763"/>
    <col min="7081" max="7081" customWidth="1" bestFit="1" width="3.0" style="763"/>
    <col min="7082" max="7082" customWidth="1" bestFit="1" width="3.0" style="763"/>
    <col min="7083" max="7083" customWidth="1" bestFit="1" width="3.0" style="763"/>
    <col min="7084" max="7084" customWidth="1" bestFit="1" width="3.0" style="763"/>
    <col min="7085" max="7085" customWidth="1" bestFit="1" width="3.0" style="763"/>
    <col min="7086" max="7086" customWidth="1" bestFit="1" width="3.0" style="763"/>
    <col min="7087" max="7087" customWidth="1" bestFit="1" width="3.0" style="763"/>
    <col min="7088" max="7088" customWidth="1" bestFit="1" width="3.0" style="763"/>
    <col min="7089" max="7089" customWidth="1" bestFit="1" width="3.0" style="763"/>
    <col min="7090" max="7090" customWidth="1" bestFit="1" width="3.0" style="763"/>
    <col min="7091" max="7091" customWidth="1" bestFit="1" width="3.0" style="763"/>
    <col min="7092" max="7092" customWidth="1" bestFit="1" width="3.0" style="763"/>
    <col min="7093" max="7093" customWidth="1" bestFit="1" width="3.0" style="763"/>
    <col min="7094" max="7094" customWidth="1" bestFit="1" width="3.0" style="763"/>
    <col min="7095" max="7095" customWidth="1" bestFit="1" width="3.0" style="763"/>
    <col min="7096" max="7096" customWidth="1" bestFit="1" width="3.0" style="763"/>
    <col min="7097" max="7097" customWidth="1" bestFit="1" width="3.0" style="763"/>
    <col min="7098" max="7098" customWidth="1" bestFit="1" width="3.0" style="763"/>
    <col min="7099" max="7099" customWidth="1" bestFit="1" width="3.0" style="763"/>
    <col min="7100" max="7100" customWidth="1" bestFit="1" width="3.0" style="763"/>
    <col min="7101" max="7101" customWidth="1" bestFit="1" width="3.0" style="763"/>
    <col min="7102" max="7102" customWidth="1" bestFit="1" width="3.0" style="763"/>
    <col min="7103" max="7103" customWidth="1" bestFit="1" width="3.0" style="763"/>
    <col min="7104" max="7104" customWidth="1" bestFit="1" width="3.0" style="763"/>
    <col min="7105" max="7105" customWidth="1" bestFit="1" width="3.0" style="763"/>
    <col min="7106" max="7106" customWidth="1" bestFit="1" width="3.0" style="763"/>
    <col min="7107" max="7107" customWidth="1" bestFit="1" width="3.0" style="763"/>
    <col min="7108" max="7108" customWidth="1" bestFit="1" width="3.0" style="763"/>
    <col min="7109" max="7109" customWidth="1" bestFit="1" width="3.0" style="763"/>
    <col min="7110" max="7110" customWidth="1" bestFit="1" width="3.0" style="763"/>
    <col min="7111" max="7111" customWidth="1" bestFit="1" width="3.0" style="763"/>
    <col min="7112" max="7112" customWidth="1" bestFit="1" width="3.0" style="763"/>
    <col min="7113" max="7113" customWidth="1" bestFit="1" width="3.0" style="763"/>
    <col min="7114" max="7114" customWidth="1" bestFit="1" width="3.0" style="763"/>
    <col min="7115" max="7115" customWidth="1" bestFit="1" width="3.0" style="763"/>
    <col min="7116" max="7116" customWidth="1" bestFit="1" width="3.0" style="763"/>
    <col min="7117" max="7117" customWidth="1" bestFit="1" width="3.0" style="763"/>
    <col min="7118" max="7118" customWidth="1" bestFit="1" width="3.0" style="763"/>
    <col min="7119" max="7119" customWidth="1" bestFit="1" width="3.0" style="763"/>
    <col min="7120" max="7120" customWidth="1" bestFit="1" width="3.0" style="763"/>
    <col min="7121" max="7121" customWidth="1" bestFit="1" width="3.0" style="763"/>
    <col min="7122" max="7122" customWidth="1" bestFit="1" width="3.0" style="763"/>
    <col min="7123" max="7123" customWidth="1" bestFit="1" width="3.0" style="763"/>
    <col min="7124" max="7124" customWidth="1" bestFit="1" width="3.0" style="763"/>
    <col min="7125" max="7125" customWidth="1" bestFit="1" width="3.0" style="763"/>
    <col min="7126" max="7126" customWidth="1" bestFit="1" width="3.0" style="763"/>
    <col min="7127" max="7127" customWidth="1" bestFit="1" width="3.0" style="763"/>
    <col min="7128" max="7128" customWidth="1" bestFit="1" width="3.0" style="763"/>
    <col min="7129" max="7129" customWidth="1" bestFit="1" width="3.0" style="763"/>
    <col min="7130" max="7130" customWidth="1" bestFit="1" width="3.0" style="763"/>
    <col min="7131" max="7131" customWidth="1" bestFit="1" width="3.0" style="763"/>
    <col min="7132" max="7132" customWidth="1" bestFit="1" width="3.0" style="763"/>
    <col min="7133" max="7133" customWidth="1" bestFit="1" width="3.0" style="763"/>
    <col min="7134" max="7134" customWidth="1" bestFit="1" width="3.0" style="763"/>
    <col min="7135" max="7135" customWidth="1" bestFit="1" width="3.0" style="763"/>
    <col min="7136" max="7136" customWidth="1" bestFit="1" width="3.0" style="763"/>
    <col min="7137" max="7137" customWidth="1" bestFit="1" width="3.0" style="763"/>
    <col min="7138" max="7138" customWidth="1" bestFit="1" width="3.0" style="763"/>
    <col min="7139" max="7139" customWidth="1" bestFit="1" width="3.0" style="763"/>
    <col min="7140" max="7140" customWidth="1" bestFit="1" width="3.0" style="763"/>
    <col min="7141" max="7141" customWidth="1" bestFit="1" width="3.0" style="763"/>
    <col min="7142" max="7142" customWidth="1" bestFit="1" width="3.0" style="763"/>
    <col min="7143" max="7143" customWidth="1" bestFit="1" width="3.0" style="763"/>
    <col min="7144" max="7144" customWidth="1" bestFit="1" width="3.0" style="763"/>
    <col min="7145" max="7145" customWidth="1" bestFit="1" width="3.0" style="763"/>
    <col min="7146" max="7146" customWidth="1" bestFit="1" width="3.0" style="763"/>
    <col min="7147" max="7147" customWidth="1" bestFit="1" width="3.0" style="763"/>
    <col min="7148" max="7148" customWidth="1" bestFit="1" width="3.0" style="763"/>
    <col min="7149" max="7149" customWidth="1" bestFit="1" width="3.0" style="763"/>
    <col min="7150" max="7150" customWidth="1" bestFit="1" width="3.0" style="763"/>
    <col min="7151" max="7151" customWidth="1" bestFit="1" width="3.0" style="763"/>
    <col min="7152" max="7152" customWidth="1" bestFit="1" width="3.0" style="763"/>
    <col min="7153" max="7153" customWidth="1" bestFit="1" width="3.0" style="763"/>
    <col min="7154" max="7154" customWidth="1" bestFit="1" width="3.0" style="763"/>
    <col min="7155" max="7155" customWidth="1" bestFit="1" width="3.0" style="763"/>
    <col min="7156" max="7156" customWidth="1" bestFit="1" width="3.0" style="763"/>
    <col min="7157" max="7157" customWidth="1" bestFit="1" width="3.0" style="763"/>
    <col min="7158" max="7158" customWidth="1" bestFit="1" width="3.0" style="763"/>
    <col min="7159" max="7159" customWidth="1" bestFit="1" width="3.0" style="763"/>
    <col min="7160" max="7160" customWidth="1" bestFit="1" width="3.0" style="763"/>
    <col min="7161" max="7161" customWidth="1" bestFit="1" width="3.0" style="763"/>
    <col min="7162" max="7162" customWidth="1" bestFit="1" width="3.0" style="763"/>
    <col min="7163" max="7163" customWidth="1" bestFit="1" width="3.0" style="763"/>
    <col min="7164" max="7164" customWidth="1" bestFit="1" width="3.0" style="763"/>
    <col min="7165" max="7165" customWidth="1" bestFit="1" width="3.0" style="763"/>
    <col min="7166" max="7166" customWidth="1" bestFit="1" width="3.0" style="763"/>
    <col min="7167" max="7167" customWidth="1" bestFit="1" width="3.0" style="763"/>
    <col min="7168" max="7168" customWidth="1" bestFit="1" width="3.0" style="763"/>
    <col min="7169" max="7169" customWidth="1" bestFit="1" width="3.0" style="763"/>
    <col min="7170" max="7170" customWidth="1" bestFit="1" width="3.0" style="763"/>
    <col min="7171" max="7171" customWidth="1" bestFit="1" width="3.0" style="763"/>
    <col min="7172" max="7172" customWidth="1" bestFit="1" width="3.0" style="763"/>
    <col min="7173" max="7173" customWidth="1" bestFit="1" width="3.0" style="763"/>
    <col min="7174" max="7174" customWidth="1" bestFit="1" width="3.0" style="763"/>
    <col min="7175" max="7175" customWidth="1" bestFit="1" width="3.0" style="763"/>
    <col min="7176" max="7176" customWidth="1" bestFit="1" width="3.0" style="763"/>
    <col min="7177" max="7177" customWidth="1" bestFit="1" width="3.0" style="763"/>
    <col min="7178" max="7178" customWidth="1" bestFit="1" width="3.0" style="763"/>
    <col min="7179" max="7179" customWidth="1" bestFit="1" width="3.0" style="763"/>
    <col min="7180" max="7180" customWidth="1" bestFit="1" width="3.0" style="763"/>
    <col min="7181" max="7181" customWidth="1" bestFit="1" width="3.0" style="763"/>
    <col min="7182" max="7182" customWidth="1" bestFit="1" width="3.0" style="763"/>
    <col min="7183" max="7183" customWidth="1" bestFit="1" width="3.0" style="763"/>
    <col min="7184" max="7184" customWidth="1" bestFit="1" width="3.0" style="763"/>
    <col min="7185" max="7185" customWidth="1" bestFit="1" width="3.0" style="763"/>
    <col min="7186" max="7186" customWidth="1" bestFit="1" width="3.0" style="763"/>
    <col min="7187" max="7187" customWidth="1" bestFit="1" width="3.0" style="763"/>
    <col min="7188" max="7188" customWidth="1" bestFit="1" width="3.0" style="763"/>
    <col min="7189" max="7189" customWidth="1" bestFit="1" width="3.0" style="763"/>
    <col min="7190" max="7190" customWidth="1" bestFit="1" width="3.0" style="763"/>
    <col min="7191" max="7191" customWidth="1" bestFit="1" width="3.0" style="763"/>
    <col min="7192" max="7192" customWidth="1" bestFit="1" width="3.0" style="763"/>
    <col min="7193" max="7193" customWidth="1" bestFit="1" width="3.0" style="763"/>
    <col min="7194" max="7194" customWidth="1" bestFit="1" width="3.0" style="763"/>
    <col min="7195" max="7195" customWidth="1" bestFit="1" width="3.0" style="763"/>
    <col min="7196" max="7196" customWidth="1" bestFit="1" width="3.0" style="763"/>
    <col min="7197" max="7197" customWidth="1" bestFit="1" width="3.0" style="763"/>
    <col min="7198" max="7198" customWidth="1" bestFit="1" width="3.0" style="763"/>
    <col min="7199" max="7199" customWidth="1" bestFit="1" width="3.0" style="763"/>
    <col min="7200" max="7200" customWidth="1" bestFit="1" width="3.0" style="763"/>
    <col min="7201" max="7201" customWidth="1" bestFit="1" width="3.0" style="763"/>
    <col min="7202" max="7202" customWidth="1" bestFit="1" width="3.0" style="763"/>
    <col min="7203" max="7203" customWidth="1" bestFit="1" width="3.0" style="763"/>
    <col min="7204" max="7204" customWidth="1" bestFit="1" width="3.0" style="763"/>
    <col min="7205" max="7205" customWidth="1" bestFit="1" width="3.0" style="763"/>
    <col min="7206" max="7206" customWidth="1" bestFit="1" width="3.0" style="763"/>
    <col min="7207" max="7207" customWidth="1" bestFit="1" width="3.0" style="763"/>
    <col min="7208" max="7208" customWidth="1" bestFit="1" width="3.0" style="763"/>
    <col min="7209" max="7209" customWidth="1" bestFit="1" width="3.0" style="763"/>
    <col min="7210" max="7210" customWidth="1" bestFit="1" width="3.0" style="763"/>
    <col min="7211" max="7211" customWidth="1" bestFit="1" width="3.0" style="763"/>
    <col min="7212" max="7212" customWidth="1" bestFit="1" width="3.0" style="763"/>
    <col min="7213" max="7213" customWidth="1" bestFit="1" width="3.0" style="763"/>
    <col min="7214" max="7214" customWidth="1" bestFit="1" width="3.0" style="763"/>
    <col min="7215" max="7215" customWidth="1" bestFit="1" width="3.0" style="763"/>
    <col min="7216" max="7216" customWidth="1" bestFit="1" width="3.0" style="763"/>
    <col min="7217" max="7217" customWidth="1" bestFit="1" width="3.0" style="763"/>
    <col min="7218" max="7218" customWidth="1" bestFit="1" width="3.0" style="763"/>
    <col min="7219" max="7219" customWidth="1" bestFit="1" width="3.0" style="763"/>
    <col min="7220" max="7220" customWidth="1" bestFit="1" width="3.0" style="763"/>
    <col min="7221" max="7221" customWidth="1" bestFit="1" width="3.0" style="763"/>
    <col min="7222" max="7222" customWidth="1" bestFit="1" width="3.0" style="763"/>
    <col min="7223" max="7223" customWidth="1" bestFit="1" width="3.0" style="763"/>
    <col min="7224" max="7224" customWidth="1" bestFit="1" width="3.0" style="763"/>
    <col min="7225" max="7225" customWidth="1" bestFit="1" width="3.0" style="763"/>
    <col min="7226" max="7226" customWidth="1" bestFit="1" width="3.0" style="763"/>
    <col min="7227" max="7227" customWidth="1" bestFit="1" width="3.0" style="763"/>
    <col min="7228" max="7228" customWidth="1" bestFit="1" width="3.0" style="763"/>
    <col min="7229" max="7229" customWidth="1" bestFit="1" width="3.0" style="763"/>
    <col min="7230" max="7230" customWidth="1" bestFit="1" width="3.0" style="763"/>
    <col min="7231" max="7231" customWidth="1" bestFit="1" width="3.0" style="763"/>
    <col min="7232" max="7232" customWidth="1" bestFit="1" width="3.0" style="763"/>
    <col min="7233" max="7233" customWidth="1" bestFit="1" width="3.0" style="763"/>
    <col min="7234" max="7234" customWidth="1" bestFit="1" width="3.0" style="763"/>
    <col min="7235" max="7235" customWidth="1" bestFit="1" width="3.0" style="763"/>
    <col min="7236" max="7236" customWidth="1" bestFit="1" width="3.0" style="763"/>
    <col min="7237" max="7237" customWidth="1" bestFit="1" width="3.0" style="763"/>
    <col min="7238" max="7238" customWidth="1" bestFit="1" width="3.0" style="763"/>
    <col min="7239" max="7239" customWidth="1" bestFit="1" width="3.0" style="763"/>
    <col min="7240" max="7240" customWidth="1" bestFit="1" width="3.0" style="763"/>
    <col min="7241" max="7241" customWidth="1" bestFit="1" width="3.0" style="763"/>
    <col min="7242" max="7242" customWidth="1" bestFit="1" width="3.0" style="763"/>
    <col min="7243" max="7243" customWidth="1" bestFit="1" width="3.0" style="763"/>
    <col min="7244" max="7244" customWidth="1" bestFit="1" width="3.0" style="763"/>
    <col min="7245" max="7245" customWidth="1" bestFit="1" width="3.0" style="763"/>
    <col min="7246" max="7246" customWidth="1" bestFit="1" width="3.0" style="763"/>
    <col min="7247" max="7247" customWidth="1" bestFit="1" width="3.0" style="763"/>
    <col min="7248" max="7248" customWidth="1" bestFit="1" width="3.0" style="763"/>
    <col min="7249" max="7249" customWidth="1" bestFit="1" width="3.0" style="763"/>
    <col min="7250" max="7250" customWidth="1" bestFit="1" width="3.0" style="763"/>
    <col min="7251" max="7251" customWidth="1" bestFit="1" width="3.0" style="763"/>
    <col min="7252" max="7252" customWidth="1" bestFit="1" width="3.0" style="763"/>
    <col min="7253" max="7253" customWidth="1" bestFit="1" width="3.0" style="763"/>
    <col min="7254" max="7254" customWidth="1" bestFit="1" width="3.0" style="763"/>
    <col min="7255" max="7255" customWidth="1" bestFit="1" width="3.0" style="763"/>
    <col min="7256" max="7256" customWidth="1" bestFit="1" width="3.0" style="763"/>
    <col min="7257" max="7257" customWidth="1" bestFit="1" width="3.0" style="763"/>
    <col min="7258" max="7258" customWidth="1" bestFit="1" width="3.0" style="763"/>
    <col min="7259" max="7259" customWidth="1" bestFit="1" width="3.0" style="763"/>
    <col min="7260" max="7260" customWidth="1" bestFit="1" width="3.0" style="763"/>
    <col min="7261" max="7261" customWidth="1" bestFit="1" width="3.0" style="763"/>
    <col min="7262" max="7262" customWidth="1" bestFit="1" width="3.0" style="763"/>
    <col min="7263" max="7263" customWidth="1" bestFit="1" width="3.0" style="763"/>
    <col min="7264" max="7264" customWidth="1" bestFit="1" width="3.0" style="763"/>
    <col min="7265" max="7265" customWidth="1" bestFit="1" width="3.0" style="763"/>
    <col min="7266" max="7266" customWidth="1" bestFit="1" width="3.0" style="763"/>
    <col min="7267" max="7267" customWidth="1" bestFit="1" width="3.0" style="763"/>
    <col min="7268" max="7268" customWidth="1" bestFit="1" width="3.0" style="763"/>
    <col min="7269" max="7269" customWidth="1" bestFit="1" width="3.0" style="763"/>
    <col min="7270" max="7270" customWidth="1" bestFit="1" width="3.0" style="763"/>
    <col min="7271" max="7271" customWidth="1" bestFit="1" width="3.0" style="763"/>
    <col min="7272" max="7272" customWidth="1" bestFit="1" width="3.0" style="763"/>
    <col min="7273" max="7273" customWidth="1" bestFit="1" width="3.0" style="763"/>
    <col min="7274" max="7274" customWidth="1" bestFit="1" width="3.0" style="763"/>
    <col min="7275" max="7275" customWidth="1" bestFit="1" width="3.0" style="763"/>
    <col min="7276" max="7276" customWidth="1" bestFit="1" width="3.0" style="763"/>
    <col min="7277" max="7277" customWidth="1" bestFit="1" width="3.0" style="763"/>
    <col min="7278" max="7278" customWidth="1" bestFit="1" width="3.0" style="763"/>
    <col min="7279" max="7279" customWidth="1" bestFit="1" width="3.0" style="763"/>
    <col min="7280" max="7280" customWidth="1" bestFit="1" width="3.0" style="763"/>
    <col min="7281" max="7281" customWidth="1" bestFit="1" width="3.0" style="763"/>
    <col min="7282" max="7282" customWidth="1" bestFit="1" width="3.0" style="763"/>
    <col min="7283" max="7283" customWidth="1" bestFit="1" width="3.0" style="763"/>
    <col min="7284" max="7284" customWidth="1" bestFit="1" width="3.0" style="763"/>
    <col min="7285" max="7285" customWidth="1" bestFit="1" width="3.0" style="763"/>
    <col min="7286" max="7286" customWidth="1" bestFit="1" width="3.0" style="763"/>
    <col min="7287" max="7287" customWidth="1" bestFit="1" width="3.0" style="763"/>
    <col min="7288" max="7288" customWidth="1" bestFit="1" width="3.0" style="763"/>
    <col min="7289" max="7289" customWidth="1" bestFit="1" width="3.0" style="763"/>
    <col min="7290" max="7290" customWidth="1" bestFit="1" width="3.0" style="763"/>
    <col min="7291" max="7291" customWidth="1" bestFit="1" width="3.0" style="763"/>
    <col min="7292" max="7292" customWidth="1" bestFit="1" width="3.0" style="763"/>
    <col min="7293" max="7293" customWidth="1" bestFit="1" width="3.0" style="763"/>
    <col min="7294" max="7294" customWidth="1" bestFit="1" width="3.0" style="763"/>
    <col min="7295" max="7295" customWidth="1" bestFit="1" width="3.0" style="763"/>
    <col min="7296" max="7296" customWidth="1" bestFit="1" width="3.0" style="763"/>
    <col min="7297" max="7297" customWidth="1" bestFit="1" width="3.0" style="763"/>
    <col min="7298" max="7298" customWidth="1" bestFit="1" width="3.0" style="763"/>
    <col min="7299" max="7299" customWidth="1" bestFit="1" width="3.0" style="763"/>
    <col min="7300" max="7300" customWidth="1" bestFit="1" width="3.0" style="763"/>
    <col min="7301" max="7301" customWidth="1" bestFit="1" width="3.0" style="763"/>
    <col min="7302" max="7302" customWidth="1" bestFit="1" width="3.0" style="763"/>
    <col min="7303" max="7303" customWidth="1" bestFit="1" width="3.0" style="763"/>
    <col min="7304" max="7304" customWidth="1" bestFit="1" width="3.0" style="763"/>
    <col min="7305" max="7305" customWidth="1" bestFit="1" width="3.0" style="763"/>
    <col min="7306" max="7306" customWidth="1" bestFit="1" width="3.0" style="763"/>
    <col min="7307" max="7307" customWidth="1" bestFit="1" width="3.0" style="763"/>
    <col min="7308" max="7308" customWidth="1" bestFit="1" width="3.0" style="763"/>
    <col min="7309" max="7309" customWidth="1" bestFit="1" width="3.0" style="763"/>
    <col min="7310" max="7310" customWidth="1" bestFit="1" width="3.0" style="763"/>
    <col min="7311" max="7311" customWidth="1" bestFit="1" width="3.0" style="763"/>
    <col min="7312" max="7312" customWidth="1" bestFit="1" width="3.0" style="763"/>
    <col min="7313" max="7313" customWidth="1" bestFit="1" width="3.0" style="763"/>
    <col min="7314" max="7314" customWidth="1" bestFit="1" width="3.0" style="763"/>
    <col min="7315" max="7315" customWidth="1" bestFit="1" width="3.0" style="763"/>
    <col min="7316" max="7316" customWidth="1" bestFit="1" width="3.0" style="763"/>
    <col min="7317" max="7317" customWidth="1" bestFit="1" width="3.0" style="763"/>
    <col min="7318" max="7318" customWidth="1" bestFit="1" width="3.0" style="763"/>
    <col min="7319" max="7319" customWidth="1" bestFit="1" width="3.0" style="763"/>
    <col min="7320" max="7320" customWidth="1" bestFit="1" width="3.0" style="763"/>
    <col min="7321" max="7321" customWidth="1" bestFit="1" width="3.0" style="763"/>
    <col min="7322" max="7322" customWidth="1" bestFit="1" width="3.0" style="763"/>
    <col min="7323" max="7323" customWidth="1" bestFit="1" width="3.0" style="763"/>
    <col min="7324" max="7324" customWidth="1" bestFit="1" width="3.0" style="763"/>
    <col min="7325" max="7325" customWidth="1" bestFit="1" width="3.0" style="763"/>
    <col min="7326" max="7326" customWidth="1" bestFit="1" width="3.0" style="763"/>
    <col min="7327" max="7327" customWidth="1" bestFit="1" width="3.0" style="763"/>
    <col min="7328" max="7328" customWidth="1" bestFit="1" width="3.0" style="763"/>
    <col min="7329" max="7329" customWidth="1" bestFit="1" width="3.0" style="763"/>
    <col min="7330" max="7330" customWidth="1" bestFit="1" width="3.0" style="763"/>
    <col min="7331" max="7331" customWidth="1" bestFit="1" width="3.0" style="763"/>
    <col min="7332" max="7332" customWidth="1" bestFit="1" width="3.0" style="763"/>
    <col min="7333" max="7333" customWidth="1" bestFit="1" width="3.0" style="763"/>
    <col min="7334" max="7334" customWidth="1" bestFit="1" width="3.0" style="763"/>
    <col min="7335" max="7335" customWidth="1" bestFit="1" width="3.0" style="763"/>
    <col min="7336" max="7336" customWidth="1" bestFit="1" width="3.0" style="763"/>
    <col min="7337" max="7337" customWidth="1" bestFit="1" width="3.0" style="763"/>
    <col min="7338" max="7338" customWidth="1" bestFit="1" width="3.0" style="763"/>
    <col min="7339" max="7339" customWidth="1" bestFit="1" width="3.0" style="763"/>
    <col min="7340" max="7340" customWidth="1" bestFit="1" width="3.0" style="763"/>
    <col min="7341" max="7341" customWidth="1" bestFit="1" width="3.0" style="763"/>
    <col min="7342" max="7342" customWidth="1" bestFit="1" width="3.0" style="763"/>
    <col min="7343" max="7343" customWidth="1" bestFit="1" width="3.0" style="763"/>
    <col min="7344" max="7344" customWidth="1" bestFit="1" width="3.0" style="763"/>
    <col min="7345" max="7345" customWidth="1" bestFit="1" width="3.0" style="763"/>
    <col min="7346" max="7346" customWidth="1" bestFit="1" width="3.0" style="763"/>
    <col min="7347" max="7347" customWidth="1" bestFit="1" width="3.0" style="763"/>
    <col min="7348" max="7348" customWidth="1" bestFit="1" width="3.0" style="763"/>
    <col min="7349" max="7349" customWidth="1" bestFit="1" width="3.0" style="763"/>
    <col min="7350" max="7350" customWidth="1" bestFit="1" width="3.0" style="763"/>
    <col min="7351" max="7351" customWidth="1" bestFit="1" width="3.0" style="763"/>
    <col min="7352" max="7352" customWidth="1" bestFit="1" width="3.0" style="763"/>
    <col min="7353" max="7353" customWidth="1" bestFit="1" width="3.0" style="763"/>
    <col min="7354" max="7354" customWidth="1" bestFit="1" width="3.0" style="763"/>
    <col min="7355" max="7355" customWidth="1" bestFit="1" width="3.0" style="763"/>
    <col min="7356" max="7356" customWidth="1" bestFit="1" width="3.0" style="763"/>
    <col min="7357" max="7357" customWidth="1" bestFit="1" width="3.0" style="763"/>
    <col min="7358" max="7358" customWidth="1" bestFit="1" width="3.0" style="763"/>
    <col min="7359" max="7359" customWidth="1" bestFit="1" width="3.0" style="763"/>
    <col min="7360" max="7360" customWidth="1" bestFit="1" width="3.0" style="763"/>
    <col min="7361" max="7361" customWidth="1" bestFit="1" width="3.0" style="763"/>
    <col min="7362" max="7362" customWidth="1" bestFit="1" width="3.0" style="763"/>
    <col min="7363" max="7363" customWidth="1" bestFit="1" width="3.0" style="763"/>
    <col min="7364" max="7364" customWidth="1" bestFit="1" width="3.0" style="763"/>
    <col min="7365" max="7365" customWidth="1" bestFit="1" width="3.0" style="763"/>
    <col min="7366" max="7366" customWidth="1" bestFit="1" width="3.0" style="763"/>
    <col min="7367" max="7367" customWidth="1" bestFit="1" width="3.0" style="763"/>
    <col min="7368" max="7368" customWidth="1" bestFit="1" width="3.0" style="763"/>
    <col min="7369" max="7369" customWidth="1" bestFit="1" width="3.0" style="763"/>
    <col min="7370" max="7370" customWidth="1" bestFit="1" width="3.0" style="763"/>
    <col min="7371" max="7371" customWidth="1" bestFit="1" width="3.0" style="763"/>
    <col min="7372" max="7372" customWidth="1" bestFit="1" width="3.0" style="763"/>
    <col min="7373" max="7373" customWidth="1" bestFit="1" width="3.0" style="763"/>
    <col min="7374" max="7374" customWidth="1" bestFit="1" width="3.0" style="763"/>
    <col min="7375" max="7375" customWidth="1" bestFit="1" width="3.0" style="763"/>
    <col min="7376" max="7376" customWidth="1" bestFit="1" width="3.0" style="763"/>
    <col min="7377" max="7377" customWidth="1" bestFit="1" width="3.0" style="763"/>
    <col min="7378" max="7378" customWidth="1" bestFit="1" width="3.0" style="763"/>
    <col min="7379" max="7379" customWidth="1" bestFit="1" width="3.0" style="763"/>
    <col min="7380" max="7380" customWidth="1" bestFit="1" width="3.0" style="763"/>
    <col min="7381" max="7381" customWidth="1" bestFit="1" width="3.0" style="763"/>
    <col min="7382" max="7382" customWidth="1" bestFit="1" width="3.0" style="763"/>
    <col min="7383" max="7383" customWidth="1" bestFit="1" width="3.0" style="763"/>
    <col min="7384" max="7384" customWidth="1" bestFit="1" width="3.0" style="763"/>
    <col min="7385" max="7385" customWidth="1" bestFit="1" width="3.0" style="763"/>
    <col min="7386" max="7386" customWidth="1" bestFit="1" width="3.0" style="763"/>
    <col min="7387" max="7387" customWidth="1" bestFit="1" width="3.0" style="763"/>
    <col min="7388" max="7388" customWidth="1" bestFit="1" width="3.0" style="763"/>
    <col min="7389" max="7389" customWidth="1" bestFit="1" width="3.0" style="763"/>
    <col min="7390" max="7390" customWidth="1" bestFit="1" width="3.0" style="763"/>
    <col min="7391" max="7391" customWidth="1" bestFit="1" width="3.0" style="763"/>
    <col min="7392" max="7392" customWidth="1" bestFit="1" width="3.0" style="763"/>
    <col min="7393" max="7393" customWidth="1" bestFit="1" width="3.0" style="763"/>
    <col min="7394" max="7394" customWidth="1" bestFit="1" width="3.0" style="763"/>
    <col min="7395" max="7395" customWidth="1" bestFit="1" width="3.0" style="763"/>
    <col min="7396" max="7396" customWidth="1" bestFit="1" width="3.0" style="763"/>
    <col min="7397" max="7397" customWidth="1" bestFit="1" width="3.0" style="763"/>
    <col min="7398" max="7398" customWidth="1" bestFit="1" width="3.0" style="763"/>
    <col min="7399" max="7399" customWidth="1" bestFit="1" width="3.0" style="763"/>
    <col min="7400" max="7400" customWidth="1" bestFit="1" width="3.0" style="763"/>
    <col min="7401" max="7401" customWidth="1" bestFit="1" width="3.0" style="763"/>
    <col min="7402" max="7402" customWidth="1" bestFit="1" width="3.0" style="763"/>
    <col min="7403" max="7403" customWidth="1" bestFit="1" width="3.0" style="763"/>
    <col min="7404" max="7404" customWidth="1" bestFit="1" width="3.0" style="763"/>
    <col min="7405" max="7405" customWidth="1" bestFit="1" width="3.0" style="763"/>
    <col min="7406" max="7406" customWidth="1" bestFit="1" width="3.0" style="763"/>
    <col min="7407" max="7407" customWidth="1" bestFit="1" width="3.0" style="763"/>
    <col min="7408" max="7408" customWidth="1" bestFit="1" width="3.0" style="763"/>
    <col min="7409" max="7409" customWidth="1" bestFit="1" width="3.0" style="763"/>
    <col min="7410" max="7410" customWidth="1" bestFit="1" width="3.0" style="763"/>
    <col min="7411" max="7411" customWidth="1" bestFit="1" width="3.0" style="763"/>
    <col min="7412" max="7412" customWidth="1" bestFit="1" width="3.0" style="763"/>
    <col min="7413" max="7413" customWidth="1" bestFit="1" width="3.0" style="763"/>
    <col min="7414" max="7414" customWidth="1" bestFit="1" width="3.0" style="763"/>
    <col min="7415" max="7415" customWidth="1" bestFit="1" width="3.0" style="763"/>
    <col min="7416" max="7416" customWidth="1" bestFit="1" width="3.0" style="763"/>
    <col min="7417" max="7417" customWidth="1" bestFit="1" width="3.0" style="763"/>
    <col min="7418" max="7418" customWidth="1" bestFit="1" width="3.0" style="763"/>
    <col min="7419" max="7419" customWidth="1" bestFit="1" width="3.0" style="763"/>
    <col min="7420" max="7420" customWidth="1" bestFit="1" width="3.0" style="763"/>
    <col min="7421" max="7421" customWidth="1" bestFit="1" width="3.0" style="763"/>
    <col min="7422" max="7422" customWidth="1" bestFit="1" width="3.0" style="763"/>
    <col min="7423" max="7423" customWidth="1" bestFit="1" width="3.0" style="763"/>
    <col min="7424" max="7424" customWidth="1" bestFit="1" width="3.0" style="763"/>
    <col min="7425" max="7425" customWidth="1" bestFit="1" width="3.0" style="763"/>
    <col min="7426" max="7426" customWidth="1" bestFit="1" width="3.0" style="763"/>
    <col min="7427" max="7427" customWidth="1" bestFit="1" width="3.0" style="763"/>
    <col min="7428" max="7428" customWidth="1" bestFit="1" width="3.0" style="763"/>
    <col min="7429" max="7429" customWidth="1" bestFit="1" width="3.0" style="763"/>
    <col min="7430" max="7430" customWidth="1" bestFit="1" width="3.0" style="763"/>
    <col min="7431" max="7431" customWidth="1" bestFit="1" width="3.0" style="763"/>
    <col min="7432" max="7432" customWidth="1" bestFit="1" width="3.0" style="763"/>
    <col min="7433" max="7433" customWidth="1" bestFit="1" width="3.0" style="763"/>
    <col min="7434" max="7434" customWidth="1" bestFit="1" width="3.0" style="763"/>
    <col min="7435" max="7435" customWidth="1" bestFit="1" width="3.0" style="763"/>
    <col min="7436" max="7436" customWidth="1" bestFit="1" width="3.0" style="763"/>
    <col min="7437" max="7437" customWidth="1" bestFit="1" width="3.0" style="763"/>
    <col min="7438" max="7438" customWidth="1" bestFit="1" width="3.0" style="763"/>
    <col min="7439" max="7439" customWidth="1" bestFit="1" width="3.0" style="763"/>
    <col min="7440" max="7440" customWidth="1" bestFit="1" width="3.0" style="763"/>
    <col min="7441" max="7441" customWidth="1" bestFit="1" width="3.0" style="763"/>
    <col min="7442" max="7442" customWidth="1" bestFit="1" width="3.0" style="763"/>
    <col min="7443" max="7443" customWidth="1" bestFit="1" width="3.0" style="763"/>
    <col min="7444" max="7444" customWidth="1" bestFit="1" width="3.0" style="763"/>
    <col min="7445" max="7445" customWidth="1" bestFit="1" width="3.0" style="763"/>
    <col min="7446" max="7446" customWidth="1" bestFit="1" width="3.0" style="763"/>
    <col min="7447" max="7447" customWidth="1" bestFit="1" width="3.0" style="763"/>
    <col min="7448" max="7448" customWidth="1" bestFit="1" width="3.0" style="763"/>
    <col min="7449" max="7449" customWidth="1" bestFit="1" width="3.0" style="763"/>
    <col min="7450" max="7450" customWidth="1" bestFit="1" width="3.0" style="763"/>
    <col min="7451" max="7451" customWidth="1" bestFit="1" width="3.0" style="763"/>
    <col min="7452" max="7452" customWidth="1" bestFit="1" width="3.0" style="763"/>
    <col min="7453" max="7453" customWidth="1" bestFit="1" width="3.0" style="763"/>
    <col min="7454" max="7454" customWidth="1" bestFit="1" width="3.0" style="763"/>
    <col min="7455" max="7455" customWidth="1" bestFit="1" width="3.0" style="763"/>
    <col min="7456" max="7456" customWidth="1" bestFit="1" width="3.0" style="763"/>
    <col min="7457" max="7457" customWidth="1" bestFit="1" width="3.0" style="763"/>
    <col min="7458" max="7458" customWidth="1" bestFit="1" width="3.0" style="763"/>
    <col min="7459" max="7459" customWidth="1" bestFit="1" width="3.0" style="763"/>
    <col min="7460" max="7460" customWidth="1" bestFit="1" width="3.0" style="763"/>
    <col min="7461" max="7461" customWidth="1" bestFit="1" width="3.0" style="763"/>
    <col min="7462" max="7462" customWidth="1" bestFit="1" width="3.0" style="763"/>
    <col min="7463" max="7463" customWidth="1" bestFit="1" width="3.0" style="763"/>
    <col min="7464" max="7464" customWidth="1" bestFit="1" width="3.0" style="763"/>
    <col min="7465" max="7465" customWidth="1" bestFit="1" width="3.0" style="763"/>
    <col min="7466" max="7466" customWidth="1" bestFit="1" width="3.0" style="763"/>
    <col min="7467" max="7467" customWidth="1" bestFit="1" width="3.0" style="763"/>
    <col min="7468" max="7468" customWidth="1" bestFit="1" width="3.0" style="763"/>
    <col min="7469" max="7469" customWidth="1" bestFit="1" width="3.0" style="763"/>
    <col min="7470" max="7470" customWidth="1" bestFit="1" width="3.0" style="763"/>
    <col min="7471" max="7471" customWidth="1" bestFit="1" width="3.0" style="763"/>
    <col min="7472" max="7472" customWidth="1" bestFit="1" width="3.0" style="763"/>
    <col min="7473" max="7473" customWidth="1" bestFit="1" width="3.0" style="763"/>
    <col min="7474" max="7474" customWidth="1" bestFit="1" width="3.0" style="763"/>
    <col min="7475" max="7475" customWidth="1" bestFit="1" width="3.0" style="763"/>
    <col min="7476" max="7476" customWidth="1" bestFit="1" width="3.0" style="763"/>
    <col min="7477" max="7477" customWidth="1" bestFit="1" width="3.0" style="763"/>
    <col min="7478" max="7478" customWidth="1" bestFit="1" width="3.0" style="763"/>
    <col min="7479" max="7479" customWidth="1" bestFit="1" width="3.0" style="763"/>
    <col min="7480" max="7480" customWidth="1" bestFit="1" width="3.0" style="763"/>
    <col min="7481" max="7481" customWidth="1" bestFit="1" width="3.0" style="763"/>
    <col min="7482" max="7482" customWidth="1" bestFit="1" width="3.0" style="763"/>
    <col min="7483" max="7483" customWidth="1" bestFit="1" width="3.0" style="763"/>
    <col min="7484" max="7484" customWidth="1" bestFit="1" width="3.0" style="763"/>
    <col min="7485" max="7485" customWidth="1" bestFit="1" width="3.0" style="763"/>
    <col min="7486" max="7486" customWidth="1" bestFit="1" width="3.0" style="763"/>
    <col min="7487" max="7487" customWidth="1" bestFit="1" width="3.0" style="763"/>
    <col min="7488" max="7488" customWidth="1" bestFit="1" width="3.0" style="763"/>
    <col min="7489" max="7489" customWidth="1" bestFit="1" width="3.0" style="763"/>
    <col min="7490" max="7490" customWidth="1" bestFit="1" width="3.0" style="763"/>
    <col min="7491" max="7491" customWidth="1" bestFit="1" width="3.0" style="763"/>
    <col min="7492" max="7492" customWidth="1" bestFit="1" width="3.0" style="763"/>
    <col min="7493" max="7493" customWidth="1" bestFit="1" width="3.0" style="763"/>
    <col min="7494" max="7494" customWidth="1" bestFit="1" width="3.0" style="763"/>
    <col min="7495" max="7495" customWidth="1" bestFit="1" width="3.0" style="763"/>
    <col min="7496" max="7496" customWidth="1" bestFit="1" width="3.0" style="763"/>
    <col min="7497" max="7497" customWidth="1" bestFit="1" width="3.0" style="763"/>
    <col min="7498" max="7498" customWidth="1" bestFit="1" width="3.0" style="763"/>
    <col min="7499" max="7499" customWidth="1" bestFit="1" width="3.0" style="763"/>
    <col min="7500" max="7500" customWidth="1" bestFit="1" width="3.0" style="763"/>
    <col min="7501" max="7501" customWidth="1" bestFit="1" width="3.0" style="763"/>
    <col min="7502" max="7502" customWidth="1" bestFit="1" width="3.0" style="763"/>
    <col min="7503" max="7503" customWidth="1" bestFit="1" width="3.0" style="763"/>
    <col min="7504" max="7504" customWidth="1" bestFit="1" width="3.0" style="763"/>
    <col min="7505" max="7505" customWidth="1" bestFit="1" width="3.0" style="763"/>
    <col min="7506" max="7506" customWidth="1" bestFit="1" width="3.0" style="763"/>
    <col min="7507" max="7507" customWidth="1" bestFit="1" width="3.0" style="763"/>
    <col min="7508" max="7508" customWidth="1" bestFit="1" width="3.0" style="763"/>
    <col min="7509" max="7509" customWidth="1" bestFit="1" width="3.0" style="763"/>
    <col min="7510" max="7510" customWidth="1" bestFit="1" width="3.0" style="763"/>
    <col min="7511" max="7511" customWidth="1" bestFit="1" width="3.0" style="763"/>
    <col min="7512" max="7512" customWidth="1" bestFit="1" width="3.0" style="763"/>
    <col min="7513" max="7513" customWidth="1" bestFit="1" width="3.0" style="763"/>
    <col min="7514" max="7514" customWidth="1" bestFit="1" width="3.0" style="763"/>
    <col min="7515" max="7515" customWidth="1" bestFit="1" width="3.0" style="763"/>
    <col min="7516" max="7516" customWidth="1" bestFit="1" width="3.0" style="763"/>
    <col min="7517" max="7517" customWidth="1" bestFit="1" width="3.0" style="763"/>
    <col min="7518" max="7518" customWidth="1" bestFit="1" width="3.0" style="763"/>
    <col min="7519" max="7519" customWidth="1" bestFit="1" width="3.0" style="763"/>
    <col min="7520" max="7520" customWidth="1" bestFit="1" width="3.0" style="763"/>
    <col min="7521" max="7521" customWidth="1" bestFit="1" width="3.0" style="763"/>
    <col min="7522" max="7522" customWidth="1" bestFit="1" width="3.0" style="763"/>
    <col min="7523" max="7523" customWidth="1" bestFit="1" width="3.0" style="763"/>
    <col min="7524" max="7524" customWidth="1" bestFit="1" width="3.0" style="763"/>
    <col min="7525" max="7525" customWidth="1" bestFit="1" width="3.0" style="763"/>
    <col min="7526" max="7526" customWidth="1" bestFit="1" width="3.0" style="763"/>
    <col min="7527" max="7527" customWidth="1" bestFit="1" width="3.0" style="763"/>
    <col min="7528" max="7528" customWidth="1" bestFit="1" width="3.0" style="763"/>
    <col min="7529" max="7529" customWidth="1" bestFit="1" width="3.0" style="763"/>
    <col min="7530" max="7530" customWidth="1" bestFit="1" width="3.0" style="763"/>
    <col min="7531" max="7531" customWidth="1" bestFit="1" width="3.0" style="763"/>
    <col min="7532" max="7532" customWidth="1" bestFit="1" width="3.0" style="763"/>
    <col min="7533" max="7533" customWidth="1" bestFit="1" width="3.0" style="763"/>
    <col min="7534" max="7534" customWidth="1" bestFit="1" width="3.0" style="763"/>
    <col min="7535" max="7535" customWidth="1" bestFit="1" width="3.0" style="763"/>
    <col min="7536" max="7536" customWidth="1" bestFit="1" width="3.0" style="763"/>
    <col min="7537" max="7537" customWidth="1" bestFit="1" width="3.0" style="763"/>
    <col min="7538" max="7538" customWidth="1" bestFit="1" width="3.0" style="763"/>
    <col min="7539" max="7539" customWidth="1" bestFit="1" width="3.0" style="763"/>
    <col min="7540" max="7540" customWidth="1" bestFit="1" width="3.0" style="763"/>
    <col min="7541" max="7541" customWidth="1" bestFit="1" width="3.0" style="763"/>
    <col min="7542" max="7542" customWidth="1" bestFit="1" width="3.0" style="763"/>
    <col min="7543" max="7543" customWidth="1" bestFit="1" width="3.0" style="763"/>
    <col min="7544" max="7544" customWidth="1" bestFit="1" width="3.0" style="763"/>
    <col min="7545" max="7545" customWidth="1" bestFit="1" width="3.0" style="763"/>
    <col min="7546" max="7546" customWidth="1" bestFit="1" width="3.0" style="763"/>
    <col min="7547" max="7547" customWidth="1" bestFit="1" width="3.0" style="763"/>
    <col min="7548" max="7548" customWidth="1" bestFit="1" width="3.0" style="763"/>
    <col min="7549" max="7549" customWidth="1" bestFit="1" width="3.0" style="763"/>
    <col min="7550" max="7550" customWidth="1" bestFit="1" width="3.0" style="763"/>
    <col min="7551" max="7551" customWidth="1" bestFit="1" width="3.0" style="763"/>
    <col min="7552" max="7552" customWidth="1" bestFit="1" width="3.0" style="763"/>
    <col min="7553" max="7553" customWidth="1" bestFit="1" width="3.0" style="763"/>
    <col min="7554" max="7554" customWidth="1" bestFit="1" width="3.0" style="763"/>
    <col min="7555" max="7555" customWidth="1" bestFit="1" width="3.0" style="763"/>
    <col min="7556" max="7556" customWidth="1" bestFit="1" width="3.0" style="763"/>
    <col min="7557" max="7557" customWidth="1" bestFit="1" width="3.0" style="763"/>
    <col min="7558" max="7558" customWidth="1" bestFit="1" width="3.0" style="763"/>
    <col min="7559" max="7559" customWidth="1" bestFit="1" width="3.0" style="763"/>
    <col min="7560" max="7560" customWidth="1" bestFit="1" width="3.0" style="763"/>
    <col min="7561" max="7561" customWidth="1" bestFit="1" width="3.0" style="763"/>
    <col min="7562" max="7562" customWidth="1" bestFit="1" width="3.0" style="763"/>
    <col min="7563" max="7563" customWidth="1" bestFit="1" width="3.0" style="763"/>
    <col min="7564" max="7564" customWidth="1" bestFit="1" width="3.0" style="763"/>
    <col min="7565" max="7565" customWidth="1" bestFit="1" width="3.0" style="763"/>
    <col min="7566" max="7566" customWidth="1" bestFit="1" width="3.0" style="763"/>
    <col min="7567" max="7567" customWidth="1" bestFit="1" width="3.0" style="763"/>
    <col min="7568" max="7568" customWidth="1" bestFit="1" width="3.0" style="763"/>
    <col min="7569" max="7569" customWidth="1" bestFit="1" width="3.0" style="763"/>
    <col min="7570" max="7570" customWidth="1" bestFit="1" width="3.0" style="763"/>
    <col min="7571" max="7571" customWidth="1" bestFit="1" width="3.0" style="763"/>
    <col min="7572" max="7572" customWidth="1" bestFit="1" width="3.0" style="763"/>
    <col min="7573" max="7573" customWidth="1" bestFit="1" width="3.0" style="763"/>
    <col min="7574" max="7574" customWidth="1" bestFit="1" width="3.0" style="763"/>
    <col min="7575" max="7575" customWidth="1" bestFit="1" width="3.0" style="763"/>
    <col min="7576" max="7576" customWidth="1" bestFit="1" width="3.0" style="763"/>
    <col min="7577" max="7577" customWidth="1" bestFit="1" width="3.0" style="763"/>
    <col min="7578" max="7578" customWidth="1" bestFit="1" width="3.0" style="763"/>
    <col min="7579" max="7579" customWidth="1" bestFit="1" width="3.0" style="763"/>
    <col min="7580" max="7580" customWidth="1" bestFit="1" width="3.0" style="763"/>
    <col min="7581" max="7581" customWidth="1" bestFit="1" width="3.0" style="763"/>
    <col min="7582" max="7582" customWidth="1" bestFit="1" width="3.0" style="763"/>
    <col min="7583" max="7583" customWidth="1" bestFit="1" width="3.0" style="763"/>
    <col min="7584" max="7584" customWidth="1" bestFit="1" width="3.0" style="763"/>
    <col min="7585" max="7585" customWidth="1" bestFit="1" width="3.0" style="763"/>
    <col min="7586" max="7586" customWidth="1" bestFit="1" width="3.0" style="763"/>
    <col min="7587" max="7587" customWidth="1" bestFit="1" width="3.0" style="763"/>
    <col min="7588" max="7588" customWidth="1" bestFit="1" width="3.0" style="763"/>
    <col min="7589" max="7589" customWidth="1" bestFit="1" width="3.0" style="763"/>
    <col min="7590" max="7590" customWidth="1" bestFit="1" width="3.0" style="763"/>
    <col min="7591" max="7591" customWidth="1" bestFit="1" width="3.0" style="763"/>
    <col min="7592" max="7592" customWidth="1" bestFit="1" width="3.0" style="763"/>
    <col min="7593" max="7593" customWidth="1" bestFit="1" width="3.0" style="763"/>
    <col min="7594" max="7594" customWidth="1" bestFit="1" width="3.0" style="763"/>
    <col min="7595" max="7595" customWidth="1" bestFit="1" width="3.0" style="763"/>
    <col min="7596" max="7596" customWidth="1" bestFit="1" width="3.0" style="763"/>
    <col min="7597" max="7597" customWidth="1" bestFit="1" width="3.0" style="763"/>
    <col min="7598" max="7598" customWidth="1" bestFit="1" width="3.0" style="763"/>
    <col min="7599" max="7599" customWidth="1" bestFit="1" width="3.0" style="763"/>
    <col min="7600" max="7600" customWidth="1" bestFit="1" width="3.0" style="763"/>
    <col min="7601" max="7601" customWidth="1" bestFit="1" width="3.0" style="763"/>
    <col min="7602" max="7602" customWidth="1" bestFit="1" width="3.0" style="763"/>
    <col min="7603" max="7603" customWidth="1" bestFit="1" width="3.0" style="763"/>
    <col min="7604" max="7604" customWidth="1" bestFit="1" width="3.0" style="763"/>
    <col min="7605" max="7605" customWidth="1" bestFit="1" width="3.0" style="763"/>
    <col min="7606" max="7606" customWidth="1" bestFit="1" width="3.0" style="763"/>
    <col min="7607" max="7607" customWidth="1" bestFit="1" width="3.0" style="763"/>
    <col min="7608" max="7608" customWidth="1" bestFit="1" width="3.0" style="763"/>
    <col min="7609" max="7609" customWidth="1" bestFit="1" width="3.0" style="763"/>
    <col min="7610" max="7610" customWidth="1" bestFit="1" width="3.0" style="763"/>
    <col min="7611" max="7611" customWidth="1" bestFit="1" width="3.0" style="763"/>
    <col min="7612" max="7612" customWidth="1" bestFit="1" width="3.0" style="763"/>
    <col min="7613" max="7613" customWidth="1" bestFit="1" width="3.0" style="763"/>
    <col min="7614" max="7614" customWidth="1" bestFit="1" width="3.0" style="763"/>
    <col min="7615" max="7615" customWidth="1" bestFit="1" width="3.0" style="763"/>
    <col min="7616" max="7616" customWidth="1" bestFit="1" width="3.0" style="763"/>
    <col min="7617" max="7617" customWidth="1" bestFit="1" width="3.0" style="763"/>
    <col min="7618" max="7618" customWidth="1" bestFit="1" width="3.0" style="763"/>
    <col min="7619" max="7619" customWidth="1" bestFit="1" width="3.0" style="763"/>
    <col min="7620" max="7620" customWidth="1" bestFit="1" width="3.0" style="763"/>
    <col min="7621" max="7621" customWidth="1" bestFit="1" width="3.0" style="763"/>
    <col min="7622" max="7622" customWidth="1" bestFit="1" width="3.0" style="763"/>
    <col min="7623" max="7623" customWidth="1" bestFit="1" width="3.0" style="763"/>
    <col min="7624" max="7624" customWidth="1" bestFit="1" width="3.0" style="763"/>
    <col min="7625" max="7625" customWidth="1" bestFit="1" width="3.0" style="763"/>
    <col min="7626" max="7626" customWidth="1" bestFit="1" width="3.0" style="763"/>
    <col min="7627" max="7627" customWidth="1" bestFit="1" width="3.0" style="763"/>
    <col min="7628" max="7628" customWidth="1" bestFit="1" width="3.0" style="763"/>
    <col min="7629" max="7629" customWidth="1" bestFit="1" width="3.0" style="763"/>
    <col min="7630" max="7630" customWidth="1" bestFit="1" width="3.0" style="763"/>
    <col min="7631" max="7631" customWidth="1" bestFit="1" width="3.0" style="763"/>
    <col min="7632" max="7632" customWidth="1" bestFit="1" width="3.0" style="763"/>
    <col min="7633" max="7633" customWidth="1" bestFit="1" width="3.0" style="763"/>
    <col min="7634" max="7634" customWidth="1" bestFit="1" width="3.0" style="763"/>
    <col min="7635" max="7635" customWidth="1" bestFit="1" width="3.0" style="763"/>
    <col min="7636" max="7636" customWidth="1" bestFit="1" width="3.0" style="763"/>
    <col min="7637" max="7637" customWidth="1" bestFit="1" width="3.0" style="763"/>
    <col min="7638" max="7638" customWidth="1" bestFit="1" width="3.0" style="763"/>
    <col min="7639" max="7639" customWidth="1" bestFit="1" width="3.0" style="763"/>
    <col min="7640" max="7640" customWidth="1" bestFit="1" width="3.0" style="763"/>
    <col min="7641" max="7641" customWidth="1" bestFit="1" width="3.0" style="763"/>
    <col min="7642" max="7642" customWidth="1" bestFit="1" width="3.0" style="763"/>
    <col min="7643" max="7643" customWidth="1" bestFit="1" width="3.0" style="763"/>
    <col min="7644" max="7644" customWidth="1" bestFit="1" width="3.0" style="763"/>
    <col min="7645" max="7645" customWidth="1" bestFit="1" width="3.0" style="763"/>
    <col min="7646" max="7646" customWidth="1" bestFit="1" width="3.0" style="763"/>
    <col min="7647" max="7647" customWidth="1" bestFit="1" width="3.0" style="763"/>
    <col min="7648" max="7648" customWidth="1" bestFit="1" width="3.0" style="763"/>
    <col min="7649" max="7649" customWidth="1" bestFit="1" width="3.0" style="763"/>
    <col min="7650" max="7650" customWidth="1" bestFit="1" width="3.0" style="763"/>
    <col min="7651" max="7651" customWidth="1" bestFit="1" width="3.0" style="763"/>
    <col min="7652" max="7652" customWidth="1" bestFit="1" width="3.0" style="763"/>
    <col min="7653" max="7653" customWidth="1" bestFit="1" width="3.0" style="763"/>
    <col min="7654" max="7654" customWidth="1" bestFit="1" width="3.0" style="763"/>
    <col min="7655" max="7655" customWidth="1" bestFit="1" width="3.0" style="763"/>
    <col min="7656" max="7656" customWidth="1" bestFit="1" width="3.0" style="763"/>
    <col min="7657" max="7657" customWidth="1" bestFit="1" width="3.0" style="763"/>
    <col min="7658" max="7658" customWidth="1" bestFit="1" width="3.0" style="763"/>
    <col min="7659" max="7659" customWidth="1" bestFit="1" width="3.0" style="763"/>
    <col min="7660" max="7660" customWidth="1" bestFit="1" width="3.0" style="763"/>
    <col min="7661" max="7661" customWidth="1" bestFit="1" width="3.0" style="763"/>
    <col min="7662" max="7662" customWidth="1" bestFit="1" width="3.0" style="763"/>
    <col min="7663" max="7663" customWidth="1" bestFit="1" width="3.0" style="763"/>
    <col min="7664" max="7664" customWidth="1" bestFit="1" width="3.0" style="763"/>
    <col min="7665" max="7665" customWidth="1" bestFit="1" width="3.0" style="763"/>
    <col min="7666" max="7666" customWidth="1" bestFit="1" width="3.0" style="763"/>
    <col min="7667" max="7667" customWidth="1" bestFit="1" width="3.0" style="763"/>
    <col min="7668" max="7668" customWidth="1" bestFit="1" width="3.0" style="763"/>
    <col min="7669" max="7669" customWidth="1" bestFit="1" width="3.0" style="763"/>
    <col min="7670" max="7670" customWidth="1" bestFit="1" width="3.0" style="763"/>
    <col min="7671" max="7671" customWidth="1" bestFit="1" width="3.0" style="763"/>
    <col min="7672" max="7672" customWidth="1" bestFit="1" width="3.0" style="763"/>
    <col min="7673" max="7673" customWidth="1" bestFit="1" width="3.0" style="763"/>
    <col min="7674" max="7674" customWidth="1" bestFit="1" width="3.0" style="763"/>
    <col min="7675" max="7675" customWidth="1" bestFit="1" width="3.0" style="763"/>
    <col min="7676" max="7676" customWidth="1" bestFit="1" width="3.0" style="763"/>
    <col min="7677" max="7677" customWidth="1" bestFit="1" width="3.0" style="763"/>
    <col min="7678" max="7678" customWidth="1" bestFit="1" width="3.0" style="763"/>
    <col min="7679" max="7679" customWidth="1" bestFit="1" width="3.0" style="763"/>
    <col min="7680" max="7680" customWidth="1" bestFit="1" width="3.0" style="763"/>
    <col min="7681" max="7681" customWidth="1" bestFit="1" width="3.0" style="763"/>
    <col min="7682" max="7682" customWidth="1" bestFit="1" width="3.0" style="763"/>
    <col min="7683" max="7683" customWidth="1" bestFit="1" width="3.0" style="763"/>
    <col min="7684" max="7684" customWidth="1" bestFit="1" width="3.0" style="763"/>
    <col min="7685" max="7685" customWidth="1" bestFit="1" width="3.0" style="763"/>
    <col min="7686" max="7686" customWidth="1" bestFit="1" width="3.0" style="763"/>
    <col min="7687" max="7687" customWidth="1" bestFit="1" width="3.0" style="763"/>
    <col min="7688" max="7688" customWidth="1" bestFit="1" width="3.0" style="763"/>
    <col min="7689" max="7689" customWidth="1" bestFit="1" width="3.0" style="763"/>
    <col min="7690" max="7690" customWidth="1" bestFit="1" width="3.0" style="763"/>
    <col min="7691" max="7691" customWidth="1" bestFit="1" width="3.0" style="763"/>
    <col min="7692" max="7692" customWidth="1" bestFit="1" width="3.0" style="763"/>
    <col min="7693" max="7693" customWidth="1" bestFit="1" width="3.0" style="763"/>
    <col min="7694" max="7694" customWidth="1" bestFit="1" width="3.0" style="763"/>
    <col min="7695" max="7695" customWidth="1" bestFit="1" width="3.0" style="763"/>
    <col min="7696" max="7696" customWidth="1" bestFit="1" width="3.0" style="763"/>
    <col min="7697" max="7697" customWidth="1" bestFit="1" width="3.0" style="763"/>
    <col min="7698" max="7698" customWidth="1" bestFit="1" width="3.0" style="763"/>
    <col min="7699" max="7699" customWidth="1" bestFit="1" width="3.0" style="763"/>
    <col min="7700" max="7700" customWidth="1" bestFit="1" width="3.0" style="763"/>
    <col min="7701" max="7701" customWidth="1" bestFit="1" width="3.0" style="763"/>
    <col min="7702" max="7702" customWidth="1" bestFit="1" width="3.0" style="763"/>
    <col min="7703" max="7703" customWidth="1" bestFit="1" width="3.0" style="763"/>
    <col min="7704" max="7704" customWidth="1" bestFit="1" width="3.0" style="763"/>
    <col min="7705" max="7705" customWidth="1" bestFit="1" width="3.0" style="763"/>
    <col min="7706" max="7706" customWidth="1" bestFit="1" width="3.0" style="763"/>
    <col min="7707" max="7707" customWidth="1" bestFit="1" width="3.0" style="763"/>
    <col min="7708" max="7708" customWidth="1" bestFit="1" width="3.0" style="763"/>
    <col min="7709" max="7709" customWidth="1" bestFit="1" width="3.0" style="763"/>
    <col min="7710" max="7710" customWidth="1" bestFit="1" width="3.0" style="763"/>
    <col min="7711" max="7711" customWidth="1" bestFit="1" width="3.0" style="763"/>
    <col min="7712" max="7712" customWidth="1" bestFit="1" width="3.0" style="763"/>
    <col min="7713" max="7713" customWidth="1" bestFit="1" width="3.0" style="763"/>
    <col min="7714" max="7714" customWidth="1" bestFit="1" width="3.0" style="763"/>
    <col min="7715" max="7715" customWidth="1" bestFit="1" width="3.0" style="763"/>
    <col min="7716" max="7716" customWidth="1" bestFit="1" width="3.0" style="763"/>
    <col min="7717" max="7717" customWidth="1" bestFit="1" width="3.0" style="763"/>
    <col min="7718" max="7718" customWidth="1" bestFit="1" width="3.0" style="763"/>
    <col min="7719" max="7719" customWidth="1" bestFit="1" width="3.0" style="763"/>
    <col min="7720" max="7720" customWidth="1" bestFit="1" width="3.0" style="763"/>
    <col min="7721" max="7721" customWidth="1" bestFit="1" width="3.0" style="763"/>
    <col min="7722" max="7722" customWidth="1" bestFit="1" width="3.0" style="763"/>
    <col min="7723" max="7723" customWidth="1" bestFit="1" width="3.0" style="763"/>
    <col min="7724" max="7724" customWidth="1" bestFit="1" width="3.0" style="763"/>
    <col min="7725" max="7725" customWidth="1" bestFit="1" width="3.0" style="763"/>
    <col min="7726" max="7726" customWidth="1" bestFit="1" width="3.0" style="763"/>
    <col min="7727" max="7727" customWidth="1" bestFit="1" width="3.0" style="763"/>
    <col min="7728" max="7728" customWidth="1" bestFit="1" width="3.0" style="763"/>
    <col min="7729" max="7729" customWidth="1" bestFit="1" width="3.0" style="763"/>
    <col min="7730" max="7730" customWidth="1" bestFit="1" width="3.0" style="763"/>
    <col min="7731" max="7731" customWidth="1" bestFit="1" width="3.0" style="763"/>
    <col min="7732" max="7732" customWidth="1" bestFit="1" width="3.0" style="763"/>
    <col min="7733" max="7733" customWidth="1" bestFit="1" width="3.0" style="763"/>
    <col min="7734" max="7734" customWidth="1" bestFit="1" width="3.0" style="763"/>
    <col min="7735" max="7735" customWidth="1" bestFit="1" width="3.0" style="763"/>
    <col min="7736" max="7736" customWidth="1" bestFit="1" width="3.0" style="763"/>
    <col min="7737" max="7737" customWidth="1" bestFit="1" width="3.0" style="763"/>
    <col min="7738" max="7738" customWidth="1" bestFit="1" width="3.0" style="763"/>
    <col min="7739" max="7739" customWidth="1" bestFit="1" width="3.0" style="763"/>
    <col min="7740" max="7740" customWidth="1" bestFit="1" width="3.0" style="763"/>
    <col min="7741" max="7741" customWidth="1" bestFit="1" width="3.0" style="763"/>
    <col min="7742" max="7742" customWidth="1" bestFit="1" width="3.0" style="763"/>
    <col min="7743" max="7743" customWidth="1" bestFit="1" width="3.0" style="763"/>
    <col min="7744" max="7744" customWidth="1" bestFit="1" width="3.0" style="763"/>
    <col min="7745" max="7745" customWidth="1" bestFit="1" width="3.0" style="763"/>
    <col min="7746" max="7746" customWidth="1" bestFit="1" width="3.0" style="763"/>
    <col min="7747" max="7747" customWidth="1" bestFit="1" width="3.0" style="763"/>
    <col min="7748" max="7748" customWidth="1" bestFit="1" width="3.0" style="763"/>
    <col min="7749" max="7749" customWidth="1" bestFit="1" width="3.0" style="763"/>
    <col min="7750" max="7750" customWidth="1" bestFit="1" width="3.0" style="763"/>
    <col min="7751" max="7751" customWidth="1" bestFit="1" width="3.0" style="763"/>
    <col min="7752" max="7752" customWidth="1" bestFit="1" width="3.0" style="763"/>
    <col min="7753" max="7753" customWidth="1" bestFit="1" width="3.0" style="763"/>
    <col min="7754" max="7754" customWidth="1" bestFit="1" width="3.0" style="763"/>
    <col min="7755" max="7755" customWidth="1" bestFit="1" width="3.0" style="763"/>
    <col min="7756" max="7756" customWidth="1" bestFit="1" width="3.0" style="763"/>
    <col min="7757" max="7757" customWidth="1" bestFit="1" width="3.0" style="763"/>
    <col min="7758" max="7758" customWidth="1" bestFit="1" width="3.0" style="763"/>
    <col min="7759" max="7759" customWidth="1" bestFit="1" width="3.0" style="763"/>
    <col min="7760" max="7760" customWidth="1" bestFit="1" width="3.0" style="763"/>
    <col min="7761" max="7761" customWidth="1" bestFit="1" width="3.0" style="763"/>
    <col min="7762" max="7762" customWidth="1" bestFit="1" width="3.0" style="763"/>
    <col min="7763" max="7763" customWidth="1" bestFit="1" width="3.0" style="763"/>
    <col min="7764" max="7764" customWidth="1" bestFit="1" width="3.0" style="763"/>
    <col min="7765" max="7765" customWidth="1" bestFit="1" width="3.0" style="763"/>
    <col min="7766" max="7766" customWidth="1" bestFit="1" width="3.0" style="763"/>
    <col min="7767" max="7767" customWidth="1" bestFit="1" width="3.0" style="763"/>
    <col min="7768" max="7768" customWidth="1" bestFit="1" width="3.0" style="763"/>
    <col min="7769" max="7769" customWidth="1" bestFit="1" width="3.0" style="763"/>
    <col min="7770" max="7770" customWidth="1" bestFit="1" width="3.0" style="763"/>
    <col min="7771" max="7771" customWidth="1" bestFit="1" width="3.0" style="763"/>
    <col min="7772" max="7772" customWidth="1" bestFit="1" width="3.0" style="763"/>
    <col min="7773" max="7773" customWidth="1" bestFit="1" width="3.0" style="763"/>
    <col min="7774" max="7774" customWidth="1" bestFit="1" width="3.0" style="763"/>
    <col min="7775" max="7775" customWidth="1" bestFit="1" width="3.0" style="763"/>
    <col min="7776" max="7776" customWidth="1" bestFit="1" width="3.0" style="763"/>
    <col min="7777" max="7777" customWidth="1" bestFit="1" width="3.0" style="763"/>
    <col min="7778" max="7778" customWidth="1" bestFit="1" width="3.0" style="763"/>
    <col min="7779" max="7779" customWidth="1" bestFit="1" width="3.0" style="763"/>
    <col min="7780" max="7780" customWidth="1" bestFit="1" width="3.0" style="763"/>
    <col min="7781" max="7781" customWidth="1" bestFit="1" width="3.0" style="763"/>
    <col min="7782" max="7782" customWidth="1" bestFit="1" width="3.0" style="763"/>
    <col min="7783" max="7783" customWidth="1" bestFit="1" width="3.0" style="763"/>
    <col min="7784" max="7784" customWidth="1" bestFit="1" width="3.0" style="763"/>
    <col min="7785" max="7785" customWidth="1" bestFit="1" width="3.0" style="763"/>
    <col min="7786" max="7786" customWidth="1" bestFit="1" width="3.0" style="763"/>
    <col min="7787" max="7787" customWidth="1" bestFit="1" width="3.0" style="763"/>
    <col min="7788" max="7788" customWidth="1" bestFit="1" width="3.0" style="763"/>
    <col min="7789" max="7789" customWidth="1" bestFit="1" width="3.0" style="763"/>
    <col min="7790" max="7790" customWidth="1" bestFit="1" width="3.0" style="763"/>
    <col min="7791" max="7791" customWidth="1" bestFit="1" width="3.0" style="763"/>
    <col min="7792" max="7792" customWidth="1" bestFit="1" width="3.0" style="763"/>
    <col min="7793" max="7793" customWidth="1" bestFit="1" width="3.0" style="763"/>
    <col min="7794" max="7794" customWidth="1" bestFit="1" width="3.0" style="763"/>
    <col min="7795" max="7795" customWidth="1" bestFit="1" width="3.0" style="763"/>
    <col min="7796" max="7796" customWidth="1" bestFit="1" width="3.0" style="763"/>
    <col min="7797" max="7797" customWidth="1" bestFit="1" width="3.0" style="763"/>
    <col min="7798" max="7798" customWidth="1" bestFit="1" width="3.0" style="763"/>
    <col min="7799" max="7799" customWidth="1" bestFit="1" width="3.0" style="763"/>
    <col min="7800" max="7800" customWidth="1" bestFit="1" width="3.0" style="763"/>
    <col min="7801" max="7801" customWidth="1" bestFit="1" width="3.0" style="763"/>
    <col min="7802" max="7802" customWidth="1" bestFit="1" width="3.0" style="763"/>
    <col min="7803" max="7803" customWidth="1" bestFit="1" width="3.0" style="763"/>
    <col min="7804" max="7804" customWidth="1" bestFit="1" width="3.0" style="763"/>
    <col min="7805" max="7805" customWidth="1" bestFit="1" width="3.0" style="763"/>
    <col min="7806" max="7806" customWidth="1" bestFit="1" width="3.0" style="763"/>
    <col min="7807" max="7807" customWidth="1" bestFit="1" width="3.0" style="763"/>
    <col min="7808" max="7808" customWidth="1" bestFit="1" width="3.0" style="763"/>
    <col min="7809" max="7809" customWidth="1" bestFit="1" width="3.0" style="763"/>
    <col min="7810" max="7810" customWidth="1" bestFit="1" width="3.0" style="763"/>
    <col min="7811" max="7811" customWidth="1" bestFit="1" width="3.0" style="763"/>
    <col min="7812" max="7812" customWidth="1" bestFit="1" width="3.0" style="763"/>
    <col min="7813" max="7813" customWidth="1" bestFit="1" width="3.0" style="763"/>
    <col min="7814" max="7814" customWidth="1" bestFit="1" width="3.0" style="763"/>
    <col min="7815" max="7815" customWidth="1" bestFit="1" width="3.0" style="763"/>
    <col min="7816" max="7816" customWidth="1" bestFit="1" width="3.0" style="763"/>
    <col min="7817" max="7817" customWidth="1" bestFit="1" width="3.0" style="763"/>
    <col min="7818" max="7818" customWidth="1" bestFit="1" width="3.0" style="763"/>
    <col min="7819" max="7819" customWidth="1" bestFit="1" width="3.0" style="763"/>
    <col min="7820" max="7820" customWidth="1" bestFit="1" width="3.0" style="763"/>
    <col min="7821" max="7821" customWidth="1" bestFit="1" width="3.0" style="763"/>
    <col min="7822" max="7822" customWidth="1" bestFit="1" width="3.0" style="763"/>
    <col min="7823" max="7823" customWidth="1" bestFit="1" width="3.0" style="763"/>
    <col min="7824" max="7824" customWidth="1" bestFit="1" width="3.0" style="763"/>
    <col min="7825" max="7825" customWidth="1" bestFit="1" width="3.0" style="763"/>
    <col min="7826" max="7826" customWidth="1" bestFit="1" width="3.0" style="763"/>
    <col min="7827" max="7827" customWidth="1" bestFit="1" width="3.0" style="763"/>
    <col min="7828" max="7828" customWidth="1" bestFit="1" width="3.0" style="763"/>
    <col min="7829" max="7829" customWidth="1" bestFit="1" width="3.0" style="763"/>
    <col min="7830" max="7830" customWidth="1" bestFit="1" width="3.0" style="763"/>
    <col min="7831" max="7831" customWidth="1" bestFit="1" width="3.0" style="763"/>
    <col min="7832" max="7832" customWidth="1" bestFit="1" width="3.0" style="763"/>
    <col min="7833" max="7833" customWidth="1" bestFit="1" width="3.0" style="763"/>
    <col min="7834" max="7834" customWidth="1" bestFit="1" width="3.0" style="763"/>
    <col min="7835" max="7835" customWidth="1" bestFit="1" width="3.0" style="763"/>
    <col min="7836" max="7836" customWidth="1" bestFit="1" width="3.0" style="763"/>
    <col min="7837" max="7837" customWidth="1" bestFit="1" width="3.0" style="763"/>
    <col min="7838" max="7838" customWidth="1" bestFit="1" width="3.0" style="763"/>
    <col min="7839" max="7839" customWidth="1" bestFit="1" width="3.0" style="763"/>
    <col min="7840" max="7840" customWidth="1" bestFit="1" width="3.0" style="763"/>
    <col min="7841" max="7841" customWidth="1" bestFit="1" width="3.0" style="763"/>
    <col min="7842" max="7842" customWidth="1" bestFit="1" width="3.0" style="763"/>
    <col min="7843" max="7843" customWidth="1" bestFit="1" width="3.0" style="763"/>
    <col min="7844" max="7844" customWidth="1" bestFit="1" width="3.0" style="763"/>
    <col min="7845" max="7845" customWidth="1" bestFit="1" width="3.0" style="763"/>
    <col min="7846" max="7846" customWidth="1" bestFit="1" width="3.0" style="763"/>
    <col min="7847" max="7847" customWidth="1" bestFit="1" width="3.0" style="763"/>
    <col min="7848" max="7848" customWidth="1" bestFit="1" width="3.0" style="763"/>
    <col min="7849" max="7849" customWidth="1" bestFit="1" width="3.0" style="763"/>
    <col min="7850" max="7850" customWidth="1" bestFit="1" width="3.0" style="763"/>
    <col min="7851" max="7851" customWidth="1" bestFit="1" width="3.0" style="763"/>
    <col min="7852" max="7852" customWidth="1" bestFit="1" width="3.0" style="763"/>
    <col min="7853" max="7853" customWidth="1" bestFit="1" width="3.0" style="763"/>
    <col min="7854" max="7854" customWidth="1" bestFit="1" width="3.0" style="763"/>
    <col min="7855" max="7855" customWidth="1" bestFit="1" width="3.0" style="763"/>
    <col min="7856" max="7856" customWidth="1" bestFit="1" width="3.0" style="763"/>
    <col min="7857" max="7857" customWidth="1" bestFit="1" width="3.0" style="763"/>
    <col min="7858" max="7858" customWidth="1" bestFit="1" width="3.0" style="763"/>
    <col min="7859" max="7859" customWidth="1" bestFit="1" width="3.0" style="763"/>
    <col min="7860" max="7860" customWidth="1" bestFit="1" width="3.0" style="763"/>
    <col min="7861" max="7861" customWidth="1" bestFit="1" width="3.0" style="763"/>
    <col min="7862" max="7862" customWidth="1" bestFit="1" width="3.0" style="763"/>
    <col min="7863" max="7863" customWidth="1" bestFit="1" width="3.0" style="763"/>
    <col min="7864" max="7864" customWidth="1" bestFit="1" width="3.0" style="763"/>
    <col min="7865" max="7865" customWidth="1" bestFit="1" width="3.0" style="763"/>
    <col min="7866" max="7866" customWidth="1" bestFit="1" width="3.0" style="763"/>
    <col min="7867" max="7867" customWidth="1" bestFit="1" width="3.0" style="763"/>
    <col min="7868" max="7868" customWidth="1" bestFit="1" width="3.0" style="763"/>
    <col min="7869" max="7869" customWidth="1" bestFit="1" width="3.0" style="763"/>
    <col min="7870" max="7870" customWidth="1" bestFit="1" width="3.0" style="763"/>
    <col min="7871" max="7871" customWidth="1" bestFit="1" width="3.0" style="763"/>
    <col min="7872" max="7872" customWidth="1" bestFit="1" width="3.0" style="763"/>
    <col min="7873" max="7873" customWidth="1" bestFit="1" width="3.0" style="763"/>
    <col min="7874" max="7874" customWidth="1" bestFit="1" width="3.0" style="763"/>
    <col min="7875" max="7875" customWidth="1" bestFit="1" width="3.0" style="763"/>
    <col min="7876" max="7876" customWidth="1" bestFit="1" width="3.0" style="763"/>
    <col min="7877" max="7877" customWidth="1" bestFit="1" width="3.0" style="763"/>
    <col min="7878" max="7878" customWidth="1" bestFit="1" width="3.0" style="763"/>
    <col min="7879" max="7879" customWidth="1" bestFit="1" width="3.0" style="763"/>
    <col min="7880" max="7880" customWidth="1" bestFit="1" width="3.0" style="763"/>
    <col min="7881" max="7881" customWidth="1" bestFit="1" width="3.0" style="763"/>
    <col min="7882" max="7882" customWidth="1" bestFit="1" width="3.0" style="763"/>
    <col min="7883" max="7883" customWidth="1" bestFit="1" width="3.0" style="763"/>
    <col min="7884" max="7884" customWidth="1" bestFit="1" width="3.0" style="763"/>
    <col min="7885" max="7885" customWidth="1" bestFit="1" width="3.0" style="763"/>
    <col min="7886" max="7886" customWidth="1" bestFit="1" width="3.0" style="763"/>
    <col min="7887" max="7887" customWidth="1" bestFit="1" width="3.0" style="763"/>
    <col min="7888" max="7888" customWidth="1" bestFit="1" width="3.0" style="763"/>
    <col min="7889" max="7889" customWidth="1" bestFit="1" width="3.0" style="763"/>
    <col min="7890" max="7890" customWidth="1" bestFit="1" width="3.0" style="763"/>
    <col min="7891" max="7891" customWidth="1" bestFit="1" width="3.0" style="763"/>
    <col min="7892" max="7892" customWidth="1" bestFit="1" width="3.0" style="763"/>
    <col min="7893" max="7893" customWidth="1" bestFit="1" width="3.0" style="763"/>
    <col min="7894" max="7894" customWidth="1" bestFit="1" width="3.0" style="763"/>
    <col min="7895" max="7895" customWidth="1" bestFit="1" width="3.0" style="763"/>
    <col min="7896" max="7896" customWidth="1" bestFit="1" width="3.0" style="763"/>
    <col min="7897" max="7897" customWidth="1" bestFit="1" width="3.0" style="763"/>
    <col min="7898" max="7898" customWidth="1" bestFit="1" width="3.0" style="763"/>
    <col min="7899" max="7899" customWidth="1" bestFit="1" width="3.0" style="763"/>
    <col min="7900" max="7900" customWidth="1" bestFit="1" width="3.0" style="763"/>
    <col min="7901" max="7901" customWidth="1" bestFit="1" width="3.0" style="763"/>
    <col min="7902" max="7902" customWidth="1" bestFit="1" width="3.0" style="763"/>
    <col min="7903" max="7903" customWidth="1" bestFit="1" width="3.0" style="763"/>
    <col min="7904" max="7904" customWidth="1" bestFit="1" width="3.0" style="763"/>
    <col min="7905" max="7905" customWidth="1" bestFit="1" width="3.0" style="763"/>
    <col min="7906" max="7906" customWidth="1" bestFit="1" width="3.0" style="763"/>
    <col min="7907" max="7907" customWidth="1" bestFit="1" width="3.0" style="763"/>
    <col min="7908" max="7908" customWidth="1" bestFit="1" width="3.0" style="763"/>
    <col min="7909" max="7909" customWidth="1" bestFit="1" width="3.0" style="763"/>
    <col min="7910" max="7910" customWidth="1" bestFit="1" width="3.0" style="763"/>
    <col min="7911" max="7911" customWidth="1" bestFit="1" width="3.0" style="763"/>
    <col min="7912" max="7912" customWidth="1" bestFit="1" width="3.0" style="763"/>
    <col min="7913" max="7913" customWidth="1" bestFit="1" width="3.0" style="763"/>
    <col min="7914" max="7914" customWidth="1" bestFit="1" width="3.0" style="763"/>
    <col min="7915" max="7915" customWidth="1" bestFit="1" width="3.0" style="763"/>
    <col min="7916" max="7916" customWidth="1" bestFit="1" width="3.0" style="763"/>
    <col min="7917" max="7917" customWidth="1" bestFit="1" width="3.0" style="763"/>
    <col min="7918" max="7918" customWidth="1" bestFit="1" width="3.0" style="763"/>
    <col min="7919" max="7919" customWidth="1" bestFit="1" width="3.0" style="763"/>
    <col min="7920" max="7920" customWidth="1" bestFit="1" width="3.0" style="763"/>
    <col min="7921" max="7921" customWidth="1" bestFit="1" width="3.0" style="763"/>
    <col min="7922" max="7922" customWidth="1" bestFit="1" width="3.0" style="763"/>
    <col min="7923" max="7923" customWidth="1" bestFit="1" width="3.0" style="763"/>
    <col min="7924" max="7924" customWidth="1" bestFit="1" width="3.0" style="763"/>
    <col min="7925" max="7925" customWidth="1" bestFit="1" width="3.0" style="763"/>
    <col min="7926" max="7926" customWidth="1" bestFit="1" width="3.0" style="763"/>
    <col min="7927" max="7927" customWidth="1" bestFit="1" width="3.0" style="763"/>
    <col min="7928" max="7928" customWidth="1" bestFit="1" width="3.0" style="763"/>
    <col min="7929" max="7929" customWidth="1" bestFit="1" width="3.0" style="763"/>
    <col min="7930" max="7930" customWidth="1" bestFit="1" width="3.0" style="763"/>
    <col min="7931" max="7931" customWidth="1" bestFit="1" width="3.0" style="763"/>
    <col min="7932" max="7932" customWidth="1" bestFit="1" width="3.0" style="763"/>
    <col min="7933" max="7933" customWidth="1" bestFit="1" width="3.0" style="763"/>
    <col min="7934" max="7934" customWidth="1" bestFit="1" width="3.0" style="763"/>
    <col min="7935" max="7935" customWidth="1" bestFit="1" width="3.0" style="763"/>
    <col min="7936" max="7936" customWidth="1" bestFit="1" width="3.0" style="763"/>
    <col min="7937" max="7937" customWidth="1" bestFit="1" width="3.0" style="763"/>
    <col min="7938" max="7938" customWidth="1" bestFit="1" width="3.0" style="763"/>
    <col min="7939" max="7939" customWidth="1" bestFit="1" width="3.0" style="763"/>
    <col min="7940" max="7940" customWidth="1" bestFit="1" width="3.0" style="763"/>
    <col min="7941" max="7941" customWidth="1" bestFit="1" width="3.0" style="763"/>
    <col min="7942" max="7942" customWidth="1" bestFit="1" width="3.0" style="763"/>
    <col min="7943" max="7943" customWidth="1" bestFit="1" width="3.0" style="763"/>
    <col min="7944" max="7944" customWidth="1" bestFit="1" width="3.0" style="763"/>
    <col min="7945" max="7945" customWidth="1" bestFit="1" width="3.0" style="763"/>
    <col min="7946" max="7946" customWidth="1" bestFit="1" width="3.0" style="763"/>
    <col min="7947" max="7947" customWidth="1" bestFit="1" width="3.0" style="763"/>
    <col min="7948" max="7948" customWidth="1" bestFit="1" width="3.0" style="763"/>
    <col min="7949" max="7949" customWidth="1" bestFit="1" width="3.0" style="763"/>
    <col min="7950" max="7950" customWidth="1" bestFit="1" width="3.0" style="763"/>
    <col min="7951" max="7951" customWidth="1" bestFit="1" width="3.0" style="763"/>
    <col min="7952" max="7952" customWidth="1" bestFit="1" width="3.0" style="763"/>
    <col min="7953" max="7953" customWidth="1" bestFit="1" width="3.0" style="763"/>
    <col min="7954" max="7954" customWidth="1" bestFit="1" width="3.0" style="763"/>
    <col min="7955" max="7955" customWidth="1" bestFit="1" width="3.0" style="763"/>
    <col min="7956" max="7956" customWidth="1" bestFit="1" width="3.0" style="763"/>
    <col min="7957" max="7957" customWidth="1" bestFit="1" width="3.0" style="763"/>
    <col min="7958" max="7958" customWidth="1" bestFit="1" width="3.0" style="763"/>
    <col min="7959" max="7959" customWidth="1" bestFit="1" width="3.0" style="763"/>
    <col min="7960" max="7960" customWidth="1" bestFit="1" width="3.0" style="763"/>
    <col min="7961" max="7961" customWidth="1" bestFit="1" width="3.0" style="763"/>
    <col min="7962" max="7962" customWidth="1" bestFit="1" width="3.0" style="763"/>
    <col min="7963" max="7963" customWidth="1" bestFit="1" width="3.0" style="763"/>
    <col min="7964" max="7964" customWidth="1" bestFit="1" width="3.0" style="763"/>
    <col min="7965" max="7965" customWidth="1" bestFit="1" width="3.0" style="763"/>
    <col min="7966" max="7966" customWidth="1" bestFit="1" width="3.0" style="763"/>
    <col min="7967" max="7967" customWidth="1" bestFit="1" width="3.0" style="763"/>
    <col min="7968" max="7968" customWidth="1" bestFit="1" width="3.0" style="763"/>
    <col min="7969" max="7969" customWidth="1" bestFit="1" width="3.0" style="763"/>
    <col min="7970" max="7970" customWidth="1" bestFit="1" width="3.0" style="763"/>
    <col min="7971" max="7971" customWidth="1" bestFit="1" width="3.0" style="763"/>
    <col min="7972" max="7972" customWidth="1" bestFit="1" width="3.0" style="763"/>
    <col min="7973" max="7973" customWidth="1" bestFit="1" width="3.0" style="763"/>
    <col min="7974" max="7974" customWidth="1" bestFit="1" width="3.0" style="763"/>
    <col min="7975" max="7975" customWidth="1" bestFit="1" width="3.0" style="763"/>
    <col min="7976" max="7976" customWidth="1" bestFit="1" width="3.0" style="763"/>
    <col min="7977" max="7977" customWidth="1" bestFit="1" width="3.0" style="763"/>
    <col min="7978" max="7978" customWidth="1" bestFit="1" width="3.0" style="763"/>
    <col min="7979" max="7979" customWidth="1" bestFit="1" width="3.0" style="763"/>
    <col min="7980" max="7980" customWidth="1" bestFit="1" width="3.0" style="763"/>
    <col min="7981" max="7981" customWidth="1" bestFit="1" width="3.0" style="763"/>
    <col min="7982" max="7982" customWidth="1" bestFit="1" width="3.0" style="763"/>
    <col min="7983" max="7983" customWidth="1" bestFit="1" width="3.0" style="763"/>
    <col min="7984" max="7984" customWidth="1" bestFit="1" width="3.0" style="763"/>
    <col min="7985" max="7985" customWidth="1" bestFit="1" width="3.0" style="763"/>
    <col min="7986" max="7986" customWidth="1" bestFit="1" width="3.0" style="763"/>
    <col min="7987" max="7987" customWidth="1" bestFit="1" width="3.0" style="763"/>
    <col min="7988" max="7988" customWidth="1" bestFit="1" width="3.0" style="763"/>
    <col min="7989" max="7989" customWidth="1" bestFit="1" width="3.0" style="763"/>
    <col min="7990" max="7990" customWidth="1" bestFit="1" width="3.0" style="763"/>
    <col min="7991" max="7991" customWidth="1" bestFit="1" width="3.0" style="763"/>
    <col min="7992" max="7992" customWidth="1" bestFit="1" width="3.0" style="763"/>
    <col min="7993" max="7993" customWidth="1" bestFit="1" width="3.0" style="763"/>
    <col min="7994" max="7994" customWidth="1" bestFit="1" width="3.0" style="763"/>
    <col min="7995" max="7995" customWidth="1" bestFit="1" width="3.0" style="763"/>
    <col min="7996" max="7996" customWidth="1" bestFit="1" width="3.0" style="763"/>
    <col min="7997" max="7997" customWidth="1" bestFit="1" width="3.0" style="763"/>
    <col min="7998" max="7998" customWidth="1" bestFit="1" width="3.0" style="763"/>
    <col min="7999" max="7999" customWidth="1" bestFit="1" width="3.0" style="763"/>
    <col min="8000" max="8000" customWidth="1" bestFit="1" width="3.0" style="763"/>
    <col min="8001" max="8001" customWidth="1" bestFit="1" width="3.0" style="763"/>
    <col min="8002" max="8002" customWidth="1" bestFit="1" width="3.0" style="763"/>
    <col min="8003" max="8003" customWidth="1" bestFit="1" width="3.0" style="763"/>
    <col min="8004" max="8004" customWidth="1" bestFit="1" width="3.0" style="763"/>
    <col min="8005" max="8005" customWidth="1" bestFit="1" width="3.0" style="763"/>
    <col min="8006" max="8006" customWidth="1" bestFit="1" width="3.0" style="763"/>
    <col min="8007" max="8007" customWidth="1" bestFit="1" width="3.0" style="763"/>
    <col min="8008" max="8008" customWidth="1" bestFit="1" width="3.0" style="763"/>
    <col min="8009" max="8009" customWidth="1" bestFit="1" width="3.0" style="763"/>
    <col min="8010" max="8010" customWidth="1" bestFit="1" width="3.0" style="763"/>
    <col min="8011" max="8011" customWidth="1" bestFit="1" width="3.0" style="763"/>
    <col min="8012" max="8012" customWidth="1" bestFit="1" width="3.0" style="763"/>
    <col min="8013" max="8013" customWidth="1" bestFit="1" width="3.0" style="763"/>
    <col min="8014" max="8014" customWidth="1" bestFit="1" width="3.0" style="763"/>
    <col min="8015" max="8015" customWidth="1" bestFit="1" width="3.0" style="763"/>
    <col min="8016" max="8016" customWidth="1" bestFit="1" width="3.0" style="763"/>
    <col min="8017" max="8017" customWidth="1" bestFit="1" width="3.0" style="763"/>
    <col min="8018" max="8018" customWidth="1" bestFit="1" width="3.0" style="763"/>
    <col min="8019" max="8019" customWidth="1" bestFit="1" width="3.0" style="763"/>
    <col min="8020" max="8020" customWidth="1" bestFit="1" width="3.0" style="763"/>
    <col min="8021" max="8021" customWidth="1" bestFit="1" width="3.0" style="763"/>
    <col min="8022" max="8022" customWidth="1" bestFit="1" width="3.0" style="763"/>
    <col min="8023" max="8023" customWidth="1" bestFit="1" width="3.0" style="763"/>
    <col min="8024" max="8024" customWidth="1" bestFit="1" width="3.0" style="763"/>
    <col min="8025" max="8025" customWidth="1" bestFit="1" width="3.0" style="763"/>
    <col min="8026" max="8026" customWidth="1" bestFit="1" width="3.0" style="763"/>
    <col min="8027" max="8027" customWidth="1" bestFit="1" width="3.0" style="763"/>
    <col min="8028" max="8028" customWidth="1" bestFit="1" width="3.0" style="763"/>
    <col min="8029" max="8029" customWidth="1" bestFit="1" width="3.0" style="763"/>
    <col min="8030" max="8030" customWidth="1" bestFit="1" width="3.0" style="763"/>
    <col min="8031" max="8031" customWidth="1" bestFit="1" width="3.0" style="763"/>
    <col min="8032" max="8032" customWidth="1" bestFit="1" width="3.0" style="763"/>
    <col min="8033" max="8033" customWidth="1" bestFit="1" width="3.0" style="763"/>
    <col min="8034" max="8034" customWidth="1" bestFit="1" width="3.0" style="763"/>
    <col min="8035" max="8035" customWidth="1" bestFit="1" width="3.0" style="763"/>
    <col min="8036" max="8036" customWidth="1" bestFit="1" width="3.0" style="763"/>
    <col min="8037" max="8037" customWidth="1" bestFit="1" width="3.0" style="763"/>
    <col min="8038" max="8038" customWidth="1" bestFit="1" width="3.0" style="763"/>
    <col min="8039" max="8039" customWidth="1" bestFit="1" width="3.0" style="763"/>
    <col min="8040" max="8040" customWidth="1" bestFit="1" width="3.0" style="763"/>
    <col min="8041" max="8041" customWidth="1" bestFit="1" width="3.0" style="763"/>
    <col min="8042" max="8042" customWidth="1" bestFit="1" width="3.0" style="763"/>
    <col min="8043" max="8043" customWidth="1" bestFit="1" width="3.0" style="763"/>
    <col min="8044" max="8044" customWidth="1" bestFit="1" width="3.0" style="763"/>
    <col min="8045" max="8045" customWidth="1" bestFit="1" width="3.0" style="763"/>
    <col min="8046" max="8046" customWidth="1" bestFit="1" width="3.0" style="763"/>
    <col min="8047" max="8047" customWidth="1" bestFit="1" width="3.0" style="763"/>
    <col min="8048" max="8048" customWidth="1" bestFit="1" width="3.0" style="763"/>
    <col min="8049" max="8049" customWidth="1" bestFit="1" width="3.0" style="763"/>
    <col min="8050" max="8050" customWidth="1" bestFit="1" width="3.0" style="763"/>
    <col min="8051" max="8051" customWidth="1" bestFit="1" width="3.0" style="763"/>
    <col min="8052" max="8052" customWidth="1" bestFit="1" width="3.0" style="763"/>
    <col min="8053" max="8053" customWidth="1" bestFit="1" width="3.0" style="763"/>
    <col min="8054" max="8054" customWidth="1" bestFit="1" width="3.0" style="763"/>
    <col min="8055" max="8055" customWidth="1" bestFit="1" width="3.0" style="763"/>
    <col min="8056" max="8056" customWidth="1" bestFit="1" width="3.0" style="763"/>
    <col min="8057" max="8057" customWidth="1" bestFit="1" width="3.0" style="763"/>
    <col min="8058" max="8058" customWidth="1" bestFit="1" width="3.0" style="763"/>
    <col min="8059" max="8059" customWidth="1" bestFit="1" width="3.0" style="763"/>
    <col min="8060" max="8060" customWidth="1" bestFit="1" width="3.0" style="763"/>
    <col min="8061" max="8061" customWidth="1" bestFit="1" width="3.0" style="763"/>
    <col min="8062" max="8062" customWidth="1" bestFit="1" width="3.0" style="763"/>
    <col min="8063" max="8063" customWidth="1" bestFit="1" width="3.0" style="763"/>
    <col min="8064" max="8064" customWidth="1" bestFit="1" width="3.0" style="763"/>
    <col min="8065" max="8065" customWidth="1" bestFit="1" width="3.0" style="763"/>
    <col min="8066" max="8066" customWidth="1" bestFit="1" width="3.0" style="763"/>
    <col min="8067" max="8067" customWidth="1" bestFit="1" width="3.0" style="763"/>
    <col min="8068" max="8068" customWidth="1" bestFit="1" width="3.0" style="763"/>
    <col min="8069" max="8069" customWidth="1" bestFit="1" width="3.0" style="763"/>
    <col min="8070" max="8070" customWidth="1" bestFit="1" width="3.0" style="763"/>
    <col min="8071" max="8071" customWidth="1" bestFit="1" width="3.0" style="763"/>
    <col min="8072" max="8072" customWidth="1" bestFit="1" width="3.0" style="763"/>
    <col min="8073" max="8073" customWidth="1" bestFit="1" width="3.0" style="763"/>
    <col min="8074" max="8074" customWidth="1" bestFit="1" width="3.0" style="763"/>
    <col min="8075" max="8075" customWidth="1" bestFit="1" width="3.0" style="763"/>
    <col min="8076" max="8076" customWidth="1" bestFit="1" width="3.0" style="763"/>
    <col min="8077" max="8077" customWidth="1" bestFit="1" width="3.0" style="763"/>
    <col min="8078" max="8078" customWidth="1" bestFit="1" width="3.0" style="763"/>
    <col min="8079" max="8079" customWidth="1" bestFit="1" width="3.0" style="763"/>
    <col min="8080" max="8080" customWidth="1" bestFit="1" width="3.0" style="763"/>
    <col min="8081" max="8081" customWidth="1" bestFit="1" width="3.0" style="763"/>
    <col min="8082" max="8082" customWidth="1" bestFit="1" width="3.0" style="763"/>
    <col min="8083" max="8083" customWidth="1" bestFit="1" width="3.0" style="763"/>
    <col min="8084" max="8084" customWidth="1" bestFit="1" width="3.0" style="763"/>
    <col min="8085" max="8085" customWidth="1" bestFit="1" width="3.0" style="763"/>
    <col min="8086" max="8086" customWidth="1" bestFit="1" width="3.0" style="763"/>
    <col min="8087" max="8087" customWidth="1" bestFit="1" width="3.0" style="763"/>
    <col min="8088" max="8088" customWidth="1" bestFit="1" width="3.0" style="763"/>
    <col min="8089" max="8089" customWidth="1" bestFit="1" width="3.0" style="763"/>
    <col min="8090" max="8090" customWidth="1" bestFit="1" width="3.0" style="763"/>
    <col min="8091" max="8091" customWidth="1" bestFit="1" width="3.0" style="763"/>
    <col min="8092" max="8092" customWidth="1" bestFit="1" width="3.0" style="763"/>
    <col min="8093" max="8093" customWidth="1" bestFit="1" width="3.0" style="763"/>
    <col min="8094" max="8094" customWidth="1" bestFit="1" width="3.0" style="763"/>
    <col min="8095" max="8095" customWidth="1" bestFit="1" width="3.0" style="763"/>
    <col min="8096" max="8096" customWidth="1" bestFit="1" width="3.0" style="763"/>
    <col min="8097" max="8097" customWidth="1" bestFit="1" width="3.0" style="763"/>
    <col min="8098" max="8098" customWidth="1" bestFit="1" width="3.0" style="763"/>
    <col min="8099" max="8099" customWidth="1" bestFit="1" width="3.0" style="763"/>
    <col min="8100" max="8100" customWidth="1" bestFit="1" width="3.0" style="763"/>
    <col min="8101" max="8101" customWidth="1" bestFit="1" width="3.0" style="763"/>
    <col min="8102" max="8102" customWidth="1" bestFit="1" width="3.0" style="763"/>
    <col min="8103" max="8103" customWidth="1" bestFit="1" width="3.0" style="763"/>
    <col min="8104" max="8104" customWidth="1" bestFit="1" width="3.0" style="763"/>
    <col min="8105" max="8105" customWidth="1" bestFit="1" width="3.0" style="763"/>
    <col min="8106" max="8106" customWidth="1" bestFit="1" width="3.0" style="763"/>
    <col min="8107" max="8107" customWidth="1" bestFit="1" width="3.0" style="763"/>
    <col min="8108" max="8108" customWidth="1" bestFit="1" width="3.0" style="763"/>
    <col min="8109" max="8109" customWidth="1" bestFit="1" width="3.0" style="763"/>
    <col min="8110" max="8110" customWidth="1" bestFit="1" width="3.0" style="763"/>
    <col min="8111" max="8111" customWidth="1" bestFit="1" width="3.0" style="763"/>
    <col min="8112" max="8112" customWidth="1" bestFit="1" width="3.0" style="763"/>
    <col min="8113" max="8113" customWidth="1" bestFit="1" width="3.0" style="763"/>
    <col min="8114" max="8114" customWidth="1" bestFit="1" width="3.0" style="763"/>
    <col min="8115" max="8115" customWidth="1" bestFit="1" width="3.0" style="763"/>
    <col min="8116" max="8116" customWidth="1" bestFit="1" width="3.0" style="763"/>
    <col min="8117" max="8117" customWidth="1" bestFit="1" width="3.0" style="763"/>
    <col min="8118" max="8118" customWidth="1" bestFit="1" width="3.0" style="763"/>
    <col min="8119" max="8119" customWidth="1" bestFit="1" width="3.0" style="763"/>
    <col min="8120" max="8120" customWidth="1" bestFit="1" width="3.0" style="763"/>
    <col min="8121" max="8121" customWidth="1" bestFit="1" width="3.0" style="763"/>
    <col min="8122" max="8122" customWidth="1" bestFit="1" width="3.0" style="763"/>
    <col min="8123" max="8123" customWidth="1" bestFit="1" width="3.0" style="763"/>
    <col min="8124" max="8124" customWidth="1" bestFit="1" width="3.0" style="763"/>
    <col min="8125" max="8125" customWidth="1" bestFit="1" width="3.0" style="763"/>
    <col min="8126" max="8126" customWidth="1" bestFit="1" width="3.0" style="763"/>
    <col min="8127" max="8127" customWidth="1" bestFit="1" width="3.0" style="763"/>
    <col min="8128" max="8128" customWidth="1" bestFit="1" width="3.0" style="763"/>
    <col min="8129" max="8129" customWidth="1" bestFit="1" width="3.0" style="763"/>
    <col min="8130" max="8130" customWidth="1" bestFit="1" width="3.0" style="763"/>
    <col min="8131" max="8131" customWidth="1" bestFit="1" width="3.0" style="763"/>
    <col min="8132" max="8132" customWidth="1" bestFit="1" width="3.0" style="763"/>
    <col min="8133" max="8133" customWidth="1" bestFit="1" width="3.0" style="763"/>
    <col min="8134" max="8134" customWidth="1" bestFit="1" width="3.0" style="763"/>
    <col min="8135" max="8135" customWidth="1" bestFit="1" width="3.0" style="763"/>
    <col min="8136" max="8136" customWidth="1" bestFit="1" width="3.0" style="763"/>
    <col min="8137" max="8137" customWidth="1" bestFit="1" width="3.0" style="763"/>
    <col min="8138" max="8138" customWidth="1" bestFit="1" width="3.0" style="763"/>
    <col min="8139" max="8139" customWidth="1" bestFit="1" width="3.0" style="763"/>
    <col min="8140" max="8140" customWidth="1" bestFit="1" width="3.0" style="763"/>
    <col min="8141" max="8141" customWidth="1" bestFit="1" width="3.0" style="763"/>
    <col min="8142" max="8142" customWidth="1" bestFit="1" width="3.0" style="763"/>
    <col min="8143" max="8143" customWidth="1" bestFit="1" width="3.0" style="763"/>
    <col min="8144" max="8144" customWidth="1" bestFit="1" width="3.0" style="763"/>
    <col min="8145" max="8145" customWidth="1" bestFit="1" width="3.0" style="763"/>
    <col min="8146" max="8146" customWidth="1" bestFit="1" width="3.0" style="763"/>
    <col min="8147" max="8147" customWidth="1" bestFit="1" width="3.0" style="763"/>
    <col min="8148" max="8148" customWidth="1" bestFit="1" width="3.0" style="763"/>
    <col min="8149" max="8149" customWidth="1" bestFit="1" width="3.0" style="763"/>
    <col min="8150" max="8150" customWidth="1" bestFit="1" width="3.0" style="763"/>
    <col min="8151" max="8151" customWidth="1" bestFit="1" width="3.0" style="763"/>
    <col min="8152" max="8152" customWidth="1" bestFit="1" width="3.0" style="763"/>
    <col min="8153" max="8153" customWidth="1" bestFit="1" width="3.0" style="763"/>
    <col min="8154" max="8154" customWidth="1" bestFit="1" width="3.0" style="763"/>
    <col min="8155" max="8155" customWidth="1" bestFit="1" width="3.0" style="763"/>
    <col min="8156" max="8156" customWidth="1" bestFit="1" width="3.0" style="763"/>
    <col min="8157" max="8157" customWidth="1" bestFit="1" width="3.0" style="763"/>
    <col min="8158" max="8158" customWidth="1" bestFit="1" width="3.0" style="763"/>
    <col min="8159" max="8159" customWidth="1" bestFit="1" width="3.0" style="763"/>
    <col min="8160" max="8160" customWidth="1" bestFit="1" width="3.0" style="763"/>
    <col min="8161" max="8161" customWidth="1" bestFit="1" width="3.0" style="763"/>
    <col min="8162" max="8162" customWidth="1" bestFit="1" width="3.0" style="763"/>
    <col min="8163" max="8163" customWidth="1" bestFit="1" width="3.0" style="763"/>
    <col min="8164" max="8164" customWidth="1" bestFit="1" width="3.0" style="763"/>
    <col min="8165" max="8165" customWidth="1" bestFit="1" width="3.0" style="763"/>
    <col min="8166" max="8166" customWidth="1" bestFit="1" width="3.0" style="763"/>
    <col min="8167" max="8167" customWidth="1" bestFit="1" width="3.0" style="763"/>
    <col min="8168" max="8168" customWidth="1" bestFit="1" width="3.0" style="763"/>
    <col min="8169" max="8169" customWidth="1" bestFit="1" width="3.0" style="763"/>
    <col min="8170" max="8170" customWidth="1" bestFit="1" width="3.0" style="763"/>
    <col min="8171" max="8171" customWidth="1" bestFit="1" width="3.0" style="763"/>
    <col min="8172" max="8172" customWidth="1" bestFit="1" width="3.0" style="763"/>
    <col min="8173" max="8173" customWidth="1" bestFit="1" width="3.0" style="763"/>
    <col min="8174" max="8174" customWidth="1" bestFit="1" width="3.0" style="763"/>
    <col min="8175" max="8175" customWidth="1" bestFit="1" width="3.0" style="763"/>
    <col min="8176" max="8176" customWidth="1" bestFit="1" width="3.0" style="763"/>
    <col min="8177" max="8177" customWidth="1" bestFit="1" width="3.0" style="763"/>
    <col min="8178" max="8178" customWidth="1" bestFit="1" width="3.0" style="763"/>
    <col min="8179" max="8179" customWidth="1" bestFit="1" width="3.0" style="763"/>
    <col min="8180" max="8180" customWidth="1" bestFit="1" width="3.0" style="763"/>
    <col min="8181" max="8181" customWidth="1" bestFit="1" width="3.0" style="763"/>
    <col min="8182" max="8182" customWidth="1" bestFit="1" width="3.0" style="763"/>
    <col min="8183" max="8183" customWidth="1" bestFit="1" width="3.0" style="763"/>
    <col min="8184" max="8184" customWidth="1" bestFit="1" width="3.0" style="763"/>
    <col min="8185" max="8185" customWidth="1" bestFit="1" width="3.0" style="763"/>
    <col min="8186" max="8186" customWidth="1" bestFit="1" width="3.0" style="763"/>
    <col min="8187" max="8187" customWidth="1" bestFit="1" width="3.0" style="763"/>
    <col min="8188" max="8188" customWidth="1" bestFit="1" width="3.0" style="763"/>
    <col min="8189" max="8189" customWidth="1" bestFit="1" width="3.0" style="763"/>
    <col min="8190" max="8190" customWidth="1" bestFit="1" width="3.0" style="763"/>
    <col min="8191" max="8191" customWidth="1" bestFit="1" width="3.0" style="763"/>
    <col min="8192" max="8192" customWidth="1" bestFit="1" width="3.0" style="763"/>
    <col min="8193" max="8193" customWidth="1" bestFit="1" width="3.0" style="763"/>
    <col min="8194" max="8194" customWidth="1" bestFit="1" width="3.0" style="763"/>
    <col min="8195" max="8195" customWidth="1" bestFit="1" width="3.0" style="763"/>
    <col min="8196" max="8196" customWidth="1" bestFit="1" width="3.0" style="763"/>
    <col min="8197" max="8197" customWidth="1" bestFit="1" width="3.0" style="763"/>
    <col min="8198" max="8198" customWidth="1" bestFit="1" width="3.0" style="763"/>
    <col min="8199" max="8199" customWidth="1" bestFit="1" width="3.0" style="763"/>
    <col min="8200" max="8200" customWidth="1" bestFit="1" width="3.0" style="763"/>
    <col min="8201" max="8201" customWidth="1" bestFit="1" width="3.0" style="763"/>
    <col min="8202" max="8202" customWidth="1" bestFit="1" width="3.0" style="763"/>
    <col min="8203" max="8203" customWidth="1" bestFit="1" width="3.0" style="763"/>
    <col min="8204" max="8204" customWidth="1" bestFit="1" width="3.0" style="763"/>
    <col min="8205" max="8205" customWidth="1" bestFit="1" width="3.0" style="763"/>
    <col min="8206" max="8206" customWidth="1" bestFit="1" width="3.0" style="763"/>
    <col min="8207" max="8207" customWidth="1" bestFit="1" width="3.0" style="763"/>
    <col min="8208" max="8208" customWidth="1" bestFit="1" width="3.0" style="763"/>
    <col min="8209" max="8209" customWidth="1" bestFit="1" width="3.0" style="763"/>
    <col min="8210" max="8210" customWidth="1" bestFit="1" width="3.0" style="763"/>
    <col min="8211" max="8211" customWidth="1" bestFit="1" width="3.0" style="763"/>
    <col min="8212" max="8212" customWidth="1" bestFit="1" width="3.0" style="763"/>
    <col min="8213" max="8213" customWidth="1" bestFit="1" width="3.0" style="763"/>
    <col min="8214" max="8214" customWidth="1" bestFit="1" width="3.0" style="763"/>
    <col min="8215" max="8215" customWidth="1" bestFit="1" width="3.0" style="763"/>
    <col min="8216" max="8216" customWidth="1" bestFit="1" width="3.0" style="763"/>
    <col min="8217" max="8217" customWidth="1" bestFit="1" width="3.0" style="763"/>
    <col min="8218" max="8218" customWidth="1" bestFit="1" width="3.0" style="763"/>
    <col min="8219" max="8219" customWidth="1" bestFit="1" width="3.0" style="763"/>
    <col min="8220" max="8220" customWidth="1" bestFit="1" width="3.0" style="763"/>
    <col min="8221" max="8221" customWidth="1" bestFit="1" width="3.0" style="763"/>
    <col min="8222" max="8222" customWidth="1" bestFit="1" width="3.0" style="763"/>
    <col min="8223" max="8223" customWidth="1" bestFit="1" width="3.0" style="763"/>
    <col min="8224" max="8224" customWidth="1" bestFit="1" width="3.0" style="763"/>
    <col min="8225" max="8225" customWidth="1" bestFit="1" width="3.0" style="763"/>
    <col min="8226" max="8226" customWidth="1" bestFit="1" width="3.0" style="763"/>
    <col min="8227" max="8227" customWidth="1" bestFit="1" width="3.0" style="763"/>
    <col min="8228" max="8228" customWidth="1" bestFit="1" width="3.0" style="763"/>
    <col min="8229" max="8229" customWidth="1" bestFit="1" width="3.0" style="763"/>
    <col min="8230" max="8230" customWidth="1" bestFit="1" width="3.0" style="763"/>
    <col min="8231" max="8231" customWidth="1" bestFit="1" width="3.0" style="763"/>
    <col min="8232" max="8232" customWidth="1" bestFit="1" width="3.0" style="763"/>
    <col min="8233" max="8233" customWidth="1" bestFit="1" width="3.0" style="763"/>
    <col min="8234" max="8234" customWidth="1" bestFit="1" width="3.0" style="763"/>
    <col min="8235" max="8235" customWidth="1" bestFit="1" width="3.0" style="763"/>
    <col min="8236" max="8236" customWidth="1" bestFit="1" width="3.0" style="763"/>
    <col min="8237" max="8237" customWidth="1" bestFit="1" width="3.0" style="763"/>
    <col min="8238" max="8238" customWidth="1" bestFit="1" width="3.0" style="763"/>
    <col min="8239" max="8239" customWidth="1" bestFit="1" width="3.0" style="763"/>
    <col min="8240" max="8240" customWidth="1" bestFit="1" width="3.0" style="763"/>
    <col min="8241" max="8241" customWidth="1" bestFit="1" width="3.0" style="763"/>
    <col min="8242" max="8242" customWidth="1" bestFit="1" width="3.0" style="763"/>
    <col min="8243" max="8243" customWidth="1" bestFit="1" width="3.0" style="763"/>
    <col min="8244" max="8244" customWidth="1" bestFit="1" width="3.0" style="763"/>
    <col min="8245" max="8245" customWidth="1" bestFit="1" width="3.0" style="763"/>
    <col min="8246" max="8246" customWidth="1" bestFit="1" width="3.0" style="763"/>
    <col min="8247" max="8247" customWidth="1" bestFit="1" width="3.0" style="763"/>
    <col min="8248" max="8248" customWidth="1" bestFit="1" width="3.0" style="763"/>
    <col min="8249" max="8249" customWidth="1" bestFit="1" width="3.0" style="763"/>
    <col min="8250" max="8250" customWidth="1" bestFit="1" width="3.0" style="763"/>
    <col min="8251" max="8251" customWidth="1" bestFit="1" width="3.0" style="763"/>
    <col min="8252" max="8252" customWidth="1" bestFit="1" width="3.0" style="763"/>
    <col min="8253" max="8253" customWidth="1" bestFit="1" width="3.0" style="763"/>
    <col min="8254" max="8254" customWidth="1" bestFit="1" width="3.0" style="763"/>
    <col min="8255" max="8255" customWidth="1" bestFit="1" width="3.0" style="763"/>
    <col min="8256" max="8256" customWidth="1" bestFit="1" width="3.0" style="763"/>
    <col min="8257" max="8257" customWidth="1" bestFit="1" width="3.0" style="763"/>
    <col min="8258" max="8258" customWidth="1" bestFit="1" width="3.0" style="763"/>
    <col min="8259" max="8259" customWidth="1" bestFit="1" width="3.0" style="763"/>
    <col min="8260" max="8260" customWidth="1" bestFit="1" width="3.0" style="763"/>
    <col min="8261" max="8261" customWidth="1" bestFit="1" width="3.0" style="763"/>
    <col min="8262" max="8262" customWidth="1" bestFit="1" width="3.0" style="763"/>
    <col min="8263" max="8263" customWidth="1" bestFit="1" width="3.0" style="763"/>
    <col min="8264" max="8264" customWidth="1" bestFit="1" width="3.0" style="763"/>
    <col min="8265" max="8265" customWidth="1" bestFit="1" width="3.0" style="763"/>
    <col min="8266" max="8266" customWidth="1" bestFit="1" width="3.0" style="763"/>
    <col min="8267" max="8267" customWidth="1" bestFit="1" width="3.0" style="763"/>
    <col min="8268" max="8268" customWidth="1" bestFit="1" width="3.0" style="763"/>
    <col min="8269" max="8269" customWidth="1" bestFit="1" width="3.0" style="763"/>
    <col min="8270" max="8270" customWidth="1" bestFit="1" width="3.0" style="763"/>
    <col min="8271" max="8271" customWidth="1" bestFit="1" width="3.0" style="763"/>
    <col min="8272" max="8272" customWidth="1" bestFit="1" width="3.0" style="763"/>
    <col min="8273" max="8273" customWidth="1" bestFit="1" width="3.0" style="763"/>
    <col min="8274" max="8274" customWidth="1" bestFit="1" width="3.0" style="763"/>
    <col min="8275" max="8275" customWidth="1" bestFit="1" width="3.0" style="763"/>
    <col min="8276" max="8276" customWidth="1" bestFit="1" width="3.0" style="763"/>
    <col min="8277" max="8277" customWidth="1" bestFit="1" width="3.0" style="763"/>
    <col min="8278" max="8278" customWidth="1" bestFit="1" width="3.0" style="763"/>
    <col min="8279" max="8279" customWidth="1" bestFit="1" width="3.0" style="763"/>
    <col min="8280" max="8280" customWidth="1" bestFit="1" width="3.0" style="763"/>
    <col min="8281" max="8281" customWidth="1" bestFit="1" width="3.0" style="763"/>
    <col min="8282" max="8282" customWidth="1" bestFit="1" width="3.0" style="763"/>
    <col min="8283" max="8283" customWidth="1" bestFit="1" width="3.0" style="763"/>
    <col min="8284" max="8284" customWidth="1" bestFit="1" width="3.0" style="763"/>
    <col min="8285" max="8285" customWidth="1" bestFit="1" width="3.0" style="763"/>
    <col min="8286" max="8286" customWidth="1" bestFit="1" width="3.0" style="763"/>
    <col min="8287" max="8287" customWidth="1" bestFit="1" width="3.0" style="763"/>
    <col min="8288" max="8288" customWidth="1" bestFit="1" width="3.0" style="763"/>
    <col min="8289" max="8289" customWidth="1" bestFit="1" width="3.0" style="763"/>
    <col min="8290" max="8290" customWidth="1" bestFit="1" width="3.0" style="763"/>
    <col min="8291" max="8291" customWidth="1" bestFit="1" width="3.0" style="763"/>
    <col min="8292" max="8292" customWidth="1" bestFit="1" width="3.0" style="763"/>
    <col min="8293" max="8293" customWidth="1" bestFit="1" width="3.0" style="763"/>
    <col min="8294" max="8294" customWidth="1" bestFit="1" width="3.0" style="763"/>
    <col min="8295" max="8295" customWidth="1" bestFit="1" width="3.0" style="763"/>
    <col min="8296" max="8296" customWidth="1" bestFit="1" width="3.0" style="763"/>
    <col min="8297" max="8297" customWidth="1" bestFit="1" width="3.0" style="763"/>
    <col min="8298" max="8298" customWidth="1" bestFit="1" width="3.0" style="763"/>
    <col min="8299" max="8299" customWidth="1" bestFit="1" width="3.0" style="763"/>
    <col min="8300" max="8300" customWidth="1" bestFit="1" width="3.0" style="763"/>
    <col min="8301" max="8301" customWidth="1" bestFit="1" width="3.0" style="763"/>
    <col min="8302" max="8302" customWidth="1" bestFit="1" width="3.0" style="763"/>
    <col min="8303" max="8303" customWidth="1" bestFit="1" width="3.0" style="763"/>
    <col min="8304" max="8304" customWidth="1" bestFit="1" width="3.0" style="763"/>
    <col min="8305" max="8305" customWidth="1" bestFit="1" width="3.0" style="763"/>
    <col min="8306" max="8306" customWidth="1" bestFit="1" width="3.0" style="763"/>
    <col min="8307" max="8307" customWidth="1" bestFit="1" width="3.0" style="763"/>
    <col min="8308" max="8308" customWidth="1" bestFit="1" width="3.0" style="763"/>
    <col min="8309" max="8309" customWidth="1" bestFit="1" width="3.0" style="763"/>
    <col min="8310" max="8310" customWidth="1" bestFit="1" width="3.0" style="763"/>
    <col min="8311" max="8311" customWidth="1" bestFit="1" width="3.0" style="763"/>
    <col min="8312" max="8312" customWidth="1" bestFit="1" width="3.0" style="763"/>
    <col min="8313" max="8313" customWidth="1" bestFit="1" width="3.0" style="763"/>
    <col min="8314" max="8314" customWidth="1" bestFit="1" width="3.0" style="763"/>
    <col min="8315" max="8315" customWidth="1" bestFit="1" width="3.0" style="763"/>
    <col min="8316" max="8316" customWidth="1" bestFit="1" width="3.0" style="763"/>
    <col min="8317" max="8317" customWidth="1" bestFit="1" width="3.0" style="763"/>
    <col min="8318" max="8318" customWidth="1" bestFit="1" width="3.0" style="763"/>
    <col min="8319" max="8319" customWidth="1" bestFit="1" width="3.0" style="763"/>
    <col min="8320" max="8320" customWidth="1" bestFit="1" width="3.0" style="763"/>
    <col min="8321" max="8321" customWidth="1" bestFit="1" width="3.0" style="763"/>
    <col min="8322" max="8322" customWidth="1" bestFit="1" width="3.0" style="763"/>
    <col min="8323" max="8323" customWidth="1" bestFit="1" width="3.0" style="763"/>
    <col min="8324" max="8324" customWidth="1" bestFit="1" width="3.0" style="763"/>
    <col min="8325" max="8325" customWidth="1" bestFit="1" width="3.0" style="763"/>
    <col min="8326" max="8326" customWidth="1" bestFit="1" width="3.0" style="763"/>
    <col min="8327" max="8327" customWidth="1" bestFit="1" width="3.0" style="763"/>
    <col min="8328" max="8328" customWidth="1" bestFit="1" width="3.0" style="763"/>
    <col min="8329" max="8329" customWidth="1" bestFit="1" width="3.0" style="763"/>
    <col min="8330" max="8330" customWidth="1" bestFit="1" width="3.0" style="763"/>
    <col min="8331" max="8331" customWidth="1" bestFit="1" width="3.0" style="763"/>
    <col min="8332" max="8332" customWidth="1" bestFit="1" width="3.0" style="763"/>
    <col min="8333" max="8333" customWidth="1" bestFit="1" width="3.0" style="763"/>
    <col min="8334" max="8334" customWidth="1" bestFit="1" width="3.0" style="763"/>
    <col min="8335" max="8335" customWidth="1" bestFit="1" width="3.0" style="763"/>
    <col min="8336" max="8336" customWidth="1" bestFit="1" width="3.0" style="763"/>
    <col min="8337" max="8337" customWidth="1" bestFit="1" width="3.0" style="763"/>
    <col min="8338" max="8338" customWidth="1" bestFit="1" width="3.0" style="763"/>
    <col min="8339" max="8339" customWidth="1" bestFit="1" width="3.0" style="763"/>
    <col min="8340" max="8340" customWidth="1" bestFit="1" width="3.0" style="763"/>
    <col min="8341" max="8341" customWidth="1" bestFit="1" width="3.0" style="763"/>
    <col min="8342" max="8342" customWidth="1" bestFit="1" width="3.0" style="763"/>
    <col min="8343" max="8343" customWidth="1" bestFit="1" width="3.0" style="763"/>
    <col min="8344" max="8344" customWidth="1" bestFit="1" width="3.0" style="763"/>
    <col min="8345" max="8345" customWidth="1" bestFit="1" width="3.0" style="763"/>
    <col min="8346" max="8346" customWidth="1" bestFit="1" width="3.0" style="763"/>
    <col min="8347" max="8347" customWidth="1" bestFit="1" width="3.0" style="763"/>
    <col min="8348" max="8348" customWidth="1" bestFit="1" width="3.0" style="763"/>
    <col min="8349" max="8349" customWidth="1" bestFit="1" width="3.0" style="763"/>
    <col min="8350" max="8350" customWidth="1" bestFit="1" width="3.0" style="763"/>
    <col min="8351" max="8351" customWidth="1" bestFit="1" width="3.0" style="763"/>
    <col min="8352" max="8352" customWidth="1" bestFit="1" width="3.0" style="763"/>
    <col min="8353" max="8353" customWidth="1" bestFit="1" width="3.0" style="763"/>
    <col min="8354" max="8354" customWidth="1" bestFit="1" width="3.0" style="763"/>
    <col min="8355" max="8355" customWidth="1" bestFit="1" width="3.0" style="763"/>
    <col min="8356" max="8356" customWidth="1" bestFit="1" width="3.0" style="763"/>
    <col min="8357" max="8357" customWidth="1" bestFit="1" width="3.0" style="763"/>
    <col min="8358" max="8358" customWidth="1" bestFit="1" width="3.0" style="763"/>
    <col min="8359" max="8359" customWidth="1" bestFit="1" width="3.0" style="763"/>
    <col min="8360" max="8360" customWidth="1" bestFit="1" width="3.0" style="763"/>
    <col min="8361" max="8361" customWidth="1" bestFit="1" width="3.0" style="763"/>
    <col min="8362" max="8362" customWidth="1" bestFit="1" width="3.0" style="763"/>
    <col min="8363" max="8363" customWidth="1" bestFit="1" width="3.0" style="763"/>
    <col min="8364" max="8364" customWidth="1" bestFit="1" width="3.0" style="763"/>
    <col min="8365" max="8365" customWidth="1" bestFit="1" width="3.0" style="763"/>
    <col min="8366" max="8366" customWidth="1" bestFit="1" width="3.0" style="763"/>
    <col min="8367" max="8367" customWidth="1" bestFit="1" width="3.0" style="763"/>
    <col min="8368" max="8368" customWidth="1" bestFit="1" width="3.0" style="763"/>
    <col min="8369" max="8369" customWidth="1" bestFit="1" width="3.0" style="763"/>
    <col min="8370" max="8370" customWidth="1" bestFit="1" width="3.0" style="763"/>
    <col min="8371" max="8371" customWidth="1" bestFit="1" width="3.0" style="763"/>
    <col min="8372" max="8372" customWidth="1" bestFit="1" width="3.0" style="763"/>
    <col min="8373" max="8373" customWidth="1" bestFit="1" width="3.0" style="763"/>
    <col min="8374" max="8374" customWidth="1" bestFit="1" width="3.0" style="763"/>
    <col min="8375" max="8375" customWidth="1" bestFit="1" width="3.0" style="763"/>
    <col min="8376" max="8376" customWidth="1" bestFit="1" width="3.0" style="763"/>
    <col min="8377" max="8377" customWidth="1" bestFit="1" width="3.0" style="763"/>
    <col min="8378" max="8378" customWidth="1" bestFit="1" width="3.0" style="763"/>
    <col min="8379" max="8379" customWidth="1" bestFit="1" width="3.0" style="763"/>
    <col min="8380" max="8380" customWidth="1" bestFit="1" width="3.0" style="763"/>
    <col min="8381" max="8381" customWidth="1" bestFit="1" width="3.0" style="763"/>
    <col min="8382" max="8382" customWidth="1" bestFit="1" width="3.0" style="763"/>
    <col min="8383" max="8383" customWidth="1" bestFit="1" width="3.0" style="763"/>
    <col min="8384" max="8384" customWidth="1" bestFit="1" width="3.0" style="763"/>
    <col min="8385" max="8385" customWidth="1" bestFit="1" width="3.0" style="763"/>
    <col min="8386" max="8386" customWidth="1" bestFit="1" width="3.0" style="763"/>
    <col min="8387" max="8387" customWidth="1" bestFit="1" width="3.0" style="763"/>
    <col min="8388" max="8388" customWidth="1" bestFit="1" width="3.0" style="763"/>
    <col min="8389" max="8389" customWidth="1" bestFit="1" width="3.0" style="763"/>
    <col min="8390" max="8390" customWidth="1" bestFit="1" width="3.0" style="763"/>
    <col min="8391" max="8391" customWidth="1" bestFit="1" width="3.0" style="763"/>
    <col min="8392" max="8392" customWidth="1" bestFit="1" width="3.0" style="763"/>
    <col min="8393" max="8393" customWidth="1" bestFit="1" width="3.0" style="763"/>
    <col min="8394" max="8394" customWidth="1" bestFit="1" width="3.0" style="763"/>
    <col min="8395" max="8395" customWidth="1" bestFit="1" width="3.0" style="763"/>
    <col min="8396" max="8396" customWidth="1" bestFit="1" width="3.0" style="763"/>
    <col min="8397" max="8397" customWidth="1" bestFit="1" width="3.0" style="763"/>
    <col min="8398" max="8398" customWidth="1" bestFit="1" width="3.0" style="763"/>
    <col min="8399" max="8399" customWidth="1" bestFit="1" width="3.0" style="763"/>
    <col min="8400" max="8400" customWidth="1" bestFit="1" width="3.0" style="763"/>
    <col min="8401" max="8401" customWidth="1" bestFit="1" width="3.0" style="763"/>
    <col min="8402" max="8402" customWidth="1" bestFit="1" width="3.0" style="763"/>
    <col min="8403" max="8403" customWidth="1" bestFit="1" width="3.0" style="763"/>
    <col min="8404" max="8404" customWidth="1" bestFit="1" width="3.0" style="763"/>
    <col min="8405" max="8405" customWidth="1" bestFit="1" width="3.0" style="763"/>
    <col min="8406" max="8406" customWidth="1" bestFit="1" width="3.0" style="763"/>
    <col min="8407" max="8407" customWidth="1" bestFit="1" width="3.0" style="763"/>
    <col min="8408" max="8408" customWidth="1" bestFit="1" width="3.0" style="763"/>
    <col min="8409" max="8409" customWidth="1" bestFit="1" width="3.0" style="763"/>
    <col min="8410" max="8410" customWidth="1" bestFit="1" width="3.0" style="763"/>
    <col min="8411" max="8411" customWidth="1" bestFit="1" width="3.0" style="763"/>
    <col min="8412" max="8412" customWidth="1" bestFit="1" width="3.0" style="763"/>
    <col min="8413" max="8413" customWidth="1" bestFit="1" width="3.0" style="763"/>
    <col min="8414" max="8414" customWidth="1" bestFit="1" width="3.0" style="763"/>
    <col min="8415" max="8415" customWidth="1" bestFit="1" width="3.0" style="763"/>
    <col min="8416" max="8416" customWidth="1" bestFit="1" width="3.0" style="763"/>
    <col min="8417" max="8417" customWidth="1" bestFit="1" width="3.0" style="763"/>
    <col min="8418" max="8418" customWidth="1" bestFit="1" width="3.0" style="763"/>
    <col min="8419" max="8419" customWidth="1" bestFit="1" width="3.0" style="763"/>
    <col min="8420" max="8420" customWidth="1" bestFit="1" width="3.0" style="763"/>
    <col min="8421" max="8421" customWidth="1" bestFit="1" width="3.0" style="763"/>
    <col min="8422" max="8422" customWidth="1" bestFit="1" width="3.0" style="763"/>
    <col min="8423" max="8423" customWidth="1" bestFit="1" width="3.0" style="763"/>
    <col min="8424" max="8424" customWidth="1" bestFit="1" width="3.0" style="763"/>
    <col min="8425" max="8425" customWidth="1" bestFit="1" width="3.0" style="763"/>
    <col min="8426" max="8426" customWidth="1" bestFit="1" width="3.0" style="763"/>
    <col min="8427" max="8427" customWidth="1" bestFit="1" width="3.0" style="763"/>
    <col min="8428" max="8428" customWidth="1" bestFit="1" width="3.0" style="763"/>
    <col min="8429" max="8429" customWidth="1" bestFit="1" width="3.0" style="763"/>
    <col min="8430" max="8430" customWidth="1" bestFit="1" width="3.0" style="763"/>
    <col min="8431" max="8431" customWidth="1" bestFit="1" width="3.0" style="763"/>
    <col min="8432" max="8432" customWidth="1" bestFit="1" width="3.0" style="763"/>
    <col min="8433" max="8433" customWidth="1" bestFit="1" width="3.0" style="763"/>
    <col min="8434" max="8434" customWidth="1" bestFit="1" width="3.0" style="763"/>
    <col min="8435" max="8435" customWidth="1" bestFit="1" width="3.0" style="763"/>
    <col min="8436" max="8436" customWidth="1" bestFit="1" width="3.0" style="763"/>
    <col min="8437" max="8437" customWidth="1" bestFit="1" width="3.0" style="763"/>
    <col min="8438" max="8438" customWidth="1" bestFit="1" width="3.0" style="763"/>
    <col min="8439" max="8439" customWidth="1" bestFit="1" width="3.0" style="763"/>
    <col min="8440" max="8440" customWidth="1" bestFit="1" width="3.0" style="763"/>
    <col min="8441" max="8441" customWidth="1" bestFit="1" width="3.0" style="763"/>
    <col min="8442" max="8442" customWidth="1" bestFit="1" width="3.0" style="763"/>
    <col min="8443" max="8443" customWidth="1" bestFit="1" width="3.0" style="763"/>
    <col min="8444" max="8444" customWidth="1" bestFit="1" width="3.0" style="763"/>
    <col min="8445" max="8445" customWidth="1" bestFit="1" width="3.0" style="763"/>
    <col min="8446" max="8446" customWidth="1" bestFit="1" width="3.0" style="763"/>
    <col min="8447" max="8447" customWidth="1" bestFit="1" width="3.0" style="763"/>
    <col min="8448" max="8448" customWidth="1" bestFit="1" width="3.0" style="763"/>
    <col min="8449" max="8449" customWidth="1" bestFit="1" width="3.0" style="763"/>
    <col min="8450" max="8450" customWidth="1" bestFit="1" width="3.0" style="763"/>
    <col min="8451" max="8451" customWidth="1" bestFit="1" width="3.0" style="763"/>
    <col min="8452" max="8452" customWidth="1" bestFit="1" width="3.0" style="763"/>
    <col min="8453" max="8453" customWidth="1" bestFit="1" width="3.0" style="763"/>
    <col min="8454" max="8454" customWidth="1" bestFit="1" width="3.0" style="763"/>
    <col min="8455" max="8455" customWidth="1" bestFit="1" width="3.0" style="763"/>
    <col min="8456" max="8456" customWidth="1" bestFit="1" width="3.0" style="763"/>
    <col min="8457" max="8457" customWidth="1" bestFit="1" width="3.0" style="763"/>
    <col min="8458" max="8458" customWidth="1" bestFit="1" width="3.0" style="763"/>
    <col min="8459" max="8459" customWidth="1" bestFit="1" width="3.0" style="763"/>
    <col min="8460" max="8460" customWidth="1" bestFit="1" width="3.0" style="763"/>
    <col min="8461" max="8461" customWidth="1" bestFit="1" width="3.0" style="763"/>
    <col min="8462" max="8462" customWidth="1" bestFit="1" width="3.0" style="763"/>
    <col min="8463" max="8463" customWidth="1" bestFit="1" width="3.0" style="763"/>
    <col min="8464" max="8464" customWidth="1" bestFit="1" width="3.0" style="763"/>
    <col min="8465" max="8465" customWidth="1" bestFit="1" width="3.0" style="763"/>
    <col min="8466" max="8466" customWidth="1" bestFit="1" width="3.0" style="763"/>
    <col min="8467" max="8467" customWidth="1" bestFit="1" width="3.0" style="763"/>
    <col min="8468" max="8468" customWidth="1" bestFit="1" width="3.0" style="763"/>
    <col min="8469" max="8469" customWidth="1" bestFit="1" width="3.0" style="763"/>
    <col min="8470" max="8470" customWidth="1" bestFit="1" width="3.0" style="763"/>
    <col min="8471" max="8471" customWidth="1" bestFit="1" width="3.0" style="763"/>
    <col min="8472" max="8472" customWidth="1" bestFit="1" width="3.0" style="763"/>
    <col min="8473" max="8473" customWidth="1" bestFit="1" width="3.0" style="763"/>
    <col min="8474" max="8474" customWidth="1" bestFit="1" width="3.0" style="763"/>
    <col min="8475" max="8475" customWidth="1" bestFit="1" width="3.0" style="763"/>
    <col min="8476" max="8476" customWidth="1" bestFit="1" width="3.0" style="763"/>
    <col min="8477" max="8477" customWidth="1" bestFit="1" width="3.0" style="763"/>
    <col min="8478" max="8478" customWidth="1" bestFit="1" width="3.0" style="763"/>
    <col min="8479" max="8479" customWidth="1" bestFit="1" width="3.0" style="763"/>
    <col min="8480" max="8480" customWidth="1" bestFit="1" width="3.0" style="763"/>
    <col min="8481" max="8481" customWidth="1" bestFit="1" width="3.0" style="763"/>
    <col min="8482" max="8482" customWidth="1" bestFit="1" width="3.0" style="763"/>
    <col min="8483" max="8483" customWidth="1" bestFit="1" width="3.0" style="763"/>
    <col min="8484" max="8484" customWidth="1" bestFit="1" width="3.0" style="763"/>
    <col min="8485" max="8485" customWidth="1" bestFit="1" width="3.0" style="763"/>
    <col min="8486" max="8486" customWidth="1" bestFit="1" width="3.0" style="763"/>
    <col min="8487" max="8487" customWidth="1" bestFit="1" width="3.0" style="763"/>
    <col min="8488" max="8488" customWidth="1" bestFit="1" width="3.0" style="763"/>
    <col min="8489" max="8489" customWidth="1" bestFit="1" width="3.0" style="763"/>
    <col min="8490" max="8490" customWidth="1" bestFit="1" width="3.0" style="763"/>
    <col min="8491" max="8491" customWidth="1" bestFit="1" width="3.0" style="763"/>
    <col min="8492" max="8492" customWidth="1" bestFit="1" width="3.0" style="763"/>
    <col min="8493" max="8493" customWidth="1" bestFit="1" width="3.0" style="763"/>
    <col min="8494" max="8494" customWidth="1" bestFit="1" width="3.0" style="763"/>
    <col min="8495" max="8495" customWidth="1" bestFit="1" width="3.0" style="763"/>
    <col min="8496" max="8496" customWidth="1" bestFit="1" width="3.0" style="763"/>
    <col min="8497" max="8497" customWidth="1" bestFit="1" width="3.0" style="763"/>
    <col min="8498" max="8498" customWidth="1" bestFit="1" width="3.0" style="763"/>
    <col min="8499" max="8499" customWidth="1" bestFit="1" width="3.0" style="763"/>
    <col min="8500" max="8500" customWidth="1" bestFit="1" width="3.0" style="763"/>
    <col min="8501" max="8501" customWidth="1" bestFit="1" width="3.0" style="763"/>
    <col min="8502" max="8502" customWidth="1" bestFit="1" width="3.0" style="763"/>
    <col min="8503" max="8503" customWidth="1" bestFit="1" width="3.0" style="763"/>
    <col min="8504" max="8504" customWidth="1" bestFit="1" width="3.0" style="763"/>
    <col min="8505" max="8505" customWidth="1" bestFit="1" width="3.0" style="763"/>
    <col min="8506" max="8506" customWidth="1" bestFit="1" width="3.0" style="763"/>
    <col min="8507" max="8507" customWidth="1" bestFit="1" width="3.0" style="763"/>
    <col min="8508" max="8508" customWidth="1" bestFit="1" width="3.0" style="763"/>
    <col min="8509" max="8509" customWidth="1" bestFit="1" width="3.0" style="763"/>
    <col min="8510" max="8510" customWidth="1" bestFit="1" width="3.0" style="763"/>
    <col min="8511" max="8511" customWidth="1" bestFit="1" width="3.0" style="763"/>
    <col min="8512" max="8512" customWidth="1" bestFit="1" width="3.0" style="763"/>
    <col min="8513" max="8513" customWidth="1" bestFit="1" width="3.0" style="763"/>
    <col min="8514" max="8514" customWidth="1" bestFit="1" width="3.0" style="763"/>
    <col min="8515" max="8515" customWidth="1" bestFit="1" width="3.0" style="763"/>
    <col min="8516" max="8516" customWidth="1" bestFit="1" width="3.0" style="763"/>
    <col min="8517" max="8517" customWidth="1" bestFit="1" width="3.0" style="763"/>
    <col min="8518" max="8518" customWidth="1" bestFit="1" width="3.0" style="763"/>
    <col min="8519" max="8519" customWidth="1" bestFit="1" width="3.0" style="763"/>
    <col min="8520" max="8520" customWidth="1" bestFit="1" width="3.0" style="763"/>
    <col min="8521" max="8521" customWidth="1" bestFit="1" width="3.0" style="763"/>
    <col min="8522" max="8522" customWidth="1" bestFit="1" width="3.0" style="763"/>
    <col min="8523" max="8523" customWidth="1" bestFit="1" width="3.0" style="763"/>
    <col min="8524" max="8524" customWidth="1" bestFit="1" width="3.0" style="763"/>
    <col min="8525" max="8525" customWidth="1" bestFit="1" width="3.0" style="763"/>
    <col min="8526" max="8526" customWidth="1" bestFit="1" width="3.0" style="763"/>
    <col min="8527" max="8527" customWidth="1" bestFit="1" width="3.0" style="763"/>
    <col min="8528" max="8528" customWidth="1" bestFit="1" width="3.0" style="763"/>
    <col min="8529" max="8529" customWidth="1" bestFit="1" width="3.0" style="763"/>
    <col min="8530" max="8530" customWidth="1" bestFit="1" width="3.0" style="763"/>
    <col min="8531" max="8531" customWidth="1" bestFit="1" width="3.0" style="763"/>
    <col min="8532" max="8532" customWidth="1" bestFit="1" width="3.0" style="763"/>
    <col min="8533" max="8533" customWidth="1" bestFit="1" width="3.0" style="763"/>
    <col min="8534" max="8534" customWidth="1" bestFit="1" width="3.0" style="763"/>
    <col min="8535" max="8535" customWidth="1" bestFit="1" width="3.0" style="763"/>
    <col min="8536" max="8536" customWidth="1" bestFit="1" width="3.0" style="763"/>
    <col min="8537" max="8537" customWidth="1" bestFit="1" width="3.0" style="763"/>
    <col min="8538" max="8538" customWidth="1" bestFit="1" width="3.0" style="763"/>
    <col min="8539" max="8539" customWidth="1" bestFit="1" width="3.0" style="763"/>
    <col min="8540" max="8540" customWidth="1" bestFit="1" width="3.0" style="763"/>
    <col min="8541" max="8541" customWidth="1" bestFit="1" width="3.0" style="763"/>
    <col min="8542" max="8542" customWidth="1" bestFit="1" width="3.0" style="763"/>
    <col min="8543" max="8543" customWidth="1" bestFit="1" width="3.0" style="763"/>
    <col min="8544" max="8544" customWidth="1" bestFit="1" width="3.0" style="763"/>
    <col min="8545" max="8545" customWidth="1" bestFit="1" width="3.0" style="763"/>
    <col min="8546" max="8546" customWidth="1" bestFit="1" width="3.0" style="763"/>
    <col min="8547" max="8547" customWidth="1" bestFit="1" width="3.0" style="763"/>
    <col min="8548" max="8548" customWidth="1" bestFit="1" width="3.0" style="763"/>
    <col min="8549" max="8549" customWidth="1" bestFit="1" width="3.0" style="763"/>
    <col min="8550" max="8550" customWidth="1" bestFit="1" width="3.0" style="763"/>
    <col min="8551" max="8551" customWidth="1" bestFit="1" width="3.0" style="763"/>
    <col min="8552" max="8552" customWidth="1" bestFit="1" width="3.0" style="763"/>
    <col min="8553" max="8553" customWidth="1" bestFit="1" width="3.0" style="763"/>
    <col min="8554" max="8554" customWidth="1" bestFit="1" width="3.0" style="763"/>
    <col min="8555" max="8555" customWidth="1" bestFit="1" width="3.0" style="763"/>
    <col min="8556" max="8556" customWidth="1" bestFit="1" width="3.0" style="763"/>
    <col min="8557" max="8557" customWidth="1" bestFit="1" width="3.0" style="763"/>
    <col min="8558" max="8558" customWidth="1" bestFit="1" width="3.0" style="763"/>
    <col min="8559" max="8559" customWidth="1" bestFit="1" width="3.0" style="763"/>
    <col min="8560" max="8560" customWidth="1" bestFit="1" width="3.0" style="763"/>
    <col min="8561" max="8561" customWidth="1" bestFit="1" width="3.0" style="763"/>
    <col min="8562" max="8562" customWidth="1" bestFit="1" width="3.0" style="763"/>
    <col min="8563" max="8563" customWidth="1" bestFit="1" width="3.0" style="763"/>
    <col min="8564" max="8564" customWidth="1" bestFit="1" width="3.0" style="763"/>
    <col min="8565" max="8565" customWidth="1" bestFit="1" width="3.0" style="763"/>
    <col min="8566" max="8566" customWidth="1" bestFit="1" width="3.0" style="763"/>
    <col min="8567" max="8567" customWidth="1" bestFit="1" width="3.0" style="763"/>
    <col min="8568" max="8568" customWidth="1" bestFit="1" width="3.0" style="763"/>
    <col min="8569" max="8569" customWidth="1" bestFit="1" width="3.0" style="763"/>
    <col min="8570" max="8570" customWidth="1" bestFit="1" width="3.0" style="763"/>
    <col min="8571" max="8571" customWidth="1" bestFit="1" width="3.0" style="763"/>
    <col min="8572" max="8572" customWidth="1" bestFit="1" width="3.0" style="763"/>
    <col min="8573" max="8573" customWidth="1" bestFit="1" width="3.0" style="763"/>
    <col min="8574" max="8574" customWidth="1" bestFit="1" width="3.0" style="763"/>
    <col min="8575" max="8575" customWidth="1" bestFit="1" width="3.0" style="763"/>
    <col min="8576" max="8576" customWidth="1" bestFit="1" width="3.0" style="763"/>
    <col min="8577" max="8577" customWidth="1" bestFit="1" width="3.0" style="763"/>
    <col min="8578" max="8578" customWidth="1" bestFit="1" width="3.0" style="763"/>
    <col min="8579" max="8579" customWidth="1" bestFit="1" width="3.0" style="763"/>
    <col min="8580" max="8580" customWidth="1" bestFit="1" width="3.0" style="763"/>
    <col min="8581" max="8581" customWidth="1" bestFit="1" width="3.0" style="763"/>
    <col min="8582" max="8582" customWidth="1" bestFit="1" width="3.0" style="763"/>
    <col min="8583" max="8583" customWidth="1" bestFit="1" width="3.0" style="763"/>
    <col min="8584" max="8584" customWidth="1" bestFit="1" width="3.0" style="763"/>
    <col min="8585" max="8585" customWidth="1" bestFit="1" width="3.0" style="763"/>
    <col min="8586" max="8586" customWidth="1" bestFit="1" width="3.0" style="763"/>
    <col min="8587" max="8587" customWidth="1" bestFit="1" width="3.0" style="763"/>
    <col min="8588" max="8588" customWidth="1" bestFit="1" width="3.0" style="763"/>
    <col min="8589" max="8589" customWidth="1" bestFit="1" width="3.0" style="763"/>
    <col min="8590" max="8590" customWidth="1" bestFit="1" width="3.0" style="763"/>
    <col min="8591" max="8591" customWidth="1" bestFit="1" width="3.0" style="763"/>
    <col min="8592" max="8592" customWidth="1" bestFit="1" width="3.0" style="763"/>
    <col min="8593" max="8593" customWidth="1" bestFit="1" width="3.0" style="763"/>
    <col min="8594" max="8594" customWidth="1" bestFit="1" width="3.0" style="763"/>
    <col min="8595" max="8595" customWidth="1" bestFit="1" width="3.0" style="763"/>
    <col min="8596" max="8596" customWidth="1" bestFit="1" width="3.0" style="763"/>
    <col min="8597" max="8597" customWidth="1" bestFit="1" width="3.0" style="763"/>
    <col min="8598" max="8598" customWidth="1" bestFit="1" width="3.0" style="763"/>
    <col min="8599" max="8599" customWidth="1" bestFit="1" width="3.0" style="763"/>
    <col min="8600" max="8600" customWidth="1" bestFit="1" width="3.0" style="763"/>
    <col min="8601" max="8601" customWidth="1" bestFit="1" width="3.0" style="763"/>
    <col min="8602" max="8602" customWidth="1" bestFit="1" width="3.0" style="763"/>
    <col min="8603" max="8603" customWidth="1" bestFit="1" width="3.0" style="763"/>
    <col min="8604" max="8604" customWidth="1" bestFit="1" width="3.0" style="763"/>
    <col min="8605" max="8605" customWidth="1" bestFit="1" width="3.0" style="763"/>
    <col min="8606" max="8606" customWidth="1" bestFit="1" width="3.0" style="763"/>
    <col min="8607" max="8607" customWidth="1" bestFit="1" width="3.0" style="763"/>
    <col min="8608" max="8608" customWidth="1" bestFit="1" width="3.0" style="763"/>
    <col min="8609" max="8609" customWidth="1" bestFit="1" width="3.0" style="763"/>
    <col min="8610" max="8610" customWidth="1" bestFit="1" width="3.0" style="763"/>
    <col min="8611" max="8611" customWidth="1" bestFit="1" width="3.0" style="763"/>
    <col min="8612" max="8612" customWidth="1" bestFit="1" width="3.0" style="763"/>
    <col min="8613" max="8613" customWidth="1" bestFit="1" width="3.0" style="763"/>
    <col min="8614" max="8614" customWidth="1" bestFit="1" width="3.0" style="763"/>
    <col min="8615" max="8615" customWidth="1" bestFit="1" width="3.0" style="763"/>
    <col min="8616" max="8616" customWidth="1" bestFit="1" width="3.0" style="763"/>
    <col min="8617" max="8617" customWidth="1" bestFit="1" width="3.0" style="763"/>
    <col min="8618" max="8618" customWidth="1" bestFit="1" width="3.0" style="763"/>
    <col min="8619" max="8619" customWidth="1" bestFit="1" width="3.0" style="763"/>
    <col min="8620" max="8620" customWidth="1" bestFit="1" width="3.0" style="763"/>
    <col min="8621" max="8621" customWidth="1" bestFit="1" width="3.0" style="763"/>
    <col min="8622" max="8622" customWidth="1" bestFit="1" width="3.0" style="763"/>
    <col min="8623" max="8623" customWidth="1" bestFit="1" width="3.0" style="763"/>
    <col min="8624" max="8624" customWidth="1" bestFit="1" width="3.0" style="763"/>
    <col min="8625" max="8625" customWidth="1" bestFit="1" width="3.0" style="763"/>
    <col min="8626" max="8626" customWidth="1" bestFit="1" width="3.0" style="763"/>
    <col min="8627" max="8627" customWidth="1" bestFit="1" width="3.0" style="763"/>
    <col min="8628" max="8628" customWidth="1" bestFit="1" width="3.0" style="763"/>
    <col min="8629" max="8629" customWidth="1" bestFit="1" width="3.0" style="763"/>
    <col min="8630" max="8630" customWidth="1" bestFit="1" width="3.0" style="763"/>
    <col min="8631" max="8631" customWidth="1" bestFit="1" width="3.0" style="763"/>
    <col min="8632" max="8632" customWidth="1" bestFit="1" width="3.0" style="763"/>
    <col min="8633" max="8633" customWidth="1" bestFit="1" width="3.0" style="763"/>
    <col min="8634" max="8634" customWidth="1" bestFit="1" width="3.0" style="763"/>
    <col min="8635" max="8635" customWidth="1" bestFit="1" width="3.0" style="763"/>
    <col min="8636" max="8636" customWidth="1" bestFit="1" width="3.0" style="763"/>
    <col min="8637" max="8637" customWidth="1" bestFit="1" width="3.0" style="763"/>
    <col min="8638" max="8638" customWidth="1" bestFit="1" width="3.0" style="763"/>
    <col min="8639" max="8639" customWidth="1" bestFit="1" width="3.0" style="763"/>
    <col min="8640" max="8640" customWidth="1" bestFit="1" width="3.0" style="763"/>
    <col min="8641" max="8641" customWidth="1" bestFit="1" width="3.0" style="763"/>
    <col min="8642" max="8642" customWidth="1" bestFit="1" width="3.0" style="763"/>
    <col min="8643" max="8643" customWidth="1" bestFit="1" width="3.0" style="763"/>
    <col min="8644" max="8644" customWidth="1" bestFit="1" width="3.0" style="763"/>
    <col min="8645" max="8645" customWidth="1" bestFit="1" width="3.0" style="763"/>
    <col min="8646" max="8646" customWidth="1" bestFit="1" width="3.0" style="763"/>
    <col min="8647" max="8647" customWidth="1" bestFit="1" width="3.0" style="763"/>
    <col min="8648" max="8648" customWidth="1" bestFit="1" width="3.0" style="763"/>
    <col min="8649" max="8649" customWidth="1" bestFit="1" width="3.0" style="763"/>
    <col min="8650" max="8650" customWidth="1" bestFit="1" width="3.0" style="763"/>
    <col min="8651" max="8651" customWidth="1" bestFit="1" width="3.0" style="763"/>
    <col min="8652" max="8652" customWidth="1" bestFit="1" width="3.0" style="763"/>
    <col min="8653" max="8653" customWidth="1" bestFit="1" width="3.0" style="763"/>
    <col min="8654" max="8654" customWidth="1" bestFit="1" width="3.0" style="763"/>
    <col min="8655" max="8655" customWidth="1" bestFit="1" width="3.0" style="763"/>
    <col min="8656" max="8656" customWidth="1" bestFit="1" width="3.0" style="763"/>
    <col min="8657" max="8657" customWidth="1" bestFit="1" width="3.0" style="763"/>
    <col min="8658" max="8658" customWidth="1" bestFit="1" width="3.0" style="763"/>
    <col min="8659" max="8659" customWidth="1" bestFit="1" width="3.0" style="763"/>
    <col min="8660" max="8660" customWidth="1" bestFit="1" width="3.0" style="763"/>
    <col min="8661" max="8661" customWidth="1" bestFit="1" width="3.0" style="763"/>
    <col min="8662" max="8662" customWidth="1" bestFit="1" width="3.0" style="763"/>
    <col min="8663" max="8663" customWidth="1" bestFit="1" width="3.0" style="763"/>
    <col min="8664" max="8664" customWidth="1" bestFit="1" width="3.0" style="763"/>
    <col min="8665" max="8665" customWidth="1" bestFit="1" width="3.0" style="763"/>
    <col min="8666" max="8666" customWidth="1" bestFit="1" width="3.0" style="763"/>
    <col min="8667" max="8667" customWidth="1" bestFit="1" width="3.0" style="763"/>
    <col min="8668" max="8668" customWidth="1" bestFit="1" width="3.0" style="763"/>
    <col min="8669" max="8669" customWidth="1" bestFit="1" width="3.0" style="763"/>
    <col min="8670" max="8670" customWidth="1" bestFit="1" width="3.0" style="763"/>
    <col min="8671" max="8671" customWidth="1" bestFit="1" width="3.0" style="763"/>
    <col min="8672" max="8672" customWidth="1" bestFit="1" width="3.0" style="763"/>
    <col min="8673" max="8673" customWidth="1" bestFit="1" width="3.0" style="763"/>
    <col min="8674" max="8674" customWidth="1" bestFit="1" width="3.0" style="763"/>
    <col min="8675" max="8675" customWidth="1" bestFit="1" width="3.0" style="763"/>
    <col min="8676" max="8676" customWidth="1" bestFit="1" width="3.0" style="763"/>
    <col min="8677" max="8677" customWidth="1" bestFit="1" width="3.0" style="763"/>
    <col min="8678" max="8678" customWidth="1" bestFit="1" width="3.0" style="763"/>
    <col min="8679" max="8679" customWidth="1" bestFit="1" width="3.0" style="763"/>
    <col min="8680" max="8680" customWidth="1" bestFit="1" width="3.0" style="763"/>
    <col min="8681" max="8681" customWidth="1" bestFit="1" width="3.0" style="763"/>
    <col min="8682" max="8682" customWidth="1" bestFit="1" width="3.0" style="763"/>
    <col min="8683" max="8683" customWidth="1" bestFit="1" width="3.0" style="763"/>
    <col min="8684" max="8684" customWidth="1" bestFit="1" width="3.0" style="763"/>
    <col min="8685" max="8685" customWidth="1" bestFit="1" width="3.0" style="763"/>
    <col min="8686" max="8686" customWidth="1" bestFit="1" width="3.0" style="763"/>
    <col min="8687" max="8687" customWidth="1" bestFit="1" width="3.0" style="763"/>
    <col min="8688" max="8688" customWidth="1" bestFit="1" width="3.0" style="763"/>
    <col min="8689" max="8689" customWidth="1" bestFit="1" width="3.0" style="763"/>
    <col min="8690" max="8690" customWidth="1" bestFit="1" width="3.0" style="763"/>
    <col min="8691" max="8691" customWidth="1" bestFit="1" width="3.0" style="763"/>
    <col min="8692" max="8692" customWidth="1" bestFit="1" width="3.0" style="763"/>
    <col min="8693" max="8693" customWidth="1" bestFit="1" width="3.0" style="763"/>
    <col min="8694" max="8694" customWidth="1" bestFit="1" width="3.0" style="763"/>
    <col min="8695" max="8695" customWidth="1" bestFit="1" width="3.0" style="763"/>
    <col min="8696" max="8696" customWidth="1" bestFit="1" width="3.0" style="763"/>
    <col min="8697" max="8697" customWidth="1" bestFit="1" width="3.0" style="763"/>
    <col min="8698" max="8698" customWidth="1" bestFit="1" width="3.0" style="763"/>
    <col min="8699" max="8699" customWidth="1" bestFit="1" width="3.0" style="763"/>
    <col min="8700" max="8700" customWidth="1" bestFit="1" width="3.0" style="763"/>
    <col min="8701" max="8701" customWidth="1" bestFit="1" width="3.0" style="763"/>
    <col min="8702" max="8702" customWidth="1" bestFit="1" width="3.0" style="763"/>
    <col min="8703" max="8703" customWidth="1" bestFit="1" width="3.0" style="763"/>
    <col min="8704" max="8704" customWidth="1" bestFit="1" width="3.0" style="763"/>
    <col min="8705" max="8705" customWidth="1" bestFit="1" width="3.0" style="763"/>
    <col min="8706" max="8706" customWidth="1" bestFit="1" width="3.0" style="763"/>
    <col min="8707" max="8707" customWidth="1" bestFit="1" width="3.0" style="763"/>
    <col min="8708" max="8708" customWidth="1" bestFit="1" width="3.0" style="763"/>
    <col min="8709" max="8709" customWidth="1" bestFit="1" width="3.0" style="763"/>
    <col min="8710" max="8710" customWidth="1" bestFit="1" width="3.0" style="763"/>
    <col min="8711" max="8711" customWidth="1" bestFit="1" width="3.0" style="763"/>
    <col min="8712" max="8712" customWidth="1" bestFit="1" width="3.0" style="763"/>
    <col min="8713" max="8713" customWidth="1" bestFit="1" width="3.0" style="763"/>
    <col min="8714" max="8714" customWidth="1" bestFit="1" width="3.0" style="763"/>
    <col min="8715" max="8715" customWidth="1" bestFit="1" width="3.0" style="763"/>
    <col min="8716" max="8716" customWidth="1" bestFit="1" width="3.0" style="763"/>
    <col min="8717" max="8717" customWidth="1" bestFit="1" width="3.0" style="763"/>
    <col min="8718" max="8718" customWidth="1" bestFit="1" width="3.0" style="763"/>
    <col min="8719" max="8719" customWidth="1" bestFit="1" width="3.0" style="763"/>
    <col min="8720" max="8720" customWidth="1" bestFit="1" width="3.0" style="763"/>
    <col min="8721" max="8721" customWidth="1" bestFit="1" width="3.0" style="763"/>
    <col min="8722" max="8722" customWidth="1" bestFit="1" width="3.0" style="763"/>
    <col min="8723" max="8723" customWidth="1" bestFit="1" width="3.0" style="763"/>
    <col min="8724" max="8724" customWidth="1" bestFit="1" width="3.0" style="763"/>
    <col min="8725" max="8725" customWidth="1" bestFit="1" width="3.0" style="763"/>
    <col min="8726" max="8726" customWidth="1" bestFit="1" width="3.0" style="763"/>
    <col min="8727" max="8727" customWidth="1" bestFit="1" width="3.0" style="763"/>
    <col min="8728" max="8728" customWidth="1" bestFit="1" width="3.0" style="763"/>
    <col min="8729" max="8729" customWidth="1" bestFit="1" width="3.0" style="763"/>
    <col min="8730" max="8730" customWidth="1" bestFit="1" width="3.0" style="763"/>
    <col min="8731" max="8731" customWidth="1" bestFit="1" width="3.0" style="763"/>
    <col min="8732" max="8732" customWidth="1" bestFit="1" width="3.0" style="763"/>
    <col min="8733" max="8733" customWidth="1" bestFit="1" width="3.0" style="763"/>
    <col min="8734" max="8734" customWidth="1" bestFit="1" width="3.0" style="763"/>
    <col min="8735" max="8735" customWidth="1" bestFit="1" width="3.0" style="763"/>
    <col min="8736" max="8736" customWidth="1" bestFit="1" width="3.0" style="763"/>
    <col min="8737" max="8737" customWidth="1" bestFit="1" width="3.0" style="763"/>
    <col min="8738" max="8738" customWidth="1" bestFit="1" width="3.0" style="763"/>
    <col min="8739" max="8739" customWidth="1" bestFit="1" width="3.0" style="763"/>
    <col min="8740" max="8740" customWidth="1" bestFit="1" width="3.0" style="763"/>
    <col min="8741" max="8741" customWidth="1" bestFit="1" width="3.0" style="763"/>
    <col min="8742" max="8742" customWidth="1" bestFit="1" width="3.0" style="763"/>
    <col min="8743" max="8743" customWidth="1" bestFit="1" width="3.0" style="763"/>
    <col min="8744" max="8744" customWidth="1" bestFit="1" width="3.0" style="763"/>
    <col min="8745" max="8745" customWidth="1" bestFit="1" width="3.0" style="763"/>
    <col min="8746" max="8746" customWidth="1" bestFit="1" width="3.0" style="763"/>
    <col min="8747" max="8747" customWidth="1" bestFit="1" width="3.0" style="763"/>
    <col min="8748" max="8748" customWidth="1" bestFit="1" width="3.0" style="763"/>
    <col min="8749" max="8749" customWidth="1" bestFit="1" width="3.0" style="763"/>
    <col min="8750" max="8750" customWidth="1" bestFit="1" width="3.0" style="763"/>
    <col min="8751" max="8751" customWidth="1" bestFit="1" width="3.0" style="763"/>
    <col min="8752" max="8752" customWidth="1" bestFit="1" width="3.0" style="763"/>
    <col min="8753" max="8753" customWidth="1" bestFit="1" width="3.0" style="763"/>
    <col min="8754" max="8754" customWidth="1" bestFit="1" width="3.0" style="763"/>
    <col min="8755" max="8755" customWidth="1" bestFit="1" width="3.0" style="763"/>
    <col min="8756" max="8756" customWidth="1" bestFit="1" width="3.0" style="763"/>
    <col min="8757" max="8757" customWidth="1" bestFit="1" width="3.0" style="763"/>
    <col min="8758" max="8758" customWidth="1" bestFit="1" width="3.0" style="763"/>
    <col min="8759" max="8759" customWidth="1" bestFit="1" width="3.0" style="763"/>
    <col min="8760" max="8760" customWidth="1" bestFit="1" width="3.0" style="763"/>
    <col min="8761" max="8761" customWidth="1" bestFit="1" width="3.0" style="763"/>
    <col min="8762" max="8762" customWidth="1" bestFit="1" width="3.0" style="763"/>
    <col min="8763" max="8763" customWidth="1" bestFit="1" width="3.0" style="763"/>
    <col min="8764" max="8764" customWidth="1" bestFit="1" width="3.0" style="763"/>
    <col min="8765" max="8765" customWidth="1" bestFit="1" width="3.0" style="763"/>
    <col min="8766" max="8766" customWidth="1" bestFit="1" width="3.0" style="763"/>
    <col min="8767" max="8767" customWidth="1" bestFit="1" width="3.0" style="763"/>
    <col min="8768" max="8768" customWidth="1" bestFit="1" width="3.0" style="763"/>
    <col min="8769" max="8769" customWidth="1" bestFit="1" width="3.0" style="763"/>
    <col min="8770" max="8770" customWidth="1" bestFit="1" width="3.0" style="763"/>
    <col min="8771" max="8771" customWidth="1" bestFit="1" width="3.0" style="763"/>
    <col min="8772" max="8772" customWidth="1" bestFit="1" width="3.0" style="763"/>
    <col min="8773" max="8773" customWidth="1" bestFit="1" width="3.0" style="763"/>
    <col min="8774" max="8774" customWidth="1" bestFit="1" width="3.0" style="763"/>
    <col min="8775" max="8775" customWidth="1" bestFit="1" width="3.0" style="763"/>
    <col min="8776" max="8776" customWidth="1" bestFit="1" width="3.0" style="763"/>
    <col min="8777" max="8777" customWidth="1" bestFit="1" width="3.0" style="763"/>
    <col min="8778" max="8778" customWidth="1" bestFit="1" width="3.0" style="763"/>
    <col min="8779" max="8779" customWidth="1" bestFit="1" width="3.0" style="763"/>
    <col min="8780" max="8780" customWidth="1" bestFit="1" width="3.0" style="763"/>
    <col min="8781" max="8781" customWidth="1" bestFit="1" width="3.0" style="763"/>
    <col min="8782" max="8782" customWidth="1" bestFit="1" width="3.0" style="763"/>
    <col min="8783" max="8783" customWidth="1" bestFit="1" width="3.0" style="763"/>
    <col min="8784" max="8784" customWidth="1" bestFit="1" width="3.0" style="763"/>
    <col min="8785" max="8785" customWidth="1" bestFit="1" width="3.0" style="763"/>
    <col min="8786" max="8786" customWidth="1" bestFit="1" width="3.0" style="763"/>
    <col min="8787" max="8787" customWidth="1" bestFit="1" width="3.0" style="763"/>
    <col min="8788" max="8788" customWidth="1" bestFit="1" width="3.0" style="763"/>
    <col min="8789" max="8789" customWidth="1" bestFit="1" width="3.0" style="763"/>
    <col min="8790" max="8790" customWidth="1" bestFit="1" width="3.0" style="763"/>
    <col min="8791" max="8791" customWidth="1" bestFit="1" width="3.0" style="763"/>
    <col min="8792" max="8792" customWidth="1" bestFit="1" width="3.0" style="763"/>
    <col min="8793" max="8793" customWidth="1" bestFit="1" width="3.0" style="763"/>
    <col min="8794" max="8794" customWidth="1" bestFit="1" width="3.0" style="763"/>
    <col min="8795" max="8795" customWidth="1" bestFit="1" width="3.0" style="763"/>
    <col min="8796" max="8796" customWidth="1" bestFit="1" width="3.0" style="763"/>
    <col min="8797" max="8797" customWidth="1" bestFit="1" width="3.0" style="763"/>
    <col min="8798" max="8798" customWidth="1" bestFit="1" width="3.0" style="763"/>
    <col min="8799" max="8799" customWidth="1" bestFit="1" width="3.0" style="763"/>
    <col min="8800" max="8800" customWidth="1" bestFit="1" width="3.0" style="763"/>
    <col min="8801" max="8801" customWidth="1" bestFit="1" width="3.0" style="763"/>
    <col min="8802" max="8802" customWidth="1" bestFit="1" width="3.0" style="763"/>
    <col min="8803" max="8803" customWidth="1" bestFit="1" width="3.0" style="763"/>
    <col min="8804" max="8804" customWidth="1" bestFit="1" width="3.0" style="763"/>
    <col min="8805" max="8805" customWidth="1" bestFit="1" width="3.0" style="763"/>
    <col min="8806" max="8806" customWidth="1" bestFit="1" width="3.0" style="763"/>
    <col min="8807" max="8807" customWidth="1" bestFit="1" width="3.0" style="763"/>
    <col min="8808" max="8808" customWidth="1" bestFit="1" width="3.0" style="763"/>
    <col min="8809" max="8809" customWidth="1" bestFit="1" width="3.0" style="763"/>
    <col min="8810" max="8810" customWidth="1" bestFit="1" width="3.0" style="763"/>
    <col min="8811" max="8811" customWidth="1" bestFit="1" width="3.0" style="763"/>
    <col min="8812" max="8812" customWidth="1" bestFit="1" width="3.0" style="763"/>
    <col min="8813" max="8813" customWidth="1" bestFit="1" width="3.0" style="763"/>
    <col min="8814" max="8814" customWidth="1" bestFit="1" width="3.0" style="763"/>
    <col min="8815" max="8815" customWidth="1" bestFit="1" width="3.0" style="763"/>
    <col min="8816" max="8816" customWidth="1" bestFit="1" width="3.0" style="763"/>
    <col min="8817" max="8817" customWidth="1" bestFit="1" width="3.0" style="763"/>
    <col min="8818" max="8818" customWidth="1" bestFit="1" width="3.0" style="763"/>
    <col min="8819" max="8819" customWidth="1" bestFit="1" width="3.0" style="763"/>
    <col min="8820" max="8820" customWidth="1" bestFit="1" width="3.0" style="763"/>
    <col min="8821" max="8821" customWidth="1" bestFit="1" width="3.0" style="763"/>
    <col min="8822" max="8822" customWidth="1" bestFit="1" width="3.0" style="763"/>
    <col min="8823" max="8823" customWidth="1" bestFit="1" width="3.0" style="763"/>
    <col min="8824" max="8824" customWidth="1" bestFit="1" width="3.0" style="763"/>
    <col min="8825" max="8825" customWidth="1" bestFit="1" width="3.0" style="763"/>
    <col min="8826" max="8826" customWidth="1" bestFit="1" width="3.0" style="763"/>
    <col min="8827" max="8827" customWidth="1" bestFit="1" width="3.0" style="763"/>
    <col min="8828" max="8828" customWidth="1" bestFit="1" width="3.0" style="763"/>
    <col min="8829" max="8829" customWidth="1" bestFit="1" width="3.0" style="763"/>
    <col min="8830" max="8830" customWidth="1" bestFit="1" width="3.0" style="763"/>
    <col min="8831" max="8831" customWidth="1" bestFit="1" width="3.0" style="763"/>
    <col min="8832" max="8832" customWidth="1" bestFit="1" width="3.0" style="763"/>
    <col min="8833" max="8833" customWidth="1" bestFit="1" width="3.0" style="763"/>
    <col min="8834" max="8834" customWidth="1" bestFit="1" width="3.0" style="763"/>
    <col min="8835" max="8835" customWidth="1" bestFit="1" width="3.0" style="763"/>
    <col min="8836" max="8836" customWidth="1" bestFit="1" width="3.0" style="763"/>
    <col min="8837" max="8837" customWidth="1" bestFit="1" width="3.0" style="763"/>
    <col min="8838" max="8838" customWidth="1" bestFit="1" width="3.0" style="763"/>
    <col min="8839" max="8839" customWidth="1" bestFit="1" width="3.0" style="763"/>
    <col min="8840" max="8840" customWidth="1" bestFit="1" width="3.0" style="763"/>
    <col min="8841" max="8841" customWidth="1" bestFit="1" width="3.0" style="763"/>
    <col min="8842" max="8842" customWidth="1" bestFit="1" width="3.0" style="763"/>
    <col min="8843" max="8843" customWidth="1" bestFit="1" width="3.0" style="763"/>
    <col min="8844" max="8844" customWidth="1" bestFit="1" width="3.0" style="763"/>
    <col min="8845" max="8845" customWidth="1" bestFit="1" width="3.0" style="763"/>
    <col min="8846" max="8846" customWidth="1" bestFit="1" width="3.0" style="763"/>
    <col min="8847" max="8847" customWidth="1" bestFit="1" width="3.0" style="763"/>
    <col min="8848" max="8848" customWidth="1" bestFit="1" width="3.0" style="763"/>
    <col min="8849" max="8849" customWidth="1" bestFit="1" width="3.0" style="763"/>
    <col min="8850" max="8850" customWidth="1" bestFit="1" width="3.0" style="763"/>
    <col min="8851" max="8851" customWidth="1" bestFit="1" width="3.0" style="763"/>
    <col min="8852" max="8852" customWidth="1" bestFit="1" width="3.0" style="763"/>
    <col min="8853" max="8853" customWidth="1" bestFit="1" width="3.0" style="763"/>
    <col min="8854" max="8854" customWidth="1" bestFit="1" width="3.0" style="763"/>
    <col min="8855" max="8855" customWidth="1" bestFit="1" width="3.0" style="763"/>
    <col min="8856" max="8856" customWidth="1" bestFit="1" width="3.0" style="763"/>
    <col min="8857" max="8857" customWidth="1" bestFit="1" width="3.0" style="763"/>
    <col min="8858" max="8858" customWidth="1" bestFit="1" width="3.0" style="763"/>
    <col min="8859" max="8859" customWidth="1" bestFit="1" width="3.0" style="763"/>
    <col min="8860" max="8860" customWidth="1" bestFit="1" width="3.0" style="763"/>
    <col min="8861" max="8861" customWidth="1" bestFit="1" width="3.0" style="763"/>
    <col min="8862" max="8862" customWidth="1" bestFit="1" width="3.0" style="763"/>
    <col min="8863" max="8863" customWidth="1" bestFit="1" width="3.0" style="763"/>
    <col min="8864" max="8864" customWidth="1" bestFit="1" width="3.0" style="763"/>
    <col min="8865" max="8865" customWidth="1" bestFit="1" width="3.0" style="763"/>
    <col min="8866" max="8866" customWidth="1" bestFit="1" width="3.0" style="763"/>
    <col min="8867" max="8867" customWidth="1" bestFit="1" width="3.0" style="763"/>
    <col min="8868" max="8868" customWidth="1" bestFit="1" width="3.0" style="763"/>
    <col min="8869" max="8869" customWidth="1" bestFit="1" width="3.0" style="763"/>
    <col min="8870" max="8870" customWidth="1" bestFit="1" width="3.0" style="763"/>
    <col min="8871" max="8871" customWidth="1" bestFit="1" width="3.0" style="763"/>
    <col min="8872" max="8872" customWidth="1" bestFit="1" width="3.0" style="763"/>
    <col min="8873" max="8873" customWidth="1" bestFit="1" width="3.0" style="763"/>
    <col min="8874" max="8874" customWidth="1" bestFit="1" width="3.0" style="763"/>
    <col min="8875" max="8875" customWidth="1" bestFit="1" width="3.0" style="763"/>
    <col min="8876" max="8876" customWidth="1" bestFit="1" width="3.0" style="763"/>
    <col min="8877" max="8877" customWidth="1" bestFit="1" width="3.0" style="763"/>
    <col min="8878" max="8878" customWidth="1" bestFit="1" width="3.0" style="763"/>
    <col min="8879" max="8879" customWidth="1" bestFit="1" width="3.0" style="763"/>
    <col min="8880" max="8880" customWidth="1" bestFit="1" width="3.0" style="763"/>
    <col min="8881" max="8881" customWidth="1" bestFit="1" width="3.0" style="763"/>
    <col min="8882" max="8882" customWidth="1" bestFit="1" width="3.0" style="763"/>
    <col min="8883" max="8883" customWidth="1" bestFit="1" width="3.0" style="763"/>
    <col min="8884" max="8884" customWidth="1" bestFit="1" width="3.0" style="763"/>
    <col min="8885" max="8885" customWidth="1" bestFit="1" width="3.0" style="763"/>
    <col min="8886" max="8886" customWidth="1" bestFit="1" width="3.0" style="763"/>
    <col min="8887" max="8887" customWidth="1" bestFit="1" width="3.0" style="763"/>
    <col min="8888" max="8888" customWidth="1" bestFit="1" width="3.0" style="763"/>
    <col min="8889" max="8889" customWidth="1" bestFit="1" width="3.0" style="763"/>
    <col min="8890" max="8890" customWidth="1" bestFit="1" width="3.0" style="763"/>
    <col min="8891" max="8891" customWidth="1" bestFit="1" width="3.0" style="763"/>
    <col min="8892" max="8892" customWidth="1" bestFit="1" width="3.0" style="763"/>
    <col min="8893" max="8893" customWidth="1" bestFit="1" width="3.0" style="763"/>
    <col min="8894" max="8894" customWidth="1" bestFit="1" width="3.0" style="763"/>
    <col min="8895" max="8895" customWidth="1" bestFit="1" width="3.0" style="763"/>
    <col min="8896" max="8896" customWidth="1" bestFit="1" width="3.0" style="763"/>
    <col min="8897" max="8897" customWidth="1" bestFit="1" width="3.0" style="763"/>
    <col min="8898" max="8898" customWidth="1" bestFit="1" width="3.0" style="763"/>
    <col min="8899" max="8899" customWidth="1" bestFit="1" width="3.0" style="763"/>
    <col min="8900" max="8900" customWidth="1" bestFit="1" width="3.0" style="763"/>
    <col min="8901" max="8901" customWidth="1" bestFit="1" width="3.0" style="763"/>
    <col min="8902" max="8902" customWidth="1" bestFit="1" width="3.0" style="763"/>
    <col min="8903" max="8903" customWidth="1" bestFit="1" width="3.0" style="763"/>
    <col min="8904" max="8904" customWidth="1" bestFit="1" width="3.0" style="763"/>
    <col min="8905" max="8905" customWidth="1" bestFit="1" width="3.0" style="763"/>
    <col min="8906" max="8906" customWidth="1" bestFit="1" width="3.0" style="763"/>
    <col min="8907" max="8907" customWidth="1" bestFit="1" width="3.0" style="763"/>
    <col min="8908" max="8908" customWidth="1" bestFit="1" width="3.0" style="763"/>
    <col min="8909" max="8909" customWidth="1" bestFit="1" width="3.0" style="763"/>
    <col min="8910" max="8910" customWidth="1" bestFit="1" width="3.0" style="763"/>
    <col min="8911" max="8911" customWidth="1" bestFit="1" width="3.0" style="763"/>
    <col min="8912" max="8912" customWidth="1" bestFit="1" width="3.0" style="763"/>
    <col min="8913" max="8913" customWidth="1" bestFit="1" width="3.0" style="763"/>
    <col min="8914" max="8914" customWidth="1" bestFit="1" width="3.0" style="763"/>
    <col min="8915" max="8915" customWidth="1" bestFit="1" width="3.0" style="763"/>
    <col min="8916" max="8916" customWidth="1" bestFit="1" width="3.0" style="763"/>
    <col min="8917" max="8917" customWidth="1" bestFit="1" width="3.0" style="763"/>
    <col min="8918" max="8918" customWidth="1" bestFit="1" width="3.0" style="763"/>
    <col min="8919" max="8919" customWidth="1" bestFit="1" width="3.0" style="763"/>
    <col min="8920" max="8920" customWidth="1" bestFit="1" width="3.0" style="763"/>
    <col min="8921" max="8921" customWidth="1" bestFit="1" width="3.0" style="763"/>
    <col min="8922" max="8922" customWidth="1" bestFit="1" width="3.0" style="763"/>
    <col min="8923" max="8923" customWidth="1" bestFit="1" width="3.0" style="763"/>
    <col min="8924" max="8924" customWidth="1" bestFit="1" width="3.0" style="763"/>
    <col min="8925" max="8925" customWidth="1" bestFit="1" width="3.0" style="763"/>
    <col min="8926" max="8926" customWidth="1" bestFit="1" width="3.0" style="763"/>
    <col min="8927" max="8927" customWidth="1" bestFit="1" width="3.0" style="763"/>
    <col min="8928" max="8928" customWidth="1" bestFit="1" width="3.0" style="763"/>
    <col min="8929" max="8929" customWidth="1" bestFit="1" width="3.0" style="763"/>
    <col min="8930" max="8930" customWidth="1" bestFit="1" width="3.0" style="763"/>
    <col min="8931" max="8931" customWidth="1" bestFit="1" width="3.0" style="763"/>
    <col min="8932" max="8932" customWidth="1" bestFit="1" width="3.0" style="763"/>
    <col min="8933" max="8933" customWidth="1" bestFit="1" width="3.0" style="763"/>
    <col min="8934" max="8934" customWidth="1" bestFit="1" width="3.0" style="763"/>
    <col min="8935" max="8935" customWidth="1" bestFit="1" width="3.0" style="763"/>
    <col min="8936" max="8936" customWidth="1" bestFit="1" width="3.0" style="763"/>
    <col min="8937" max="8937" customWidth="1" bestFit="1" width="3.0" style="763"/>
    <col min="8938" max="8938" customWidth="1" bestFit="1" width="3.0" style="763"/>
    <col min="8939" max="8939" customWidth="1" bestFit="1" width="3.0" style="763"/>
    <col min="8940" max="8940" customWidth="1" bestFit="1" width="3.0" style="763"/>
    <col min="8941" max="8941" customWidth="1" bestFit="1" width="3.0" style="763"/>
    <col min="8942" max="8942" customWidth="1" bestFit="1" width="3.0" style="763"/>
    <col min="8943" max="8943" customWidth="1" bestFit="1" width="3.0" style="763"/>
    <col min="8944" max="8944" customWidth="1" bestFit="1" width="3.0" style="763"/>
    <col min="8945" max="8945" customWidth="1" bestFit="1" width="3.0" style="763"/>
    <col min="8946" max="8946" customWidth="1" bestFit="1" width="3.0" style="763"/>
    <col min="8947" max="8947" customWidth="1" bestFit="1" width="3.0" style="763"/>
    <col min="8948" max="8948" customWidth="1" bestFit="1" width="3.0" style="763"/>
    <col min="8949" max="8949" customWidth="1" bestFit="1" width="3.0" style="763"/>
    <col min="8950" max="8950" customWidth="1" bestFit="1" width="3.0" style="763"/>
    <col min="8951" max="8951" customWidth="1" bestFit="1" width="3.0" style="763"/>
    <col min="8952" max="8952" customWidth="1" bestFit="1" width="3.0" style="763"/>
    <col min="8953" max="8953" customWidth="1" bestFit="1" width="3.0" style="763"/>
    <col min="8954" max="8954" customWidth="1" bestFit="1" width="3.0" style="763"/>
    <col min="8955" max="8955" customWidth="1" bestFit="1" width="3.0" style="763"/>
    <col min="8956" max="8956" customWidth="1" bestFit="1" width="3.0" style="763"/>
    <col min="8957" max="8957" customWidth="1" bestFit="1" width="3.0" style="763"/>
    <col min="8958" max="8958" customWidth="1" bestFit="1" width="3.0" style="763"/>
    <col min="8959" max="8959" customWidth="1" bestFit="1" width="3.0" style="763"/>
    <col min="8960" max="8960" customWidth="1" bestFit="1" width="3.0" style="763"/>
    <col min="8961" max="8961" customWidth="1" bestFit="1" width="3.0" style="763"/>
    <col min="8962" max="8962" customWidth="1" bestFit="1" width="3.0" style="763"/>
    <col min="8963" max="8963" customWidth="1" bestFit="1" width="3.0" style="763"/>
    <col min="8964" max="8964" customWidth="1" bestFit="1" width="3.0" style="763"/>
    <col min="8965" max="8965" customWidth="1" bestFit="1" width="3.0" style="763"/>
    <col min="8966" max="8966" customWidth="1" bestFit="1" width="3.0" style="763"/>
    <col min="8967" max="8967" customWidth="1" bestFit="1" width="3.0" style="763"/>
    <col min="8968" max="8968" customWidth="1" bestFit="1" width="3.0" style="763"/>
    <col min="8969" max="8969" customWidth="1" bestFit="1" width="3.0" style="763"/>
    <col min="8970" max="8970" customWidth="1" bestFit="1" width="3.0" style="763"/>
    <col min="8971" max="8971" customWidth="1" bestFit="1" width="3.0" style="763"/>
    <col min="8972" max="8972" customWidth="1" bestFit="1" width="3.0" style="763"/>
    <col min="8973" max="8973" customWidth="1" bestFit="1" width="3.0" style="763"/>
    <col min="8974" max="8974" customWidth="1" bestFit="1" width="3.0" style="763"/>
    <col min="8975" max="8975" customWidth="1" bestFit="1" width="3.0" style="763"/>
    <col min="8976" max="8976" customWidth="1" bestFit="1" width="3.0" style="763"/>
    <col min="8977" max="8977" customWidth="1" bestFit="1" width="3.0" style="763"/>
    <col min="8978" max="8978" customWidth="1" bestFit="1" width="3.0" style="763"/>
    <col min="8979" max="8979" customWidth="1" bestFit="1" width="3.0" style="763"/>
    <col min="8980" max="8980" customWidth="1" bestFit="1" width="3.0" style="763"/>
    <col min="8981" max="8981" customWidth="1" bestFit="1" width="3.0" style="763"/>
    <col min="8982" max="8982" customWidth="1" bestFit="1" width="3.0" style="763"/>
    <col min="8983" max="8983" customWidth="1" bestFit="1" width="3.0" style="763"/>
    <col min="8984" max="8984" customWidth="1" bestFit="1" width="3.0" style="763"/>
    <col min="8985" max="8985" customWidth="1" bestFit="1" width="3.0" style="763"/>
    <col min="8986" max="8986" customWidth="1" bestFit="1" width="3.0" style="763"/>
    <col min="8987" max="8987" customWidth="1" bestFit="1" width="3.0" style="763"/>
    <col min="8988" max="8988" customWidth="1" bestFit="1" width="3.0" style="763"/>
    <col min="8989" max="8989" customWidth="1" bestFit="1" width="3.0" style="763"/>
    <col min="8990" max="8990" customWidth="1" bestFit="1" width="3.0" style="763"/>
    <col min="8991" max="8991" customWidth="1" bestFit="1" width="3.0" style="763"/>
    <col min="8992" max="8992" customWidth="1" bestFit="1" width="3.0" style="763"/>
    <col min="8993" max="8993" customWidth="1" bestFit="1" width="3.0" style="763"/>
    <col min="8994" max="8994" customWidth="1" bestFit="1" width="3.0" style="763"/>
    <col min="8995" max="8995" customWidth="1" bestFit="1" width="3.0" style="763"/>
    <col min="8996" max="8996" customWidth="1" bestFit="1" width="3.0" style="763"/>
    <col min="8997" max="8997" customWidth="1" bestFit="1" width="3.0" style="763"/>
    <col min="8998" max="8998" customWidth="1" bestFit="1" width="3.0" style="763"/>
    <col min="8999" max="8999" customWidth="1" bestFit="1" width="3.0" style="763"/>
    <col min="9000" max="9000" customWidth="1" bestFit="1" width="3.0" style="763"/>
    <col min="9001" max="9001" customWidth="1" bestFit="1" width="3.0" style="763"/>
    <col min="9002" max="9002" customWidth="1" bestFit="1" width="3.0" style="763"/>
    <col min="9003" max="9003" customWidth="1" bestFit="1" width="3.0" style="763"/>
    <col min="9004" max="9004" customWidth="1" bestFit="1" width="3.0" style="763"/>
    <col min="9005" max="9005" customWidth="1" bestFit="1" width="3.0" style="763"/>
    <col min="9006" max="9006" customWidth="1" bestFit="1" width="3.0" style="763"/>
    <col min="9007" max="9007" customWidth="1" bestFit="1" width="3.0" style="763"/>
    <col min="9008" max="9008" customWidth="1" bestFit="1" width="3.0" style="763"/>
    <col min="9009" max="9009" customWidth="1" bestFit="1" width="3.0" style="763"/>
    <col min="9010" max="9010" customWidth="1" bestFit="1" width="3.0" style="763"/>
    <col min="9011" max="9011" customWidth="1" bestFit="1" width="3.0" style="763"/>
    <col min="9012" max="9012" customWidth="1" bestFit="1" width="3.0" style="763"/>
    <col min="9013" max="9013" customWidth="1" bestFit="1" width="3.0" style="763"/>
    <col min="9014" max="9014" customWidth="1" bestFit="1" width="3.0" style="763"/>
    <col min="9015" max="9015" customWidth="1" bestFit="1" width="3.0" style="763"/>
    <col min="9016" max="9016" customWidth="1" bestFit="1" width="3.0" style="763"/>
    <col min="9017" max="9017" customWidth="1" bestFit="1" width="3.0" style="763"/>
    <col min="9018" max="9018" customWidth="1" bestFit="1" width="3.0" style="763"/>
    <col min="9019" max="9019" customWidth="1" bestFit="1" width="3.0" style="763"/>
    <col min="9020" max="9020" customWidth="1" bestFit="1" width="3.0" style="763"/>
    <col min="9021" max="9021" customWidth="1" bestFit="1" width="3.0" style="763"/>
    <col min="9022" max="9022" customWidth="1" bestFit="1" width="3.0" style="763"/>
    <col min="9023" max="9023" customWidth="1" bestFit="1" width="3.0" style="763"/>
    <col min="9024" max="9024" customWidth="1" bestFit="1" width="3.0" style="763"/>
    <col min="9025" max="9025" customWidth="1" bestFit="1" width="3.0" style="763"/>
    <col min="9026" max="9026" customWidth="1" bestFit="1" width="3.0" style="763"/>
    <col min="9027" max="9027" customWidth="1" bestFit="1" width="3.0" style="763"/>
    <col min="9028" max="9028" customWidth="1" bestFit="1" width="3.0" style="763"/>
    <col min="9029" max="9029" customWidth="1" bestFit="1" width="3.0" style="763"/>
    <col min="9030" max="9030" customWidth="1" bestFit="1" width="3.0" style="763"/>
    <col min="9031" max="9031" customWidth="1" bestFit="1" width="3.0" style="763"/>
    <col min="9032" max="9032" customWidth="1" bestFit="1" width="3.0" style="763"/>
    <col min="9033" max="9033" customWidth="1" bestFit="1" width="3.0" style="763"/>
    <col min="9034" max="9034" customWidth="1" bestFit="1" width="3.0" style="763"/>
    <col min="9035" max="9035" customWidth="1" bestFit="1" width="3.0" style="763"/>
    <col min="9036" max="9036" customWidth="1" bestFit="1" width="3.0" style="763"/>
    <col min="9037" max="9037" customWidth="1" bestFit="1" width="3.0" style="763"/>
    <col min="9038" max="9038" customWidth="1" bestFit="1" width="3.0" style="763"/>
    <col min="9039" max="9039" customWidth="1" bestFit="1" width="3.0" style="763"/>
    <col min="9040" max="9040" customWidth="1" bestFit="1" width="3.0" style="763"/>
    <col min="9041" max="9041" customWidth="1" bestFit="1" width="3.0" style="763"/>
    <col min="9042" max="9042" customWidth="1" bestFit="1" width="3.0" style="763"/>
    <col min="9043" max="9043" customWidth="1" bestFit="1" width="3.0" style="763"/>
    <col min="9044" max="9044" customWidth="1" bestFit="1" width="3.0" style="763"/>
    <col min="9045" max="9045" customWidth="1" bestFit="1" width="3.0" style="763"/>
    <col min="9046" max="9046" customWidth="1" bestFit="1" width="3.0" style="763"/>
    <col min="9047" max="9047" customWidth="1" bestFit="1" width="3.0" style="763"/>
    <col min="9048" max="9048" customWidth="1" bestFit="1" width="3.0" style="763"/>
    <col min="9049" max="9049" customWidth="1" bestFit="1" width="3.0" style="763"/>
    <col min="9050" max="9050" customWidth="1" bestFit="1" width="3.0" style="763"/>
    <col min="9051" max="9051" customWidth="1" bestFit="1" width="3.0" style="763"/>
    <col min="9052" max="9052" customWidth="1" bestFit="1" width="3.0" style="763"/>
    <col min="9053" max="9053" customWidth="1" bestFit="1" width="3.0" style="763"/>
    <col min="9054" max="9054" customWidth="1" bestFit="1" width="3.0" style="763"/>
    <col min="9055" max="9055" customWidth="1" bestFit="1" width="3.0" style="763"/>
    <col min="9056" max="9056" customWidth="1" bestFit="1" width="3.0" style="763"/>
    <col min="9057" max="9057" customWidth="1" bestFit="1" width="3.0" style="763"/>
    <col min="9058" max="9058" customWidth="1" bestFit="1" width="3.0" style="763"/>
    <col min="9059" max="9059" customWidth="1" bestFit="1" width="3.0" style="763"/>
    <col min="9060" max="9060" customWidth="1" bestFit="1" width="3.0" style="763"/>
    <col min="9061" max="9061" customWidth="1" bestFit="1" width="3.0" style="763"/>
    <col min="9062" max="9062" customWidth="1" bestFit="1" width="3.0" style="763"/>
    <col min="9063" max="9063" customWidth="1" bestFit="1" width="3.0" style="763"/>
    <col min="9064" max="9064" customWidth="1" bestFit="1" width="3.0" style="763"/>
    <col min="9065" max="9065" customWidth="1" bestFit="1" width="3.0" style="763"/>
    <col min="9066" max="9066" customWidth="1" bestFit="1" width="3.0" style="763"/>
    <col min="9067" max="9067" customWidth="1" bestFit="1" width="3.0" style="763"/>
    <col min="9068" max="9068" customWidth="1" bestFit="1" width="3.0" style="763"/>
    <col min="9069" max="9069" customWidth="1" bestFit="1" width="3.0" style="763"/>
    <col min="9070" max="9070" customWidth="1" bestFit="1" width="3.0" style="763"/>
    <col min="9071" max="9071" customWidth="1" bestFit="1" width="3.0" style="763"/>
    <col min="9072" max="9072" customWidth="1" bestFit="1" width="3.0" style="763"/>
    <col min="9073" max="9073" customWidth="1" bestFit="1" width="3.0" style="763"/>
    <col min="9074" max="9074" customWidth="1" bestFit="1" width="3.0" style="763"/>
    <col min="9075" max="9075" customWidth="1" bestFit="1" width="3.0" style="763"/>
    <col min="9076" max="9076" customWidth="1" bestFit="1" width="3.0" style="763"/>
    <col min="9077" max="9077" customWidth="1" bestFit="1" width="3.0" style="763"/>
    <col min="9078" max="9078" customWidth="1" bestFit="1" width="3.0" style="763"/>
    <col min="9079" max="9079" customWidth="1" bestFit="1" width="3.0" style="763"/>
    <col min="9080" max="9080" customWidth="1" bestFit="1" width="3.0" style="763"/>
    <col min="9081" max="9081" customWidth="1" bestFit="1" width="3.0" style="763"/>
    <col min="9082" max="9082" customWidth="1" bestFit="1" width="3.0" style="763"/>
    <col min="9083" max="9083" customWidth="1" bestFit="1" width="3.0" style="763"/>
    <col min="9084" max="9084" customWidth="1" bestFit="1" width="3.0" style="763"/>
    <col min="9085" max="9085" customWidth="1" bestFit="1" width="3.0" style="763"/>
    <col min="9086" max="9086" customWidth="1" bestFit="1" width="3.0" style="763"/>
    <col min="9087" max="9087" customWidth="1" bestFit="1" width="3.0" style="763"/>
    <col min="9088" max="9088" customWidth="1" bestFit="1" width="3.0" style="763"/>
    <col min="9089" max="9089" customWidth="1" bestFit="1" width="3.0" style="763"/>
    <col min="9090" max="9090" customWidth="1" bestFit="1" width="3.0" style="763"/>
    <col min="9091" max="9091" customWidth="1" bestFit="1" width="3.0" style="763"/>
    <col min="9092" max="9092" customWidth="1" bestFit="1" width="3.0" style="763"/>
    <col min="9093" max="9093" customWidth="1" bestFit="1" width="3.0" style="763"/>
    <col min="9094" max="9094" customWidth="1" bestFit="1" width="3.0" style="763"/>
    <col min="9095" max="9095" customWidth="1" bestFit="1" width="3.0" style="763"/>
    <col min="9096" max="9096" customWidth="1" bestFit="1" width="3.0" style="763"/>
    <col min="9097" max="9097" customWidth="1" bestFit="1" width="3.0" style="763"/>
    <col min="9098" max="9098" customWidth="1" bestFit="1" width="3.0" style="763"/>
    <col min="9099" max="9099" customWidth="1" bestFit="1" width="3.0" style="763"/>
    <col min="9100" max="9100" customWidth="1" bestFit="1" width="3.0" style="763"/>
    <col min="9101" max="9101" customWidth="1" bestFit="1" width="3.0" style="763"/>
    <col min="9102" max="9102" customWidth="1" bestFit="1" width="3.0" style="763"/>
    <col min="9103" max="9103" customWidth="1" bestFit="1" width="3.0" style="763"/>
    <col min="9104" max="9104" customWidth="1" bestFit="1" width="3.0" style="763"/>
    <col min="9105" max="9105" customWidth="1" bestFit="1" width="3.0" style="763"/>
    <col min="9106" max="9106" customWidth="1" bestFit="1" width="3.0" style="763"/>
    <col min="9107" max="9107" customWidth="1" bestFit="1" width="3.0" style="763"/>
    <col min="9108" max="9108" customWidth="1" bestFit="1" width="3.0" style="763"/>
    <col min="9109" max="9109" customWidth="1" bestFit="1" width="3.0" style="763"/>
    <col min="9110" max="9110" customWidth="1" bestFit="1" width="3.0" style="763"/>
    <col min="9111" max="9111" customWidth="1" bestFit="1" width="3.0" style="763"/>
    <col min="9112" max="9112" customWidth="1" bestFit="1" width="3.0" style="763"/>
    <col min="9113" max="9113" customWidth="1" bestFit="1" width="3.0" style="763"/>
    <col min="9114" max="9114" customWidth="1" bestFit="1" width="3.0" style="763"/>
    <col min="9115" max="9115" customWidth="1" bestFit="1" width="3.0" style="763"/>
    <col min="9116" max="9116" customWidth="1" bestFit="1" width="3.0" style="763"/>
    <col min="9117" max="9117" customWidth="1" bestFit="1" width="3.0" style="763"/>
    <col min="9118" max="9118" customWidth="1" bestFit="1" width="3.0" style="763"/>
    <col min="9119" max="9119" customWidth="1" bestFit="1" width="3.0" style="763"/>
    <col min="9120" max="9120" customWidth="1" bestFit="1" width="3.0" style="763"/>
    <col min="9121" max="9121" customWidth="1" bestFit="1" width="3.0" style="763"/>
    <col min="9122" max="9122" customWidth="1" bestFit="1" width="3.0" style="763"/>
    <col min="9123" max="9123" customWidth="1" bestFit="1" width="3.0" style="763"/>
    <col min="9124" max="9124" customWidth="1" bestFit="1" width="3.0" style="763"/>
    <col min="9125" max="9125" customWidth="1" bestFit="1" width="3.0" style="763"/>
    <col min="9126" max="9126" customWidth="1" bestFit="1" width="3.0" style="763"/>
    <col min="9127" max="9127" customWidth="1" bestFit="1" width="3.0" style="763"/>
    <col min="9128" max="9128" customWidth="1" bestFit="1" width="3.0" style="763"/>
    <col min="9129" max="9129" customWidth="1" bestFit="1" width="3.0" style="763"/>
    <col min="9130" max="9130" customWidth="1" bestFit="1" width="3.0" style="763"/>
    <col min="9131" max="9131" customWidth="1" bestFit="1" width="3.0" style="763"/>
    <col min="9132" max="9132" customWidth="1" bestFit="1" width="3.0" style="763"/>
    <col min="9133" max="9133" customWidth="1" bestFit="1" width="3.0" style="763"/>
    <col min="9134" max="9134" customWidth="1" bestFit="1" width="3.0" style="763"/>
    <col min="9135" max="9135" customWidth="1" bestFit="1" width="3.0" style="763"/>
    <col min="9136" max="9136" customWidth="1" bestFit="1" width="3.0" style="763"/>
    <col min="9137" max="9137" customWidth="1" bestFit="1" width="3.0" style="763"/>
    <col min="9138" max="9138" customWidth="1" bestFit="1" width="3.0" style="763"/>
    <col min="9139" max="9139" customWidth="1" bestFit="1" width="3.0" style="763"/>
    <col min="9140" max="9140" customWidth="1" bestFit="1" width="3.0" style="763"/>
    <col min="9141" max="9141" customWidth="1" bestFit="1" width="3.0" style="763"/>
    <col min="9142" max="9142" customWidth="1" bestFit="1" width="3.0" style="763"/>
    <col min="9143" max="9143" customWidth="1" bestFit="1" width="3.0" style="763"/>
    <col min="9144" max="9144" customWidth="1" bestFit="1" width="3.0" style="763"/>
    <col min="9145" max="9145" customWidth="1" bestFit="1" width="3.0" style="763"/>
    <col min="9146" max="9146" customWidth="1" bestFit="1" width="3.0" style="763"/>
    <col min="9147" max="9147" customWidth="1" bestFit="1" width="3.0" style="763"/>
    <col min="9148" max="9148" customWidth="1" bestFit="1" width="3.0" style="763"/>
    <col min="9149" max="9149" customWidth="1" bestFit="1" width="3.0" style="763"/>
    <col min="9150" max="9150" customWidth="1" bestFit="1" width="3.0" style="763"/>
    <col min="9151" max="9151" customWidth="1" bestFit="1" width="3.0" style="763"/>
    <col min="9152" max="9152" customWidth="1" bestFit="1" width="3.0" style="763"/>
    <col min="9153" max="9153" customWidth="1" bestFit="1" width="3.0" style="763"/>
    <col min="9154" max="9154" customWidth="1" bestFit="1" width="3.0" style="763"/>
    <col min="9155" max="9155" customWidth="1" bestFit="1" width="3.0" style="763"/>
    <col min="9156" max="9156" customWidth="1" bestFit="1" width="3.0" style="763"/>
    <col min="9157" max="9157" customWidth="1" bestFit="1" width="3.0" style="763"/>
    <col min="9158" max="9158" customWidth="1" bestFit="1" width="3.0" style="763"/>
    <col min="9159" max="9159" customWidth="1" bestFit="1" width="3.0" style="763"/>
    <col min="9160" max="9160" customWidth="1" bestFit="1" width="3.0" style="763"/>
    <col min="9161" max="9161" customWidth="1" bestFit="1" width="3.0" style="763"/>
    <col min="9162" max="9162" customWidth="1" bestFit="1" width="3.0" style="763"/>
    <col min="9163" max="9163" customWidth="1" bestFit="1" width="3.0" style="763"/>
    <col min="9164" max="9164" customWidth="1" bestFit="1" width="3.0" style="763"/>
    <col min="9165" max="9165" customWidth="1" bestFit="1" width="3.0" style="763"/>
    <col min="9166" max="9166" customWidth="1" bestFit="1" width="3.0" style="763"/>
    <col min="9167" max="9167" customWidth="1" bestFit="1" width="3.0" style="763"/>
    <col min="9168" max="9168" customWidth="1" bestFit="1" width="3.0" style="763"/>
    <col min="9169" max="9169" customWidth="1" bestFit="1" width="3.0" style="763"/>
    <col min="9170" max="9170" customWidth="1" bestFit="1" width="3.0" style="763"/>
    <col min="9171" max="9171" customWidth="1" bestFit="1" width="3.0" style="763"/>
    <col min="9172" max="9172" customWidth="1" bestFit="1" width="3.0" style="763"/>
    <col min="9173" max="9173" customWidth="1" bestFit="1" width="3.0" style="763"/>
    <col min="9174" max="9174" customWidth="1" bestFit="1" width="3.0" style="763"/>
    <col min="9175" max="9175" customWidth="1" bestFit="1" width="3.0" style="763"/>
    <col min="9176" max="9176" customWidth="1" bestFit="1" width="3.0" style="763"/>
    <col min="9177" max="9177" customWidth="1" bestFit="1" width="3.0" style="763"/>
    <col min="9178" max="9178" customWidth="1" bestFit="1" width="3.0" style="763"/>
    <col min="9179" max="9179" customWidth="1" bestFit="1" width="3.0" style="763"/>
    <col min="9180" max="9180" customWidth="1" bestFit="1" width="3.0" style="763"/>
    <col min="9181" max="9181" customWidth="1" bestFit="1" width="3.0" style="763"/>
    <col min="9182" max="9182" customWidth="1" bestFit="1" width="3.0" style="763"/>
    <col min="9183" max="9183" customWidth="1" bestFit="1" width="3.0" style="763"/>
    <col min="9184" max="9184" customWidth="1" bestFit="1" width="3.0" style="763"/>
    <col min="9185" max="9185" customWidth="1" bestFit="1" width="3.0" style="763"/>
    <col min="9186" max="9186" customWidth="1" bestFit="1" width="3.0" style="763"/>
    <col min="9187" max="9187" customWidth="1" bestFit="1" width="3.0" style="763"/>
    <col min="9188" max="9188" customWidth="1" bestFit="1" width="3.0" style="763"/>
    <col min="9189" max="9189" customWidth="1" bestFit="1" width="3.0" style="763"/>
    <col min="9190" max="9190" customWidth="1" bestFit="1" width="3.0" style="763"/>
    <col min="9191" max="9191" customWidth="1" bestFit="1" width="3.0" style="763"/>
    <col min="9192" max="9192" customWidth="1" bestFit="1" width="3.0" style="763"/>
    <col min="9193" max="9193" customWidth="1" bestFit="1" width="3.0" style="763"/>
    <col min="9194" max="9194" customWidth="1" bestFit="1" width="3.0" style="763"/>
    <col min="9195" max="9195" customWidth="1" bestFit="1" width="3.0" style="763"/>
    <col min="9196" max="9196" customWidth="1" bestFit="1" width="3.0" style="763"/>
    <col min="9197" max="9197" customWidth="1" bestFit="1" width="3.0" style="763"/>
    <col min="9198" max="9198" customWidth="1" bestFit="1" width="3.0" style="763"/>
    <col min="9199" max="9199" customWidth="1" bestFit="1" width="3.0" style="763"/>
    <col min="9200" max="9200" customWidth="1" bestFit="1" width="3.0" style="763"/>
    <col min="9201" max="9201" customWidth="1" bestFit="1" width="3.0" style="763"/>
    <col min="9202" max="9202" customWidth="1" bestFit="1" width="3.0" style="763"/>
    <col min="9203" max="9203" customWidth="1" bestFit="1" width="3.0" style="763"/>
    <col min="9204" max="9204" customWidth="1" bestFit="1" width="3.0" style="763"/>
    <col min="9205" max="9205" customWidth="1" bestFit="1" width="3.0" style="763"/>
    <col min="9206" max="9206" customWidth="1" bestFit="1" width="3.0" style="763"/>
    <col min="9207" max="9207" customWidth="1" bestFit="1" width="3.0" style="763"/>
    <col min="9208" max="9208" customWidth="1" bestFit="1" width="3.0" style="763"/>
    <col min="9209" max="9209" customWidth="1" bestFit="1" width="3.0" style="763"/>
    <col min="9210" max="9210" customWidth="1" bestFit="1" width="3.0" style="763"/>
    <col min="9211" max="9211" customWidth="1" bestFit="1" width="3.0" style="763"/>
    <col min="9212" max="9212" customWidth="1" bestFit="1" width="3.0" style="763"/>
    <col min="9213" max="9213" customWidth="1" bestFit="1" width="3.0" style="763"/>
    <col min="9214" max="9214" customWidth="1" bestFit="1" width="3.0" style="763"/>
    <col min="9215" max="9215" customWidth="1" bestFit="1" width="3.0" style="763"/>
    <col min="9216" max="9216" customWidth="1" bestFit="1" width="3.0" style="763"/>
    <col min="9217" max="9217" customWidth="1" bestFit="1" width="3.0" style="763"/>
    <col min="9218" max="9218" customWidth="1" bestFit="1" width="3.0" style="763"/>
    <col min="9219" max="9219" customWidth="1" bestFit="1" width="3.0" style="763"/>
    <col min="9220" max="9220" customWidth="1" bestFit="1" width="3.0" style="763"/>
    <col min="9221" max="9221" customWidth="1" bestFit="1" width="3.0" style="763"/>
    <col min="9222" max="9222" customWidth="1" bestFit="1" width="3.0" style="763"/>
    <col min="9223" max="9223" customWidth="1" bestFit="1" width="3.0" style="763"/>
    <col min="9224" max="9224" customWidth="1" bestFit="1" width="3.0" style="763"/>
    <col min="9225" max="9225" customWidth="1" bestFit="1" width="3.0" style="763"/>
    <col min="9226" max="9226" customWidth="1" bestFit="1" width="3.0" style="763"/>
    <col min="9227" max="9227" customWidth="1" bestFit="1" width="3.0" style="763"/>
    <col min="9228" max="9228" customWidth="1" bestFit="1" width="3.0" style="763"/>
    <col min="9229" max="9229" customWidth="1" bestFit="1" width="3.0" style="763"/>
    <col min="9230" max="9230" customWidth="1" bestFit="1" width="3.0" style="763"/>
    <col min="9231" max="9231" customWidth="1" bestFit="1" width="3.0" style="763"/>
    <col min="9232" max="9232" customWidth="1" bestFit="1" width="3.0" style="763"/>
    <col min="9233" max="9233" customWidth="1" bestFit="1" width="3.0" style="763"/>
    <col min="9234" max="9234" customWidth="1" bestFit="1" width="3.0" style="763"/>
    <col min="9235" max="9235" customWidth="1" bestFit="1" width="3.0" style="763"/>
    <col min="9236" max="9236" customWidth="1" bestFit="1" width="3.0" style="763"/>
    <col min="9237" max="9237" customWidth="1" bestFit="1" width="3.0" style="763"/>
    <col min="9238" max="9238" customWidth="1" bestFit="1" width="3.0" style="763"/>
    <col min="9239" max="9239" customWidth="1" bestFit="1" width="3.0" style="763"/>
    <col min="9240" max="9240" customWidth="1" bestFit="1" width="3.0" style="763"/>
    <col min="9241" max="9241" customWidth="1" bestFit="1" width="3.0" style="763"/>
    <col min="9242" max="9242" customWidth="1" bestFit="1" width="3.0" style="763"/>
    <col min="9243" max="9243" customWidth="1" bestFit="1" width="3.0" style="763"/>
    <col min="9244" max="9244" customWidth="1" bestFit="1" width="3.0" style="763"/>
    <col min="9245" max="9245" customWidth="1" bestFit="1" width="3.0" style="763"/>
    <col min="9246" max="9246" customWidth="1" bestFit="1" width="3.0" style="763"/>
    <col min="9247" max="9247" customWidth="1" bestFit="1" width="3.0" style="763"/>
    <col min="9248" max="9248" customWidth="1" bestFit="1" width="3.0" style="763"/>
    <col min="9249" max="9249" customWidth="1" bestFit="1" width="3.0" style="763"/>
    <col min="9250" max="9250" customWidth="1" bestFit="1" width="3.0" style="763"/>
    <col min="9251" max="9251" customWidth="1" bestFit="1" width="3.0" style="763"/>
    <col min="9252" max="9252" customWidth="1" bestFit="1" width="3.0" style="763"/>
    <col min="9253" max="9253" customWidth="1" bestFit="1" width="3.0" style="763"/>
    <col min="9254" max="9254" customWidth="1" bestFit="1" width="3.0" style="763"/>
    <col min="9255" max="9255" customWidth="1" bestFit="1" width="3.0" style="763"/>
    <col min="9256" max="9256" customWidth="1" bestFit="1" width="3.0" style="763"/>
    <col min="9257" max="9257" customWidth="1" bestFit="1" width="3.0" style="763"/>
    <col min="9258" max="9258" customWidth="1" bestFit="1" width="3.0" style="763"/>
    <col min="9259" max="9259" customWidth="1" bestFit="1" width="3.0" style="763"/>
    <col min="9260" max="9260" customWidth="1" bestFit="1" width="3.0" style="763"/>
    <col min="9261" max="9261" customWidth="1" bestFit="1" width="3.0" style="763"/>
    <col min="9262" max="9262" customWidth="1" bestFit="1" width="3.0" style="763"/>
    <col min="9263" max="9263" customWidth="1" bestFit="1" width="3.0" style="763"/>
    <col min="9264" max="9264" customWidth="1" bestFit="1" width="3.0" style="763"/>
    <col min="9265" max="9265" customWidth="1" bestFit="1" width="3.0" style="763"/>
    <col min="9266" max="9266" customWidth="1" bestFit="1" width="3.0" style="763"/>
    <col min="9267" max="9267" customWidth="1" bestFit="1" width="3.0" style="763"/>
    <col min="9268" max="9268" customWidth="1" bestFit="1" width="3.0" style="763"/>
    <col min="9269" max="9269" customWidth="1" bestFit="1" width="3.0" style="763"/>
    <col min="9270" max="9270" customWidth="1" bestFit="1" width="3.0" style="763"/>
    <col min="9271" max="9271" customWidth="1" bestFit="1" width="3.0" style="763"/>
    <col min="9272" max="9272" customWidth="1" bestFit="1" width="3.0" style="763"/>
    <col min="9273" max="9273" customWidth="1" bestFit="1" width="3.0" style="763"/>
    <col min="9274" max="9274" customWidth="1" bestFit="1" width="3.0" style="763"/>
    <col min="9275" max="9275" customWidth="1" bestFit="1" width="3.0" style="763"/>
    <col min="9276" max="9276" customWidth="1" bestFit="1" width="3.0" style="763"/>
    <col min="9277" max="9277" customWidth="1" bestFit="1" width="3.0" style="763"/>
    <col min="9278" max="9278" customWidth="1" bestFit="1" width="3.0" style="763"/>
    <col min="9279" max="9279" customWidth="1" bestFit="1" width="3.0" style="763"/>
    <col min="9280" max="9280" customWidth="1" bestFit="1" width="3.0" style="763"/>
    <col min="9281" max="9281" customWidth="1" bestFit="1" width="3.0" style="763"/>
    <col min="9282" max="9282" customWidth="1" bestFit="1" width="3.0" style="763"/>
    <col min="9283" max="9283" customWidth="1" bestFit="1" width="3.0" style="763"/>
    <col min="9284" max="9284" customWidth="1" bestFit="1" width="3.0" style="763"/>
    <col min="9285" max="9285" customWidth="1" bestFit="1" width="3.0" style="763"/>
    <col min="9286" max="9286" customWidth="1" bestFit="1" width="3.0" style="763"/>
    <col min="9287" max="9287" customWidth="1" bestFit="1" width="3.0" style="763"/>
    <col min="9288" max="9288" customWidth="1" bestFit="1" width="3.0" style="763"/>
    <col min="9289" max="9289" customWidth="1" bestFit="1" width="3.0" style="763"/>
    <col min="9290" max="9290" customWidth="1" bestFit="1" width="3.0" style="763"/>
    <col min="9291" max="9291" customWidth="1" bestFit="1" width="3.0" style="763"/>
    <col min="9292" max="9292" customWidth="1" bestFit="1" width="3.0" style="763"/>
    <col min="9293" max="9293" customWidth="1" bestFit="1" width="3.0" style="763"/>
    <col min="9294" max="9294" customWidth="1" bestFit="1" width="3.0" style="763"/>
    <col min="9295" max="9295" customWidth="1" bestFit="1" width="3.0" style="763"/>
    <col min="9296" max="9296" customWidth="1" bestFit="1" width="3.0" style="763"/>
    <col min="9297" max="9297" customWidth="1" bestFit="1" width="3.0" style="763"/>
    <col min="9298" max="9298" customWidth="1" bestFit="1" width="3.0" style="763"/>
    <col min="9299" max="9299" customWidth="1" bestFit="1" width="3.0" style="763"/>
    <col min="9300" max="9300" customWidth="1" bestFit="1" width="3.0" style="763"/>
    <col min="9301" max="9301" customWidth="1" bestFit="1" width="3.0" style="763"/>
    <col min="9302" max="9302" customWidth="1" bestFit="1" width="3.0" style="763"/>
    <col min="9303" max="9303" customWidth="1" bestFit="1" width="3.0" style="763"/>
    <col min="9304" max="9304" customWidth="1" bestFit="1" width="3.0" style="763"/>
    <col min="9305" max="9305" customWidth="1" bestFit="1" width="3.0" style="763"/>
    <col min="9306" max="9306" customWidth="1" bestFit="1" width="3.0" style="763"/>
    <col min="9307" max="9307" customWidth="1" bestFit="1" width="3.0" style="763"/>
    <col min="9308" max="9308" customWidth="1" bestFit="1" width="3.0" style="763"/>
    <col min="9309" max="9309" customWidth="1" bestFit="1" width="3.0" style="763"/>
    <col min="9310" max="9310" customWidth="1" bestFit="1" width="3.0" style="763"/>
    <col min="9311" max="9311" customWidth="1" bestFit="1" width="3.0" style="763"/>
    <col min="9312" max="9312" customWidth="1" bestFit="1" width="3.0" style="763"/>
    <col min="9313" max="9313" customWidth="1" bestFit="1" width="3.0" style="763"/>
    <col min="9314" max="9314" customWidth="1" bestFit="1" width="3.0" style="763"/>
    <col min="9315" max="9315" customWidth="1" bestFit="1" width="3.0" style="763"/>
    <col min="9316" max="9316" customWidth="1" bestFit="1" width="3.0" style="763"/>
    <col min="9317" max="9317" customWidth="1" bestFit="1" width="3.0" style="763"/>
    <col min="9318" max="9318" customWidth="1" bestFit="1" width="3.0" style="763"/>
    <col min="9319" max="9319" customWidth="1" bestFit="1" width="3.0" style="763"/>
    <col min="9320" max="9320" customWidth="1" bestFit="1" width="3.0" style="763"/>
    <col min="9321" max="9321" customWidth="1" bestFit="1" width="3.0" style="763"/>
    <col min="9322" max="9322" customWidth="1" bestFit="1" width="3.0" style="763"/>
    <col min="9323" max="9323" customWidth="1" bestFit="1" width="3.0" style="763"/>
    <col min="9324" max="9324" customWidth="1" bestFit="1" width="3.0" style="763"/>
    <col min="9325" max="9325" customWidth="1" bestFit="1" width="3.0" style="763"/>
    <col min="9326" max="9326" customWidth="1" bestFit="1" width="3.0" style="763"/>
    <col min="9327" max="9327" customWidth="1" bestFit="1" width="3.0" style="763"/>
    <col min="9328" max="9328" customWidth="1" bestFit="1" width="3.0" style="763"/>
    <col min="9329" max="9329" customWidth="1" bestFit="1" width="3.0" style="763"/>
    <col min="9330" max="9330" customWidth="1" bestFit="1" width="3.0" style="763"/>
    <col min="9331" max="9331" customWidth="1" bestFit="1" width="3.0" style="763"/>
    <col min="9332" max="9332" customWidth="1" bestFit="1" width="3.0" style="763"/>
    <col min="9333" max="9333" customWidth="1" bestFit="1" width="3.0" style="763"/>
    <col min="9334" max="9334" customWidth="1" bestFit="1" width="3.0" style="763"/>
    <col min="9335" max="9335" customWidth="1" bestFit="1" width="3.0" style="763"/>
    <col min="9336" max="9336" customWidth="1" bestFit="1" width="3.0" style="763"/>
    <col min="9337" max="9337" customWidth="1" bestFit="1" width="3.0" style="763"/>
    <col min="9338" max="9338" customWidth="1" bestFit="1" width="3.0" style="763"/>
    <col min="9339" max="9339" customWidth="1" bestFit="1" width="3.0" style="763"/>
    <col min="9340" max="9340" customWidth="1" bestFit="1" width="3.0" style="763"/>
    <col min="9341" max="9341" customWidth="1" bestFit="1" width="3.0" style="763"/>
    <col min="9342" max="9342" customWidth="1" bestFit="1" width="3.0" style="763"/>
    <col min="9343" max="9343" customWidth="1" bestFit="1" width="3.0" style="763"/>
    <col min="9344" max="9344" customWidth="1" bestFit="1" width="3.0" style="763"/>
    <col min="9345" max="9345" customWidth="1" bestFit="1" width="3.0" style="763"/>
    <col min="9346" max="9346" customWidth="1" bestFit="1" width="3.0" style="763"/>
    <col min="9347" max="9347" customWidth="1" bestFit="1" width="3.0" style="763"/>
    <col min="9348" max="9348" customWidth="1" bestFit="1" width="3.0" style="763"/>
    <col min="9349" max="9349" customWidth="1" bestFit="1" width="3.0" style="763"/>
    <col min="9350" max="9350" customWidth="1" bestFit="1" width="3.0" style="763"/>
    <col min="9351" max="9351" customWidth="1" bestFit="1" width="3.0" style="763"/>
    <col min="9352" max="9352" customWidth="1" bestFit="1" width="3.0" style="763"/>
    <col min="9353" max="9353" customWidth="1" bestFit="1" width="3.0" style="763"/>
    <col min="9354" max="9354" customWidth="1" bestFit="1" width="3.0" style="763"/>
    <col min="9355" max="9355" customWidth="1" bestFit="1" width="3.0" style="763"/>
    <col min="9356" max="9356" customWidth="1" bestFit="1" width="3.0" style="763"/>
    <col min="9357" max="9357" customWidth="1" bestFit="1" width="3.0" style="763"/>
    <col min="9358" max="9358" customWidth="1" bestFit="1" width="3.0" style="763"/>
    <col min="9359" max="9359" customWidth="1" bestFit="1" width="3.0" style="763"/>
    <col min="9360" max="9360" customWidth="1" bestFit="1" width="3.0" style="763"/>
    <col min="9361" max="9361" customWidth="1" bestFit="1" width="3.0" style="763"/>
    <col min="9362" max="9362" customWidth="1" bestFit="1" width="3.0" style="763"/>
    <col min="9363" max="9363" customWidth="1" bestFit="1" width="3.0" style="763"/>
    <col min="9364" max="9364" customWidth="1" bestFit="1" width="3.0" style="763"/>
    <col min="9365" max="9365" customWidth="1" bestFit="1" width="3.0" style="763"/>
    <col min="9366" max="9366" customWidth="1" bestFit="1" width="3.0" style="763"/>
    <col min="9367" max="9367" customWidth="1" bestFit="1" width="3.0" style="763"/>
    <col min="9368" max="9368" customWidth="1" bestFit="1" width="3.0" style="763"/>
    <col min="9369" max="9369" customWidth="1" bestFit="1" width="3.0" style="763"/>
    <col min="9370" max="9370" customWidth="1" bestFit="1" width="3.0" style="763"/>
    <col min="9371" max="9371" customWidth="1" bestFit="1" width="3.0" style="763"/>
    <col min="9372" max="9372" customWidth="1" bestFit="1" width="3.0" style="763"/>
    <col min="9373" max="9373" customWidth="1" bestFit="1" width="3.0" style="763"/>
    <col min="9374" max="9374" customWidth="1" bestFit="1" width="3.0" style="763"/>
    <col min="9375" max="9375" customWidth="1" bestFit="1" width="3.0" style="763"/>
    <col min="9376" max="9376" customWidth="1" bestFit="1" width="3.0" style="763"/>
    <col min="9377" max="9377" customWidth="1" bestFit="1" width="3.0" style="763"/>
    <col min="9378" max="9378" customWidth="1" bestFit="1" width="3.0" style="763"/>
    <col min="9379" max="9379" customWidth="1" bestFit="1" width="3.0" style="763"/>
    <col min="9380" max="9380" customWidth="1" bestFit="1" width="3.0" style="763"/>
    <col min="9381" max="9381" customWidth="1" bestFit="1" width="3.0" style="763"/>
    <col min="9382" max="9382" customWidth="1" bestFit="1" width="3.0" style="763"/>
    <col min="9383" max="9383" customWidth="1" bestFit="1" width="3.0" style="763"/>
    <col min="9384" max="9384" customWidth="1" bestFit="1" width="3.0" style="763"/>
    <col min="9385" max="9385" customWidth="1" bestFit="1" width="3.0" style="763"/>
    <col min="9386" max="9386" customWidth="1" bestFit="1" width="3.0" style="763"/>
    <col min="9387" max="9387" customWidth="1" bestFit="1" width="3.0" style="763"/>
    <col min="9388" max="9388" customWidth="1" bestFit="1" width="3.0" style="763"/>
    <col min="9389" max="9389" customWidth="1" bestFit="1" width="3.0" style="763"/>
    <col min="9390" max="9390" customWidth="1" bestFit="1" width="3.0" style="763"/>
    <col min="9391" max="9391" customWidth="1" bestFit="1" width="3.0" style="763"/>
    <col min="9392" max="9392" customWidth="1" bestFit="1" width="3.0" style="763"/>
    <col min="9393" max="9393" customWidth="1" bestFit="1" width="3.0" style="763"/>
    <col min="9394" max="9394" customWidth="1" bestFit="1" width="3.0" style="763"/>
    <col min="9395" max="9395" customWidth="1" bestFit="1" width="3.0" style="763"/>
    <col min="9396" max="9396" customWidth="1" bestFit="1" width="3.0" style="763"/>
    <col min="9397" max="9397" customWidth="1" bestFit="1" width="3.0" style="763"/>
    <col min="9398" max="9398" customWidth="1" bestFit="1" width="3.0" style="763"/>
    <col min="9399" max="9399" customWidth="1" bestFit="1" width="3.0" style="763"/>
    <col min="9400" max="9400" customWidth="1" bestFit="1" width="3.0" style="763"/>
    <col min="9401" max="9401" customWidth="1" bestFit="1" width="3.0" style="763"/>
    <col min="9402" max="9402" customWidth="1" bestFit="1" width="3.0" style="763"/>
    <col min="9403" max="9403" customWidth="1" bestFit="1" width="3.0" style="763"/>
    <col min="9404" max="9404" customWidth="1" bestFit="1" width="3.0" style="763"/>
    <col min="9405" max="9405" customWidth="1" bestFit="1" width="3.0" style="763"/>
    <col min="9406" max="9406" customWidth="1" bestFit="1" width="3.0" style="763"/>
    <col min="9407" max="9407" customWidth="1" bestFit="1" width="3.0" style="763"/>
    <col min="9408" max="9408" customWidth="1" bestFit="1" width="3.0" style="763"/>
    <col min="9409" max="9409" customWidth="1" bestFit="1" width="3.0" style="763"/>
    <col min="9410" max="9410" customWidth="1" bestFit="1" width="3.0" style="763"/>
    <col min="9411" max="9411" customWidth="1" bestFit="1" width="3.0" style="763"/>
    <col min="9412" max="9412" customWidth="1" bestFit="1" width="3.0" style="763"/>
    <col min="9413" max="9413" customWidth="1" bestFit="1" width="3.0" style="763"/>
    <col min="9414" max="9414" customWidth="1" bestFit="1" width="3.0" style="763"/>
    <col min="9415" max="9415" customWidth="1" bestFit="1" width="3.0" style="763"/>
    <col min="9416" max="9416" customWidth="1" bestFit="1" width="3.0" style="763"/>
    <col min="9417" max="9417" customWidth="1" bestFit="1" width="3.0" style="763"/>
    <col min="9418" max="9418" customWidth="1" bestFit="1" width="3.0" style="763"/>
    <col min="9419" max="9419" customWidth="1" bestFit="1" width="3.0" style="763"/>
    <col min="9420" max="9420" customWidth="1" bestFit="1" width="3.0" style="763"/>
    <col min="9421" max="9421" customWidth="1" bestFit="1" width="3.0" style="763"/>
    <col min="9422" max="9422" customWidth="1" bestFit="1" width="3.0" style="763"/>
    <col min="9423" max="9423" customWidth="1" bestFit="1" width="3.0" style="763"/>
    <col min="9424" max="9424" customWidth="1" bestFit="1" width="3.0" style="763"/>
    <col min="9425" max="9425" customWidth="1" bestFit="1" width="3.0" style="763"/>
    <col min="9426" max="9426" customWidth="1" bestFit="1" width="3.0" style="763"/>
    <col min="9427" max="9427" customWidth="1" bestFit="1" width="3.0" style="763"/>
    <col min="9428" max="9428" customWidth="1" bestFit="1" width="3.0" style="763"/>
    <col min="9429" max="9429" customWidth="1" bestFit="1" width="3.0" style="763"/>
    <col min="9430" max="9430" customWidth="1" bestFit="1" width="3.0" style="763"/>
    <col min="9431" max="9431" customWidth="1" bestFit="1" width="3.0" style="763"/>
    <col min="9432" max="9432" customWidth="1" bestFit="1" width="3.0" style="763"/>
    <col min="9433" max="9433" customWidth="1" bestFit="1" width="3.0" style="763"/>
    <col min="9434" max="9434" customWidth="1" bestFit="1" width="3.0" style="763"/>
    <col min="9435" max="9435" customWidth="1" bestFit="1" width="3.0" style="763"/>
    <col min="9436" max="9436" customWidth="1" bestFit="1" width="3.0" style="763"/>
    <col min="9437" max="9437" customWidth="1" bestFit="1" width="3.0" style="763"/>
    <col min="9438" max="9438" customWidth="1" bestFit="1" width="3.0" style="763"/>
    <col min="9439" max="9439" customWidth="1" bestFit="1" width="3.0" style="763"/>
    <col min="9440" max="9440" customWidth="1" bestFit="1" width="3.0" style="763"/>
    <col min="9441" max="9441" customWidth="1" bestFit="1" width="3.0" style="763"/>
    <col min="9442" max="9442" customWidth="1" bestFit="1" width="3.0" style="763"/>
    <col min="9443" max="9443" customWidth="1" bestFit="1" width="3.0" style="763"/>
    <col min="9444" max="9444" customWidth="1" bestFit="1" width="3.0" style="763"/>
    <col min="9445" max="9445" customWidth="1" bestFit="1" width="3.0" style="763"/>
    <col min="9446" max="9446" customWidth="1" bestFit="1" width="3.0" style="763"/>
    <col min="9447" max="9447" customWidth="1" bestFit="1" width="3.0" style="763"/>
    <col min="9448" max="9448" customWidth="1" bestFit="1" width="3.0" style="763"/>
    <col min="9449" max="9449" customWidth="1" bestFit="1" width="3.0" style="763"/>
    <col min="9450" max="9450" customWidth="1" bestFit="1" width="3.0" style="763"/>
    <col min="9451" max="9451" customWidth="1" bestFit="1" width="3.0" style="763"/>
    <col min="9452" max="9452" customWidth="1" bestFit="1" width="3.0" style="763"/>
    <col min="9453" max="9453" customWidth="1" bestFit="1" width="3.0" style="763"/>
    <col min="9454" max="9454" customWidth="1" bestFit="1" width="3.0" style="763"/>
    <col min="9455" max="9455" customWidth="1" bestFit="1" width="3.0" style="763"/>
    <col min="9456" max="9456" customWidth="1" bestFit="1" width="3.0" style="763"/>
    <col min="9457" max="9457" customWidth="1" bestFit="1" width="3.0" style="763"/>
    <col min="9458" max="9458" customWidth="1" bestFit="1" width="3.0" style="763"/>
    <col min="9459" max="9459" customWidth="1" bestFit="1" width="3.0" style="763"/>
    <col min="9460" max="9460" customWidth="1" bestFit="1" width="3.0" style="763"/>
    <col min="9461" max="9461" customWidth="1" bestFit="1" width="3.0" style="763"/>
    <col min="9462" max="9462" customWidth="1" bestFit="1" width="3.0" style="763"/>
    <col min="9463" max="9463" customWidth="1" bestFit="1" width="3.0" style="763"/>
    <col min="9464" max="9464" customWidth="1" bestFit="1" width="3.0" style="763"/>
    <col min="9465" max="9465" customWidth="1" bestFit="1" width="3.0" style="763"/>
    <col min="9466" max="9466" customWidth="1" bestFit="1" width="3.0" style="763"/>
    <col min="9467" max="9467" customWidth="1" bestFit="1" width="3.0" style="763"/>
    <col min="9468" max="9468" customWidth="1" bestFit="1" width="3.0" style="763"/>
    <col min="9469" max="9469" customWidth="1" bestFit="1" width="3.0" style="763"/>
    <col min="9470" max="9470" customWidth="1" bestFit="1" width="3.0" style="763"/>
    <col min="9471" max="9471" customWidth="1" bestFit="1" width="3.0" style="763"/>
    <col min="9472" max="9472" customWidth="1" bestFit="1" width="3.0" style="763"/>
    <col min="9473" max="9473" customWidth="1" bestFit="1" width="3.0" style="763"/>
    <col min="9474" max="9474" customWidth="1" bestFit="1" width="3.0" style="763"/>
    <col min="9475" max="9475" customWidth="1" bestFit="1" width="3.0" style="763"/>
    <col min="9476" max="9476" customWidth="1" bestFit="1" width="3.0" style="763"/>
    <col min="9477" max="9477" customWidth="1" bestFit="1" width="3.0" style="763"/>
    <col min="9478" max="9478" customWidth="1" bestFit="1" width="3.0" style="763"/>
    <col min="9479" max="9479" customWidth="1" bestFit="1" width="3.0" style="763"/>
    <col min="9480" max="9480" customWidth="1" bestFit="1" width="3.0" style="763"/>
    <col min="9481" max="9481" customWidth="1" bestFit="1" width="3.0" style="763"/>
    <col min="9482" max="9482" customWidth="1" bestFit="1" width="3.0" style="763"/>
    <col min="9483" max="9483" customWidth="1" bestFit="1" width="3.0" style="763"/>
    <col min="9484" max="9484" customWidth="1" bestFit="1" width="3.0" style="763"/>
    <col min="9485" max="9485" customWidth="1" bestFit="1" width="3.0" style="763"/>
    <col min="9486" max="9486" customWidth="1" bestFit="1" width="3.0" style="763"/>
    <col min="9487" max="9487" customWidth="1" bestFit="1" width="3.0" style="763"/>
    <col min="9488" max="9488" customWidth="1" bestFit="1" width="3.0" style="763"/>
    <col min="9489" max="9489" customWidth="1" bestFit="1" width="3.0" style="763"/>
    <col min="9490" max="9490" customWidth="1" bestFit="1" width="3.0" style="763"/>
    <col min="9491" max="9491" customWidth="1" bestFit="1" width="3.0" style="763"/>
    <col min="9492" max="9492" customWidth="1" bestFit="1" width="3.0" style="763"/>
    <col min="9493" max="9493" customWidth="1" bestFit="1" width="3.0" style="763"/>
    <col min="9494" max="9494" customWidth="1" bestFit="1" width="3.0" style="763"/>
    <col min="9495" max="9495" customWidth="1" bestFit="1" width="3.0" style="763"/>
    <col min="9496" max="9496" customWidth="1" bestFit="1" width="3.0" style="763"/>
    <col min="9497" max="9497" customWidth="1" bestFit="1" width="3.0" style="763"/>
    <col min="9498" max="9498" customWidth="1" bestFit="1" width="3.0" style="763"/>
    <col min="9499" max="9499" customWidth="1" bestFit="1" width="3.0" style="763"/>
    <col min="9500" max="9500" customWidth="1" bestFit="1" width="3.0" style="763"/>
    <col min="9501" max="9501" customWidth="1" bestFit="1" width="3.0" style="763"/>
    <col min="9502" max="9502" customWidth="1" bestFit="1" width="3.0" style="763"/>
    <col min="9503" max="9503" customWidth="1" bestFit="1" width="3.0" style="763"/>
    <col min="9504" max="9504" customWidth="1" bestFit="1" width="3.0" style="763"/>
    <col min="9505" max="9505" customWidth="1" bestFit="1" width="3.0" style="763"/>
    <col min="9506" max="9506" customWidth="1" bestFit="1" width="3.0" style="763"/>
    <col min="9507" max="9507" customWidth="1" bestFit="1" width="3.0" style="763"/>
    <col min="9508" max="9508" customWidth="1" bestFit="1" width="3.0" style="763"/>
    <col min="9509" max="9509" customWidth="1" bestFit="1" width="3.0" style="763"/>
    <col min="9510" max="9510" customWidth="1" bestFit="1" width="3.0" style="763"/>
    <col min="9511" max="9511" customWidth="1" bestFit="1" width="3.0" style="763"/>
    <col min="9512" max="9512" customWidth="1" bestFit="1" width="3.0" style="763"/>
    <col min="9513" max="9513" customWidth="1" bestFit="1" width="3.0" style="763"/>
    <col min="9514" max="9514" customWidth="1" bestFit="1" width="3.0" style="763"/>
    <col min="9515" max="9515" customWidth="1" bestFit="1" width="3.0" style="763"/>
    <col min="9516" max="9516" customWidth="1" bestFit="1" width="3.0" style="763"/>
    <col min="9517" max="9517" customWidth="1" bestFit="1" width="3.0" style="763"/>
    <col min="9518" max="9518" customWidth="1" bestFit="1" width="3.0" style="763"/>
    <col min="9519" max="9519" customWidth="1" bestFit="1" width="3.0" style="763"/>
    <col min="9520" max="9520" customWidth="1" bestFit="1" width="3.0" style="763"/>
    <col min="9521" max="9521" customWidth="1" bestFit="1" width="3.0" style="763"/>
    <col min="9522" max="9522" customWidth="1" bestFit="1" width="3.0" style="763"/>
    <col min="9523" max="9523" customWidth="1" bestFit="1" width="3.0" style="763"/>
    <col min="9524" max="9524" customWidth="1" bestFit="1" width="3.0" style="763"/>
    <col min="9525" max="9525" customWidth="1" bestFit="1" width="3.0" style="763"/>
    <col min="9526" max="9526" customWidth="1" bestFit="1" width="3.0" style="763"/>
    <col min="9527" max="9527" customWidth="1" bestFit="1" width="3.0" style="763"/>
    <col min="9528" max="9528" customWidth="1" bestFit="1" width="3.0" style="763"/>
    <col min="9529" max="9529" customWidth="1" bestFit="1" width="3.0" style="763"/>
    <col min="9530" max="9530" customWidth="1" bestFit="1" width="3.0" style="763"/>
    <col min="9531" max="9531" customWidth="1" bestFit="1" width="3.0" style="763"/>
    <col min="9532" max="9532" customWidth="1" bestFit="1" width="3.0" style="763"/>
    <col min="9533" max="9533" customWidth="1" bestFit="1" width="3.0" style="763"/>
    <col min="9534" max="9534" customWidth="1" bestFit="1" width="3.0" style="763"/>
    <col min="9535" max="9535" customWidth="1" bestFit="1" width="3.0" style="763"/>
    <col min="9536" max="9536" customWidth="1" bestFit="1" width="3.0" style="763"/>
    <col min="9537" max="9537" customWidth="1" bestFit="1" width="3.0" style="763"/>
    <col min="9538" max="9538" customWidth="1" bestFit="1" width="3.0" style="763"/>
    <col min="9539" max="9539" customWidth="1" bestFit="1" width="3.0" style="763"/>
    <col min="9540" max="9540" customWidth="1" bestFit="1" width="3.0" style="763"/>
    <col min="9541" max="9541" customWidth="1" bestFit="1" width="3.0" style="763"/>
    <col min="9542" max="9542" customWidth="1" bestFit="1" width="3.0" style="763"/>
    <col min="9543" max="9543" customWidth="1" bestFit="1" width="3.0" style="763"/>
    <col min="9544" max="9544" customWidth="1" bestFit="1" width="3.0" style="763"/>
    <col min="9545" max="9545" customWidth="1" bestFit="1" width="3.0" style="763"/>
    <col min="9546" max="9546" customWidth="1" bestFit="1" width="3.0" style="763"/>
    <col min="9547" max="9547" customWidth="1" bestFit="1" width="3.0" style="763"/>
    <col min="9548" max="9548" customWidth="1" bestFit="1" width="3.0" style="763"/>
    <col min="9549" max="9549" customWidth="1" bestFit="1" width="3.0" style="763"/>
    <col min="9550" max="9550" customWidth="1" bestFit="1" width="3.0" style="763"/>
    <col min="9551" max="9551" customWidth="1" bestFit="1" width="3.0" style="763"/>
    <col min="9552" max="9552" customWidth="1" bestFit="1" width="3.0" style="763"/>
    <col min="9553" max="9553" customWidth="1" bestFit="1" width="3.0" style="763"/>
    <col min="9554" max="9554" customWidth="1" bestFit="1" width="3.0" style="763"/>
    <col min="9555" max="9555" customWidth="1" bestFit="1" width="3.0" style="763"/>
    <col min="9556" max="9556" customWidth="1" bestFit="1" width="3.0" style="763"/>
    <col min="9557" max="9557" customWidth="1" bestFit="1" width="3.0" style="763"/>
    <col min="9558" max="9558" customWidth="1" bestFit="1" width="3.0" style="763"/>
    <col min="9559" max="9559" customWidth="1" bestFit="1" width="3.0" style="763"/>
    <col min="9560" max="9560" customWidth="1" bestFit="1" width="3.0" style="763"/>
    <col min="9561" max="9561" customWidth="1" bestFit="1" width="3.0" style="763"/>
    <col min="9562" max="9562" customWidth="1" bestFit="1" width="3.0" style="763"/>
    <col min="9563" max="9563" customWidth="1" bestFit="1" width="3.0" style="763"/>
    <col min="9564" max="9564" customWidth="1" bestFit="1" width="3.0" style="763"/>
    <col min="9565" max="9565" customWidth="1" bestFit="1" width="3.0" style="763"/>
    <col min="9566" max="9566" customWidth="1" bestFit="1" width="3.0" style="763"/>
    <col min="9567" max="9567" customWidth="1" bestFit="1" width="3.0" style="763"/>
    <col min="9568" max="9568" customWidth="1" bestFit="1" width="3.0" style="763"/>
    <col min="9569" max="9569" customWidth="1" bestFit="1" width="3.0" style="763"/>
    <col min="9570" max="9570" customWidth="1" bestFit="1" width="3.0" style="763"/>
    <col min="9571" max="9571" customWidth="1" bestFit="1" width="3.0" style="763"/>
    <col min="9572" max="9572" customWidth="1" bestFit="1" width="3.0" style="763"/>
    <col min="9573" max="9573" customWidth="1" bestFit="1" width="3.0" style="763"/>
    <col min="9574" max="9574" customWidth="1" bestFit="1" width="3.0" style="763"/>
    <col min="9575" max="9575" customWidth="1" bestFit="1" width="3.0" style="763"/>
    <col min="9576" max="9576" customWidth="1" bestFit="1" width="3.0" style="763"/>
    <col min="9577" max="9577" customWidth="1" bestFit="1" width="3.0" style="763"/>
    <col min="9578" max="9578" customWidth="1" bestFit="1" width="3.0" style="763"/>
    <col min="9579" max="9579" customWidth="1" bestFit="1" width="3.0" style="763"/>
    <col min="9580" max="9580" customWidth="1" bestFit="1" width="3.0" style="763"/>
    <col min="9581" max="9581" customWidth="1" bestFit="1" width="3.0" style="763"/>
    <col min="9582" max="9582" customWidth="1" bestFit="1" width="3.0" style="763"/>
    <col min="9583" max="9583" customWidth="1" bestFit="1" width="3.0" style="763"/>
    <col min="9584" max="9584" customWidth="1" bestFit="1" width="3.0" style="763"/>
    <col min="9585" max="9585" customWidth="1" bestFit="1" width="3.0" style="763"/>
    <col min="9586" max="9586" customWidth="1" bestFit="1" width="3.0" style="763"/>
    <col min="9587" max="9587" customWidth="1" bestFit="1" width="3.0" style="763"/>
    <col min="9588" max="9588" customWidth="1" bestFit="1" width="3.0" style="763"/>
    <col min="9589" max="9589" customWidth="1" bestFit="1" width="3.0" style="763"/>
    <col min="9590" max="9590" customWidth="1" bestFit="1" width="3.0" style="763"/>
    <col min="9591" max="9591" customWidth="1" bestFit="1" width="3.0" style="763"/>
    <col min="9592" max="9592" customWidth="1" bestFit="1" width="3.0" style="763"/>
    <col min="9593" max="9593" customWidth="1" bestFit="1" width="3.0" style="763"/>
    <col min="9594" max="9594" customWidth="1" bestFit="1" width="3.0" style="763"/>
    <col min="9595" max="9595" customWidth="1" bestFit="1" width="3.0" style="763"/>
    <col min="9596" max="9596" customWidth="1" bestFit="1" width="3.0" style="763"/>
    <col min="9597" max="9597" customWidth="1" bestFit="1" width="3.0" style="763"/>
    <col min="9598" max="9598" customWidth="1" bestFit="1" width="3.0" style="763"/>
    <col min="9599" max="9599" customWidth="1" bestFit="1" width="3.0" style="763"/>
    <col min="9600" max="9600" customWidth="1" bestFit="1" width="3.0" style="763"/>
    <col min="9601" max="9601" customWidth="1" bestFit="1" width="3.0" style="763"/>
    <col min="9602" max="9602" customWidth="1" bestFit="1" width="3.0" style="763"/>
    <col min="9603" max="9603" customWidth="1" bestFit="1" width="3.0" style="763"/>
    <col min="9604" max="9604" customWidth="1" bestFit="1" width="3.0" style="763"/>
    <col min="9605" max="9605" customWidth="1" bestFit="1" width="3.0" style="763"/>
    <col min="9606" max="9606" customWidth="1" bestFit="1" width="3.0" style="763"/>
    <col min="9607" max="9607" customWidth="1" bestFit="1" width="3.0" style="763"/>
    <col min="9608" max="9608" customWidth="1" bestFit="1" width="3.0" style="763"/>
    <col min="9609" max="9609" customWidth="1" bestFit="1" width="3.0" style="763"/>
    <col min="9610" max="9610" customWidth="1" bestFit="1" width="3.0" style="763"/>
    <col min="9611" max="9611" customWidth="1" bestFit="1" width="3.0" style="763"/>
    <col min="9612" max="9612" customWidth="1" bestFit="1" width="3.0" style="763"/>
    <col min="9613" max="9613" customWidth="1" bestFit="1" width="3.0" style="763"/>
    <col min="9614" max="9614" customWidth="1" bestFit="1" width="3.0" style="763"/>
    <col min="9615" max="9615" customWidth="1" bestFit="1" width="3.0" style="763"/>
    <col min="9616" max="9616" customWidth="1" bestFit="1" width="3.0" style="763"/>
    <col min="9617" max="9617" customWidth="1" bestFit="1" width="3.0" style="763"/>
    <col min="9618" max="9618" customWidth="1" bestFit="1" width="3.0" style="763"/>
    <col min="9619" max="9619" customWidth="1" bestFit="1" width="3.0" style="763"/>
    <col min="9620" max="9620" customWidth="1" bestFit="1" width="3.0" style="763"/>
    <col min="9621" max="9621" customWidth="1" bestFit="1" width="3.0" style="763"/>
    <col min="9622" max="9622" customWidth="1" bestFit="1" width="3.0" style="763"/>
    <col min="9623" max="9623" customWidth="1" bestFit="1" width="3.0" style="763"/>
    <col min="9624" max="9624" customWidth="1" bestFit="1" width="3.0" style="763"/>
    <col min="9625" max="9625" customWidth="1" bestFit="1" width="3.0" style="763"/>
    <col min="9626" max="9626" customWidth="1" bestFit="1" width="3.0" style="763"/>
    <col min="9627" max="9627" customWidth="1" bestFit="1" width="3.0" style="763"/>
    <col min="9628" max="9628" customWidth="1" bestFit="1" width="3.0" style="763"/>
    <col min="9629" max="9629" customWidth="1" bestFit="1" width="3.0" style="763"/>
    <col min="9630" max="9630" customWidth="1" bestFit="1" width="3.0" style="763"/>
    <col min="9631" max="9631" customWidth="1" bestFit="1" width="3.0" style="763"/>
    <col min="9632" max="9632" customWidth="1" bestFit="1" width="3.0" style="763"/>
    <col min="9633" max="9633" customWidth="1" bestFit="1" width="3.0" style="763"/>
    <col min="9634" max="9634" customWidth="1" bestFit="1" width="3.0" style="763"/>
    <col min="9635" max="9635" customWidth="1" bestFit="1" width="3.0" style="763"/>
    <col min="9636" max="9636" customWidth="1" bestFit="1" width="3.0" style="763"/>
    <col min="9637" max="9637" customWidth="1" bestFit="1" width="3.0" style="763"/>
    <col min="9638" max="9638" customWidth="1" bestFit="1" width="3.0" style="763"/>
    <col min="9639" max="9639" customWidth="1" bestFit="1" width="3.0" style="763"/>
    <col min="9640" max="9640" customWidth="1" bestFit="1" width="3.0" style="763"/>
    <col min="9641" max="9641" customWidth="1" bestFit="1" width="3.0" style="763"/>
    <col min="9642" max="9642" customWidth="1" bestFit="1" width="3.0" style="763"/>
    <col min="9643" max="9643" customWidth="1" bestFit="1" width="3.0" style="763"/>
    <col min="9644" max="9644" customWidth="1" bestFit="1" width="3.0" style="763"/>
    <col min="9645" max="9645" customWidth="1" bestFit="1" width="3.0" style="763"/>
    <col min="9646" max="9646" customWidth="1" bestFit="1" width="3.0" style="763"/>
    <col min="9647" max="9647" customWidth="1" bestFit="1" width="3.0" style="763"/>
    <col min="9648" max="9648" customWidth="1" bestFit="1" width="3.0" style="763"/>
    <col min="9649" max="9649" customWidth="1" bestFit="1" width="3.0" style="763"/>
    <col min="9650" max="9650" customWidth="1" bestFit="1" width="3.0" style="763"/>
    <col min="9651" max="9651" customWidth="1" bestFit="1" width="3.0" style="763"/>
    <col min="9652" max="9652" customWidth="1" bestFit="1" width="3.0" style="763"/>
    <col min="9653" max="9653" customWidth="1" bestFit="1" width="3.0" style="763"/>
    <col min="9654" max="9654" customWidth="1" bestFit="1" width="3.0" style="763"/>
    <col min="9655" max="9655" customWidth="1" bestFit="1" width="3.0" style="763"/>
    <col min="9656" max="9656" customWidth="1" bestFit="1" width="3.0" style="763"/>
    <col min="9657" max="9657" customWidth="1" bestFit="1" width="3.0" style="763"/>
    <col min="9658" max="9658" customWidth="1" bestFit="1" width="3.0" style="763"/>
    <col min="9659" max="9659" customWidth="1" bestFit="1" width="3.0" style="763"/>
    <col min="9660" max="9660" customWidth="1" bestFit="1" width="3.0" style="763"/>
    <col min="9661" max="9661" customWidth="1" bestFit="1" width="3.0" style="763"/>
    <col min="9662" max="9662" customWidth="1" bestFit="1" width="3.0" style="763"/>
    <col min="9663" max="9663" customWidth="1" bestFit="1" width="3.0" style="763"/>
    <col min="9664" max="9664" customWidth="1" bestFit="1" width="3.0" style="763"/>
    <col min="9665" max="9665" customWidth="1" bestFit="1" width="3.0" style="763"/>
    <col min="9666" max="9666" customWidth="1" bestFit="1" width="3.0" style="763"/>
    <col min="9667" max="9667" customWidth="1" bestFit="1" width="3.0" style="763"/>
    <col min="9668" max="9668" customWidth="1" bestFit="1" width="3.0" style="763"/>
    <col min="9669" max="9669" customWidth="1" bestFit="1" width="3.0" style="763"/>
    <col min="9670" max="9670" customWidth="1" bestFit="1" width="3.0" style="763"/>
    <col min="9671" max="9671" customWidth="1" bestFit="1" width="3.0" style="763"/>
    <col min="9672" max="9672" customWidth="1" bestFit="1" width="3.0" style="763"/>
    <col min="9673" max="9673" customWidth="1" bestFit="1" width="3.0" style="763"/>
    <col min="9674" max="9674" customWidth="1" bestFit="1" width="3.0" style="763"/>
    <col min="9675" max="9675" customWidth="1" bestFit="1" width="3.0" style="763"/>
    <col min="9676" max="9676" customWidth="1" bestFit="1" width="3.0" style="763"/>
    <col min="9677" max="9677" customWidth="1" bestFit="1" width="3.0" style="763"/>
    <col min="9678" max="9678" customWidth="1" bestFit="1" width="3.0" style="763"/>
    <col min="9679" max="9679" customWidth="1" bestFit="1" width="3.0" style="763"/>
    <col min="9680" max="9680" customWidth="1" bestFit="1" width="3.0" style="763"/>
    <col min="9681" max="9681" customWidth="1" bestFit="1" width="3.0" style="763"/>
    <col min="9682" max="9682" customWidth="1" bestFit="1" width="3.0" style="763"/>
    <col min="9683" max="9683" customWidth="1" bestFit="1" width="3.0" style="763"/>
    <col min="9684" max="9684" customWidth="1" bestFit="1" width="3.0" style="763"/>
    <col min="9685" max="9685" customWidth="1" bestFit="1" width="3.0" style="763"/>
    <col min="9686" max="9686" customWidth="1" bestFit="1" width="3.0" style="763"/>
    <col min="9687" max="9687" customWidth="1" bestFit="1" width="3.0" style="763"/>
    <col min="9688" max="9688" customWidth="1" bestFit="1" width="3.0" style="763"/>
    <col min="9689" max="9689" customWidth="1" bestFit="1" width="3.0" style="763"/>
    <col min="9690" max="9690" customWidth="1" bestFit="1" width="3.0" style="763"/>
    <col min="9691" max="9691" customWidth="1" bestFit="1" width="3.0" style="763"/>
    <col min="9692" max="9692" customWidth="1" bestFit="1" width="3.0" style="763"/>
    <col min="9693" max="9693" customWidth="1" bestFit="1" width="3.0" style="763"/>
    <col min="9694" max="9694" customWidth="1" bestFit="1" width="3.0" style="763"/>
    <col min="9695" max="9695" customWidth="1" bestFit="1" width="3.0" style="763"/>
    <col min="9696" max="9696" customWidth="1" bestFit="1" width="3.0" style="763"/>
    <col min="9697" max="9697" customWidth="1" bestFit="1" width="3.0" style="763"/>
    <col min="9698" max="9698" customWidth="1" bestFit="1" width="3.0" style="763"/>
    <col min="9699" max="9699" customWidth="1" bestFit="1" width="3.0" style="763"/>
    <col min="9700" max="9700" customWidth="1" bestFit="1" width="3.0" style="763"/>
    <col min="9701" max="9701" customWidth="1" bestFit="1" width="3.0" style="763"/>
    <col min="9702" max="9702" customWidth="1" bestFit="1" width="3.0" style="763"/>
    <col min="9703" max="9703" customWidth="1" bestFit="1" width="3.0" style="763"/>
    <col min="9704" max="9704" customWidth="1" bestFit="1" width="3.0" style="763"/>
    <col min="9705" max="9705" customWidth="1" bestFit="1" width="3.0" style="763"/>
    <col min="9706" max="9706" customWidth="1" bestFit="1" width="3.0" style="763"/>
    <col min="9707" max="9707" customWidth="1" bestFit="1" width="3.0" style="763"/>
    <col min="9708" max="9708" customWidth="1" bestFit="1" width="3.0" style="763"/>
    <col min="9709" max="9709" customWidth="1" bestFit="1" width="3.0" style="763"/>
    <col min="9710" max="9710" customWidth="1" bestFit="1" width="3.0" style="763"/>
    <col min="9711" max="9711" customWidth="1" bestFit="1" width="3.0" style="763"/>
    <col min="9712" max="9712" customWidth="1" bestFit="1" width="3.0" style="763"/>
    <col min="9713" max="9713" customWidth="1" bestFit="1" width="3.0" style="763"/>
    <col min="9714" max="9714" customWidth="1" bestFit="1" width="3.0" style="763"/>
    <col min="9715" max="9715" customWidth="1" bestFit="1" width="3.0" style="763"/>
    <col min="9716" max="9716" customWidth="1" bestFit="1" width="3.0" style="763"/>
    <col min="9717" max="9717" customWidth="1" bestFit="1" width="3.0" style="763"/>
    <col min="9718" max="9718" customWidth="1" bestFit="1" width="3.0" style="763"/>
    <col min="9719" max="9719" customWidth="1" bestFit="1" width="3.0" style="763"/>
    <col min="9720" max="9720" customWidth="1" bestFit="1" width="3.0" style="763"/>
    <col min="9721" max="9721" customWidth="1" bestFit="1" width="3.0" style="763"/>
    <col min="9722" max="9722" customWidth="1" bestFit="1" width="3.0" style="763"/>
    <col min="9723" max="9723" customWidth="1" bestFit="1" width="3.0" style="763"/>
    <col min="9724" max="9724" customWidth="1" bestFit="1" width="3.0" style="763"/>
    <col min="9725" max="9725" customWidth="1" bestFit="1" width="3.0" style="763"/>
    <col min="9726" max="9726" customWidth="1" bestFit="1" width="3.0" style="763"/>
    <col min="9727" max="9727" customWidth="1" bestFit="1" width="3.0" style="763"/>
    <col min="9728" max="9728" customWidth="1" bestFit="1" width="3.0" style="763"/>
    <col min="9729" max="9729" customWidth="1" bestFit="1" width="3.0" style="763"/>
    <col min="9730" max="9730" customWidth="1" bestFit="1" width="3.0" style="763"/>
    <col min="9731" max="9731" customWidth="1" bestFit="1" width="3.0" style="763"/>
    <col min="9732" max="9732" customWidth="1" bestFit="1" width="3.0" style="763"/>
    <col min="9733" max="9733" customWidth="1" bestFit="1" width="3.0" style="763"/>
    <col min="9734" max="9734" customWidth="1" bestFit="1" width="3.0" style="763"/>
    <col min="9735" max="9735" customWidth="1" bestFit="1" width="3.0" style="763"/>
    <col min="9736" max="9736" customWidth="1" bestFit="1" width="3.0" style="763"/>
    <col min="9737" max="9737" customWidth="1" bestFit="1" width="3.0" style="763"/>
    <col min="9738" max="9738" customWidth="1" bestFit="1" width="3.0" style="763"/>
    <col min="9739" max="9739" customWidth="1" bestFit="1" width="3.0" style="763"/>
    <col min="9740" max="9740" customWidth="1" bestFit="1" width="3.0" style="763"/>
    <col min="9741" max="9741" customWidth="1" bestFit="1" width="3.0" style="763"/>
    <col min="9742" max="9742" customWidth="1" bestFit="1" width="3.0" style="763"/>
    <col min="9743" max="9743" customWidth="1" bestFit="1" width="3.0" style="763"/>
    <col min="9744" max="9744" customWidth="1" bestFit="1" width="3.0" style="763"/>
    <col min="9745" max="9745" customWidth="1" bestFit="1" width="3.0" style="763"/>
    <col min="9746" max="9746" customWidth="1" bestFit="1" width="3.0" style="763"/>
    <col min="9747" max="9747" customWidth="1" bestFit="1" width="3.0" style="763"/>
    <col min="9748" max="9748" customWidth="1" bestFit="1" width="3.0" style="763"/>
    <col min="9749" max="9749" customWidth="1" bestFit="1" width="3.0" style="763"/>
    <col min="9750" max="9750" customWidth="1" bestFit="1" width="3.0" style="763"/>
    <col min="9751" max="9751" customWidth="1" bestFit="1" width="3.0" style="763"/>
    <col min="9752" max="9752" customWidth="1" bestFit="1" width="3.0" style="763"/>
    <col min="9753" max="9753" customWidth="1" bestFit="1" width="3.0" style="763"/>
    <col min="9754" max="9754" customWidth="1" bestFit="1" width="3.0" style="763"/>
    <col min="9755" max="9755" customWidth="1" bestFit="1" width="3.0" style="763"/>
    <col min="9756" max="9756" customWidth="1" bestFit="1" width="3.0" style="763"/>
    <col min="9757" max="9757" customWidth="1" bestFit="1" width="3.0" style="763"/>
    <col min="9758" max="9758" customWidth="1" bestFit="1" width="3.0" style="763"/>
    <col min="9759" max="9759" customWidth="1" bestFit="1" width="3.0" style="763"/>
    <col min="9760" max="9760" customWidth="1" bestFit="1" width="3.0" style="763"/>
    <col min="9761" max="9761" customWidth="1" bestFit="1" width="3.0" style="763"/>
    <col min="9762" max="9762" customWidth="1" bestFit="1" width="3.0" style="763"/>
    <col min="9763" max="9763" customWidth="1" bestFit="1" width="3.0" style="763"/>
    <col min="9764" max="9764" customWidth="1" bestFit="1" width="3.0" style="763"/>
    <col min="9765" max="9765" customWidth="1" bestFit="1" width="3.0" style="763"/>
    <col min="9766" max="9766" customWidth="1" bestFit="1" width="3.0" style="763"/>
    <col min="9767" max="9767" customWidth="1" bestFit="1" width="3.0" style="763"/>
    <col min="9768" max="9768" customWidth="1" bestFit="1" width="3.0" style="763"/>
    <col min="9769" max="9769" customWidth="1" bestFit="1" width="3.0" style="763"/>
    <col min="9770" max="9770" customWidth="1" bestFit="1" width="3.0" style="763"/>
    <col min="9771" max="9771" customWidth="1" bestFit="1" width="3.0" style="763"/>
    <col min="9772" max="9772" customWidth="1" bestFit="1" width="3.0" style="763"/>
    <col min="9773" max="9773" customWidth="1" bestFit="1" width="3.0" style="763"/>
    <col min="9774" max="9774" customWidth="1" bestFit="1" width="3.0" style="763"/>
    <col min="9775" max="9775" customWidth="1" bestFit="1" width="3.0" style="763"/>
    <col min="9776" max="9776" customWidth="1" bestFit="1" width="3.0" style="763"/>
    <col min="9777" max="9777" customWidth="1" bestFit="1" width="3.0" style="763"/>
    <col min="9778" max="9778" customWidth="1" bestFit="1" width="3.0" style="763"/>
    <col min="9779" max="9779" customWidth="1" bestFit="1" width="3.0" style="763"/>
    <col min="9780" max="9780" customWidth="1" bestFit="1" width="3.0" style="763"/>
    <col min="9781" max="9781" customWidth="1" bestFit="1" width="3.0" style="763"/>
    <col min="9782" max="9782" customWidth="1" bestFit="1" width="3.0" style="763"/>
    <col min="9783" max="9783" customWidth="1" bestFit="1" width="3.0" style="763"/>
    <col min="9784" max="9784" customWidth="1" bestFit="1" width="3.0" style="763"/>
    <col min="9785" max="9785" customWidth="1" bestFit="1" width="3.0" style="763"/>
    <col min="9786" max="9786" customWidth="1" bestFit="1" width="3.0" style="763"/>
    <col min="9787" max="9787" customWidth="1" bestFit="1" width="3.0" style="763"/>
    <col min="9788" max="9788" customWidth="1" bestFit="1" width="3.0" style="763"/>
    <col min="9789" max="9789" customWidth="1" bestFit="1" width="3.0" style="763"/>
    <col min="9790" max="9790" customWidth="1" bestFit="1" width="3.0" style="763"/>
    <col min="9791" max="9791" customWidth="1" bestFit="1" width="3.0" style="763"/>
    <col min="9792" max="9792" customWidth="1" bestFit="1" width="3.0" style="763"/>
    <col min="9793" max="9793" customWidth="1" bestFit="1" width="3.0" style="763"/>
    <col min="9794" max="9794" customWidth="1" bestFit="1" width="3.0" style="763"/>
    <col min="9795" max="9795" customWidth="1" bestFit="1" width="3.0" style="763"/>
    <col min="9796" max="9796" customWidth="1" bestFit="1" width="3.0" style="763"/>
    <col min="9797" max="9797" customWidth="1" bestFit="1" width="3.0" style="763"/>
    <col min="9798" max="9798" customWidth="1" bestFit="1" width="3.0" style="763"/>
    <col min="9799" max="9799" customWidth="1" bestFit="1" width="3.0" style="763"/>
    <col min="9800" max="9800" customWidth="1" bestFit="1" width="3.0" style="763"/>
    <col min="9801" max="9801" customWidth="1" bestFit="1" width="3.0" style="763"/>
    <col min="9802" max="9802" customWidth="1" bestFit="1" width="3.0" style="763"/>
    <col min="9803" max="9803" customWidth="1" bestFit="1" width="3.0" style="763"/>
    <col min="9804" max="9804" customWidth="1" bestFit="1" width="3.0" style="763"/>
    <col min="9805" max="9805" customWidth="1" bestFit="1" width="3.0" style="763"/>
    <col min="9806" max="9806" customWidth="1" bestFit="1" width="3.0" style="763"/>
    <col min="9807" max="9807" customWidth="1" bestFit="1" width="3.0" style="763"/>
    <col min="9808" max="9808" customWidth="1" bestFit="1" width="3.0" style="763"/>
    <col min="9809" max="9809" customWidth="1" bestFit="1" width="3.0" style="763"/>
    <col min="9810" max="9810" customWidth="1" bestFit="1" width="3.0" style="763"/>
    <col min="9811" max="9811" customWidth="1" bestFit="1" width="3.0" style="763"/>
    <col min="9812" max="9812" customWidth="1" bestFit="1" width="3.0" style="763"/>
    <col min="9813" max="9813" customWidth="1" bestFit="1" width="3.0" style="763"/>
    <col min="9814" max="9814" customWidth="1" bestFit="1" width="3.0" style="763"/>
    <col min="9815" max="9815" customWidth="1" bestFit="1" width="3.0" style="763"/>
    <col min="9816" max="9816" customWidth="1" bestFit="1" width="3.0" style="763"/>
    <col min="9817" max="9817" customWidth="1" bestFit="1" width="3.0" style="763"/>
    <col min="9818" max="9818" customWidth="1" bestFit="1" width="3.0" style="763"/>
    <col min="9819" max="9819" customWidth="1" bestFit="1" width="3.0" style="763"/>
    <col min="9820" max="9820" customWidth="1" bestFit="1" width="3.0" style="763"/>
    <col min="9821" max="9821" customWidth="1" bestFit="1" width="3.0" style="763"/>
    <col min="9822" max="9822" customWidth="1" bestFit="1" width="3.0" style="763"/>
    <col min="9823" max="9823" customWidth="1" bestFit="1" width="3.0" style="763"/>
    <col min="9824" max="9824" customWidth="1" bestFit="1" width="3.0" style="763"/>
    <col min="9825" max="9825" customWidth="1" bestFit="1" width="3.0" style="763"/>
    <col min="9826" max="9826" customWidth="1" bestFit="1" width="3.0" style="763"/>
    <col min="9827" max="9827" customWidth="1" bestFit="1" width="3.0" style="763"/>
    <col min="9828" max="9828" customWidth="1" bestFit="1" width="3.0" style="763"/>
    <col min="9829" max="9829" customWidth="1" bestFit="1" width="3.0" style="763"/>
    <col min="9830" max="9830" customWidth="1" bestFit="1" width="3.0" style="763"/>
    <col min="9831" max="9831" customWidth="1" bestFit="1" width="3.0" style="763"/>
    <col min="9832" max="9832" customWidth="1" bestFit="1" width="3.0" style="763"/>
    <col min="9833" max="9833" customWidth="1" bestFit="1" width="3.0" style="763"/>
    <col min="9834" max="9834" customWidth="1" bestFit="1" width="3.0" style="763"/>
    <col min="9835" max="9835" customWidth="1" bestFit="1" width="3.0" style="763"/>
    <col min="9836" max="9836" customWidth="1" bestFit="1" width="3.0" style="763"/>
    <col min="9837" max="9837" customWidth="1" bestFit="1" width="3.0" style="763"/>
    <col min="9838" max="9838" customWidth="1" bestFit="1" width="3.0" style="763"/>
    <col min="9839" max="9839" customWidth="1" bestFit="1" width="3.0" style="763"/>
    <col min="9840" max="9840" customWidth="1" bestFit="1" width="3.0" style="763"/>
    <col min="9841" max="9841" customWidth="1" bestFit="1" width="3.0" style="763"/>
    <col min="9842" max="9842" customWidth="1" bestFit="1" width="3.0" style="763"/>
    <col min="9843" max="9843" customWidth="1" bestFit="1" width="3.0" style="763"/>
    <col min="9844" max="9844" customWidth="1" bestFit="1" width="3.0" style="763"/>
    <col min="9845" max="9845" customWidth="1" bestFit="1" width="3.0" style="763"/>
    <col min="9846" max="9846" customWidth="1" bestFit="1" width="3.0" style="763"/>
    <col min="9847" max="9847" customWidth="1" bestFit="1" width="3.0" style="763"/>
    <col min="9848" max="9848" customWidth="1" bestFit="1" width="3.0" style="763"/>
    <col min="9849" max="9849" customWidth="1" bestFit="1" width="3.0" style="763"/>
    <col min="9850" max="9850" customWidth="1" bestFit="1" width="3.0" style="763"/>
    <col min="9851" max="9851" customWidth="1" bestFit="1" width="3.0" style="763"/>
    <col min="9852" max="9852" customWidth="1" bestFit="1" width="3.0" style="763"/>
    <col min="9853" max="9853" customWidth="1" bestFit="1" width="3.0" style="763"/>
    <col min="9854" max="9854" customWidth="1" bestFit="1" width="3.0" style="763"/>
    <col min="9855" max="9855" customWidth="1" bestFit="1" width="3.0" style="763"/>
    <col min="9856" max="9856" customWidth="1" bestFit="1" width="3.0" style="763"/>
    <col min="9857" max="9857" customWidth="1" bestFit="1" width="3.0" style="763"/>
    <col min="9858" max="9858" customWidth="1" bestFit="1" width="3.0" style="763"/>
    <col min="9859" max="9859" customWidth="1" bestFit="1" width="3.0" style="763"/>
    <col min="9860" max="9860" customWidth="1" bestFit="1" width="3.0" style="763"/>
    <col min="9861" max="9861" customWidth="1" bestFit="1" width="3.0" style="763"/>
    <col min="9862" max="9862" customWidth="1" bestFit="1" width="3.0" style="763"/>
    <col min="9863" max="9863" customWidth="1" bestFit="1" width="3.0" style="763"/>
    <col min="9864" max="9864" customWidth="1" bestFit="1" width="3.0" style="763"/>
    <col min="9865" max="9865" customWidth="1" bestFit="1" width="3.0" style="763"/>
    <col min="9866" max="9866" customWidth="1" bestFit="1" width="3.0" style="763"/>
    <col min="9867" max="9867" customWidth="1" bestFit="1" width="3.0" style="763"/>
    <col min="9868" max="9868" customWidth="1" bestFit="1" width="3.0" style="763"/>
    <col min="9869" max="9869" customWidth="1" bestFit="1" width="3.0" style="763"/>
    <col min="9870" max="9870" customWidth="1" bestFit="1" width="3.0" style="763"/>
    <col min="9871" max="9871" customWidth="1" bestFit="1" width="3.0" style="763"/>
    <col min="9872" max="9872" customWidth="1" bestFit="1" width="3.0" style="763"/>
    <col min="9873" max="9873" customWidth="1" bestFit="1" width="3.0" style="763"/>
    <col min="9874" max="9874" customWidth="1" bestFit="1" width="3.0" style="763"/>
    <col min="9875" max="9875" customWidth="1" bestFit="1" width="3.0" style="763"/>
    <col min="9876" max="9876" customWidth="1" bestFit="1" width="3.0" style="763"/>
    <col min="9877" max="9877" customWidth="1" bestFit="1" width="3.0" style="763"/>
    <col min="9878" max="9878" customWidth="1" bestFit="1" width="3.0" style="763"/>
    <col min="9879" max="9879" customWidth="1" bestFit="1" width="3.0" style="763"/>
    <col min="9880" max="9880" customWidth="1" bestFit="1" width="3.0" style="763"/>
    <col min="9881" max="9881" customWidth="1" bestFit="1" width="3.0" style="763"/>
    <col min="9882" max="9882" customWidth="1" bestFit="1" width="3.0" style="763"/>
    <col min="9883" max="9883" customWidth="1" bestFit="1" width="3.0" style="763"/>
    <col min="9884" max="9884" customWidth="1" bestFit="1" width="3.0" style="763"/>
    <col min="9885" max="9885" customWidth="1" bestFit="1" width="3.0" style="763"/>
    <col min="9886" max="9886" customWidth="1" bestFit="1" width="3.0" style="763"/>
    <col min="9887" max="9887" customWidth="1" bestFit="1" width="3.0" style="763"/>
    <col min="9888" max="9888" customWidth="1" bestFit="1" width="3.0" style="763"/>
    <col min="9889" max="9889" customWidth="1" bestFit="1" width="3.0" style="763"/>
    <col min="9890" max="9890" customWidth="1" bestFit="1" width="3.0" style="763"/>
    <col min="9891" max="9891" customWidth="1" bestFit="1" width="3.0" style="763"/>
    <col min="9892" max="9892" customWidth="1" bestFit="1" width="3.0" style="763"/>
    <col min="9893" max="9893" customWidth="1" bestFit="1" width="3.0" style="763"/>
    <col min="9894" max="9894" customWidth="1" bestFit="1" width="3.0" style="763"/>
    <col min="9895" max="9895" customWidth="1" bestFit="1" width="3.0" style="763"/>
    <col min="9896" max="9896" customWidth="1" bestFit="1" width="3.0" style="763"/>
    <col min="9897" max="9897" customWidth="1" bestFit="1" width="3.0" style="763"/>
    <col min="9898" max="9898" customWidth="1" bestFit="1" width="3.0" style="763"/>
    <col min="9899" max="9899" customWidth="1" bestFit="1" width="3.0" style="763"/>
    <col min="9900" max="9900" customWidth="1" bestFit="1" width="3.0" style="763"/>
    <col min="9901" max="9901" customWidth="1" bestFit="1" width="3.0" style="763"/>
    <col min="9902" max="9902" customWidth="1" bestFit="1" width="3.0" style="763"/>
    <col min="9903" max="9903" customWidth="1" bestFit="1" width="3.0" style="763"/>
    <col min="9904" max="9904" customWidth="1" bestFit="1" width="3.0" style="763"/>
    <col min="9905" max="9905" customWidth="1" bestFit="1" width="3.0" style="763"/>
    <col min="9906" max="9906" customWidth="1" bestFit="1" width="3.0" style="763"/>
    <col min="9907" max="9907" customWidth="1" bestFit="1" width="3.0" style="763"/>
    <col min="9908" max="9908" customWidth="1" bestFit="1" width="3.0" style="763"/>
    <col min="9909" max="9909" customWidth="1" bestFit="1" width="3.0" style="763"/>
    <col min="9910" max="9910" customWidth="1" bestFit="1" width="3.0" style="763"/>
    <col min="9911" max="9911" customWidth="1" bestFit="1" width="3.0" style="763"/>
    <col min="9912" max="9912" customWidth="1" bestFit="1" width="3.0" style="763"/>
    <col min="9913" max="9913" customWidth="1" bestFit="1" width="3.0" style="763"/>
    <col min="9914" max="9914" customWidth="1" bestFit="1" width="3.0" style="763"/>
    <col min="9915" max="9915" customWidth="1" bestFit="1" width="3.0" style="763"/>
    <col min="9916" max="9916" customWidth="1" bestFit="1" width="3.0" style="763"/>
    <col min="9917" max="9917" customWidth="1" bestFit="1" width="3.0" style="763"/>
    <col min="9918" max="9918" customWidth="1" bestFit="1" width="3.0" style="763"/>
    <col min="9919" max="9919" customWidth="1" bestFit="1" width="3.0" style="763"/>
    <col min="9920" max="9920" customWidth="1" bestFit="1" width="3.0" style="763"/>
    <col min="9921" max="9921" customWidth="1" bestFit="1" width="3.0" style="763"/>
    <col min="9922" max="9922" customWidth="1" bestFit="1" width="3.0" style="763"/>
    <col min="9923" max="9923" customWidth="1" bestFit="1" width="3.0" style="763"/>
    <col min="9924" max="9924" customWidth="1" bestFit="1" width="3.0" style="763"/>
    <col min="9925" max="9925" customWidth="1" bestFit="1" width="3.0" style="763"/>
    <col min="9926" max="9926" customWidth="1" bestFit="1" width="3.0" style="763"/>
    <col min="9927" max="9927" customWidth="1" bestFit="1" width="3.0" style="763"/>
    <col min="9928" max="9928" customWidth="1" bestFit="1" width="3.0" style="763"/>
    <col min="9929" max="9929" customWidth="1" bestFit="1" width="3.0" style="763"/>
    <col min="9930" max="9930" customWidth="1" bestFit="1" width="3.0" style="763"/>
    <col min="9931" max="9931" customWidth="1" bestFit="1" width="3.0" style="763"/>
    <col min="9932" max="9932" customWidth="1" bestFit="1" width="3.0" style="763"/>
    <col min="9933" max="9933" customWidth="1" bestFit="1" width="3.0" style="763"/>
    <col min="9934" max="9934" customWidth="1" bestFit="1" width="3.0" style="763"/>
    <col min="9935" max="9935" customWidth="1" bestFit="1" width="3.0" style="763"/>
    <col min="9936" max="9936" customWidth="1" bestFit="1" width="3.0" style="763"/>
    <col min="9937" max="9937" customWidth="1" bestFit="1" width="3.0" style="763"/>
    <col min="9938" max="9938" customWidth="1" bestFit="1" width="3.0" style="763"/>
    <col min="9939" max="9939" customWidth="1" bestFit="1" width="3.0" style="763"/>
    <col min="9940" max="9940" customWidth="1" bestFit="1" width="3.0" style="763"/>
    <col min="9941" max="9941" customWidth="1" bestFit="1" width="3.0" style="763"/>
    <col min="9942" max="9942" customWidth="1" bestFit="1" width="3.0" style="763"/>
    <col min="9943" max="9943" customWidth="1" bestFit="1" width="3.0" style="763"/>
    <col min="9944" max="9944" customWidth="1" bestFit="1" width="3.0" style="763"/>
    <col min="9945" max="9945" customWidth="1" bestFit="1" width="3.0" style="763"/>
    <col min="9946" max="9946" customWidth="1" bestFit="1" width="3.0" style="763"/>
    <col min="9947" max="9947" customWidth="1" bestFit="1" width="3.0" style="763"/>
    <col min="9948" max="9948" customWidth="1" bestFit="1" width="3.0" style="763"/>
    <col min="9949" max="9949" customWidth="1" bestFit="1" width="3.0" style="763"/>
    <col min="9950" max="9950" customWidth="1" bestFit="1" width="3.0" style="763"/>
    <col min="9951" max="9951" customWidth="1" bestFit="1" width="3.0" style="763"/>
    <col min="9952" max="9952" customWidth="1" bestFit="1" width="3.0" style="763"/>
    <col min="9953" max="9953" customWidth="1" bestFit="1" width="3.0" style="763"/>
    <col min="9954" max="9954" customWidth="1" bestFit="1" width="3.0" style="763"/>
    <col min="9955" max="9955" customWidth="1" bestFit="1" width="3.0" style="763"/>
    <col min="9956" max="9956" customWidth="1" bestFit="1" width="3.0" style="763"/>
    <col min="9957" max="9957" customWidth="1" bestFit="1" width="3.0" style="763"/>
    <col min="9958" max="9958" customWidth="1" bestFit="1" width="3.0" style="763"/>
    <col min="9959" max="9959" customWidth="1" bestFit="1" width="3.0" style="763"/>
    <col min="9960" max="9960" customWidth="1" bestFit="1" width="3.0" style="763"/>
    <col min="9961" max="9961" customWidth="1" bestFit="1" width="3.0" style="763"/>
    <col min="9962" max="9962" customWidth="1" bestFit="1" width="3.0" style="763"/>
    <col min="9963" max="9963" customWidth="1" bestFit="1" width="3.0" style="763"/>
    <col min="9964" max="9964" customWidth="1" bestFit="1" width="3.0" style="763"/>
    <col min="9965" max="9965" customWidth="1" bestFit="1" width="3.0" style="763"/>
    <col min="9966" max="9966" customWidth="1" bestFit="1" width="3.0" style="763"/>
    <col min="9967" max="9967" customWidth="1" bestFit="1" width="3.0" style="763"/>
    <col min="9968" max="9968" customWidth="1" bestFit="1" width="3.0" style="763"/>
    <col min="9969" max="9969" customWidth="1" bestFit="1" width="3.0" style="763"/>
    <col min="9970" max="9970" customWidth="1" bestFit="1" width="3.0" style="763"/>
    <col min="9971" max="9971" customWidth="1" bestFit="1" width="3.0" style="763"/>
    <col min="9972" max="9972" customWidth="1" bestFit="1" width="3.0" style="763"/>
    <col min="9973" max="9973" customWidth="1" bestFit="1" width="3.0" style="763"/>
    <col min="9974" max="9974" customWidth="1" bestFit="1" width="3.0" style="763"/>
    <col min="9975" max="9975" customWidth="1" bestFit="1" width="3.0" style="763"/>
    <col min="9976" max="9976" customWidth="1" bestFit="1" width="3.0" style="763"/>
    <col min="9977" max="9977" customWidth="1" bestFit="1" width="3.0" style="763"/>
    <col min="9978" max="9978" customWidth="1" bestFit="1" width="3.0" style="763"/>
    <col min="9979" max="9979" customWidth="1" bestFit="1" width="3.0" style="763"/>
    <col min="9980" max="9980" customWidth="1" bestFit="1" width="3.0" style="763"/>
    <col min="9981" max="9981" customWidth="1" bestFit="1" width="3.0" style="763"/>
    <col min="9982" max="9982" customWidth="1" bestFit="1" width="3.0" style="763"/>
    <col min="9983" max="9983" customWidth="1" bestFit="1" width="3.0" style="763"/>
    <col min="9984" max="9984" customWidth="1" bestFit="1" width="3.0" style="763"/>
    <col min="9985" max="9985" customWidth="1" bestFit="1" width="3.0" style="763"/>
    <col min="9986" max="9986" customWidth="1" bestFit="1" width="3.0" style="763"/>
    <col min="9987" max="9987" customWidth="1" bestFit="1" width="3.0" style="763"/>
    <col min="9988" max="9988" customWidth="1" bestFit="1" width="3.0" style="763"/>
    <col min="9989" max="9989" customWidth="1" bestFit="1" width="3.0" style="763"/>
    <col min="9990" max="9990" customWidth="1" bestFit="1" width="3.0" style="763"/>
    <col min="9991" max="9991" customWidth="1" bestFit="1" width="3.0" style="763"/>
    <col min="9992" max="9992" customWidth="1" bestFit="1" width="3.0" style="763"/>
    <col min="9993" max="9993" customWidth="1" bestFit="1" width="3.0" style="763"/>
    <col min="9994" max="9994" customWidth="1" bestFit="1" width="3.0" style="763"/>
    <col min="9995" max="9995" customWidth="1" bestFit="1" width="3.0" style="763"/>
    <col min="9996" max="9996" customWidth="1" bestFit="1" width="3.0" style="763"/>
    <col min="9997" max="9997" customWidth="1" bestFit="1" width="3.0" style="763"/>
    <col min="9998" max="9998" customWidth="1" bestFit="1" width="3.0" style="763"/>
    <col min="9999" max="9999" customWidth="1" bestFit="1" width="3.0" style="763"/>
    <col min="10000" max="10000" customWidth="1" bestFit="1" width="3.0" style="763"/>
    <col min="10001" max="10001" customWidth="1" bestFit="1" width="3.0" style="763"/>
    <col min="10002" max="10002" customWidth="1" bestFit="1" width="3.0" style="763"/>
    <col min="10003" max="10003" customWidth="1" bestFit="1" width="3.0" style="763"/>
    <col min="10004" max="10004" customWidth="1" bestFit="1" width="3.0" style="763"/>
    <col min="10005" max="10005" customWidth="1" bestFit="1" width="3.0" style="763"/>
    <col min="10006" max="10006" customWidth="1" bestFit="1" width="3.0" style="763"/>
    <col min="10007" max="10007" customWidth="1" bestFit="1" width="3.0" style="763"/>
    <col min="10008" max="10008" customWidth="1" bestFit="1" width="3.0" style="763"/>
    <col min="10009" max="10009" customWidth="1" bestFit="1" width="3.0" style="763"/>
    <col min="10010" max="10010" customWidth="1" bestFit="1" width="3.0" style="763"/>
    <col min="10011" max="10011" customWidth="1" bestFit="1" width="3.0" style="763"/>
    <col min="10012" max="10012" customWidth="1" bestFit="1" width="3.0" style="763"/>
    <col min="10013" max="10013" customWidth="1" bestFit="1" width="3.0" style="763"/>
    <col min="10014" max="10014" customWidth="1" bestFit="1" width="3.0" style="763"/>
    <col min="10015" max="10015" customWidth="1" bestFit="1" width="3.0" style="763"/>
    <col min="10016" max="10016" customWidth="1" bestFit="1" width="3.0" style="763"/>
    <col min="10017" max="10017" customWidth="1" bestFit="1" width="3.0" style="763"/>
    <col min="10018" max="10018" customWidth="1" bestFit="1" width="3.0" style="763"/>
    <col min="10019" max="10019" customWidth="1" bestFit="1" width="3.0" style="763"/>
    <col min="10020" max="10020" customWidth="1" bestFit="1" width="3.0" style="763"/>
    <col min="10021" max="10021" customWidth="1" bestFit="1" width="3.0" style="763"/>
    <col min="10022" max="10022" customWidth="1" bestFit="1" width="3.0" style="763"/>
    <col min="10023" max="10023" customWidth="1" bestFit="1" width="3.0" style="763"/>
    <col min="10024" max="10024" customWidth="1" bestFit="1" width="3.0" style="763"/>
    <col min="10025" max="10025" customWidth="1" bestFit="1" width="3.0" style="763"/>
    <col min="10026" max="10026" customWidth="1" bestFit="1" width="3.0" style="763"/>
    <col min="10027" max="10027" customWidth="1" bestFit="1" width="3.0" style="763"/>
    <col min="10028" max="10028" customWidth="1" bestFit="1" width="3.0" style="763"/>
    <col min="10029" max="10029" customWidth="1" bestFit="1" width="3.0" style="763"/>
    <col min="10030" max="10030" customWidth="1" bestFit="1" width="3.0" style="763"/>
    <col min="10031" max="10031" customWidth="1" bestFit="1" width="3.0" style="763"/>
    <col min="10032" max="10032" customWidth="1" bestFit="1" width="3.0" style="763"/>
    <col min="10033" max="10033" customWidth="1" bestFit="1" width="3.0" style="763"/>
    <col min="10034" max="10034" customWidth="1" bestFit="1" width="3.0" style="763"/>
    <col min="10035" max="10035" customWidth="1" bestFit="1" width="3.0" style="763"/>
    <col min="10036" max="10036" customWidth="1" bestFit="1" width="3.0" style="763"/>
    <col min="10037" max="10037" customWidth="1" bestFit="1" width="3.0" style="763"/>
    <col min="10038" max="10038" customWidth="1" bestFit="1" width="3.0" style="763"/>
    <col min="10039" max="10039" customWidth="1" bestFit="1" width="3.0" style="763"/>
    <col min="10040" max="10040" customWidth="1" bestFit="1" width="3.0" style="763"/>
    <col min="10041" max="10041" customWidth="1" bestFit="1" width="3.0" style="763"/>
    <col min="10042" max="10042" customWidth="1" bestFit="1" width="3.0" style="763"/>
    <col min="10043" max="10043" customWidth="1" bestFit="1" width="3.0" style="763"/>
    <col min="10044" max="10044" customWidth="1" bestFit="1" width="3.0" style="763"/>
    <col min="10045" max="10045" customWidth="1" bestFit="1" width="3.0" style="763"/>
    <col min="10046" max="10046" customWidth="1" bestFit="1" width="3.0" style="763"/>
    <col min="10047" max="10047" customWidth="1" bestFit="1" width="3.0" style="763"/>
    <col min="10048" max="10048" customWidth="1" bestFit="1" width="3.0" style="763"/>
    <col min="10049" max="10049" customWidth="1" bestFit="1" width="3.0" style="763"/>
    <col min="10050" max="10050" customWidth="1" bestFit="1" width="3.0" style="763"/>
    <col min="10051" max="10051" customWidth="1" bestFit="1" width="3.0" style="763"/>
    <col min="10052" max="10052" customWidth="1" bestFit="1" width="3.0" style="763"/>
    <col min="10053" max="10053" customWidth="1" bestFit="1" width="3.0" style="763"/>
    <col min="10054" max="10054" customWidth="1" bestFit="1" width="3.0" style="763"/>
    <col min="10055" max="10055" customWidth="1" bestFit="1" width="3.0" style="763"/>
    <col min="10056" max="10056" customWidth="1" bestFit="1" width="3.0" style="763"/>
    <col min="10057" max="10057" customWidth="1" bestFit="1" width="3.0" style="763"/>
    <col min="10058" max="10058" customWidth="1" bestFit="1" width="3.0" style="763"/>
    <col min="10059" max="10059" customWidth="1" bestFit="1" width="3.0" style="763"/>
    <col min="10060" max="10060" customWidth="1" bestFit="1" width="3.0" style="763"/>
    <col min="10061" max="10061" customWidth="1" bestFit="1" width="3.0" style="763"/>
    <col min="10062" max="10062" customWidth="1" bestFit="1" width="3.0" style="763"/>
    <col min="10063" max="10063" customWidth="1" bestFit="1" width="3.0" style="763"/>
    <col min="10064" max="10064" customWidth="1" bestFit="1" width="3.0" style="763"/>
    <col min="10065" max="10065" customWidth="1" bestFit="1" width="3.0" style="763"/>
    <col min="10066" max="10066" customWidth="1" bestFit="1" width="3.0" style="763"/>
    <col min="10067" max="10067" customWidth="1" bestFit="1" width="3.0" style="763"/>
    <col min="10068" max="10068" customWidth="1" bestFit="1" width="3.0" style="763"/>
    <col min="10069" max="10069" customWidth="1" bestFit="1" width="3.0" style="763"/>
    <col min="10070" max="10070" customWidth="1" bestFit="1" width="3.0" style="763"/>
    <col min="10071" max="10071" customWidth="1" bestFit="1" width="3.0" style="763"/>
    <col min="10072" max="10072" customWidth="1" bestFit="1" width="3.0" style="763"/>
    <col min="10073" max="10073" customWidth="1" bestFit="1" width="3.0" style="763"/>
    <col min="10074" max="10074" customWidth="1" bestFit="1" width="3.0" style="763"/>
    <col min="10075" max="10075" customWidth="1" bestFit="1" width="3.0" style="763"/>
    <col min="10076" max="10076" customWidth="1" bestFit="1" width="3.0" style="763"/>
    <col min="10077" max="10077" customWidth="1" bestFit="1" width="3.0" style="763"/>
    <col min="10078" max="10078" customWidth="1" bestFit="1" width="3.0" style="763"/>
    <col min="10079" max="10079" customWidth="1" bestFit="1" width="3.0" style="763"/>
    <col min="10080" max="10080" customWidth="1" bestFit="1" width="3.0" style="763"/>
    <col min="10081" max="10081" customWidth="1" bestFit="1" width="3.0" style="763"/>
    <col min="10082" max="10082" customWidth="1" bestFit="1" width="3.0" style="763"/>
    <col min="10083" max="10083" customWidth="1" bestFit="1" width="3.0" style="763"/>
    <col min="10084" max="10084" customWidth="1" bestFit="1" width="3.0" style="763"/>
    <col min="10085" max="10085" customWidth="1" bestFit="1" width="3.0" style="763"/>
    <col min="10086" max="10086" customWidth="1" bestFit="1" width="3.0" style="763"/>
    <col min="10087" max="10087" customWidth="1" bestFit="1" width="3.0" style="763"/>
    <col min="10088" max="10088" customWidth="1" bestFit="1" width="3.0" style="763"/>
    <col min="10089" max="10089" customWidth="1" bestFit="1" width="3.0" style="763"/>
    <col min="10090" max="10090" customWidth="1" bestFit="1" width="3.0" style="763"/>
    <col min="10091" max="10091" customWidth="1" bestFit="1" width="3.0" style="763"/>
    <col min="10092" max="10092" customWidth="1" bestFit="1" width="3.0" style="763"/>
    <col min="10093" max="10093" customWidth="1" bestFit="1" width="3.0" style="763"/>
    <col min="10094" max="10094" customWidth="1" bestFit="1" width="3.0" style="763"/>
    <col min="10095" max="10095" customWidth="1" bestFit="1" width="3.0" style="763"/>
    <col min="10096" max="10096" customWidth="1" bestFit="1" width="3.0" style="763"/>
    <col min="10097" max="10097" customWidth="1" bestFit="1" width="3.0" style="763"/>
    <col min="10098" max="10098" customWidth="1" bestFit="1" width="3.0" style="763"/>
    <col min="10099" max="10099" customWidth="1" bestFit="1" width="3.0" style="763"/>
    <col min="10100" max="10100" customWidth="1" bestFit="1" width="3.0" style="763"/>
    <col min="10101" max="10101" customWidth="1" bestFit="1" width="3.0" style="763"/>
    <col min="10102" max="10102" customWidth="1" bestFit="1" width="3.0" style="763"/>
    <col min="10103" max="10103" customWidth="1" bestFit="1" width="3.0" style="763"/>
    <col min="10104" max="10104" customWidth="1" bestFit="1" width="3.0" style="763"/>
    <col min="10105" max="10105" customWidth="1" bestFit="1" width="3.0" style="763"/>
    <col min="10106" max="10106" customWidth="1" bestFit="1" width="3.0" style="763"/>
    <col min="10107" max="10107" customWidth="1" bestFit="1" width="3.0" style="763"/>
    <col min="10108" max="10108" customWidth="1" bestFit="1" width="3.0" style="763"/>
    <col min="10109" max="10109" customWidth="1" bestFit="1" width="3.0" style="763"/>
    <col min="10110" max="10110" customWidth="1" bestFit="1" width="3.0" style="763"/>
    <col min="10111" max="10111" customWidth="1" bestFit="1" width="3.0" style="763"/>
    <col min="10112" max="10112" customWidth="1" bestFit="1" width="3.0" style="763"/>
    <col min="10113" max="10113" customWidth="1" bestFit="1" width="3.0" style="763"/>
    <col min="10114" max="10114" customWidth="1" bestFit="1" width="3.0" style="763"/>
    <col min="10115" max="10115" customWidth="1" bestFit="1" width="3.0" style="763"/>
    <col min="10116" max="10116" customWidth="1" bestFit="1" width="3.0" style="763"/>
    <col min="10117" max="10117" customWidth="1" bestFit="1" width="3.0" style="763"/>
    <col min="10118" max="10118" customWidth="1" bestFit="1" width="3.0" style="763"/>
    <col min="10119" max="10119" customWidth="1" bestFit="1" width="3.0" style="763"/>
    <col min="10120" max="10120" customWidth="1" bestFit="1" width="3.0" style="763"/>
    <col min="10121" max="10121" customWidth="1" bestFit="1" width="3.0" style="763"/>
    <col min="10122" max="10122" customWidth="1" bestFit="1" width="3.0" style="763"/>
    <col min="10123" max="10123" customWidth="1" bestFit="1" width="3.0" style="763"/>
    <col min="10124" max="10124" customWidth="1" bestFit="1" width="3.0" style="763"/>
    <col min="10125" max="10125" customWidth="1" bestFit="1" width="3.0" style="763"/>
    <col min="10126" max="10126" customWidth="1" bestFit="1" width="3.0" style="763"/>
    <col min="10127" max="10127" customWidth="1" bestFit="1" width="3.0" style="763"/>
    <col min="10128" max="10128" customWidth="1" bestFit="1" width="3.0" style="763"/>
    <col min="10129" max="10129" customWidth="1" bestFit="1" width="3.0" style="763"/>
    <col min="10130" max="10130" customWidth="1" bestFit="1" width="3.0" style="763"/>
    <col min="10131" max="10131" customWidth="1" bestFit="1" width="3.0" style="763"/>
    <col min="10132" max="10132" customWidth="1" bestFit="1" width="3.0" style="763"/>
    <col min="10133" max="10133" customWidth="1" bestFit="1" width="3.0" style="763"/>
    <col min="10134" max="10134" customWidth="1" bestFit="1" width="3.0" style="763"/>
    <col min="10135" max="10135" customWidth="1" bestFit="1" width="3.0" style="763"/>
    <col min="10136" max="10136" customWidth="1" bestFit="1" width="3.0" style="763"/>
    <col min="10137" max="10137" customWidth="1" bestFit="1" width="3.0" style="763"/>
    <col min="10138" max="10138" customWidth="1" bestFit="1" width="3.0" style="763"/>
    <col min="10139" max="10139" customWidth="1" bestFit="1" width="3.0" style="763"/>
    <col min="10140" max="10140" customWidth="1" bestFit="1" width="3.0" style="763"/>
    <col min="10141" max="10141" customWidth="1" bestFit="1" width="3.0" style="763"/>
    <col min="10142" max="10142" customWidth="1" bestFit="1" width="3.0" style="763"/>
    <col min="10143" max="10143" customWidth="1" bestFit="1" width="3.0" style="763"/>
    <col min="10144" max="10144" customWidth="1" bestFit="1" width="3.0" style="763"/>
    <col min="10145" max="10145" customWidth="1" bestFit="1" width="3.0" style="763"/>
    <col min="10146" max="10146" customWidth="1" bestFit="1" width="3.0" style="763"/>
    <col min="10147" max="10147" customWidth="1" bestFit="1" width="3.0" style="763"/>
    <col min="10148" max="10148" customWidth="1" bestFit="1" width="3.0" style="763"/>
    <col min="10149" max="10149" customWidth="1" bestFit="1" width="3.0" style="763"/>
    <col min="10150" max="10150" customWidth="1" bestFit="1" width="3.0" style="763"/>
    <col min="10151" max="10151" customWidth="1" bestFit="1" width="3.0" style="763"/>
    <col min="10152" max="10152" customWidth="1" bestFit="1" width="3.0" style="763"/>
    <col min="10153" max="10153" customWidth="1" bestFit="1" width="3.0" style="763"/>
    <col min="10154" max="10154" customWidth="1" bestFit="1" width="3.0" style="763"/>
    <col min="10155" max="10155" customWidth="1" bestFit="1" width="3.0" style="763"/>
    <col min="10156" max="10156" customWidth="1" bestFit="1" width="3.0" style="763"/>
    <col min="10157" max="10157" customWidth="1" bestFit="1" width="3.0" style="763"/>
    <col min="10158" max="10158" customWidth="1" bestFit="1" width="3.0" style="763"/>
    <col min="10159" max="10159" customWidth="1" bestFit="1" width="3.0" style="763"/>
    <col min="10160" max="10160" customWidth="1" bestFit="1" width="3.0" style="763"/>
    <col min="10161" max="10161" customWidth="1" bestFit="1" width="3.0" style="763"/>
    <col min="10162" max="10162" customWidth="1" bestFit="1" width="3.0" style="763"/>
    <col min="10163" max="10163" customWidth="1" bestFit="1" width="3.0" style="763"/>
    <col min="10164" max="10164" customWidth="1" bestFit="1" width="3.0" style="763"/>
    <col min="10165" max="10165" customWidth="1" bestFit="1" width="3.0" style="763"/>
    <col min="10166" max="10166" customWidth="1" bestFit="1" width="3.0" style="763"/>
    <col min="10167" max="10167" customWidth="1" bestFit="1" width="3.0" style="763"/>
    <col min="10168" max="10168" customWidth="1" bestFit="1" width="3.0" style="763"/>
    <col min="10169" max="10169" customWidth="1" bestFit="1" width="3.0" style="763"/>
    <col min="10170" max="10170" customWidth="1" bestFit="1" width="3.0" style="763"/>
    <col min="10171" max="10171" customWidth="1" bestFit="1" width="3.0" style="763"/>
    <col min="10172" max="10172" customWidth="1" bestFit="1" width="3.0" style="763"/>
    <col min="10173" max="10173" customWidth="1" bestFit="1" width="3.0" style="763"/>
    <col min="10174" max="10174" customWidth="1" bestFit="1" width="3.0" style="763"/>
    <col min="10175" max="10175" customWidth="1" bestFit="1" width="3.0" style="763"/>
    <col min="10176" max="10176" customWidth="1" bestFit="1" width="3.0" style="763"/>
    <col min="10177" max="10177" customWidth="1" bestFit="1" width="3.0" style="763"/>
    <col min="10178" max="10178" customWidth="1" bestFit="1" width="3.0" style="763"/>
    <col min="10179" max="10179" customWidth="1" bestFit="1" width="3.0" style="763"/>
    <col min="10180" max="10180" customWidth="1" bestFit="1" width="3.0" style="763"/>
    <col min="10181" max="10181" customWidth="1" bestFit="1" width="3.0" style="763"/>
    <col min="10182" max="10182" customWidth="1" bestFit="1" width="3.0" style="763"/>
    <col min="10183" max="10183" customWidth="1" bestFit="1" width="3.0" style="763"/>
    <col min="10184" max="10184" customWidth="1" bestFit="1" width="3.0" style="763"/>
    <col min="10185" max="10185" customWidth="1" bestFit="1" width="3.0" style="763"/>
    <col min="10186" max="10186" customWidth="1" bestFit="1" width="3.0" style="763"/>
    <col min="10187" max="10187" customWidth="1" bestFit="1" width="3.0" style="763"/>
    <col min="10188" max="10188" customWidth="1" bestFit="1" width="3.0" style="763"/>
    <col min="10189" max="10189" customWidth="1" bestFit="1" width="3.0" style="763"/>
    <col min="10190" max="10190" customWidth="1" bestFit="1" width="3.0" style="763"/>
    <col min="10191" max="10191" customWidth="1" bestFit="1" width="3.0" style="763"/>
    <col min="10192" max="10192" customWidth="1" bestFit="1" width="3.0" style="763"/>
    <col min="10193" max="10193" customWidth="1" bestFit="1" width="3.0" style="763"/>
    <col min="10194" max="10194" customWidth="1" bestFit="1" width="3.0" style="763"/>
    <col min="10195" max="10195" customWidth="1" bestFit="1" width="3.0" style="763"/>
    <col min="10196" max="10196" customWidth="1" bestFit="1" width="3.0" style="763"/>
    <col min="10197" max="10197" customWidth="1" bestFit="1" width="3.0" style="763"/>
    <col min="10198" max="10198" customWidth="1" bestFit="1" width="3.0" style="763"/>
    <col min="10199" max="10199" customWidth="1" bestFit="1" width="3.0" style="763"/>
    <col min="10200" max="10200" customWidth="1" bestFit="1" width="3.0" style="763"/>
    <col min="10201" max="10201" customWidth="1" bestFit="1" width="3.0" style="763"/>
    <col min="10202" max="10202" customWidth="1" bestFit="1" width="3.0" style="763"/>
    <col min="10203" max="10203" customWidth="1" bestFit="1" width="3.0" style="763"/>
    <col min="10204" max="10204" customWidth="1" bestFit="1" width="3.0" style="763"/>
    <col min="10205" max="10205" customWidth="1" bestFit="1" width="3.0" style="763"/>
    <col min="10206" max="10206" customWidth="1" bestFit="1" width="3.0" style="763"/>
    <col min="10207" max="10207" customWidth="1" bestFit="1" width="3.0" style="763"/>
    <col min="10208" max="10208" customWidth="1" bestFit="1" width="3.0" style="763"/>
    <col min="10209" max="10209" customWidth="1" bestFit="1" width="3.0" style="763"/>
    <col min="10210" max="10210" customWidth="1" bestFit="1" width="3.0" style="763"/>
    <col min="10211" max="10211" customWidth="1" bestFit="1" width="3.0" style="763"/>
    <col min="10212" max="10212" customWidth="1" bestFit="1" width="3.0" style="763"/>
    <col min="10213" max="10213" customWidth="1" bestFit="1" width="3.0" style="763"/>
    <col min="10214" max="10214" customWidth="1" bestFit="1" width="3.0" style="763"/>
    <col min="10215" max="10215" customWidth="1" bestFit="1" width="3.0" style="763"/>
    <col min="10216" max="10216" customWidth="1" bestFit="1" width="3.0" style="763"/>
    <col min="10217" max="10217" customWidth="1" bestFit="1" width="3.0" style="763"/>
    <col min="10218" max="10218" customWidth="1" bestFit="1" width="3.0" style="763"/>
    <col min="10219" max="10219" customWidth="1" bestFit="1" width="3.0" style="763"/>
    <col min="10220" max="10220" customWidth="1" bestFit="1" width="3.0" style="763"/>
    <col min="10221" max="10221" customWidth="1" bestFit="1" width="3.0" style="763"/>
    <col min="10222" max="10222" customWidth="1" bestFit="1" width="3.0" style="763"/>
    <col min="10223" max="10223" customWidth="1" bestFit="1" width="3.0" style="763"/>
    <col min="10224" max="10224" customWidth="1" bestFit="1" width="3.0" style="763"/>
    <col min="10225" max="10225" customWidth="1" bestFit="1" width="3.0" style="763"/>
    <col min="10226" max="10226" customWidth="1" bestFit="1" width="3.0" style="763"/>
    <col min="10227" max="10227" customWidth="1" bestFit="1" width="3.0" style="763"/>
    <col min="10228" max="10228" customWidth="1" bestFit="1" width="3.0" style="763"/>
    <col min="10229" max="10229" customWidth="1" bestFit="1" width="3.0" style="763"/>
    <col min="10230" max="10230" customWidth="1" bestFit="1" width="3.0" style="763"/>
    <col min="10231" max="10231" customWidth="1" bestFit="1" width="3.0" style="763"/>
    <col min="10232" max="10232" customWidth="1" bestFit="1" width="3.0" style="763"/>
    <col min="10233" max="10233" customWidth="1" bestFit="1" width="3.0" style="763"/>
    <col min="10234" max="10234" customWidth="1" bestFit="1" width="3.0" style="763"/>
    <col min="10235" max="10235" customWidth="1" bestFit="1" width="3.0" style="763"/>
    <col min="10236" max="10236" customWidth="1" bestFit="1" width="3.0" style="763"/>
    <col min="10237" max="10237" customWidth="1" bestFit="1" width="3.0" style="763"/>
    <col min="10238" max="10238" customWidth="1" bestFit="1" width="3.0" style="763"/>
    <col min="10239" max="10239" customWidth="1" bestFit="1" width="3.0" style="763"/>
    <col min="10240" max="10240" customWidth="1" bestFit="1" width="3.0" style="763"/>
    <col min="10241" max="10241" customWidth="1" bestFit="1" width="3.0" style="763"/>
    <col min="10242" max="10242" customWidth="1" bestFit="1" width="3.0" style="763"/>
    <col min="10243" max="10243" customWidth="1" bestFit="1" width="3.0" style="763"/>
    <col min="10244" max="10244" customWidth="1" bestFit="1" width="3.0" style="763"/>
    <col min="10245" max="10245" customWidth="1" bestFit="1" width="3.0" style="763"/>
    <col min="10246" max="10246" customWidth="1" bestFit="1" width="3.0" style="763"/>
    <col min="10247" max="10247" customWidth="1" bestFit="1" width="3.0" style="763"/>
    <col min="10248" max="10248" customWidth="1" bestFit="1" width="3.0" style="763"/>
    <col min="10249" max="10249" customWidth="1" bestFit="1" width="3.0" style="763"/>
    <col min="10250" max="10250" customWidth="1" bestFit="1" width="3.0" style="763"/>
    <col min="10251" max="10251" customWidth="1" bestFit="1" width="3.0" style="763"/>
    <col min="10252" max="10252" customWidth="1" bestFit="1" width="3.0" style="763"/>
    <col min="10253" max="10253" customWidth="1" bestFit="1" width="3.0" style="763"/>
    <col min="10254" max="10254" customWidth="1" bestFit="1" width="3.0" style="763"/>
    <col min="10255" max="10255" customWidth="1" bestFit="1" width="3.0" style="763"/>
    <col min="10256" max="10256" customWidth="1" bestFit="1" width="3.0" style="763"/>
    <col min="10257" max="10257" customWidth="1" bestFit="1" width="3.0" style="763"/>
    <col min="10258" max="10258" customWidth="1" bestFit="1" width="3.0" style="763"/>
    <col min="10259" max="10259" customWidth="1" bestFit="1" width="3.0" style="763"/>
    <col min="10260" max="10260" customWidth="1" bestFit="1" width="3.0" style="763"/>
    <col min="10261" max="10261" customWidth="1" bestFit="1" width="3.0" style="763"/>
    <col min="10262" max="10262" customWidth="1" bestFit="1" width="3.0" style="763"/>
    <col min="10263" max="10263" customWidth="1" bestFit="1" width="3.0" style="763"/>
    <col min="10264" max="10264" customWidth="1" bestFit="1" width="3.0" style="763"/>
    <col min="10265" max="10265" customWidth="1" bestFit="1" width="3.0" style="763"/>
    <col min="10266" max="10266" customWidth="1" bestFit="1" width="3.0" style="763"/>
    <col min="10267" max="10267" customWidth="1" bestFit="1" width="3.0" style="763"/>
    <col min="10268" max="10268" customWidth="1" bestFit="1" width="3.0" style="763"/>
    <col min="10269" max="10269" customWidth="1" bestFit="1" width="3.0" style="763"/>
    <col min="10270" max="10270" customWidth="1" bestFit="1" width="3.0" style="763"/>
    <col min="10271" max="10271" customWidth="1" bestFit="1" width="3.0" style="763"/>
    <col min="10272" max="10272" customWidth="1" bestFit="1" width="3.0" style="763"/>
    <col min="10273" max="10273" customWidth="1" bestFit="1" width="3.0" style="763"/>
    <col min="10274" max="10274" customWidth="1" bestFit="1" width="3.0" style="763"/>
    <col min="10275" max="10275" customWidth="1" bestFit="1" width="3.0" style="763"/>
    <col min="10276" max="10276" customWidth="1" bestFit="1" width="3.0" style="763"/>
    <col min="10277" max="10277" customWidth="1" bestFit="1" width="3.0" style="763"/>
    <col min="10278" max="10278" customWidth="1" bestFit="1" width="3.0" style="763"/>
    <col min="10279" max="10279" customWidth="1" bestFit="1" width="3.0" style="763"/>
    <col min="10280" max="10280" customWidth="1" bestFit="1" width="3.0" style="763"/>
    <col min="10281" max="10281" customWidth="1" bestFit="1" width="3.0" style="763"/>
    <col min="10282" max="10282" customWidth="1" bestFit="1" width="3.0" style="763"/>
    <col min="10283" max="10283" customWidth="1" bestFit="1" width="3.0" style="763"/>
    <col min="10284" max="10284" customWidth="1" bestFit="1" width="3.0" style="763"/>
    <col min="10285" max="10285" customWidth="1" bestFit="1" width="3.0" style="763"/>
    <col min="10286" max="10286" customWidth="1" bestFit="1" width="3.0" style="763"/>
    <col min="10287" max="10287" customWidth="1" bestFit="1" width="3.0" style="763"/>
    <col min="10288" max="10288" customWidth="1" bestFit="1" width="3.0" style="763"/>
    <col min="10289" max="10289" customWidth="1" bestFit="1" width="3.0" style="763"/>
    <col min="10290" max="10290" customWidth="1" bestFit="1" width="3.0" style="763"/>
    <col min="10291" max="10291" customWidth="1" bestFit="1" width="3.0" style="763"/>
    <col min="10292" max="10292" customWidth="1" bestFit="1" width="3.0" style="763"/>
    <col min="10293" max="10293" customWidth="1" bestFit="1" width="3.0" style="763"/>
    <col min="10294" max="10294" customWidth="1" bestFit="1" width="3.0" style="763"/>
    <col min="10295" max="10295" customWidth="1" bestFit="1" width="3.0" style="763"/>
    <col min="10296" max="10296" customWidth="1" bestFit="1" width="3.0" style="763"/>
    <col min="10297" max="10297" customWidth="1" bestFit="1" width="3.0" style="763"/>
    <col min="10298" max="10298" customWidth="1" bestFit="1" width="3.0" style="763"/>
    <col min="10299" max="10299" customWidth="1" bestFit="1" width="3.0" style="763"/>
    <col min="10300" max="10300" customWidth="1" bestFit="1" width="3.0" style="763"/>
    <col min="10301" max="10301" customWidth="1" bestFit="1" width="3.0" style="763"/>
    <col min="10302" max="10302" customWidth="1" bestFit="1" width="3.0" style="763"/>
    <col min="10303" max="10303" customWidth="1" bestFit="1" width="3.0" style="763"/>
    <col min="10304" max="10304" customWidth="1" bestFit="1" width="3.0" style="763"/>
    <col min="10305" max="10305" customWidth="1" bestFit="1" width="3.0" style="763"/>
    <col min="10306" max="10306" customWidth="1" bestFit="1" width="3.0" style="763"/>
    <col min="10307" max="10307" customWidth="1" bestFit="1" width="3.0" style="763"/>
    <col min="10308" max="10308" customWidth="1" bestFit="1" width="3.0" style="763"/>
    <col min="10309" max="10309" customWidth="1" bestFit="1" width="3.0" style="763"/>
    <col min="10310" max="10310" customWidth="1" bestFit="1" width="3.0" style="763"/>
    <col min="10311" max="10311" customWidth="1" bestFit="1" width="3.0" style="763"/>
    <col min="10312" max="10312" customWidth="1" bestFit="1" width="3.0" style="763"/>
    <col min="10313" max="10313" customWidth="1" bestFit="1" width="3.0" style="763"/>
    <col min="10314" max="10314" customWidth="1" bestFit="1" width="3.0" style="763"/>
    <col min="10315" max="10315" customWidth="1" bestFit="1" width="3.0" style="763"/>
    <col min="10316" max="10316" customWidth="1" bestFit="1" width="3.0" style="763"/>
    <col min="10317" max="10317" customWidth="1" bestFit="1" width="3.0" style="763"/>
    <col min="10318" max="10318" customWidth="1" bestFit="1" width="3.0" style="763"/>
    <col min="10319" max="10319" customWidth="1" bestFit="1" width="3.0" style="763"/>
    <col min="10320" max="10320" customWidth="1" bestFit="1" width="3.0" style="763"/>
    <col min="10321" max="10321" customWidth="1" bestFit="1" width="3.0" style="763"/>
    <col min="10322" max="10322" customWidth="1" bestFit="1" width="3.0" style="763"/>
    <col min="10323" max="10323" customWidth="1" bestFit="1" width="3.0" style="763"/>
    <col min="10324" max="10324" customWidth="1" bestFit="1" width="3.0" style="763"/>
    <col min="10325" max="10325" customWidth="1" bestFit="1" width="3.0" style="763"/>
    <col min="10326" max="10326" customWidth="1" bestFit="1" width="3.0" style="763"/>
    <col min="10327" max="10327" customWidth="1" bestFit="1" width="3.0" style="763"/>
    <col min="10328" max="10328" customWidth="1" bestFit="1" width="3.0" style="763"/>
    <col min="10329" max="10329" customWidth="1" bestFit="1" width="3.0" style="763"/>
    <col min="10330" max="10330" customWidth="1" bestFit="1" width="3.0" style="763"/>
    <col min="10331" max="10331" customWidth="1" bestFit="1" width="3.0" style="763"/>
    <col min="10332" max="10332" customWidth="1" bestFit="1" width="3.0" style="763"/>
    <col min="10333" max="10333" customWidth="1" bestFit="1" width="3.0" style="763"/>
    <col min="10334" max="10334" customWidth="1" bestFit="1" width="3.0" style="763"/>
    <col min="10335" max="10335" customWidth="1" bestFit="1" width="3.0" style="763"/>
    <col min="10336" max="10336" customWidth="1" bestFit="1" width="3.0" style="763"/>
    <col min="10337" max="10337" customWidth="1" bestFit="1" width="3.0" style="763"/>
    <col min="10338" max="10338" customWidth="1" bestFit="1" width="3.0" style="763"/>
    <col min="10339" max="10339" customWidth="1" bestFit="1" width="3.0" style="763"/>
    <col min="10340" max="10340" customWidth="1" bestFit="1" width="3.0" style="763"/>
    <col min="10341" max="10341" customWidth="1" bestFit="1" width="3.0" style="763"/>
    <col min="10342" max="10342" customWidth="1" bestFit="1" width="3.0" style="763"/>
    <col min="10343" max="10343" customWidth="1" bestFit="1" width="3.0" style="763"/>
    <col min="10344" max="10344" customWidth="1" bestFit="1" width="3.0" style="763"/>
    <col min="10345" max="10345" customWidth="1" bestFit="1" width="3.0" style="763"/>
    <col min="10346" max="10346" customWidth="1" bestFit="1" width="3.0" style="763"/>
    <col min="10347" max="10347" customWidth="1" bestFit="1" width="3.0" style="763"/>
    <col min="10348" max="10348" customWidth="1" bestFit="1" width="3.0" style="763"/>
    <col min="10349" max="10349" customWidth="1" bestFit="1" width="3.0" style="763"/>
    <col min="10350" max="10350" customWidth="1" bestFit="1" width="3.0" style="763"/>
    <col min="10351" max="10351" customWidth="1" bestFit="1" width="3.0" style="763"/>
    <col min="10352" max="10352" customWidth="1" bestFit="1" width="3.0" style="763"/>
    <col min="10353" max="10353" customWidth="1" bestFit="1" width="3.0" style="763"/>
    <col min="10354" max="10354" customWidth="1" bestFit="1" width="3.0" style="763"/>
    <col min="10355" max="10355" customWidth="1" bestFit="1" width="3.0" style="763"/>
    <col min="10356" max="10356" customWidth="1" bestFit="1" width="3.0" style="763"/>
    <col min="10357" max="10357" customWidth="1" bestFit="1" width="3.0" style="763"/>
    <col min="10358" max="10358" customWidth="1" bestFit="1" width="3.0" style="763"/>
    <col min="10359" max="10359" customWidth="1" bestFit="1" width="3.0" style="763"/>
    <col min="10360" max="10360" customWidth="1" bestFit="1" width="3.0" style="763"/>
    <col min="10361" max="10361" customWidth="1" bestFit="1" width="3.0" style="763"/>
    <col min="10362" max="10362" customWidth="1" bestFit="1" width="3.0" style="763"/>
    <col min="10363" max="10363" customWidth="1" bestFit="1" width="3.0" style="763"/>
    <col min="10364" max="10364" customWidth="1" bestFit="1" width="3.0" style="763"/>
    <col min="10365" max="10365" customWidth="1" bestFit="1" width="3.0" style="763"/>
    <col min="10366" max="10366" customWidth="1" bestFit="1" width="3.0" style="763"/>
    <col min="10367" max="10367" customWidth="1" bestFit="1" width="3.0" style="763"/>
    <col min="10368" max="10368" customWidth="1" bestFit="1" width="3.0" style="763"/>
    <col min="10369" max="10369" customWidth="1" bestFit="1" width="3.0" style="763"/>
    <col min="10370" max="10370" customWidth="1" bestFit="1" width="3.0" style="763"/>
    <col min="10371" max="10371" customWidth="1" bestFit="1" width="3.0" style="763"/>
    <col min="10372" max="10372" customWidth="1" bestFit="1" width="3.0" style="763"/>
    <col min="10373" max="10373" customWidth="1" bestFit="1" width="3.0" style="763"/>
    <col min="10374" max="10374" customWidth="1" bestFit="1" width="3.0" style="763"/>
    <col min="10375" max="10375" customWidth="1" bestFit="1" width="3.0" style="763"/>
    <col min="10376" max="10376" customWidth="1" bestFit="1" width="3.0" style="763"/>
    <col min="10377" max="10377" customWidth="1" bestFit="1" width="3.0" style="763"/>
    <col min="10378" max="10378" customWidth="1" bestFit="1" width="3.0" style="763"/>
    <col min="10379" max="10379" customWidth="1" bestFit="1" width="3.0" style="763"/>
    <col min="10380" max="10380" customWidth="1" bestFit="1" width="3.0" style="763"/>
    <col min="10381" max="10381" customWidth="1" bestFit="1" width="3.0" style="763"/>
    <col min="10382" max="10382" customWidth="1" bestFit="1" width="3.0" style="763"/>
    <col min="10383" max="10383" customWidth="1" bestFit="1" width="3.0" style="763"/>
    <col min="10384" max="10384" customWidth="1" bestFit="1" width="3.0" style="763"/>
    <col min="10385" max="10385" customWidth="1" bestFit="1" width="3.0" style="763"/>
    <col min="10386" max="10386" customWidth="1" bestFit="1" width="3.0" style="763"/>
    <col min="10387" max="10387" customWidth="1" bestFit="1" width="3.0" style="763"/>
    <col min="10388" max="10388" customWidth="1" bestFit="1" width="3.0" style="763"/>
    <col min="10389" max="10389" customWidth="1" bestFit="1" width="3.0" style="763"/>
    <col min="10390" max="10390" customWidth="1" bestFit="1" width="3.0" style="763"/>
    <col min="10391" max="10391" customWidth="1" bestFit="1" width="3.0" style="763"/>
    <col min="10392" max="10392" customWidth="1" bestFit="1" width="3.0" style="763"/>
    <col min="10393" max="10393" customWidth="1" bestFit="1" width="3.0" style="763"/>
    <col min="10394" max="10394" customWidth="1" bestFit="1" width="3.0" style="763"/>
    <col min="10395" max="10395" customWidth="1" bestFit="1" width="3.0" style="763"/>
    <col min="10396" max="10396" customWidth="1" bestFit="1" width="3.0" style="763"/>
    <col min="10397" max="10397" customWidth="1" bestFit="1" width="3.0" style="763"/>
    <col min="10398" max="10398" customWidth="1" bestFit="1" width="3.0" style="763"/>
    <col min="10399" max="10399" customWidth="1" bestFit="1" width="3.0" style="763"/>
    <col min="10400" max="10400" customWidth="1" bestFit="1" width="3.0" style="763"/>
    <col min="10401" max="10401" customWidth="1" bestFit="1" width="3.0" style="763"/>
    <col min="10402" max="10402" customWidth="1" bestFit="1" width="3.0" style="763"/>
    <col min="10403" max="10403" customWidth="1" bestFit="1" width="3.0" style="763"/>
    <col min="10404" max="10404" customWidth="1" bestFit="1" width="3.0" style="763"/>
    <col min="10405" max="10405" customWidth="1" bestFit="1" width="3.0" style="763"/>
    <col min="10406" max="10406" customWidth="1" bestFit="1" width="3.0" style="763"/>
    <col min="10407" max="10407" customWidth="1" bestFit="1" width="3.0" style="763"/>
    <col min="10408" max="10408" customWidth="1" bestFit="1" width="3.0" style="763"/>
    <col min="10409" max="10409" customWidth="1" bestFit="1" width="3.0" style="763"/>
    <col min="10410" max="10410" customWidth="1" bestFit="1" width="3.0" style="763"/>
    <col min="10411" max="10411" customWidth="1" bestFit="1" width="3.0" style="763"/>
    <col min="10412" max="10412" customWidth="1" bestFit="1" width="3.0" style="763"/>
    <col min="10413" max="10413" customWidth="1" bestFit="1" width="3.0" style="763"/>
    <col min="10414" max="10414" customWidth="1" bestFit="1" width="3.0" style="763"/>
    <col min="10415" max="10415" customWidth="1" bestFit="1" width="3.0" style="763"/>
    <col min="10416" max="10416" customWidth="1" bestFit="1" width="3.0" style="763"/>
    <col min="10417" max="10417" customWidth="1" bestFit="1" width="3.0" style="763"/>
    <col min="10418" max="10418" customWidth="1" bestFit="1" width="3.0" style="763"/>
    <col min="10419" max="10419" customWidth="1" bestFit="1" width="3.0" style="763"/>
    <col min="10420" max="10420" customWidth="1" bestFit="1" width="3.0" style="763"/>
    <col min="10421" max="10421" customWidth="1" bestFit="1" width="3.0" style="763"/>
    <col min="10422" max="10422" customWidth="1" bestFit="1" width="3.0" style="763"/>
    <col min="10423" max="10423" customWidth="1" bestFit="1" width="3.0" style="763"/>
    <col min="10424" max="10424" customWidth="1" bestFit="1" width="3.0" style="763"/>
    <col min="10425" max="10425" customWidth="1" bestFit="1" width="3.0" style="763"/>
    <col min="10426" max="10426" customWidth="1" bestFit="1" width="3.0" style="763"/>
    <col min="10427" max="10427" customWidth="1" bestFit="1" width="3.0" style="763"/>
    <col min="10428" max="10428" customWidth="1" bestFit="1" width="3.0" style="763"/>
    <col min="10429" max="10429" customWidth="1" bestFit="1" width="3.0" style="763"/>
    <col min="10430" max="10430" customWidth="1" bestFit="1" width="3.0" style="763"/>
    <col min="10431" max="10431" customWidth="1" bestFit="1" width="3.0" style="763"/>
    <col min="10432" max="10432" customWidth="1" bestFit="1" width="3.0" style="763"/>
    <col min="10433" max="10433" customWidth="1" bestFit="1" width="3.0" style="763"/>
    <col min="10434" max="10434" customWidth="1" bestFit="1" width="3.0" style="763"/>
    <col min="10435" max="10435" customWidth="1" bestFit="1" width="3.0" style="763"/>
    <col min="10436" max="10436" customWidth="1" bestFit="1" width="3.0" style="763"/>
    <col min="10437" max="10437" customWidth="1" bestFit="1" width="3.0" style="763"/>
    <col min="10438" max="10438" customWidth="1" bestFit="1" width="3.0" style="763"/>
    <col min="10439" max="10439" customWidth="1" bestFit="1" width="3.0" style="763"/>
    <col min="10440" max="10440" customWidth="1" bestFit="1" width="3.0" style="763"/>
    <col min="10441" max="10441" customWidth="1" bestFit="1" width="3.0" style="763"/>
    <col min="10442" max="10442" customWidth="1" bestFit="1" width="3.0" style="763"/>
    <col min="10443" max="10443" customWidth="1" bestFit="1" width="3.0" style="763"/>
    <col min="10444" max="10444" customWidth="1" bestFit="1" width="3.0" style="763"/>
    <col min="10445" max="10445" customWidth="1" bestFit="1" width="3.0" style="763"/>
    <col min="10446" max="10446" customWidth="1" bestFit="1" width="3.0" style="763"/>
    <col min="10447" max="10447" customWidth="1" bestFit="1" width="3.0" style="763"/>
    <col min="10448" max="10448" customWidth="1" bestFit="1" width="3.0" style="763"/>
    <col min="10449" max="10449" customWidth="1" bestFit="1" width="3.0" style="763"/>
    <col min="10450" max="10450" customWidth="1" bestFit="1" width="3.0" style="763"/>
    <col min="10451" max="10451" customWidth="1" bestFit="1" width="3.0" style="763"/>
    <col min="10452" max="10452" customWidth="1" bestFit="1" width="3.0" style="763"/>
    <col min="10453" max="10453" customWidth="1" bestFit="1" width="3.0" style="763"/>
    <col min="10454" max="10454" customWidth="1" bestFit="1" width="3.0" style="763"/>
    <col min="10455" max="10455" customWidth="1" bestFit="1" width="3.0" style="763"/>
    <col min="10456" max="10456" customWidth="1" bestFit="1" width="3.0" style="763"/>
    <col min="10457" max="10457" customWidth="1" bestFit="1" width="3.0" style="763"/>
    <col min="10458" max="10458" customWidth="1" bestFit="1" width="3.0" style="763"/>
    <col min="10459" max="10459" customWidth="1" bestFit="1" width="3.0" style="763"/>
    <col min="10460" max="10460" customWidth="1" bestFit="1" width="3.0" style="763"/>
    <col min="10461" max="10461" customWidth="1" bestFit="1" width="3.0" style="763"/>
    <col min="10462" max="10462" customWidth="1" bestFit="1" width="3.0" style="763"/>
    <col min="10463" max="10463" customWidth="1" bestFit="1" width="3.0" style="763"/>
    <col min="10464" max="10464" customWidth="1" bestFit="1" width="3.0" style="763"/>
    <col min="10465" max="10465" customWidth="1" bestFit="1" width="3.0" style="763"/>
    <col min="10466" max="10466" customWidth="1" bestFit="1" width="3.0" style="763"/>
    <col min="10467" max="10467" customWidth="1" bestFit="1" width="3.0" style="763"/>
    <col min="10468" max="10468" customWidth="1" bestFit="1" width="3.0" style="763"/>
    <col min="10469" max="10469" customWidth="1" bestFit="1" width="3.0" style="763"/>
    <col min="10470" max="10470" customWidth="1" bestFit="1" width="3.0" style="763"/>
    <col min="10471" max="10471" customWidth="1" bestFit="1" width="3.0" style="763"/>
    <col min="10472" max="10472" customWidth="1" bestFit="1" width="3.0" style="763"/>
    <col min="10473" max="10473" customWidth="1" bestFit="1" width="3.0" style="763"/>
    <col min="10474" max="10474" customWidth="1" bestFit="1" width="3.0" style="763"/>
    <col min="10475" max="10475" customWidth="1" bestFit="1" width="3.0" style="763"/>
    <col min="10476" max="10476" customWidth="1" bestFit="1" width="3.0" style="763"/>
    <col min="10477" max="10477" customWidth="1" bestFit="1" width="3.0" style="763"/>
    <col min="10478" max="10478" customWidth="1" bestFit="1" width="3.0" style="763"/>
    <col min="10479" max="10479" customWidth="1" bestFit="1" width="3.0" style="763"/>
    <col min="10480" max="10480" customWidth="1" bestFit="1" width="3.0" style="763"/>
    <col min="10481" max="10481" customWidth="1" bestFit="1" width="3.0" style="763"/>
    <col min="10482" max="10482" customWidth="1" bestFit="1" width="3.0" style="763"/>
    <col min="10483" max="10483" customWidth="1" bestFit="1" width="3.0" style="763"/>
    <col min="10484" max="10484" customWidth="1" bestFit="1" width="3.0" style="763"/>
    <col min="10485" max="10485" customWidth="1" bestFit="1" width="3.0" style="763"/>
    <col min="10486" max="10486" customWidth="1" bestFit="1" width="3.0" style="763"/>
    <col min="10487" max="10487" customWidth="1" bestFit="1" width="3.0" style="763"/>
    <col min="10488" max="10488" customWidth="1" bestFit="1" width="3.0" style="763"/>
    <col min="10489" max="10489" customWidth="1" bestFit="1" width="3.0" style="763"/>
    <col min="10490" max="10490" customWidth="1" bestFit="1" width="3.0" style="763"/>
    <col min="10491" max="10491" customWidth="1" bestFit="1" width="3.0" style="763"/>
    <col min="10492" max="10492" customWidth="1" bestFit="1" width="3.0" style="763"/>
    <col min="10493" max="10493" customWidth="1" bestFit="1" width="3.0" style="763"/>
    <col min="10494" max="10494" customWidth="1" bestFit="1" width="3.0" style="763"/>
    <col min="10495" max="10495" customWidth="1" bestFit="1" width="3.0" style="763"/>
    <col min="10496" max="10496" customWidth="1" bestFit="1" width="3.0" style="763"/>
    <col min="10497" max="10497" customWidth="1" bestFit="1" width="3.0" style="763"/>
    <col min="10498" max="10498" customWidth="1" bestFit="1" width="3.0" style="763"/>
    <col min="10499" max="10499" customWidth="1" bestFit="1" width="3.0" style="763"/>
    <col min="10500" max="10500" customWidth="1" bestFit="1" width="3.0" style="763"/>
    <col min="10501" max="10501" customWidth="1" bestFit="1" width="3.0" style="763"/>
    <col min="10502" max="10502" customWidth="1" bestFit="1" width="3.0" style="763"/>
    <col min="10503" max="10503" customWidth="1" bestFit="1" width="3.0" style="763"/>
    <col min="10504" max="10504" customWidth="1" bestFit="1" width="3.0" style="763"/>
    <col min="10505" max="10505" customWidth="1" bestFit="1" width="3.0" style="763"/>
    <col min="10506" max="10506" customWidth="1" bestFit="1" width="3.0" style="763"/>
    <col min="10507" max="10507" customWidth="1" bestFit="1" width="3.0" style="763"/>
    <col min="10508" max="10508" customWidth="1" bestFit="1" width="3.0" style="763"/>
    <col min="10509" max="10509" customWidth="1" bestFit="1" width="3.0" style="763"/>
    <col min="10510" max="10510" customWidth="1" bestFit="1" width="3.0" style="763"/>
    <col min="10511" max="10511" customWidth="1" bestFit="1" width="3.0" style="763"/>
    <col min="10512" max="10512" customWidth="1" bestFit="1" width="3.0" style="763"/>
    <col min="10513" max="10513" customWidth="1" bestFit="1" width="3.0" style="763"/>
    <col min="10514" max="10514" customWidth="1" bestFit="1" width="3.0" style="763"/>
    <col min="10515" max="10515" customWidth="1" bestFit="1" width="3.0" style="763"/>
    <col min="10516" max="10516" customWidth="1" bestFit="1" width="3.0" style="763"/>
    <col min="10517" max="10517" customWidth="1" bestFit="1" width="3.0" style="763"/>
    <col min="10518" max="10518" customWidth="1" bestFit="1" width="3.0" style="763"/>
    <col min="10519" max="10519" customWidth="1" bestFit="1" width="3.0" style="763"/>
    <col min="10520" max="10520" customWidth="1" bestFit="1" width="3.0" style="763"/>
    <col min="10521" max="10521" customWidth="1" bestFit="1" width="3.0" style="763"/>
    <col min="10522" max="10522" customWidth="1" bestFit="1" width="3.0" style="763"/>
    <col min="10523" max="10523" customWidth="1" bestFit="1" width="3.0" style="763"/>
    <col min="10524" max="10524" customWidth="1" bestFit="1" width="3.0" style="763"/>
    <col min="10525" max="10525" customWidth="1" bestFit="1" width="3.0" style="763"/>
    <col min="10526" max="10526" customWidth="1" bestFit="1" width="3.0" style="763"/>
    <col min="10527" max="10527" customWidth="1" bestFit="1" width="3.0" style="763"/>
    <col min="10528" max="10528" customWidth="1" bestFit="1" width="3.0" style="763"/>
    <col min="10529" max="10529" customWidth="1" bestFit="1" width="3.0" style="763"/>
    <col min="10530" max="10530" customWidth="1" bestFit="1" width="3.0" style="763"/>
    <col min="10531" max="10531" customWidth="1" bestFit="1" width="3.0" style="763"/>
    <col min="10532" max="10532" customWidth="1" bestFit="1" width="3.0" style="763"/>
    <col min="10533" max="10533" customWidth="1" bestFit="1" width="3.0" style="763"/>
    <col min="10534" max="10534" customWidth="1" bestFit="1" width="3.0" style="763"/>
    <col min="10535" max="10535" customWidth="1" bestFit="1" width="3.0" style="763"/>
    <col min="10536" max="10536" customWidth="1" bestFit="1" width="3.0" style="763"/>
    <col min="10537" max="10537" customWidth="1" bestFit="1" width="3.0" style="763"/>
    <col min="10538" max="10538" customWidth="1" bestFit="1" width="3.0" style="763"/>
    <col min="10539" max="10539" customWidth="1" bestFit="1" width="3.0" style="763"/>
    <col min="10540" max="10540" customWidth="1" bestFit="1" width="3.0" style="763"/>
    <col min="10541" max="10541" customWidth="1" bestFit="1" width="3.0" style="763"/>
    <col min="10542" max="10542" customWidth="1" bestFit="1" width="3.0" style="763"/>
    <col min="10543" max="10543" customWidth="1" bestFit="1" width="3.0" style="763"/>
    <col min="10544" max="10544" customWidth="1" bestFit="1" width="3.0" style="763"/>
    <col min="10545" max="10545" customWidth="1" bestFit="1" width="3.0" style="763"/>
    <col min="10546" max="10546" customWidth="1" bestFit="1" width="3.0" style="763"/>
    <col min="10547" max="10547" customWidth="1" bestFit="1" width="3.0" style="763"/>
    <col min="10548" max="10548" customWidth="1" bestFit="1" width="3.0" style="763"/>
    <col min="10549" max="10549" customWidth="1" bestFit="1" width="3.0" style="763"/>
    <col min="10550" max="10550" customWidth="1" bestFit="1" width="3.0" style="763"/>
    <col min="10551" max="10551" customWidth="1" bestFit="1" width="3.0" style="763"/>
    <col min="10552" max="10552" customWidth="1" bestFit="1" width="3.0" style="763"/>
    <col min="10553" max="10553" customWidth="1" bestFit="1" width="3.0" style="763"/>
    <col min="10554" max="10554" customWidth="1" bestFit="1" width="3.0" style="763"/>
    <col min="10555" max="10555" customWidth="1" bestFit="1" width="3.0" style="763"/>
    <col min="10556" max="10556" customWidth="1" bestFit="1" width="3.0" style="763"/>
    <col min="10557" max="10557" customWidth="1" bestFit="1" width="3.0" style="763"/>
    <col min="10558" max="10558" customWidth="1" bestFit="1" width="3.0" style="763"/>
    <col min="10559" max="10559" customWidth="1" bestFit="1" width="3.0" style="763"/>
    <col min="10560" max="10560" customWidth="1" bestFit="1" width="3.0" style="763"/>
    <col min="10561" max="10561" customWidth="1" bestFit="1" width="3.0" style="763"/>
    <col min="10562" max="10562" customWidth="1" bestFit="1" width="3.0" style="763"/>
    <col min="10563" max="10563" customWidth="1" bestFit="1" width="3.0" style="763"/>
    <col min="10564" max="10564" customWidth="1" bestFit="1" width="3.0" style="763"/>
    <col min="10565" max="10565" customWidth="1" bestFit="1" width="3.0" style="763"/>
    <col min="10566" max="10566" customWidth="1" bestFit="1" width="3.0" style="763"/>
    <col min="10567" max="10567" customWidth="1" bestFit="1" width="3.0" style="763"/>
    <col min="10568" max="10568" customWidth="1" bestFit="1" width="3.0" style="763"/>
    <col min="10569" max="10569" customWidth="1" bestFit="1" width="3.0" style="763"/>
    <col min="10570" max="10570" customWidth="1" bestFit="1" width="3.0" style="763"/>
    <col min="10571" max="10571" customWidth="1" bestFit="1" width="3.0" style="763"/>
    <col min="10572" max="10572" customWidth="1" bestFit="1" width="3.0" style="763"/>
    <col min="10573" max="10573" customWidth="1" bestFit="1" width="3.0" style="763"/>
    <col min="10574" max="10574" customWidth="1" bestFit="1" width="3.0" style="763"/>
    <col min="10575" max="10575" customWidth="1" bestFit="1" width="3.0" style="763"/>
    <col min="10576" max="10576" customWidth="1" bestFit="1" width="3.0" style="763"/>
    <col min="10577" max="10577" customWidth="1" bestFit="1" width="3.0" style="763"/>
    <col min="10578" max="10578" customWidth="1" bestFit="1" width="3.0" style="763"/>
    <col min="10579" max="10579" customWidth="1" bestFit="1" width="3.0" style="763"/>
    <col min="10580" max="10580" customWidth="1" bestFit="1" width="3.0" style="763"/>
    <col min="10581" max="10581" customWidth="1" bestFit="1" width="3.0" style="763"/>
    <col min="10582" max="10582" customWidth="1" bestFit="1" width="3.0" style="763"/>
    <col min="10583" max="10583" customWidth="1" bestFit="1" width="3.0" style="763"/>
    <col min="10584" max="10584" customWidth="1" bestFit="1" width="3.0" style="763"/>
    <col min="10585" max="10585" customWidth="1" bestFit="1" width="3.0" style="763"/>
    <col min="10586" max="10586" customWidth="1" bestFit="1" width="3.0" style="763"/>
    <col min="10587" max="10587" customWidth="1" bestFit="1" width="3.0" style="763"/>
    <col min="10588" max="10588" customWidth="1" bestFit="1" width="3.0" style="763"/>
    <col min="10589" max="10589" customWidth="1" bestFit="1" width="3.0" style="763"/>
    <col min="10590" max="10590" customWidth="1" bestFit="1" width="3.0" style="763"/>
    <col min="10591" max="10591" customWidth="1" bestFit="1" width="3.0" style="763"/>
    <col min="10592" max="10592" customWidth="1" bestFit="1" width="3.0" style="763"/>
    <col min="10593" max="10593" customWidth="1" bestFit="1" width="3.0" style="763"/>
    <col min="10594" max="10594" customWidth="1" bestFit="1" width="3.0" style="763"/>
    <col min="10595" max="10595" customWidth="1" bestFit="1" width="3.0" style="763"/>
    <col min="10596" max="10596" customWidth="1" bestFit="1" width="3.0" style="763"/>
    <col min="10597" max="10597" customWidth="1" bestFit="1" width="3.0" style="763"/>
    <col min="10598" max="10598" customWidth="1" bestFit="1" width="3.0" style="763"/>
    <col min="10599" max="10599" customWidth="1" bestFit="1" width="3.0" style="763"/>
    <col min="10600" max="10600" customWidth="1" bestFit="1" width="3.0" style="763"/>
    <col min="10601" max="10601" customWidth="1" bestFit="1" width="3.0" style="763"/>
    <col min="10602" max="10602" customWidth="1" bestFit="1" width="3.0" style="763"/>
    <col min="10603" max="10603" customWidth="1" bestFit="1" width="3.0" style="763"/>
    <col min="10604" max="10604" customWidth="1" bestFit="1" width="3.0" style="763"/>
    <col min="10605" max="10605" customWidth="1" bestFit="1" width="3.0" style="763"/>
    <col min="10606" max="10606" customWidth="1" bestFit="1" width="3.0" style="763"/>
    <col min="10607" max="10607" customWidth="1" bestFit="1" width="3.0" style="763"/>
    <col min="10608" max="10608" customWidth="1" bestFit="1" width="3.0" style="763"/>
    <col min="10609" max="10609" customWidth="1" bestFit="1" width="3.0" style="763"/>
    <col min="10610" max="10610" customWidth="1" bestFit="1" width="3.0" style="763"/>
    <col min="10611" max="10611" customWidth="1" bestFit="1" width="3.0" style="763"/>
    <col min="10612" max="10612" customWidth="1" bestFit="1" width="3.0" style="763"/>
    <col min="10613" max="10613" customWidth="1" bestFit="1" width="3.0" style="763"/>
    <col min="10614" max="10614" customWidth="1" bestFit="1" width="3.0" style="763"/>
    <col min="10615" max="10615" customWidth="1" bestFit="1" width="3.0" style="763"/>
    <col min="10616" max="10616" customWidth="1" bestFit="1" width="3.0" style="763"/>
    <col min="10617" max="10617" customWidth="1" bestFit="1" width="3.0" style="763"/>
    <col min="10618" max="10618" customWidth="1" bestFit="1" width="3.0" style="763"/>
    <col min="10619" max="10619" customWidth="1" bestFit="1" width="3.0" style="763"/>
    <col min="10620" max="10620" customWidth="1" bestFit="1" width="3.0" style="763"/>
    <col min="10621" max="10621" customWidth="1" bestFit="1" width="3.0" style="763"/>
    <col min="10622" max="10622" customWidth="1" bestFit="1" width="3.0" style="763"/>
    <col min="10623" max="10623" customWidth="1" bestFit="1" width="3.0" style="763"/>
    <col min="10624" max="10624" customWidth="1" bestFit="1" width="3.0" style="763"/>
    <col min="10625" max="10625" customWidth="1" bestFit="1" width="3.0" style="763"/>
    <col min="10626" max="10626" customWidth="1" bestFit="1" width="3.0" style="763"/>
    <col min="10627" max="10627" customWidth="1" bestFit="1" width="3.0" style="763"/>
    <col min="10628" max="10628" customWidth="1" bestFit="1" width="3.0" style="763"/>
    <col min="10629" max="10629" customWidth="1" bestFit="1" width="3.0" style="763"/>
    <col min="10630" max="10630" customWidth="1" bestFit="1" width="3.0" style="763"/>
    <col min="10631" max="10631" customWidth="1" bestFit="1" width="3.0" style="763"/>
    <col min="10632" max="10632" customWidth="1" bestFit="1" width="3.0" style="763"/>
    <col min="10633" max="10633" customWidth="1" bestFit="1" width="3.0" style="763"/>
    <col min="10634" max="10634" customWidth="1" bestFit="1" width="3.0" style="763"/>
    <col min="10635" max="10635" customWidth="1" bestFit="1" width="3.0" style="763"/>
    <col min="10636" max="10636" customWidth="1" bestFit="1" width="3.0" style="763"/>
    <col min="10637" max="10637" customWidth="1" bestFit="1" width="3.0" style="763"/>
    <col min="10638" max="10638" customWidth="1" bestFit="1" width="3.0" style="763"/>
    <col min="10639" max="10639" customWidth="1" bestFit="1" width="3.0" style="763"/>
    <col min="10640" max="10640" customWidth="1" bestFit="1" width="3.0" style="763"/>
    <col min="10641" max="10641" customWidth="1" bestFit="1" width="3.0" style="763"/>
    <col min="10642" max="10642" customWidth="1" bestFit="1" width="3.0" style="763"/>
    <col min="10643" max="10643" customWidth="1" bestFit="1" width="3.0" style="763"/>
    <col min="10644" max="10644" customWidth="1" bestFit="1" width="3.0" style="763"/>
    <col min="10645" max="10645" customWidth="1" bestFit="1" width="3.0" style="763"/>
    <col min="10646" max="10646" customWidth="1" bestFit="1" width="3.0" style="763"/>
    <col min="10647" max="10647" customWidth="1" bestFit="1" width="3.0" style="763"/>
    <col min="10648" max="10648" customWidth="1" bestFit="1" width="3.0" style="763"/>
    <col min="10649" max="10649" customWidth="1" bestFit="1" width="3.0" style="763"/>
    <col min="10650" max="10650" customWidth="1" bestFit="1" width="3.0" style="763"/>
    <col min="10651" max="10651" customWidth="1" bestFit="1" width="3.0" style="763"/>
    <col min="10652" max="10652" customWidth="1" bestFit="1" width="3.0" style="763"/>
    <col min="10653" max="10653" customWidth="1" bestFit="1" width="3.0" style="763"/>
    <col min="10654" max="10654" customWidth="1" bestFit="1" width="3.0" style="763"/>
    <col min="10655" max="10655" customWidth="1" bestFit="1" width="3.0" style="763"/>
    <col min="10656" max="10656" customWidth="1" bestFit="1" width="3.0" style="763"/>
    <col min="10657" max="10657" customWidth="1" bestFit="1" width="3.0" style="763"/>
    <col min="10658" max="10658" customWidth="1" bestFit="1" width="3.0" style="763"/>
    <col min="10659" max="10659" customWidth="1" bestFit="1" width="3.0" style="763"/>
    <col min="10660" max="10660" customWidth="1" bestFit="1" width="3.0" style="763"/>
    <col min="10661" max="10661" customWidth="1" bestFit="1" width="3.0" style="763"/>
    <col min="10662" max="10662" customWidth="1" bestFit="1" width="3.0" style="763"/>
    <col min="10663" max="10663" customWidth="1" bestFit="1" width="3.0" style="763"/>
    <col min="10664" max="10664" customWidth="1" bestFit="1" width="3.0" style="763"/>
    <col min="10665" max="10665" customWidth="1" bestFit="1" width="3.0" style="763"/>
    <col min="10666" max="10666" customWidth="1" bestFit="1" width="3.0" style="763"/>
    <col min="10667" max="10667" customWidth="1" bestFit="1" width="3.0" style="763"/>
    <col min="10668" max="10668" customWidth="1" bestFit="1" width="3.0" style="763"/>
    <col min="10669" max="10669" customWidth="1" bestFit="1" width="3.0" style="763"/>
    <col min="10670" max="10670" customWidth="1" bestFit="1" width="3.0" style="763"/>
    <col min="10671" max="10671" customWidth="1" bestFit="1" width="3.0" style="763"/>
    <col min="10672" max="10672" customWidth="1" bestFit="1" width="3.0" style="763"/>
    <col min="10673" max="10673" customWidth="1" bestFit="1" width="3.0" style="763"/>
    <col min="10674" max="10674" customWidth="1" bestFit="1" width="3.0" style="763"/>
    <col min="10675" max="10675" customWidth="1" bestFit="1" width="3.0" style="763"/>
    <col min="10676" max="10676" customWidth="1" bestFit="1" width="3.0" style="763"/>
    <col min="10677" max="10677" customWidth="1" bestFit="1" width="3.0" style="763"/>
    <col min="10678" max="10678" customWidth="1" bestFit="1" width="3.0" style="763"/>
    <col min="10679" max="10679" customWidth="1" bestFit="1" width="3.0" style="763"/>
    <col min="10680" max="10680" customWidth="1" bestFit="1" width="3.0" style="763"/>
    <col min="10681" max="10681" customWidth="1" bestFit="1" width="3.0" style="763"/>
    <col min="10682" max="10682" customWidth="1" bestFit="1" width="3.0" style="763"/>
    <col min="10683" max="10683" customWidth="1" bestFit="1" width="3.0" style="763"/>
    <col min="10684" max="10684" customWidth="1" bestFit="1" width="3.0" style="763"/>
    <col min="10685" max="10685" customWidth="1" bestFit="1" width="3.0" style="763"/>
    <col min="10686" max="10686" customWidth="1" bestFit="1" width="3.0" style="763"/>
    <col min="10687" max="10687" customWidth="1" bestFit="1" width="3.0" style="763"/>
    <col min="10688" max="10688" customWidth="1" bestFit="1" width="3.0" style="763"/>
    <col min="10689" max="10689" customWidth="1" bestFit="1" width="3.0" style="763"/>
    <col min="10690" max="10690" customWidth="1" bestFit="1" width="3.0" style="763"/>
    <col min="10691" max="10691" customWidth="1" bestFit="1" width="3.0" style="763"/>
    <col min="10692" max="10692" customWidth="1" bestFit="1" width="3.0" style="763"/>
    <col min="10693" max="10693" customWidth="1" bestFit="1" width="3.0" style="763"/>
    <col min="10694" max="10694" customWidth="1" bestFit="1" width="3.0" style="763"/>
    <col min="10695" max="10695" customWidth="1" bestFit="1" width="3.0" style="763"/>
    <col min="10696" max="10696" customWidth="1" bestFit="1" width="3.0" style="763"/>
    <col min="10697" max="10697" customWidth="1" bestFit="1" width="3.0" style="763"/>
    <col min="10698" max="10698" customWidth="1" bestFit="1" width="3.0" style="763"/>
    <col min="10699" max="10699" customWidth="1" bestFit="1" width="3.0" style="763"/>
    <col min="10700" max="10700" customWidth="1" bestFit="1" width="3.0" style="763"/>
    <col min="10701" max="10701" customWidth="1" bestFit="1" width="3.0" style="763"/>
    <col min="10702" max="10702" customWidth="1" bestFit="1" width="3.0" style="763"/>
    <col min="10703" max="10703" customWidth="1" bestFit="1" width="3.0" style="763"/>
    <col min="10704" max="10704" customWidth="1" bestFit="1" width="3.0" style="763"/>
    <col min="10705" max="10705" customWidth="1" bestFit="1" width="3.0" style="763"/>
    <col min="10706" max="10706" customWidth="1" bestFit="1" width="3.0" style="763"/>
    <col min="10707" max="10707" customWidth="1" bestFit="1" width="3.0" style="763"/>
    <col min="10708" max="10708" customWidth="1" bestFit="1" width="3.0" style="763"/>
    <col min="10709" max="10709" customWidth="1" bestFit="1" width="3.0" style="763"/>
    <col min="10710" max="10710" customWidth="1" bestFit="1" width="3.0" style="763"/>
    <col min="10711" max="10711" customWidth="1" bestFit="1" width="3.0" style="763"/>
    <col min="10712" max="10712" customWidth="1" bestFit="1" width="3.0" style="763"/>
    <col min="10713" max="10713" customWidth="1" bestFit="1" width="3.0" style="763"/>
    <col min="10714" max="10714" customWidth="1" bestFit="1" width="3.0" style="763"/>
    <col min="10715" max="10715" customWidth="1" bestFit="1" width="3.0" style="763"/>
    <col min="10716" max="10716" customWidth="1" bestFit="1" width="3.0" style="763"/>
    <col min="10717" max="10717" customWidth="1" bestFit="1" width="3.0" style="763"/>
    <col min="10718" max="10718" customWidth="1" bestFit="1" width="3.0" style="763"/>
    <col min="10719" max="10719" customWidth="1" bestFit="1" width="3.0" style="763"/>
    <col min="10720" max="10720" customWidth="1" bestFit="1" width="3.0" style="763"/>
    <col min="10721" max="10721" customWidth="1" bestFit="1" width="3.0" style="763"/>
    <col min="10722" max="10722" customWidth="1" bestFit="1" width="3.0" style="763"/>
    <col min="10723" max="10723" customWidth="1" bestFit="1" width="3.0" style="763"/>
    <col min="10724" max="10724" customWidth="1" bestFit="1" width="3.0" style="763"/>
    <col min="10725" max="10725" customWidth="1" bestFit="1" width="3.0" style="763"/>
    <col min="10726" max="10726" customWidth="1" bestFit="1" width="3.0" style="763"/>
    <col min="10727" max="10727" customWidth="1" bestFit="1" width="3.0" style="763"/>
    <col min="10728" max="10728" customWidth="1" bestFit="1" width="3.0" style="763"/>
    <col min="10729" max="10729" customWidth="1" bestFit="1" width="3.0" style="763"/>
    <col min="10730" max="10730" customWidth="1" bestFit="1" width="3.0" style="763"/>
    <col min="10731" max="10731" customWidth="1" bestFit="1" width="3.0" style="763"/>
    <col min="10732" max="10732" customWidth="1" bestFit="1" width="3.0" style="763"/>
    <col min="10733" max="10733" customWidth="1" bestFit="1" width="3.0" style="763"/>
    <col min="10734" max="10734" customWidth="1" bestFit="1" width="3.0" style="763"/>
    <col min="10735" max="10735" customWidth="1" bestFit="1" width="3.0" style="763"/>
    <col min="10736" max="10736" customWidth="1" bestFit="1" width="3.0" style="763"/>
    <col min="10737" max="10737" customWidth="1" bestFit="1" width="3.0" style="763"/>
    <col min="10738" max="10738" customWidth="1" bestFit="1" width="3.0" style="763"/>
    <col min="10739" max="10739" customWidth="1" bestFit="1" width="3.0" style="763"/>
    <col min="10740" max="10740" customWidth="1" bestFit="1" width="3.0" style="763"/>
    <col min="10741" max="10741" customWidth="1" bestFit="1" width="3.0" style="763"/>
    <col min="10742" max="10742" customWidth="1" bestFit="1" width="3.0" style="763"/>
    <col min="10743" max="10743" customWidth="1" bestFit="1" width="3.0" style="763"/>
    <col min="10744" max="10744" customWidth="1" bestFit="1" width="3.0" style="763"/>
    <col min="10745" max="10745" customWidth="1" bestFit="1" width="3.0" style="763"/>
    <col min="10746" max="10746" customWidth="1" bestFit="1" width="3.0" style="763"/>
    <col min="10747" max="10747" customWidth="1" bestFit="1" width="3.0" style="763"/>
    <col min="10748" max="10748" customWidth="1" bestFit="1" width="3.0" style="763"/>
    <col min="10749" max="10749" customWidth="1" bestFit="1" width="3.0" style="763"/>
    <col min="10750" max="10750" customWidth="1" bestFit="1" width="3.0" style="763"/>
    <col min="10751" max="10751" customWidth="1" bestFit="1" width="3.0" style="763"/>
    <col min="10752" max="10752" customWidth="1" bestFit="1" width="3.0" style="763"/>
    <col min="10753" max="10753" customWidth="1" bestFit="1" width="3.0" style="763"/>
    <col min="10754" max="10754" customWidth="1" bestFit="1" width="3.0" style="763"/>
    <col min="10755" max="10755" customWidth="1" bestFit="1" width="3.0" style="763"/>
    <col min="10756" max="10756" customWidth="1" bestFit="1" width="3.0" style="763"/>
    <col min="10757" max="10757" customWidth="1" bestFit="1" width="3.0" style="763"/>
    <col min="10758" max="10758" customWidth="1" bestFit="1" width="3.0" style="763"/>
    <col min="10759" max="10759" customWidth="1" bestFit="1" width="3.0" style="763"/>
    <col min="10760" max="10760" customWidth="1" bestFit="1" width="3.0" style="763"/>
    <col min="10761" max="10761" customWidth="1" bestFit="1" width="3.0" style="763"/>
    <col min="10762" max="10762" customWidth="1" bestFit="1" width="3.0" style="763"/>
    <col min="10763" max="10763" customWidth="1" bestFit="1" width="3.0" style="763"/>
    <col min="10764" max="10764" customWidth="1" bestFit="1" width="3.0" style="763"/>
    <col min="10765" max="10765" customWidth="1" bestFit="1" width="3.0" style="763"/>
    <col min="10766" max="10766" customWidth="1" bestFit="1" width="3.0" style="763"/>
    <col min="10767" max="10767" customWidth="1" bestFit="1" width="3.0" style="763"/>
    <col min="10768" max="10768" customWidth="1" bestFit="1" width="3.0" style="763"/>
    <col min="10769" max="10769" customWidth="1" bestFit="1" width="3.0" style="763"/>
    <col min="10770" max="10770" customWidth="1" bestFit="1" width="3.0" style="763"/>
    <col min="10771" max="10771" customWidth="1" bestFit="1" width="3.0" style="763"/>
    <col min="10772" max="10772" customWidth="1" bestFit="1" width="3.0" style="763"/>
    <col min="10773" max="10773" customWidth="1" bestFit="1" width="3.0" style="763"/>
    <col min="10774" max="10774" customWidth="1" bestFit="1" width="3.0" style="763"/>
    <col min="10775" max="10775" customWidth="1" bestFit="1" width="3.0" style="763"/>
    <col min="10776" max="10776" customWidth="1" bestFit="1" width="3.0" style="763"/>
    <col min="10777" max="10777" customWidth="1" bestFit="1" width="3.0" style="763"/>
    <col min="10778" max="10778" customWidth="1" bestFit="1" width="3.0" style="763"/>
    <col min="10779" max="10779" customWidth="1" bestFit="1" width="3.0" style="763"/>
    <col min="10780" max="10780" customWidth="1" bestFit="1" width="3.0" style="763"/>
    <col min="10781" max="10781" customWidth="1" bestFit="1" width="3.0" style="763"/>
    <col min="10782" max="10782" customWidth="1" bestFit="1" width="3.0" style="763"/>
    <col min="10783" max="10783" customWidth="1" bestFit="1" width="3.0" style="763"/>
    <col min="10784" max="10784" customWidth="1" bestFit="1" width="3.0" style="763"/>
    <col min="10785" max="10785" customWidth="1" bestFit="1" width="3.0" style="763"/>
    <col min="10786" max="10786" customWidth="1" bestFit="1" width="3.0" style="763"/>
    <col min="10787" max="10787" customWidth="1" bestFit="1" width="3.0" style="763"/>
    <col min="10788" max="10788" customWidth="1" bestFit="1" width="3.0" style="763"/>
    <col min="10789" max="10789" customWidth="1" bestFit="1" width="3.0" style="763"/>
    <col min="10790" max="10790" customWidth="1" bestFit="1" width="3.0" style="763"/>
    <col min="10791" max="10791" customWidth="1" bestFit="1" width="3.0" style="763"/>
    <col min="10792" max="10792" customWidth="1" bestFit="1" width="3.0" style="763"/>
    <col min="10793" max="10793" customWidth="1" bestFit="1" width="3.0" style="763"/>
    <col min="10794" max="10794" customWidth="1" bestFit="1" width="3.0" style="763"/>
    <col min="10795" max="10795" customWidth="1" bestFit="1" width="3.0" style="763"/>
    <col min="10796" max="10796" customWidth="1" bestFit="1" width="3.0" style="763"/>
    <col min="10797" max="10797" customWidth="1" bestFit="1" width="3.0" style="763"/>
    <col min="10798" max="10798" customWidth="1" bestFit="1" width="3.0" style="763"/>
    <col min="10799" max="10799" customWidth="1" bestFit="1" width="3.0" style="763"/>
    <col min="10800" max="10800" customWidth="1" bestFit="1" width="3.0" style="763"/>
    <col min="10801" max="10801" customWidth="1" bestFit="1" width="3.0" style="763"/>
    <col min="10802" max="10802" customWidth="1" bestFit="1" width="3.0" style="763"/>
    <col min="10803" max="10803" customWidth="1" bestFit="1" width="3.0" style="763"/>
    <col min="10804" max="10804" customWidth="1" bestFit="1" width="3.0" style="763"/>
    <col min="10805" max="10805" customWidth="1" bestFit="1" width="3.0" style="763"/>
    <col min="10806" max="10806" customWidth="1" bestFit="1" width="3.0" style="763"/>
    <col min="10807" max="10807" customWidth="1" bestFit="1" width="3.0" style="763"/>
    <col min="10808" max="10808" customWidth="1" bestFit="1" width="3.0" style="763"/>
    <col min="10809" max="10809" customWidth="1" bestFit="1" width="3.0" style="763"/>
    <col min="10810" max="10810" customWidth="1" bestFit="1" width="3.0" style="763"/>
    <col min="10811" max="10811" customWidth="1" bestFit="1" width="3.0" style="763"/>
    <col min="10812" max="10812" customWidth="1" bestFit="1" width="3.0" style="763"/>
    <col min="10813" max="10813" customWidth="1" bestFit="1" width="3.0" style="763"/>
    <col min="10814" max="10814" customWidth="1" bestFit="1" width="3.0" style="763"/>
    <col min="10815" max="10815" customWidth="1" bestFit="1" width="3.0" style="763"/>
    <col min="10816" max="10816" customWidth="1" bestFit="1" width="3.0" style="763"/>
    <col min="10817" max="10817" customWidth="1" bestFit="1" width="3.0" style="763"/>
    <col min="10818" max="10818" customWidth="1" bestFit="1" width="3.0" style="763"/>
    <col min="10819" max="10819" customWidth="1" bestFit="1" width="3.0" style="763"/>
    <col min="10820" max="10820" customWidth="1" bestFit="1" width="3.0" style="763"/>
    <col min="10821" max="10821" customWidth="1" bestFit="1" width="3.0" style="763"/>
    <col min="10822" max="10822" customWidth="1" bestFit="1" width="3.0" style="763"/>
    <col min="10823" max="10823" customWidth="1" bestFit="1" width="3.0" style="763"/>
    <col min="10824" max="10824" customWidth="1" bestFit="1" width="3.0" style="763"/>
    <col min="10825" max="10825" customWidth="1" bestFit="1" width="3.0" style="763"/>
    <col min="10826" max="10826" customWidth="1" bestFit="1" width="3.0" style="763"/>
    <col min="10827" max="10827" customWidth="1" bestFit="1" width="3.0" style="763"/>
    <col min="10828" max="10828" customWidth="1" bestFit="1" width="3.0" style="763"/>
    <col min="10829" max="10829" customWidth="1" bestFit="1" width="3.0" style="763"/>
    <col min="10830" max="10830" customWidth="1" bestFit="1" width="3.0" style="763"/>
    <col min="10831" max="10831" customWidth="1" bestFit="1" width="3.0" style="763"/>
    <col min="10832" max="10832" customWidth="1" bestFit="1" width="3.0" style="763"/>
    <col min="10833" max="10833" customWidth="1" bestFit="1" width="3.0" style="763"/>
    <col min="10834" max="10834" customWidth="1" bestFit="1" width="3.0" style="763"/>
    <col min="10835" max="10835" customWidth="1" bestFit="1" width="3.0" style="763"/>
    <col min="10836" max="10836" customWidth="1" bestFit="1" width="3.0" style="763"/>
    <col min="10837" max="10837" customWidth="1" bestFit="1" width="3.0" style="763"/>
    <col min="10838" max="10838" customWidth="1" bestFit="1" width="3.0" style="763"/>
    <col min="10839" max="10839" customWidth="1" bestFit="1" width="3.0" style="763"/>
    <col min="10840" max="10840" customWidth="1" bestFit="1" width="3.0" style="763"/>
    <col min="10841" max="10841" customWidth="1" bestFit="1" width="3.0" style="763"/>
    <col min="10842" max="10842" customWidth="1" bestFit="1" width="3.0" style="763"/>
    <col min="10843" max="10843" customWidth="1" bestFit="1" width="3.0" style="763"/>
    <col min="10844" max="10844" customWidth="1" bestFit="1" width="3.0" style="763"/>
    <col min="10845" max="10845" customWidth="1" bestFit="1" width="3.0" style="763"/>
    <col min="10846" max="10846" customWidth="1" bestFit="1" width="3.0" style="763"/>
    <col min="10847" max="10847" customWidth="1" bestFit="1" width="3.0" style="763"/>
    <col min="10848" max="10848" customWidth="1" bestFit="1" width="3.0" style="763"/>
    <col min="10849" max="10849" customWidth="1" bestFit="1" width="3.0" style="763"/>
    <col min="10850" max="10850" customWidth="1" bestFit="1" width="3.0" style="763"/>
    <col min="10851" max="10851" customWidth="1" bestFit="1" width="3.0" style="763"/>
    <col min="10852" max="10852" customWidth="1" bestFit="1" width="3.0" style="763"/>
    <col min="10853" max="10853" customWidth="1" bestFit="1" width="3.0" style="763"/>
    <col min="10854" max="10854" customWidth="1" bestFit="1" width="3.0" style="763"/>
    <col min="10855" max="10855" customWidth="1" bestFit="1" width="3.0" style="763"/>
    <col min="10856" max="10856" customWidth="1" bestFit="1" width="3.0" style="763"/>
    <col min="10857" max="10857" customWidth="1" bestFit="1" width="3.0" style="763"/>
    <col min="10858" max="10858" customWidth="1" bestFit="1" width="3.0" style="763"/>
    <col min="10859" max="10859" customWidth="1" bestFit="1" width="3.0" style="763"/>
    <col min="10860" max="10860" customWidth="1" bestFit="1" width="3.0" style="763"/>
    <col min="10861" max="10861" customWidth="1" bestFit="1" width="3.0" style="763"/>
    <col min="10862" max="10862" customWidth="1" bestFit="1" width="3.0" style="763"/>
    <col min="10863" max="10863" customWidth="1" bestFit="1" width="3.0" style="763"/>
    <col min="10864" max="10864" customWidth="1" bestFit="1" width="3.0" style="763"/>
    <col min="10865" max="10865" customWidth="1" bestFit="1" width="3.0" style="763"/>
    <col min="10866" max="10866" customWidth="1" bestFit="1" width="3.0" style="763"/>
    <col min="10867" max="10867" customWidth="1" bestFit="1" width="3.0" style="763"/>
    <col min="10868" max="10868" customWidth="1" bestFit="1" width="3.0" style="763"/>
    <col min="10869" max="10869" customWidth="1" bestFit="1" width="3.0" style="763"/>
    <col min="10870" max="10870" customWidth="1" bestFit="1" width="3.0" style="763"/>
    <col min="10871" max="10871" customWidth="1" bestFit="1" width="3.0" style="763"/>
    <col min="10872" max="10872" customWidth="1" bestFit="1" width="3.0" style="763"/>
    <col min="10873" max="10873" customWidth="1" bestFit="1" width="3.0" style="763"/>
    <col min="10874" max="10874" customWidth="1" bestFit="1" width="3.0" style="763"/>
    <col min="10875" max="10875" customWidth="1" bestFit="1" width="3.0" style="763"/>
    <col min="10876" max="10876" customWidth="1" bestFit="1" width="3.0" style="763"/>
    <col min="10877" max="10877" customWidth="1" bestFit="1" width="3.0" style="763"/>
    <col min="10878" max="10878" customWidth="1" bestFit="1" width="3.0" style="763"/>
    <col min="10879" max="10879" customWidth="1" bestFit="1" width="3.0" style="763"/>
    <col min="10880" max="10880" customWidth="1" bestFit="1" width="3.0" style="763"/>
    <col min="10881" max="10881" customWidth="1" bestFit="1" width="3.0" style="763"/>
    <col min="10882" max="10882" customWidth="1" bestFit="1" width="3.0" style="763"/>
    <col min="10883" max="10883" customWidth="1" bestFit="1" width="3.0" style="763"/>
    <col min="10884" max="10884" customWidth="1" bestFit="1" width="3.0" style="763"/>
    <col min="10885" max="10885" customWidth="1" bestFit="1" width="3.0" style="763"/>
    <col min="10886" max="10886" customWidth="1" bestFit="1" width="3.0" style="763"/>
    <col min="10887" max="10887" customWidth="1" bestFit="1" width="3.0" style="763"/>
    <col min="10888" max="10888" customWidth="1" bestFit="1" width="3.0" style="763"/>
    <col min="10889" max="10889" customWidth="1" bestFit="1" width="3.0" style="763"/>
    <col min="10890" max="10890" customWidth="1" bestFit="1" width="3.0" style="763"/>
    <col min="10891" max="10891" customWidth="1" bestFit="1" width="3.0" style="763"/>
    <col min="10892" max="10892" customWidth="1" bestFit="1" width="3.0" style="763"/>
    <col min="10893" max="10893" customWidth="1" bestFit="1" width="3.0" style="763"/>
    <col min="10894" max="10894" customWidth="1" bestFit="1" width="3.0" style="763"/>
    <col min="10895" max="10895" customWidth="1" bestFit="1" width="3.0" style="763"/>
    <col min="10896" max="10896" customWidth="1" bestFit="1" width="3.0" style="763"/>
    <col min="10897" max="10897" customWidth="1" bestFit="1" width="3.0" style="763"/>
    <col min="10898" max="10898" customWidth="1" bestFit="1" width="3.0" style="763"/>
    <col min="10899" max="10899" customWidth="1" bestFit="1" width="3.0" style="763"/>
    <col min="10900" max="10900" customWidth="1" bestFit="1" width="3.0" style="763"/>
    <col min="10901" max="10901" customWidth="1" bestFit="1" width="3.0" style="763"/>
    <col min="10902" max="10902" customWidth="1" bestFit="1" width="3.0" style="763"/>
    <col min="10903" max="10903" customWidth="1" bestFit="1" width="3.0" style="763"/>
    <col min="10904" max="10904" customWidth="1" bestFit="1" width="3.0" style="763"/>
    <col min="10905" max="10905" customWidth="1" bestFit="1" width="3.0" style="763"/>
    <col min="10906" max="10906" customWidth="1" bestFit="1" width="3.0" style="763"/>
    <col min="10907" max="10907" customWidth="1" bestFit="1" width="3.0" style="763"/>
    <col min="10908" max="10908" customWidth="1" bestFit="1" width="3.0" style="763"/>
    <col min="10909" max="10909" customWidth="1" bestFit="1" width="3.0" style="763"/>
    <col min="10910" max="10910" customWidth="1" bestFit="1" width="3.0" style="763"/>
    <col min="10911" max="10911" customWidth="1" bestFit="1" width="3.0" style="763"/>
    <col min="10912" max="10912" customWidth="1" bestFit="1" width="3.0" style="763"/>
    <col min="10913" max="10913" customWidth="1" bestFit="1" width="3.0" style="763"/>
    <col min="10914" max="10914" customWidth="1" bestFit="1" width="3.0" style="763"/>
    <col min="10915" max="10915" customWidth="1" bestFit="1" width="3.0" style="763"/>
    <col min="10916" max="10916" customWidth="1" bestFit="1" width="3.0" style="763"/>
    <col min="10917" max="10917" customWidth="1" bestFit="1" width="3.0" style="763"/>
    <col min="10918" max="10918" customWidth="1" bestFit="1" width="3.0" style="763"/>
    <col min="10919" max="10919" customWidth="1" bestFit="1" width="3.0" style="763"/>
    <col min="10920" max="10920" customWidth="1" bestFit="1" width="3.0" style="763"/>
    <col min="10921" max="10921" customWidth="1" bestFit="1" width="3.0" style="763"/>
    <col min="10922" max="10922" customWidth="1" bestFit="1" width="3.0" style="763"/>
    <col min="10923" max="10923" customWidth="1" bestFit="1" width="3.0" style="763"/>
    <col min="10924" max="10924" customWidth="1" bestFit="1" width="3.0" style="763"/>
    <col min="10925" max="10925" customWidth="1" bestFit="1" width="3.0" style="763"/>
    <col min="10926" max="10926" customWidth="1" bestFit="1" width="3.0" style="763"/>
    <col min="10927" max="10927" customWidth="1" bestFit="1" width="3.0" style="763"/>
    <col min="10928" max="10928" customWidth="1" bestFit="1" width="3.0" style="763"/>
    <col min="10929" max="10929" customWidth="1" bestFit="1" width="3.0" style="763"/>
    <col min="10930" max="10930" customWidth="1" bestFit="1" width="3.0" style="763"/>
    <col min="10931" max="10931" customWidth="1" bestFit="1" width="3.0" style="763"/>
    <col min="10932" max="10932" customWidth="1" bestFit="1" width="3.0" style="763"/>
    <col min="10933" max="10933" customWidth="1" bestFit="1" width="3.0" style="763"/>
    <col min="10934" max="10934" customWidth="1" bestFit="1" width="3.0" style="763"/>
    <col min="10935" max="10935" customWidth="1" bestFit="1" width="3.0" style="763"/>
    <col min="10936" max="10936" customWidth="1" bestFit="1" width="3.0" style="763"/>
    <col min="10937" max="10937" customWidth="1" bestFit="1" width="3.0" style="763"/>
    <col min="10938" max="10938" customWidth="1" bestFit="1" width="3.0" style="763"/>
    <col min="10939" max="10939" customWidth="1" bestFit="1" width="3.0" style="763"/>
    <col min="10940" max="10940" customWidth="1" bestFit="1" width="3.0" style="763"/>
    <col min="10941" max="10941" customWidth="1" bestFit="1" width="3.0" style="763"/>
    <col min="10942" max="10942" customWidth="1" bestFit="1" width="3.0" style="763"/>
    <col min="10943" max="10943" customWidth="1" bestFit="1" width="3.0" style="763"/>
    <col min="10944" max="10944" customWidth="1" bestFit="1" width="3.0" style="763"/>
    <col min="10945" max="10945" customWidth="1" bestFit="1" width="3.0" style="763"/>
    <col min="10946" max="10946" customWidth="1" bestFit="1" width="3.0" style="763"/>
    <col min="10947" max="10947" customWidth="1" bestFit="1" width="3.0" style="763"/>
    <col min="10948" max="10948" customWidth="1" bestFit="1" width="3.0" style="763"/>
    <col min="10949" max="10949" customWidth="1" bestFit="1" width="3.0" style="763"/>
    <col min="10950" max="10950" customWidth="1" bestFit="1" width="3.0" style="763"/>
    <col min="10951" max="10951" customWidth="1" bestFit="1" width="3.0" style="763"/>
    <col min="10952" max="10952" customWidth="1" bestFit="1" width="3.0" style="763"/>
    <col min="10953" max="10953" customWidth="1" bestFit="1" width="3.0" style="763"/>
    <col min="10954" max="10954" customWidth="1" bestFit="1" width="3.0" style="763"/>
    <col min="10955" max="10955" customWidth="1" bestFit="1" width="3.0" style="763"/>
    <col min="10956" max="10956" customWidth="1" bestFit="1" width="3.0" style="763"/>
    <col min="10957" max="10957" customWidth="1" bestFit="1" width="3.0" style="763"/>
    <col min="10958" max="10958" customWidth="1" bestFit="1" width="3.0" style="763"/>
    <col min="10959" max="10959" customWidth="1" bestFit="1" width="3.0" style="763"/>
    <col min="10960" max="10960" customWidth="1" bestFit="1" width="3.0" style="763"/>
    <col min="10961" max="10961" customWidth="1" bestFit="1" width="3.0" style="763"/>
    <col min="10962" max="10962" customWidth="1" bestFit="1" width="3.0" style="763"/>
    <col min="10963" max="10963" customWidth="1" bestFit="1" width="3.0" style="763"/>
    <col min="10964" max="10964" customWidth="1" bestFit="1" width="3.0" style="763"/>
    <col min="10965" max="10965" customWidth="1" bestFit="1" width="3.0" style="763"/>
    <col min="10966" max="10966" customWidth="1" bestFit="1" width="3.0" style="763"/>
    <col min="10967" max="10967" customWidth="1" bestFit="1" width="3.0" style="763"/>
    <col min="10968" max="10968" customWidth="1" bestFit="1" width="3.0" style="763"/>
    <col min="10969" max="10969" customWidth="1" bestFit="1" width="3.0" style="763"/>
    <col min="10970" max="10970" customWidth="1" bestFit="1" width="3.0" style="763"/>
    <col min="10971" max="10971" customWidth="1" bestFit="1" width="3.0" style="763"/>
    <col min="10972" max="10972" customWidth="1" bestFit="1" width="3.0" style="763"/>
    <col min="10973" max="10973" customWidth="1" bestFit="1" width="3.0" style="763"/>
    <col min="10974" max="10974" customWidth="1" bestFit="1" width="3.0" style="763"/>
    <col min="10975" max="10975" customWidth="1" bestFit="1" width="3.0" style="763"/>
    <col min="10976" max="10976" customWidth="1" bestFit="1" width="3.0" style="763"/>
    <col min="10977" max="10977" customWidth="1" bestFit="1" width="3.0" style="763"/>
    <col min="10978" max="10978" customWidth="1" bestFit="1" width="3.0" style="763"/>
    <col min="10979" max="10979" customWidth="1" bestFit="1" width="3.0" style="763"/>
    <col min="10980" max="10980" customWidth="1" bestFit="1" width="3.0" style="763"/>
    <col min="10981" max="10981" customWidth="1" bestFit="1" width="3.0" style="763"/>
    <col min="10982" max="10982" customWidth="1" bestFit="1" width="3.0" style="763"/>
    <col min="10983" max="10983" customWidth="1" bestFit="1" width="3.0" style="763"/>
    <col min="10984" max="10984" customWidth="1" bestFit="1" width="3.0" style="763"/>
    <col min="10985" max="10985" customWidth="1" bestFit="1" width="3.0" style="763"/>
    <col min="10986" max="10986" customWidth="1" bestFit="1" width="3.0" style="763"/>
    <col min="10987" max="10987" customWidth="1" bestFit="1" width="3.0" style="763"/>
    <col min="10988" max="10988" customWidth="1" bestFit="1" width="3.0" style="763"/>
    <col min="10989" max="10989" customWidth="1" bestFit="1" width="3.0" style="763"/>
    <col min="10990" max="10990" customWidth="1" bestFit="1" width="3.0" style="763"/>
    <col min="10991" max="10991" customWidth="1" bestFit="1" width="3.0" style="763"/>
    <col min="10992" max="10992" customWidth="1" bestFit="1" width="3.0" style="763"/>
    <col min="10993" max="10993" customWidth="1" bestFit="1" width="3.0" style="763"/>
    <col min="10994" max="10994" customWidth="1" bestFit="1" width="3.0" style="763"/>
    <col min="10995" max="10995" customWidth="1" bestFit="1" width="3.0" style="763"/>
    <col min="10996" max="10996" customWidth="1" bestFit="1" width="3.0" style="763"/>
    <col min="10997" max="10997" customWidth="1" bestFit="1" width="3.0" style="763"/>
    <col min="10998" max="10998" customWidth="1" bestFit="1" width="3.0" style="763"/>
    <col min="10999" max="10999" customWidth="1" bestFit="1" width="3.0" style="763"/>
    <col min="11000" max="11000" customWidth="1" bestFit="1" width="3.0" style="763"/>
    <col min="11001" max="11001" customWidth="1" bestFit="1" width="3.0" style="763"/>
    <col min="11002" max="11002" customWidth="1" bestFit="1" width="3.0" style="763"/>
    <col min="11003" max="11003" customWidth="1" bestFit="1" width="3.0" style="763"/>
    <col min="11004" max="11004" customWidth="1" bestFit="1" width="3.0" style="763"/>
    <col min="11005" max="11005" customWidth="1" bestFit="1" width="3.0" style="763"/>
    <col min="11006" max="11006" customWidth="1" bestFit="1" width="3.0" style="763"/>
    <col min="11007" max="11007" customWidth="1" bestFit="1" width="3.0" style="763"/>
    <col min="11008" max="11008" customWidth="1" bestFit="1" width="3.0" style="763"/>
    <col min="11009" max="11009" customWidth="1" bestFit="1" width="3.0" style="763"/>
    <col min="11010" max="11010" customWidth="1" bestFit="1" width="3.0" style="763"/>
    <col min="11011" max="11011" customWidth="1" bestFit="1" width="3.0" style="763"/>
    <col min="11012" max="11012" customWidth="1" bestFit="1" width="3.0" style="763"/>
    <col min="11013" max="11013" customWidth="1" bestFit="1" width="3.0" style="763"/>
    <col min="11014" max="11014" customWidth="1" bestFit="1" width="3.0" style="763"/>
    <col min="11015" max="11015" customWidth="1" bestFit="1" width="3.0" style="763"/>
    <col min="11016" max="11016" customWidth="1" bestFit="1" width="3.0" style="763"/>
    <col min="11017" max="11017" customWidth="1" bestFit="1" width="3.0" style="763"/>
    <col min="11018" max="11018" customWidth="1" bestFit="1" width="3.0" style="763"/>
    <col min="11019" max="11019" customWidth="1" bestFit="1" width="3.0" style="763"/>
    <col min="11020" max="11020" customWidth="1" bestFit="1" width="3.0" style="763"/>
    <col min="11021" max="11021" customWidth="1" bestFit="1" width="3.0" style="763"/>
    <col min="11022" max="11022" customWidth="1" bestFit="1" width="3.0" style="763"/>
    <col min="11023" max="11023" customWidth="1" bestFit="1" width="3.0" style="763"/>
    <col min="11024" max="11024" customWidth="1" bestFit="1" width="3.0" style="763"/>
    <col min="11025" max="11025" customWidth="1" bestFit="1" width="3.0" style="763"/>
    <col min="11026" max="11026" customWidth="1" bestFit="1" width="3.0" style="763"/>
    <col min="11027" max="11027" customWidth="1" bestFit="1" width="3.0" style="763"/>
    <col min="11028" max="11028" customWidth="1" bestFit="1" width="3.0" style="763"/>
    <col min="11029" max="11029" customWidth="1" bestFit="1" width="3.0" style="763"/>
    <col min="11030" max="11030" customWidth="1" bestFit="1" width="3.0" style="763"/>
    <col min="11031" max="11031" customWidth="1" bestFit="1" width="3.0" style="763"/>
    <col min="11032" max="11032" customWidth="1" bestFit="1" width="3.0" style="763"/>
    <col min="11033" max="11033" customWidth="1" bestFit="1" width="3.0" style="763"/>
    <col min="11034" max="11034" customWidth="1" bestFit="1" width="3.0" style="763"/>
    <col min="11035" max="11035" customWidth="1" bestFit="1" width="3.0" style="763"/>
    <col min="11036" max="11036" customWidth="1" bestFit="1" width="3.0" style="763"/>
    <col min="11037" max="11037" customWidth="1" bestFit="1" width="3.0" style="763"/>
    <col min="11038" max="11038" customWidth="1" bestFit="1" width="3.0" style="763"/>
    <col min="11039" max="11039" customWidth="1" bestFit="1" width="3.0" style="763"/>
    <col min="11040" max="11040" customWidth="1" bestFit="1" width="3.0" style="763"/>
    <col min="11041" max="11041" customWidth="1" bestFit="1" width="3.0" style="763"/>
    <col min="11042" max="11042" customWidth="1" bestFit="1" width="3.0" style="763"/>
    <col min="11043" max="11043" customWidth="1" bestFit="1" width="3.0" style="763"/>
    <col min="11044" max="11044" customWidth="1" bestFit="1" width="3.0" style="763"/>
    <col min="11045" max="11045" customWidth="1" bestFit="1" width="3.0" style="763"/>
    <col min="11046" max="11046" customWidth="1" bestFit="1" width="3.0" style="763"/>
    <col min="11047" max="11047" customWidth="1" bestFit="1" width="3.0" style="763"/>
    <col min="11048" max="11048" customWidth="1" bestFit="1" width="3.0" style="763"/>
    <col min="11049" max="11049" customWidth="1" bestFit="1" width="3.0" style="763"/>
    <col min="11050" max="11050" customWidth="1" bestFit="1" width="3.0" style="763"/>
    <col min="11051" max="11051" customWidth="1" bestFit="1" width="3.0" style="763"/>
    <col min="11052" max="11052" customWidth="1" bestFit="1" width="3.0" style="763"/>
    <col min="11053" max="11053" customWidth="1" bestFit="1" width="3.0" style="763"/>
    <col min="11054" max="11054" customWidth="1" bestFit="1" width="3.0" style="763"/>
    <col min="11055" max="11055" customWidth="1" bestFit="1" width="3.0" style="763"/>
    <col min="11056" max="11056" customWidth="1" bestFit="1" width="3.0" style="763"/>
    <col min="11057" max="11057" customWidth="1" bestFit="1" width="3.0" style="763"/>
    <col min="11058" max="11058" customWidth="1" bestFit="1" width="3.0" style="763"/>
    <col min="11059" max="11059" customWidth="1" bestFit="1" width="3.0" style="763"/>
    <col min="11060" max="11060" customWidth="1" bestFit="1" width="3.0" style="763"/>
    <col min="11061" max="11061" customWidth="1" bestFit="1" width="3.0" style="763"/>
    <col min="11062" max="11062" customWidth="1" bestFit="1" width="3.0" style="763"/>
    <col min="11063" max="11063" customWidth="1" bestFit="1" width="3.0" style="763"/>
    <col min="11064" max="11064" customWidth="1" bestFit="1" width="3.0" style="763"/>
    <col min="11065" max="11065" customWidth="1" bestFit="1" width="3.0" style="763"/>
    <col min="11066" max="11066" customWidth="1" bestFit="1" width="3.0" style="763"/>
    <col min="11067" max="11067" customWidth="1" bestFit="1" width="3.0" style="763"/>
    <col min="11068" max="11068" customWidth="1" bestFit="1" width="3.0" style="763"/>
    <col min="11069" max="11069" customWidth="1" bestFit="1" width="3.0" style="763"/>
    <col min="11070" max="11070" customWidth="1" bestFit="1" width="3.0" style="763"/>
    <col min="11071" max="11071" customWidth="1" bestFit="1" width="3.0" style="763"/>
    <col min="11072" max="11072" customWidth="1" bestFit="1" width="3.0" style="763"/>
    <col min="11073" max="11073" customWidth="1" bestFit="1" width="3.0" style="763"/>
    <col min="11074" max="11074" customWidth="1" bestFit="1" width="3.0" style="763"/>
    <col min="11075" max="11075" customWidth="1" bestFit="1" width="3.0" style="763"/>
    <col min="11076" max="11076" customWidth="1" bestFit="1" width="3.0" style="763"/>
    <col min="11077" max="11077" customWidth="1" bestFit="1" width="3.0" style="763"/>
    <col min="11078" max="11078" customWidth="1" bestFit="1" width="3.0" style="763"/>
    <col min="11079" max="11079" customWidth="1" bestFit="1" width="3.0" style="763"/>
    <col min="11080" max="11080" customWidth="1" bestFit="1" width="3.0" style="763"/>
    <col min="11081" max="11081" customWidth="1" bestFit="1" width="3.0" style="763"/>
    <col min="11082" max="11082" customWidth="1" bestFit="1" width="3.0" style="763"/>
    <col min="11083" max="11083" customWidth="1" bestFit="1" width="3.0" style="763"/>
    <col min="11084" max="11084" customWidth="1" bestFit="1" width="3.0" style="763"/>
    <col min="11085" max="11085" customWidth="1" bestFit="1" width="3.0" style="763"/>
    <col min="11086" max="11086" customWidth="1" bestFit="1" width="3.0" style="763"/>
    <col min="11087" max="11087" customWidth="1" bestFit="1" width="3.0" style="763"/>
    <col min="11088" max="11088" customWidth="1" bestFit="1" width="3.0" style="763"/>
    <col min="11089" max="11089" customWidth="1" bestFit="1" width="3.0" style="763"/>
    <col min="11090" max="11090" customWidth="1" bestFit="1" width="3.0" style="763"/>
    <col min="11091" max="11091" customWidth="1" bestFit="1" width="3.0" style="763"/>
    <col min="11092" max="11092" customWidth="1" bestFit="1" width="3.0" style="763"/>
    <col min="11093" max="11093" customWidth="1" bestFit="1" width="3.0" style="763"/>
    <col min="11094" max="11094" customWidth="1" bestFit="1" width="3.0" style="763"/>
    <col min="11095" max="11095" customWidth="1" bestFit="1" width="3.0" style="763"/>
    <col min="11096" max="11096" customWidth="1" bestFit="1" width="3.0" style="763"/>
    <col min="11097" max="11097" customWidth="1" bestFit="1" width="3.0" style="763"/>
    <col min="11098" max="11098" customWidth="1" bestFit="1" width="3.0" style="763"/>
    <col min="11099" max="11099" customWidth="1" bestFit="1" width="3.0" style="763"/>
    <col min="11100" max="11100" customWidth="1" bestFit="1" width="3.0" style="763"/>
    <col min="11101" max="11101" customWidth="1" bestFit="1" width="3.0" style="763"/>
    <col min="11102" max="11102" customWidth="1" bestFit="1" width="3.0" style="763"/>
    <col min="11103" max="11103" customWidth="1" bestFit="1" width="3.0" style="763"/>
    <col min="11104" max="11104" customWidth="1" bestFit="1" width="3.0" style="763"/>
    <col min="11105" max="11105" customWidth="1" bestFit="1" width="3.0" style="763"/>
    <col min="11106" max="11106" customWidth="1" bestFit="1" width="3.0" style="763"/>
    <col min="11107" max="11107" customWidth="1" bestFit="1" width="3.0" style="763"/>
    <col min="11108" max="11108" customWidth="1" bestFit="1" width="3.0" style="763"/>
    <col min="11109" max="11109" customWidth="1" bestFit="1" width="3.0" style="763"/>
    <col min="11110" max="11110" customWidth="1" bestFit="1" width="3.0" style="763"/>
    <col min="11111" max="11111" customWidth="1" bestFit="1" width="3.0" style="763"/>
    <col min="11112" max="11112" customWidth="1" bestFit="1" width="3.0" style="763"/>
    <col min="11113" max="11113" customWidth="1" bestFit="1" width="3.0" style="763"/>
    <col min="11114" max="11114" customWidth="1" bestFit="1" width="3.0" style="763"/>
    <col min="11115" max="11115" customWidth="1" bestFit="1" width="3.0" style="763"/>
    <col min="11116" max="11116" customWidth="1" bestFit="1" width="3.0" style="763"/>
    <col min="11117" max="11117" customWidth="1" bestFit="1" width="3.0" style="763"/>
    <col min="11118" max="11118" customWidth="1" bestFit="1" width="3.0" style="763"/>
    <col min="11119" max="11119" customWidth="1" bestFit="1" width="3.0" style="763"/>
    <col min="11120" max="11120" customWidth="1" bestFit="1" width="3.0" style="763"/>
    <col min="11121" max="11121" customWidth="1" bestFit="1" width="3.0" style="763"/>
    <col min="11122" max="11122" customWidth="1" bestFit="1" width="3.0" style="763"/>
    <col min="11123" max="11123" customWidth="1" bestFit="1" width="3.0" style="763"/>
    <col min="11124" max="11124" customWidth="1" bestFit="1" width="3.0" style="763"/>
    <col min="11125" max="11125" customWidth="1" bestFit="1" width="3.0" style="763"/>
    <col min="11126" max="11126" customWidth="1" bestFit="1" width="3.0" style="763"/>
    <col min="11127" max="11127" customWidth="1" bestFit="1" width="3.0" style="763"/>
    <col min="11128" max="11128" customWidth="1" bestFit="1" width="3.0" style="763"/>
    <col min="11129" max="11129" customWidth="1" bestFit="1" width="3.0" style="763"/>
    <col min="11130" max="11130" customWidth="1" bestFit="1" width="3.0" style="763"/>
    <col min="11131" max="11131" customWidth="1" bestFit="1" width="3.0" style="763"/>
    <col min="11132" max="11132" customWidth="1" bestFit="1" width="3.0" style="763"/>
    <col min="11133" max="11133" customWidth="1" bestFit="1" width="3.0" style="763"/>
    <col min="11134" max="11134" customWidth="1" bestFit="1" width="3.0" style="763"/>
    <col min="11135" max="11135" customWidth="1" bestFit="1" width="3.0" style="763"/>
    <col min="11136" max="11136" customWidth="1" bestFit="1" width="3.0" style="763"/>
    <col min="11137" max="11137" customWidth="1" bestFit="1" width="3.0" style="763"/>
    <col min="11138" max="11138" customWidth="1" bestFit="1" width="3.0" style="763"/>
    <col min="11139" max="11139" customWidth="1" bestFit="1" width="3.0" style="763"/>
    <col min="11140" max="11140" customWidth="1" bestFit="1" width="3.0" style="763"/>
    <col min="11141" max="11141" customWidth="1" bestFit="1" width="3.0" style="763"/>
    <col min="11142" max="11142" customWidth="1" bestFit="1" width="3.0" style="763"/>
    <col min="11143" max="11143" customWidth="1" bestFit="1" width="3.0" style="763"/>
    <col min="11144" max="11144" customWidth="1" bestFit="1" width="3.0" style="763"/>
    <col min="11145" max="11145" customWidth="1" bestFit="1" width="3.0" style="763"/>
    <col min="11146" max="11146" customWidth="1" bestFit="1" width="3.0" style="763"/>
    <col min="11147" max="11147" customWidth="1" bestFit="1" width="3.0" style="763"/>
    <col min="11148" max="11148" customWidth="1" bestFit="1" width="3.0" style="763"/>
    <col min="11149" max="11149" customWidth="1" bestFit="1" width="3.0" style="763"/>
    <col min="11150" max="11150" customWidth="1" bestFit="1" width="3.0" style="763"/>
    <col min="11151" max="11151" customWidth="1" bestFit="1" width="3.0" style="763"/>
    <col min="11152" max="11152" customWidth="1" bestFit="1" width="3.0" style="763"/>
    <col min="11153" max="11153" customWidth="1" bestFit="1" width="3.0" style="763"/>
    <col min="11154" max="11154" customWidth="1" bestFit="1" width="3.0" style="763"/>
    <col min="11155" max="11155" customWidth="1" bestFit="1" width="3.0" style="763"/>
    <col min="11156" max="11156" customWidth="1" bestFit="1" width="3.0" style="763"/>
    <col min="11157" max="11157" customWidth="1" bestFit="1" width="3.0" style="763"/>
    <col min="11158" max="11158" customWidth="1" bestFit="1" width="3.0" style="763"/>
    <col min="11159" max="11159" customWidth="1" bestFit="1" width="3.0" style="763"/>
    <col min="11160" max="11160" customWidth="1" bestFit="1" width="3.0" style="763"/>
    <col min="11161" max="11161" customWidth="1" bestFit="1" width="3.0" style="763"/>
    <col min="11162" max="11162" customWidth="1" bestFit="1" width="3.0" style="763"/>
    <col min="11163" max="11163" customWidth="1" bestFit="1" width="3.0" style="763"/>
    <col min="11164" max="11164" customWidth="1" bestFit="1" width="3.0" style="763"/>
    <col min="11165" max="11165" customWidth="1" bestFit="1" width="3.0" style="763"/>
    <col min="11166" max="11166" customWidth="1" bestFit="1" width="3.0" style="763"/>
    <col min="11167" max="11167" customWidth="1" bestFit="1" width="3.0" style="763"/>
    <col min="11168" max="11168" customWidth="1" bestFit="1" width="3.0" style="763"/>
    <col min="11169" max="11169" customWidth="1" bestFit="1" width="3.0" style="763"/>
    <col min="11170" max="11170" customWidth="1" bestFit="1" width="3.0" style="763"/>
    <col min="11171" max="11171" customWidth="1" bestFit="1" width="3.0" style="763"/>
    <col min="11172" max="11172" customWidth="1" bestFit="1" width="3.0" style="763"/>
    <col min="11173" max="11173" customWidth="1" bestFit="1" width="3.0" style="763"/>
    <col min="11174" max="11174" customWidth="1" bestFit="1" width="3.0" style="763"/>
    <col min="11175" max="11175" customWidth="1" bestFit="1" width="3.0" style="763"/>
    <col min="11176" max="11176" customWidth="1" bestFit="1" width="3.0" style="763"/>
    <col min="11177" max="11177" customWidth="1" bestFit="1" width="3.0" style="763"/>
    <col min="11178" max="11178" customWidth="1" bestFit="1" width="3.0" style="763"/>
    <col min="11179" max="11179" customWidth="1" bestFit="1" width="3.0" style="763"/>
    <col min="11180" max="11180" customWidth="1" bestFit="1" width="3.0" style="763"/>
    <col min="11181" max="11181" customWidth="1" bestFit="1" width="3.0" style="763"/>
    <col min="11182" max="11182" customWidth="1" bestFit="1" width="3.0" style="763"/>
    <col min="11183" max="11183" customWidth="1" bestFit="1" width="3.0" style="763"/>
    <col min="11184" max="11184" customWidth="1" bestFit="1" width="3.0" style="763"/>
    <col min="11185" max="11185" customWidth="1" bestFit="1" width="3.0" style="763"/>
    <col min="11186" max="11186" customWidth="1" bestFit="1" width="3.0" style="763"/>
    <col min="11187" max="11187" customWidth="1" bestFit="1" width="3.0" style="763"/>
    <col min="11188" max="11188" customWidth="1" bestFit="1" width="3.0" style="763"/>
    <col min="11189" max="11189" customWidth="1" bestFit="1" width="3.0" style="763"/>
    <col min="11190" max="11190" customWidth="1" bestFit="1" width="3.0" style="763"/>
    <col min="11191" max="11191" customWidth="1" bestFit="1" width="3.0" style="763"/>
    <col min="11192" max="11192" customWidth="1" bestFit="1" width="3.0" style="763"/>
    <col min="11193" max="11193" customWidth="1" bestFit="1" width="3.0" style="763"/>
    <col min="11194" max="11194" customWidth="1" bestFit="1" width="3.0" style="763"/>
    <col min="11195" max="11195" customWidth="1" bestFit="1" width="3.0" style="763"/>
    <col min="11196" max="11196" customWidth="1" bestFit="1" width="3.0" style="763"/>
    <col min="11197" max="11197" customWidth="1" bestFit="1" width="3.0" style="763"/>
    <col min="11198" max="11198" customWidth="1" bestFit="1" width="3.0" style="763"/>
    <col min="11199" max="11199" customWidth="1" bestFit="1" width="3.0" style="763"/>
    <col min="11200" max="11200" customWidth="1" bestFit="1" width="3.0" style="763"/>
    <col min="11201" max="11201" customWidth="1" bestFit="1" width="3.0" style="763"/>
    <col min="11202" max="11202" customWidth="1" bestFit="1" width="3.0" style="763"/>
    <col min="11203" max="11203" customWidth="1" bestFit="1" width="3.0" style="763"/>
    <col min="11204" max="11204" customWidth="1" bestFit="1" width="3.0" style="763"/>
    <col min="11205" max="11205" customWidth="1" bestFit="1" width="3.0" style="763"/>
    <col min="11206" max="11206" customWidth="1" bestFit="1" width="3.0" style="763"/>
    <col min="11207" max="11207" customWidth="1" bestFit="1" width="3.0" style="763"/>
    <col min="11208" max="11208" customWidth="1" bestFit="1" width="3.0" style="763"/>
    <col min="11209" max="11209" customWidth="1" bestFit="1" width="3.0" style="763"/>
    <col min="11210" max="11210" customWidth="1" bestFit="1" width="3.0" style="763"/>
    <col min="11211" max="11211" customWidth="1" bestFit="1" width="3.0" style="763"/>
    <col min="11212" max="11212" customWidth="1" bestFit="1" width="3.0" style="763"/>
    <col min="11213" max="11213" customWidth="1" bestFit="1" width="3.0" style="763"/>
    <col min="11214" max="11214" customWidth="1" bestFit="1" width="3.0" style="763"/>
    <col min="11215" max="11215" customWidth="1" bestFit="1" width="3.0" style="763"/>
    <col min="11216" max="11216" customWidth="1" bestFit="1" width="3.0" style="763"/>
    <col min="11217" max="11217" customWidth="1" bestFit="1" width="3.0" style="763"/>
    <col min="11218" max="11218" customWidth="1" bestFit="1" width="3.0" style="763"/>
    <col min="11219" max="11219" customWidth="1" bestFit="1" width="3.0" style="763"/>
    <col min="11220" max="11220" customWidth="1" bestFit="1" width="3.0" style="763"/>
    <col min="11221" max="11221" customWidth="1" bestFit="1" width="3.0" style="763"/>
    <col min="11222" max="11222" customWidth="1" bestFit="1" width="3.0" style="763"/>
    <col min="11223" max="11223" customWidth="1" bestFit="1" width="3.0" style="763"/>
    <col min="11224" max="11224" customWidth="1" bestFit="1" width="3.0" style="763"/>
    <col min="11225" max="11225" customWidth="1" bestFit="1" width="3.0" style="763"/>
    <col min="11226" max="11226" customWidth="1" bestFit="1" width="3.0" style="763"/>
    <col min="11227" max="11227" customWidth="1" bestFit="1" width="3.0" style="763"/>
    <col min="11228" max="11228" customWidth="1" bestFit="1" width="3.0" style="763"/>
    <col min="11229" max="11229" customWidth="1" bestFit="1" width="3.0" style="763"/>
    <col min="11230" max="11230" customWidth="1" bestFit="1" width="3.0" style="763"/>
    <col min="11231" max="11231" customWidth="1" bestFit="1" width="3.0" style="763"/>
    <col min="11232" max="11232" customWidth="1" bestFit="1" width="3.0" style="763"/>
    <col min="11233" max="11233" customWidth="1" bestFit="1" width="3.0" style="763"/>
    <col min="11234" max="11234" customWidth="1" bestFit="1" width="3.0" style="763"/>
    <col min="11235" max="11235" customWidth="1" bestFit="1" width="3.0" style="763"/>
    <col min="11236" max="11236" customWidth="1" bestFit="1" width="3.0" style="763"/>
    <col min="11237" max="11237" customWidth="1" bestFit="1" width="3.0" style="763"/>
    <col min="11238" max="11238" customWidth="1" bestFit="1" width="3.0" style="763"/>
    <col min="11239" max="11239" customWidth="1" bestFit="1" width="3.0" style="763"/>
    <col min="11240" max="11240" customWidth="1" bestFit="1" width="3.0" style="763"/>
    <col min="11241" max="11241" customWidth="1" bestFit="1" width="3.0" style="763"/>
    <col min="11242" max="11242" customWidth="1" bestFit="1" width="3.0" style="763"/>
    <col min="11243" max="11243" customWidth="1" bestFit="1" width="3.0" style="763"/>
    <col min="11244" max="11244" customWidth="1" bestFit="1" width="3.0" style="763"/>
    <col min="11245" max="11245" customWidth="1" bestFit="1" width="3.0" style="763"/>
    <col min="11246" max="11246" customWidth="1" bestFit="1" width="3.0" style="763"/>
    <col min="11247" max="11247" customWidth="1" bestFit="1" width="3.0" style="763"/>
    <col min="11248" max="11248" customWidth="1" bestFit="1" width="3.0" style="763"/>
    <col min="11249" max="11249" customWidth="1" bestFit="1" width="3.0" style="763"/>
    <col min="11250" max="11250" customWidth="1" bestFit="1" width="3.0" style="763"/>
    <col min="11251" max="11251" customWidth="1" bestFit="1" width="3.0" style="763"/>
    <col min="11252" max="11252" customWidth="1" bestFit="1" width="3.0" style="763"/>
    <col min="11253" max="11253" customWidth="1" bestFit="1" width="3.0" style="763"/>
    <col min="11254" max="11254" customWidth="1" bestFit="1" width="3.0" style="763"/>
    <col min="11255" max="11255" customWidth="1" bestFit="1" width="3.0" style="763"/>
    <col min="11256" max="11256" customWidth="1" bestFit="1" width="3.0" style="763"/>
    <col min="11257" max="11257" customWidth="1" bestFit="1" width="3.0" style="763"/>
    <col min="11258" max="11258" customWidth="1" bestFit="1" width="3.0" style="763"/>
    <col min="11259" max="11259" customWidth="1" bestFit="1" width="3.0" style="763"/>
    <col min="11260" max="11260" customWidth="1" bestFit="1" width="3.0" style="763"/>
    <col min="11261" max="11261" customWidth="1" bestFit="1" width="3.0" style="763"/>
    <col min="11262" max="11262" customWidth="1" bestFit="1" width="3.0" style="763"/>
    <col min="11263" max="11263" customWidth="1" bestFit="1" width="3.0" style="763"/>
    <col min="11264" max="11264" customWidth="1" bestFit="1" width="3.0" style="763"/>
    <col min="11265" max="11265" customWidth="1" bestFit="1" width="3.0" style="763"/>
    <col min="11266" max="11266" customWidth="1" bestFit="1" width="3.0" style="763"/>
    <col min="11267" max="11267" customWidth="1" bestFit="1" width="3.0" style="763"/>
    <col min="11268" max="11268" customWidth="1" bestFit="1" width="3.0" style="763"/>
    <col min="11269" max="11269" customWidth="1" bestFit="1" width="3.0" style="763"/>
    <col min="11270" max="11270" customWidth="1" bestFit="1" width="3.0" style="763"/>
    <col min="11271" max="11271" customWidth="1" bestFit="1" width="3.0" style="763"/>
    <col min="11272" max="11272" customWidth="1" bestFit="1" width="3.0" style="763"/>
    <col min="11273" max="11273" customWidth="1" bestFit="1" width="3.0" style="763"/>
    <col min="11274" max="11274" customWidth="1" bestFit="1" width="3.0" style="763"/>
    <col min="11275" max="11275" customWidth="1" bestFit="1" width="3.0" style="763"/>
    <col min="11276" max="11276" customWidth="1" bestFit="1" width="3.0" style="763"/>
    <col min="11277" max="11277" customWidth="1" bestFit="1" width="3.0" style="763"/>
    <col min="11278" max="11278" customWidth="1" bestFit="1" width="3.0" style="763"/>
    <col min="11279" max="11279" customWidth="1" bestFit="1" width="3.0" style="763"/>
    <col min="11280" max="11280" customWidth="1" bestFit="1" width="3.0" style="763"/>
    <col min="11281" max="11281" customWidth="1" bestFit="1" width="3.0" style="763"/>
    <col min="11282" max="11282" customWidth="1" bestFit="1" width="3.0" style="763"/>
    <col min="11283" max="11283" customWidth="1" bestFit="1" width="3.0" style="763"/>
    <col min="11284" max="11284" customWidth="1" bestFit="1" width="3.0" style="763"/>
    <col min="11285" max="11285" customWidth="1" bestFit="1" width="3.0" style="763"/>
    <col min="11286" max="11286" customWidth="1" bestFit="1" width="3.0" style="763"/>
    <col min="11287" max="11287" customWidth="1" bestFit="1" width="3.0" style="763"/>
    <col min="11288" max="11288" customWidth="1" bestFit="1" width="3.0" style="763"/>
    <col min="11289" max="11289" customWidth="1" bestFit="1" width="3.0" style="763"/>
    <col min="11290" max="11290" customWidth="1" bestFit="1" width="3.0" style="763"/>
    <col min="11291" max="11291" customWidth="1" bestFit="1" width="3.0" style="763"/>
    <col min="11292" max="11292" customWidth="1" bestFit="1" width="3.0" style="763"/>
    <col min="11293" max="11293" customWidth="1" bestFit="1" width="3.0" style="763"/>
    <col min="11294" max="11294" customWidth="1" bestFit="1" width="3.0" style="763"/>
    <col min="11295" max="11295" customWidth="1" bestFit="1" width="3.0" style="763"/>
    <col min="11296" max="11296" customWidth="1" bestFit="1" width="3.0" style="763"/>
    <col min="11297" max="11297" customWidth="1" bestFit="1" width="3.0" style="763"/>
    <col min="11298" max="11298" customWidth="1" bestFit="1" width="3.0" style="763"/>
    <col min="11299" max="11299" customWidth="1" bestFit="1" width="3.0" style="763"/>
    <col min="11300" max="11300" customWidth="1" bestFit="1" width="3.0" style="763"/>
    <col min="11301" max="11301" customWidth="1" bestFit="1" width="3.0" style="763"/>
    <col min="11302" max="11302" customWidth="1" bestFit="1" width="3.0" style="763"/>
    <col min="11303" max="11303" customWidth="1" bestFit="1" width="3.0" style="763"/>
    <col min="11304" max="11304" customWidth="1" bestFit="1" width="3.0" style="763"/>
    <col min="11305" max="11305" customWidth="1" bestFit="1" width="3.0" style="763"/>
    <col min="11306" max="11306" customWidth="1" bestFit="1" width="3.0" style="763"/>
    <col min="11307" max="11307" customWidth="1" bestFit="1" width="3.0" style="763"/>
    <col min="11308" max="11308" customWidth="1" bestFit="1" width="3.0" style="763"/>
    <col min="11309" max="11309" customWidth="1" bestFit="1" width="3.0" style="763"/>
    <col min="11310" max="11310" customWidth="1" bestFit="1" width="3.0" style="763"/>
    <col min="11311" max="11311" customWidth="1" bestFit="1" width="3.0" style="763"/>
    <col min="11312" max="11312" customWidth="1" bestFit="1" width="3.0" style="763"/>
    <col min="11313" max="11313" customWidth="1" bestFit="1" width="3.0" style="763"/>
    <col min="11314" max="11314" customWidth="1" bestFit="1" width="3.0" style="763"/>
    <col min="11315" max="11315" customWidth="1" bestFit="1" width="3.0" style="763"/>
    <col min="11316" max="11316" customWidth="1" bestFit="1" width="3.0" style="763"/>
    <col min="11317" max="11317" customWidth="1" bestFit="1" width="3.0" style="763"/>
    <col min="11318" max="11318" customWidth="1" bestFit="1" width="3.0" style="763"/>
    <col min="11319" max="11319" customWidth="1" bestFit="1" width="3.0" style="763"/>
    <col min="11320" max="11320" customWidth="1" bestFit="1" width="3.0" style="763"/>
    <col min="11321" max="11321" customWidth="1" bestFit="1" width="3.0" style="763"/>
    <col min="11322" max="11322" customWidth="1" bestFit="1" width="3.0" style="763"/>
    <col min="11323" max="11323" customWidth="1" bestFit="1" width="3.0" style="763"/>
    <col min="11324" max="11324" customWidth="1" bestFit="1" width="3.0" style="763"/>
    <col min="11325" max="11325" customWidth="1" bestFit="1" width="3.0" style="763"/>
    <col min="11326" max="11326" customWidth="1" bestFit="1" width="3.0" style="763"/>
    <col min="11327" max="11327" customWidth="1" bestFit="1" width="3.0" style="763"/>
    <col min="11328" max="11328" customWidth="1" bestFit="1" width="3.0" style="763"/>
    <col min="11329" max="11329" customWidth="1" bestFit="1" width="3.0" style="763"/>
    <col min="11330" max="11330" customWidth="1" bestFit="1" width="3.0" style="763"/>
    <col min="11331" max="11331" customWidth="1" bestFit="1" width="3.0" style="763"/>
    <col min="11332" max="11332" customWidth="1" bestFit="1" width="3.0" style="763"/>
    <col min="11333" max="11333" customWidth="1" bestFit="1" width="3.0" style="763"/>
    <col min="11334" max="11334" customWidth="1" bestFit="1" width="3.0" style="763"/>
    <col min="11335" max="11335" customWidth="1" bestFit="1" width="3.0" style="763"/>
    <col min="11336" max="11336" customWidth="1" bestFit="1" width="3.0" style="763"/>
    <col min="11337" max="11337" customWidth="1" bestFit="1" width="3.0" style="763"/>
    <col min="11338" max="11338" customWidth="1" bestFit="1" width="3.0" style="763"/>
    <col min="11339" max="11339" customWidth="1" bestFit="1" width="3.0" style="763"/>
    <col min="11340" max="11340" customWidth="1" bestFit="1" width="3.0" style="763"/>
    <col min="11341" max="11341" customWidth="1" bestFit="1" width="3.0" style="763"/>
    <col min="11342" max="11342" customWidth="1" bestFit="1" width="3.0" style="763"/>
    <col min="11343" max="11343" customWidth="1" bestFit="1" width="3.0" style="763"/>
    <col min="11344" max="11344" customWidth="1" bestFit="1" width="3.0" style="763"/>
    <col min="11345" max="11345" customWidth="1" bestFit="1" width="3.0" style="763"/>
    <col min="11346" max="11346" customWidth="1" bestFit="1" width="3.0" style="763"/>
    <col min="11347" max="11347" customWidth="1" bestFit="1" width="3.0" style="763"/>
    <col min="11348" max="11348" customWidth="1" bestFit="1" width="3.0" style="763"/>
    <col min="11349" max="11349" customWidth="1" bestFit="1" width="3.0" style="763"/>
    <col min="11350" max="11350" customWidth="1" bestFit="1" width="3.0" style="763"/>
    <col min="11351" max="11351" customWidth="1" bestFit="1" width="3.0" style="763"/>
    <col min="11352" max="11352" customWidth="1" bestFit="1" width="3.0" style="763"/>
    <col min="11353" max="11353" customWidth="1" bestFit="1" width="3.0" style="763"/>
    <col min="11354" max="11354" customWidth="1" bestFit="1" width="3.0" style="763"/>
    <col min="11355" max="11355" customWidth="1" bestFit="1" width="3.0" style="763"/>
    <col min="11356" max="11356" customWidth="1" bestFit="1" width="3.0" style="763"/>
    <col min="11357" max="11357" customWidth="1" bestFit="1" width="3.0" style="763"/>
    <col min="11358" max="11358" customWidth="1" bestFit="1" width="3.0" style="763"/>
    <col min="11359" max="11359" customWidth="1" bestFit="1" width="3.0" style="763"/>
    <col min="11360" max="11360" customWidth="1" bestFit="1" width="3.0" style="763"/>
    <col min="11361" max="11361" customWidth="1" bestFit="1" width="3.0" style="763"/>
    <col min="11362" max="11362" customWidth="1" bestFit="1" width="3.0" style="763"/>
    <col min="11363" max="11363" customWidth="1" bestFit="1" width="3.0" style="763"/>
    <col min="11364" max="11364" customWidth="1" bestFit="1" width="3.0" style="763"/>
    <col min="11365" max="11365" customWidth="1" bestFit="1" width="3.0" style="763"/>
    <col min="11366" max="11366" customWidth="1" bestFit="1" width="3.0" style="763"/>
    <col min="11367" max="11367" customWidth="1" bestFit="1" width="3.0" style="763"/>
    <col min="11368" max="11368" customWidth="1" bestFit="1" width="3.0" style="763"/>
    <col min="11369" max="11369" customWidth="1" bestFit="1" width="3.0" style="763"/>
    <col min="11370" max="11370" customWidth="1" bestFit="1" width="3.0" style="763"/>
    <col min="11371" max="11371" customWidth="1" bestFit="1" width="3.0" style="763"/>
    <col min="11372" max="11372" customWidth="1" bestFit="1" width="3.0" style="763"/>
    <col min="11373" max="11373" customWidth="1" bestFit="1" width="3.0" style="763"/>
    <col min="11374" max="11374" customWidth="1" bestFit="1" width="3.0" style="763"/>
    <col min="11375" max="11375" customWidth="1" bestFit="1" width="3.0" style="763"/>
    <col min="11376" max="11376" customWidth="1" bestFit="1" width="3.0" style="763"/>
    <col min="11377" max="11377" customWidth="1" bestFit="1" width="3.0" style="763"/>
    <col min="11378" max="11378" customWidth="1" bestFit="1" width="3.0" style="763"/>
    <col min="11379" max="11379" customWidth="1" bestFit="1" width="3.0" style="763"/>
    <col min="11380" max="11380" customWidth="1" bestFit="1" width="3.0" style="763"/>
    <col min="11381" max="11381" customWidth="1" bestFit="1" width="3.0" style="763"/>
    <col min="11382" max="11382" customWidth="1" bestFit="1" width="3.0" style="763"/>
    <col min="11383" max="11383" customWidth="1" bestFit="1" width="3.0" style="763"/>
    <col min="11384" max="11384" customWidth="1" bestFit="1" width="3.0" style="763"/>
    <col min="11385" max="11385" customWidth="1" bestFit="1" width="3.0" style="763"/>
    <col min="11386" max="11386" customWidth="1" bestFit="1" width="3.0" style="763"/>
    <col min="11387" max="11387" customWidth="1" bestFit="1" width="3.0" style="763"/>
    <col min="11388" max="11388" customWidth="1" bestFit="1" width="3.0" style="763"/>
    <col min="11389" max="11389" customWidth="1" bestFit="1" width="3.0" style="763"/>
    <col min="11390" max="11390" customWidth="1" bestFit="1" width="3.0" style="763"/>
    <col min="11391" max="11391" customWidth="1" bestFit="1" width="3.0" style="763"/>
    <col min="11392" max="11392" customWidth="1" bestFit="1" width="3.0" style="763"/>
    <col min="11393" max="11393" customWidth="1" bestFit="1" width="3.0" style="763"/>
    <col min="11394" max="11394" customWidth="1" bestFit="1" width="3.0" style="763"/>
    <col min="11395" max="11395" customWidth="1" bestFit="1" width="3.0" style="763"/>
    <col min="11396" max="11396" customWidth="1" bestFit="1" width="3.0" style="763"/>
    <col min="11397" max="11397" customWidth="1" bestFit="1" width="3.0" style="763"/>
    <col min="11398" max="11398" customWidth="1" bestFit="1" width="3.0" style="763"/>
    <col min="11399" max="11399" customWidth="1" bestFit="1" width="3.0" style="763"/>
    <col min="11400" max="11400" customWidth="1" bestFit="1" width="3.0" style="763"/>
    <col min="11401" max="11401" customWidth="1" bestFit="1" width="3.0" style="763"/>
    <col min="11402" max="11402" customWidth="1" bestFit="1" width="3.0" style="763"/>
    <col min="11403" max="11403" customWidth="1" bestFit="1" width="3.0" style="763"/>
    <col min="11404" max="11404" customWidth="1" bestFit="1" width="3.0" style="763"/>
    <col min="11405" max="11405" customWidth="1" bestFit="1" width="3.0" style="763"/>
    <col min="11406" max="11406" customWidth="1" bestFit="1" width="3.0" style="763"/>
    <col min="11407" max="11407" customWidth="1" bestFit="1" width="3.0" style="763"/>
    <col min="11408" max="11408" customWidth="1" bestFit="1" width="3.0" style="763"/>
    <col min="11409" max="11409" customWidth="1" bestFit="1" width="3.0" style="763"/>
    <col min="11410" max="11410" customWidth="1" bestFit="1" width="3.0" style="763"/>
    <col min="11411" max="11411" customWidth="1" bestFit="1" width="3.0" style="763"/>
    <col min="11412" max="11412" customWidth="1" bestFit="1" width="3.0" style="763"/>
    <col min="11413" max="11413" customWidth="1" bestFit="1" width="3.0" style="763"/>
    <col min="11414" max="11414" customWidth="1" bestFit="1" width="3.0" style="763"/>
    <col min="11415" max="11415" customWidth="1" bestFit="1" width="3.0" style="763"/>
    <col min="11416" max="11416" customWidth="1" bestFit="1" width="3.0" style="763"/>
    <col min="11417" max="11417" customWidth="1" bestFit="1" width="3.0" style="763"/>
    <col min="11418" max="11418" customWidth="1" bestFit="1" width="3.0" style="763"/>
    <col min="11419" max="11419" customWidth="1" bestFit="1" width="3.0" style="763"/>
    <col min="11420" max="11420" customWidth="1" bestFit="1" width="3.0" style="763"/>
    <col min="11421" max="11421" customWidth="1" bestFit="1" width="3.0" style="763"/>
    <col min="11422" max="11422" customWidth="1" bestFit="1" width="3.0" style="763"/>
    <col min="11423" max="11423" customWidth="1" bestFit="1" width="3.0" style="763"/>
    <col min="11424" max="11424" customWidth="1" bestFit="1" width="3.0" style="763"/>
    <col min="11425" max="11425" customWidth="1" bestFit="1" width="3.0" style="763"/>
    <col min="11426" max="11426" customWidth="1" bestFit="1" width="3.0" style="763"/>
    <col min="11427" max="11427" customWidth="1" bestFit="1" width="3.0" style="763"/>
    <col min="11428" max="11428" customWidth="1" bestFit="1" width="3.0" style="763"/>
    <col min="11429" max="11429" customWidth="1" bestFit="1" width="3.0" style="763"/>
    <col min="11430" max="11430" customWidth="1" bestFit="1" width="3.0" style="763"/>
    <col min="11431" max="11431" customWidth="1" bestFit="1" width="3.0" style="763"/>
    <col min="11432" max="11432" customWidth="1" bestFit="1" width="3.0" style="763"/>
    <col min="11433" max="11433" customWidth="1" bestFit="1" width="3.0" style="763"/>
    <col min="11434" max="11434" customWidth="1" bestFit="1" width="3.0" style="763"/>
    <col min="11435" max="11435" customWidth="1" bestFit="1" width="3.0" style="763"/>
    <col min="11436" max="11436" customWidth="1" bestFit="1" width="3.0" style="763"/>
    <col min="11437" max="11437" customWidth="1" bestFit="1" width="3.0" style="763"/>
    <col min="11438" max="11438" customWidth="1" bestFit="1" width="3.0" style="763"/>
    <col min="11439" max="11439" customWidth="1" bestFit="1" width="3.0" style="763"/>
    <col min="11440" max="11440" customWidth="1" bestFit="1" width="3.0" style="763"/>
    <col min="11441" max="11441" customWidth="1" bestFit="1" width="3.0" style="763"/>
    <col min="11442" max="11442" customWidth="1" bestFit="1" width="3.0" style="763"/>
    <col min="11443" max="11443" customWidth="1" bestFit="1" width="3.0" style="763"/>
    <col min="11444" max="11444" customWidth="1" bestFit="1" width="3.0" style="763"/>
    <col min="11445" max="11445" customWidth="1" bestFit="1" width="3.0" style="763"/>
    <col min="11446" max="11446" customWidth="1" bestFit="1" width="3.0" style="763"/>
    <col min="11447" max="11447" customWidth="1" bestFit="1" width="3.0" style="763"/>
    <col min="11448" max="11448" customWidth="1" bestFit="1" width="3.0" style="763"/>
    <col min="11449" max="11449" customWidth="1" bestFit="1" width="3.0" style="763"/>
    <col min="11450" max="11450" customWidth="1" bestFit="1" width="3.0" style="763"/>
    <col min="11451" max="11451" customWidth="1" bestFit="1" width="3.0" style="763"/>
    <col min="11452" max="11452" customWidth="1" bestFit="1" width="3.0" style="763"/>
    <col min="11453" max="11453" customWidth="1" bestFit="1" width="3.0" style="763"/>
    <col min="11454" max="11454" customWidth="1" bestFit="1" width="3.0" style="763"/>
    <col min="11455" max="11455" customWidth="1" bestFit="1" width="3.0" style="763"/>
    <col min="11456" max="11456" customWidth="1" bestFit="1" width="3.0" style="763"/>
    <col min="11457" max="11457" customWidth="1" bestFit="1" width="3.0" style="763"/>
    <col min="11458" max="11458" customWidth="1" bestFit="1" width="3.0" style="763"/>
    <col min="11459" max="11459" customWidth="1" bestFit="1" width="3.0" style="763"/>
    <col min="11460" max="11460" customWidth="1" bestFit="1" width="3.0" style="763"/>
    <col min="11461" max="11461" customWidth="1" bestFit="1" width="3.0" style="763"/>
    <col min="11462" max="11462" customWidth="1" bestFit="1" width="3.0" style="763"/>
    <col min="11463" max="11463" customWidth="1" bestFit="1" width="3.0" style="763"/>
    <col min="11464" max="11464" customWidth="1" bestFit="1" width="3.0" style="763"/>
    <col min="11465" max="11465" customWidth="1" bestFit="1" width="3.0" style="763"/>
    <col min="11466" max="11466" customWidth="1" bestFit="1" width="3.0" style="763"/>
    <col min="11467" max="11467" customWidth="1" bestFit="1" width="3.0" style="763"/>
    <col min="11468" max="11468" customWidth="1" bestFit="1" width="3.0" style="763"/>
    <col min="11469" max="11469" customWidth="1" bestFit="1" width="3.0" style="763"/>
    <col min="11470" max="11470" customWidth="1" bestFit="1" width="3.0" style="763"/>
    <col min="11471" max="11471" customWidth="1" bestFit="1" width="3.0" style="763"/>
    <col min="11472" max="11472" customWidth="1" bestFit="1" width="3.0" style="763"/>
    <col min="11473" max="11473" customWidth="1" bestFit="1" width="3.0" style="763"/>
    <col min="11474" max="11474" customWidth="1" bestFit="1" width="3.0" style="763"/>
    <col min="11475" max="11475" customWidth="1" bestFit="1" width="3.0" style="763"/>
    <col min="11476" max="11476" customWidth="1" bestFit="1" width="3.0" style="763"/>
    <col min="11477" max="11477" customWidth="1" bestFit="1" width="3.0" style="763"/>
    <col min="11478" max="11478" customWidth="1" bestFit="1" width="3.0" style="763"/>
    <col min="11479" max="11479" customWidth="1" bestFit="1" width="3.0" style="763"/>
    <col min="11480" max="11480" customWidth="1" bestFit="1" width="3.0" style="763"/>
    <col min="11481" max="11481" customWidth="1" bestFit="1" width="3.0" style="763"/>
    <col min="11482" max="11482" customWidth="1" bestFit="1" width="3.0" style="763"/>
    <col min="11483" max="11483" customWidth="1" bestFit="1" width="3.0" style="763"/>
    <col min="11484" max="11484" customWidth="1" bestFit="1" width="3.0" style="763"/>
    <col min="11485" max="11485" customWidth="1" bestFit="1" width="3.0" style="763"/>
    <col min="11486" max="11486" customWidth="1" bestFit="1" width="3.0" style="763"/>
    <col min="11487" max="11487" customWidth="1" bestFit="1" width="3.0" style="763"/>
    <col min="11488" max="11488" customWidth="1" bestFit="1" width="3.0" style="763"/>
    <col min="11489" max="11489" customWidth="1" bestFit="1" width="3.0" style="763"/>
    <col min="11490" max="11490" customWidth="1" bestFit="1" width="3.0" style="763"/>
    <col min="11491" max="11491" customWidth="1" bestFit="1" width="3.0" style="763"/>
    <col min="11492" max="11492" customWidth="1" bestFit="1" width="3.0" style="763"/>
    <col min="11493" max="11493" customWidth="1" bestFit="1" width="3.0" style="763"/>
    <col min="11494" max="11494" customWidth="1" bestFit="1" width="3.0" style="763"/>
    <col min="11495" max="11495" customWidth="1" bestFit="1" width="3.0" style="763"/>
    <col min="11496" max="11496" customWidth="1" bestFit="1" width="3.0" style="763"/>
    <col min="11497" max="11497" customWidth="1" bestFit="1" width="3.0" style="763"/>
    <col min="11498" max="11498" customWidth="1" bestFit="1" width="3.0" style="763"/>
    <col min="11499" max="11499" customWidth="1" bestFit="1" width="3.0" style="763"/>
    <col min="11500" max="11500" customWidth="1" bestFit="1" width="3.0" style="763"/>
    <col min="11501" max="11501" customWidth="1" bestFit="1" width="3.0" style="763"/>
    <col min="11502" max="11502" customWidth="1" bestFit="1" width="3.0" style="763"/>
    <col min="11503" max="11503" customWidth="1" bestFit="1" width="3.0" style="763"/>
    <col min="11504" max="11504" customWidth="1" bestFit="1" width="3.0" style="763"/>
    <col min="11505" max="11505" customWidth="1" bestFit="1" width="3.0" style="763"/>
    <col min="11506" max="11506" customWidth="1" bestFit="1" width="3.0" style="763"/>
    <col min="11507" max="11507" customWidth="1" bestFit="1" width="3.0" style="763"/>
    <col min="11508" max="11508" customWidth="1" bestFit="1" width="3.0" style="763"/>
    <col min="11509" max="11509" customWidth="1" bestFit="1" width="3.0" style="763"/>
    <col min="11510" max="11510" customWidth="1" bestFit="1" width="3.0" style="763"/>
    <col min="11511" max="11511" customWidth="1" bestFit="1" width="3.0" style="763"/>
    <col min="11512" max="11512" customWidth="1" bestFit="1" width="3.0" style="763"/>
    <col min="11513" max="11513" customWidth="1" bestFit="1" width="3.0" style="763"/>
    <col min="11514" max="11514" customWidth="1" bestFit="1" width="3.0" style="763"/>
    <col min="11515" max="11515" customWidth="1" bestFit="1" width="3.0" style="763"/>
    <col min="11516" max="11516" customWidth="1" bestFit="1" width="3.0" style="763"/>
    <col min="11517" max="11517" customWidth="1" bestFit="1" width="3.0" style="763"/>
    <col min="11518" max="11518" customWidth="1" bestFit="1" width="3.0" style="763"/>
    <col min="11519" max="11519" customWidth="1" bestFit="1" width="3.0" style="763"/>
    <col min="11520" max="11520" customWidth="1" bestFit="1" width="3.0" style="763"/>
    <col min="11521" max="11521" customWidth="1" bestFit="1" width="3.0" style="763"/>
    <col min="11522" max="11522" customWidth="1" bestFit="1" width="3.0" style="763"/>
    <col min="11523" max="11523" customWidth="1" bestFit="1" width="3.0" style="763"/>
    <col min="11524" max="11524" customWidth="1" bestFit="1" width="3.0" style="763"/>
    <col min="11525" max="11525" customWidth="1" bestFit="1" width="3.0" style="763"/>
    <col min="11526" max="11526" customWidth="1" bestFit="1" width="3.0" style="763"/>
    <col min="11527" max="11527" customWidth="1" bestFit="1" width="3.0" style="763"/>
    <col min="11528" max="11528" customWidth="1" bestFit="1" width="3.0" style="763"/>
    <col min="11529" max="11529" customWidth="1" bestFit="1" width="3.0" style="763"/>
    <col min="11530" max="11530" customWidth="1" bestFit="1" width="3.0" style="763"/>
    <col min="11531" max="11531" customWidth="1" bestFit="1" width="3.0" style="763"/>
    <col min="11532" max="11532" customWidth="1" bestFit="1" width="3.0" style="763"/>
    <col min="11533" max="11533" customWidth="1" bestFit="1" width="3.0" style="763"/>
    <col min="11534" max="11534" customWidth="1" bestFit="1" width="3.0" style="763"/>
    <col min="11535" max="11535" customWidth="1" bestFit="1" width="3.0" style="763"/>
    <col min="11536" max="11536" customWidth="1" bestFit="1" width="3.0" style="763"/>
    <col min="11537" max="11537" customWidth="1" bestFit="1" width="3.0" style="763"/>
    <col min="11538" max="11538" customWidth="1" bestFit="1" width="3.0" style="763"/>
    <col min="11539" max="11539" customWidth="1" bestFit="1" width="3.0" style="763"/>
    <col min="11540" max="11540" customWidth="1" bestFit="1" width="3.0" style="763"/>
    <col min="11541" max="11541" customWidth="1" bestFit="1" width="3.0" style="763"/>
    <col min="11542" max="11542" customWidth="1" bestFit="1" width="3.0" style="763"/>
    <col min="11543" max="11543" customWidth="1" bestFit="1" width="3.0" style="763"/>
    <col min="11544" max="11544" customWidth="1" bestFit="1" width="3.0" style="763"/>
    <col min="11545" max="11545" customWidth="1" bestFit="1" width="3.0" style="763"/>
    <col min="11546" max="11546" customWidth="1" bestFit="1" width="3.0" style="763"/>
    <col min="11547" max="11547" customWidth="1" bestFit="1" width="3.0" style="763"/>
    <col min="11548" max="11548" customWidth="1" bestFit="1" width="3.0" style="763"/>
    <col min="11549" max="11549" customWidth="1" bestFit="1" width="3.0" style="763"/>
    <col min="11550" max="11550" customWidth="1" bestFit="1" width="3.0" style="763"/>
    <col min="11551" max="11551" customWidth="1" bestFit="1" width="3.0" style="763"/>
    <col min="11552" max="11552" customWidth="1" bestFit="1" width="3.0" style="763"/>
    <col min="11553" max="11553" customWidth="1" bestFit="1" width="3.0" style="763"/>
    <col min="11554" max="11554" customWidth="1" bestFit="1" width="3.0" style="763"/>
    <col min="11555" max="11555" customWidth="1" bestFit="1" width="3.0" style="763"/>
    <col min="11556" max="11556" customWidth="1" bestFit="1" width="3.0" style="763"/>
    <col min="11557" max="11557" customWidth="1" bestFit="1" width="3.0" style="763"/>
    <col min="11558" max="11558" customWidth="1" bestFit="1" width="3.0" style="763"/>
    <col min="11559" max="11559" customWidth="1" bestFit="1" width="3.0" style="763"/>
    <col min="11560" max="11560" customWidth="1" bestFit="1" width="3.0" style="763"/>
    <col min="11561" max="11561" customWidth="1" bestFit="1" width="3.0" style="763"/>
    <col min="11562" max="11562" customWidth="1" bestFit="1" width="3.0" style="763"/>
    <col min="11563" max="11563" customWidth="1" bestFit="1" width="3.0" style="763"/>
    <col min="11564" max="11564" customWidth="1" bestFit="1" width="3.0" style="763"/>
    <col min="11565" max="11565" customWidth="1" bestFit="1" width="3.0" style="763"/>
    <col min="11566" max="11566" customWidth="1" bestFit="1" width="3.0" style="763"/>
    <col min="11567" max="11567" customWidth="1" bestFit="1" width="3.0" style="763"/>
    <col min="11568" max="11568" customWidth="1" bestFit="1" width="3.0" style="763"/>
    <col min="11569" max="11569" customWidth="1" bestFit="1" width="3.0" style="763"/>
    <col min="11570" max="11570" customWidth="1" bestFit="1" width="3.0" style="763"/>
    <col min="11571" max="11571" customWidth="1" bestFit="1" width="3.0" style="763"/>
    <col min="11572" max="11572" customWidth="1" bestFit="1" width="3.0" style="763"/>
    <col min="11573" max="11573" customWidth="1" bestFit="1" width="3.0" style="763"/>
    <col min="11574" max="11574" customWidth="1" bestFit="1" width="3.0" style="763"/>
    <col min="11575" max="11575" customWidth="1" bestFit="1" width="3.0" style="763"/>
    <col min="11576" max="11576" customWidth="1" bestFit="1" width="3.0" style="763"/>
    <col min="11577" max="11577" customWidth="1" bestFit="1" width="3.0" style="763"/>
    <col min="11578" max="11578" customWidth="1" bestFit="1" width="3.0" style="763"/>
    <col min="11579" max="11579" customWidth="1" bestFit="1" width="3.0" style="763"/>
    <col min="11580" max="11580" customWidth="1" bestFit="1" width="3.0" style="763"/>
    <col min="11581" max="11581" customWidth="1" bestFit="1" width="3.0" style="763"/>
    <col min="11582" max="11582" customWidth="1" bestFit="1" width="3.0" style="763"/>
    <col min="11583" max="11583" customWidth="1" bestFit="1" width="3.0" style="763"/>
    <col min="11584" max="11584" customWidth="1" bestFit="1" width="3.0" style="763"/>
    <col min="11585" max="11585" customWidth="1" bestFit="1" width="3.0" style="763"/>
    <col min="11586" max="11586" customWidth="1" bestFit="1" width="3.0" style="763"/>
    <col min="11587" max="11587" customWidth="1" bestFit="1" width="3.0" style="763"/>
    <col min="11588" max="11588" customWidth="1" bestFit="1" width="3.0" style="763"/>
    <col min="11589" max="11589" customWidth="1" bestFit="1" width="3.0" style="763"/>
    <col min="11590" max="11590" customWidth="1" bestFit="1" width="3.0" style="763"/>
    <col min="11591" max="11591" customWidth="1" bestFit="1" width="3.0" style="763"/>
    <col min="11592" max="11592" customWidth="1" bestFit="1" width="3.0" style="763"/>
    <col min="11593" max="11593" customWidth="1" bestFit="1" width="3.0" style="763"/>
    <col min="11594" max="11594" customWidth="1" bestFit="1" width="3.0" style="763"/>
    <col min="11595" max="11595" customWidth="1" bestFit="1" width="3.0" style="763"/>
    <col min="11596" max="11596" customWidth="1" bestFit="1" width="3.0" style="763"/>
    <col min="11597" max="11597" customWidth="1" bestFit="1" width="3.0" style="763"/>
    <col min="11598" max="11598" customWidth="1" bestFit="1" width="3.0" style="763"/>
    <col min="11599" max="11599" customWidth="1" bestFit="1" width="3.0" style="763"/>
    <col min="11600" max="11600" customWidth="1" bestFit="1" width="3.0" style="763"/>
    <col min="11601" max="11601" customWidth="1" bestFit="1" width="3.0" style="763"/>
    <col min="11602" max="11602" customWidth="1" bestFit="1" width="3.0" style="763"/>
    <col min="11603" max="11603" customWidth="1" bestFit="1" width="3.0" style="763"/>
    <col min="11604" max="11604" customWidth="1" bestFit="1" width="3.0" style="763"/>
    <col min="11605" max="11605" customWidth="1" bestFit="1" width="3.0" style="763"/>
    <col min="11606" max="11606" customWidth="1" bestFit="1" width="3.0" style="763"/>
    <col min="11607" max="11607" customWidth="1" bestFit="1" width="3.0" style="763"/>
    <col min="11608" max="11608" customWidth="1" bestFit="1" width="3.0" style="763"/>
    <col min="11609" max="11609" customWidth="1" bestFit="1" width="3.0" style="763"/>
    <col min="11610" max="11610" customWidth="1" bestFit="1" width="3.0" style="763"/>
    <col min="11611" max="11611" customWidth="1" bestFit="1" width="3.0" style="763"/>
    <col min="11612" max="11612" customWidth="1" bestFit="1" width="3.0" style="763"/>
    <col min="11613" max="11613" customWidth="1" bestFit="1" width="3.0" style="763"/>
    <col min="11614" max="11614" customWidth="1" bestFit="1" width="3.0" style="763"/>
    <col min="11615" max="11615" customWidth="1" bestFit="1" width="3.0" style="763"/>
    <col min="11616" max="11616" customWidth="1" bestFit="1" width="3.0" style="763"/>
    <col min="11617" max="11617" customWidth="1" bestFit="1" width="3.0" style="763"/>
    <col min="11618" max="11618" customWidth="1" bestFit="1" width="3.0" style="763"/>
    <col min="11619" max="11619" customWidth="1" bestFit="1" width="3.0" style="763"/>
    <col min="11620" max="11620" customWidth="1" bestFit="1" width="3.0" style="763"/>
    <col min="11621" max="11621" customWidth="1" bestFit="1" width="3.0" style="763"/>
    <col min="11622" max="11622" customWidth="1" bestFit="1" width="3.0" style="763"/>
    <col min="11623" max="11623" customWidth="1" bestFit="1" width="3.0" style="763"/>
    <col min="11624" max="11624" customWidth="1" bestFit="1" width="3.0" style="763"/>
    <col min="11625" max="11625" customWidth="1" bestFit="1" width="3.0" style="763"/>
    <col min="11626" max="11626" customWidth="1" bestFit="1" width="3.0" style="763"/>
    <col min="11627" max="11627" customWidth="1" bestFit="1" width="3.0" style="763"/>
    <col min="11628" max="11628" customWidth="1" bestFit="1" width="3.0" style="763"/>
    <col min="11629" max="11629" customWidth="1" bestFit="1" width="3.0" style="763"/>
    <col min="11630" max="11630" customWidth="1" bestFit="1" width="3.0" style="763"/>
    <col min="11631" max="11631" customWidth="1" bestFit="1" width="3.0" style="763"/>
    <col min="11632" max="11632" customWidth="1" bestFit="1" width="3.0" style="763"/>
    <col min="11633" max="11633" customWidth="1" bestFit="1" width="3.0" style="763"/>
    <col min="11634" max="11634" customWidth="1" bestFit="1" width="3.0" style="763"/>
    <col min="11635" max="11635" customWidth="1" bestFit="1" width="3.0" style="763"/>
    <col min="11636" max="11636" customWidth="1" bestFit="1" width="3.0" style="763"/>
    <col min="11637" max="11637" customWidth="1" bestFit="1" width="3.0" style="763"/>
    <col min="11638" max="11638" customWidth="1" bestFit="1" width="3.0" style="763"/>
    <col min="11639" max="11639" customWidth="1" bestFit="1" width="3.0" style="763"/>
    <col min="11640" max="11640" customWidth="1" bestFit="1" width="3.0" style="763"/>
    <col min="11641" max="11641" customWidth="1" bestFit="1" width="3.0" style="763"/>
    <col min="11642" max="11642" customWidth="1" bestFit="1" width="3.0" style="763"/>
    <col min="11643" max="11643" customWidth="1" bestFit="1" width="3.0" style="763"/>
    <col min="11644" max="11644" customWidth="1" bestFit="1" width="3.0" style="763"/>
    <col min="11645" max="11645" customWidth="1" bestFit="1" width="3.0" style="763"/>
    <col min="11646" max="11646" customWidth="1" bestFit="1" width="3.0" style="763"/>
    <col min="11647" max="11647" customWidth="1" bestFit="1" width="3.0" style="763"/>
    <col min="11648" max="11648" customWidth="1" bestFit="1" width="3.0" style="763"/>
    <col min="11649" max="11649" customWidth="1" bestFit="1" width="3.0" style="763"/>
    <col min="11650" max="11650" customWidth="1" bestFit="1" width="3.0" style="763"/>
    <col min="11651" max="11651" customWidth="1" bestFit="1" width="3.0" style="763"/>
    <col min="11652" max="11652" customWidth="1" bestFit="1" width="3.0" style="763"/>
    <col min="11653" max="11653" customWidth="1" bestFit="1" width="3.0" style="763"/>
    <col min="11654" max="11654" customWidth="1" bestFit="1" width="3.0" style="763"/>
    <col min="11655" max="11655" customWidth="1" bestFit="1" width="3.0" style="763"/>
    <col min="11656" max="11656" customWidth="1" bestFit="1" width="3.0" style="763"/>
    <col min="11657" max="11657" customWidth="1" bestFit="1" width="3.0" style="763"/>
    <col min="11658" max="11658" customWidth="1" bestFit="1" width="3.0" style="763"/>
    <col min="11659" max="11659" customWidth="1" bestFit="1" width="3.0" style="763"/>
    <col min="11660" max="11660" customWidth="1" bestFit="1" width="3.0" style="763"/>
    <col min="11661" max="11661" customWidth="1" bestFit="1" width="3.0" style="763"/>
    <col min="11662" max="11662" customWidth="1" bestFit="1" width="3.0" style="763"/>
    <col min="11663" max="11663" customWidth="1" bestFit="1" width="3.0" style="763"/>
    <col min="11664" max="11664" customWidth="1" bestFit="1" width="3.0" style="763"/>
    <col min="11665" max="11665" customWidth="1" bestFit="1" width="3.0" style="763"/>
    <col min="11666" max="11666" customWidth="1" bestFit="1" width="3.0" style="763"/>
    <col min="11667" max="11667" customWidth="1" bestFit="1" width="3.0" style="763"/>
    <col min="11668" max="11668" customWidth="1" bestFit="1" width="3.0" style="763"/>
    <col min="11669" max="11669" customWidth="1" bestFit="1" width="3.0" style="763"/>
    <col min="11670" max="11670" customWidth="1" bestFit="1" width="3.0" style="763"/>
    <col min="11671" max="11671" customWidth="1" bestFit="1" width="3.0" style="763"/>
    <col min="11672" max="11672" customWidth="1" bestFit="1" width="3.0" style="763"/>
    <col min="11673" max="11673" customWidth="1" bestFit="1" width="3.0" style="763"/>
    <col min="11674" max="11674" customWidth="1" bestFit="1" width="3.0" style="763"/>
    <col min="11675" max="11675" customWidth="1" bestFit="1" width="3.0" style="763"/>
    <col min="11676" max="11676" customWidth="1" bestFit="1" width="3.0" style="763"/>
    <col min="11677" max="11677" customWidth="1" bestFit="1" width="3.0" style="763"/>
    <col min="11678" max="11678" customWidth="1" bestFit="1" width="3.0" style="763"/>
    <col min="11679" max="11679" customWidth="1" bestFit="1" width="3.0" style="763"/>
    <col min="11680" max="11680" customWidth="1" bestFit="1" width="3.0" style="763"/>
    <col min="11681" max="11681" customWidth="1" bestFit="1" width="3.0" style="763"/>
    <col min="11682" max="11682" customWidth="1" bestFit="1" width="3.0" style="763"/>
    <col min="11683" max="11683" customWidth="1" bestFit="1" width="3.0" style="763"/>
    <col min="11684" max="11684" customWidth="1" bestFit="1" width="3.0" style="763"/>
    <col min="11685" max="11685" customWidth="1" bestFit="1" width="3.0" style="763"/>
    <col min="11686" max="11686" customWidth="1" bestFit="1" width="3.0" style="763"/>
    <col min="11687" max="11687" customWidth="1" bestFit="1" width="3.0" style="763"/>
    <col min="11688" max="11688" customWidth="1" bestFit="1" width="3.0" style="763"/>
    <col min="11689" max="11689" customWidth="1" bestFit="1" width="3.0" style="763"/>
    <col min="11690" max="11690" customWidth="1" bestFit="1" width="3.0" style="763"/>
    <col min="11691" max="11691" customWidth="1" bestFit="1" width="3.0" style="763"/>
    <col min="11692" max="11692" customWidth="1" bestFit="1" width="3.0" style="763"/>
    <col min="11693" max="11693" customWidth="1" bestFit="1" width="3.0" style="763"/>
    <col min="11694" max="11694" customWidth="1" bestFit="1" width="3.0" style="763"/>
    <col min="11695" max="11695" customWidth="1" bestFit="1" width="3.0" style="763"/>
    <col min="11696" max="11696" customWidth="1" bestFit="1" width="3.0" style="763"/>
    <col min="11697" max="11697" customWidth="1" bestFit="1" width="3.0" style="763"/>
    <col min="11698" max="11698" customWidth="1" bestFit="1" width="3.0" style="763"/>
    <col min="11699" max="11699" customWidth="1" bestFit="1" width="3.0" style="763"/>
    <col min="11700" max="11700" customWidth="1" bestFit="1" width="3.0" style="763"/>
    <col min="11701" max="11701" customWidth="1" bestFit="1" width="3.0" style="763"/>
    <col min="11702" max="11702" customWidth="1" bestFit="1" width="3.0" style="763"/>
    <col min="11703" max="11703" customWidth="1" bestFit="1" width="3.0" style="763"/>
    <col min="11704" max="11704" customWidth="1" bestFit="1" width="3.0" style="763"/>
    <col min="11705" max="11705" customWidth="1" bestFit="1" width="3.0" style="763"/>
    <col min="11706" max="11706" customWidth="1" bestFit="1" width="3.0" style="763"/>
    <col min="11707" max="11707" customWidth="1" bestFit="1" width="3.0" style="763"/>
    <col min="11708" max="11708" customWidth="1" bestFit="1" width="3.0" style="763"/>
    <col min="11709" max="11709" customWidth="1" bestFit="1" width="3.0" style="763"/>
    <col min="11710" max="11710" customWidth="1" bestFit="1" width="3.0" style="763"/>
    <col min="11711" max="11711" customWidth="1" bestFit="1" width="3.0" style="763"/>
    <col min="11712" max="11712" customWidth="1" bestFit="1" width="3.0" style="763"/>
    <col min="11713" max="11713" customWidth="1" bestFit="1" width="3.0" style="763"/>
    <col min="11714" max="11714" customWidth="1" bestFit="1" width="3.0" style="763"/>
    <col min="11715" max="11715" customWidth="1" bestFit="1" width="3.0" style="763"/>
    <col min="11716" max="11716" customWidth="1" bestFit="1" width="3.0" style="763"/>
    <col min="11717" max="11717" customWidth="1" bestFit="1" width="3.0" style="763"/>
    <col min="11718" max="11718" customWidth="1" bestFit="1" width="3.0" style="763"/>
    <col min="11719" max="11719" customWidth="1" bestFit="1" width="3.0" style="763"/>
    <col min="11720" max="11720" customWidth="1" bestFit="1" width="3.0" style="763"/>
    <col min="11721" max="11721" customWidth="1" bestFit="1" width="3.0" style="763"/>
    <col min="11722" max="11722" customWidth="1" bestFit="1" width="3.0" style="763"/>
    <col min="11723" max="11723" customWidth="1" bestFit="1" width="3.0" style="763"/>
    <col min="11724" max="11724" customWidth="1" bestFit="1" width="3.0" style="763"/>
    <col min="11725" max="11725" customWidth="1" bestFit="1" width="3.0" style="763"/>
    <col min="11726" max="11726" customWidth="1" bestFit="1" width="3.0" style="763"/>
    <col min="11727" max="11727" customWidth="1" bestFit="1" width="3.0" style="763"/>
    <col min="11728" max="11728" customWidth="1" bestFit="1" width="3.0" style="763"/>
    <col min="11729" max="11729" customWidth="1" bestFit="1" width="3.0" style="763"/>
    <col min="11730" max="11730" customWidth="1" bestFit="1" width="3.0" style="763"/>
    <col min="11731" max="11731" customWidth="1" bestFit="1" width="3.0" style="763"/>
    <col min="11732" max="11732" customWidth="1" bestFit="1" width="3.0" style="763"/>
    <col min="11733" max="11733" customWidth="1" bestFit="1" width="3.0" style="763"/>
    <col min="11734" max="11734" customWidth="1" bestFit="1" width="3.0" style="763"/>
    <col min="11735" max="11735" customWidth="1" bestFit="1" width="3.0" style="763"/>
    <col min="11736" max="11736" customWidth="1" bestFit="1" width="3.0" style="763"/>
    <col min="11737" max="11737" customWidth="1" bestFit="1" width="3.0" style="763"/>
    <col min="11738" max="11738" customWidth="1" bestFit="1" width="3.0" style="763"/>
    <col min="11739" max="11739" customWidth="1" bestFit="1" width="3.0" style="763"/>
    <col min="11740" max="11740" customWidth="1" bestFit="1" width="3.0" style="763"/>
    <col min="11741" max="11741" customWidth="1" bestFit="1" width="3.0" style="763"/>
    <col min="11742" max="11742" customWidth="1" bestFit="1" width="3.0" style="763"/>
    <col min="11743" max="11743" customWidth="1" bestFit="1" width="3.0" style="763"/>
    <col min="11744" max="11744" customWidth="1" bestFit="1" width="3.0" style="763"/>
    <col min="11745" max="11745" customWidth="1" bestFit="1" width="3.0" style="763"/>
    <col min="11746" max="11746" customWidth="1" bestFit="1" width="3.0" style="763"/>
    <col min="11747" max="11747" customWidth="1" bestFit="1" width="3.0" style="763"/>
    <col min="11748" max="11748" customWidth="1" bestFit="1" width="3.0" style="763"/>
    <col min="11749" max="11749" customWidth="1" bestFit="1" width="3.0" style="763"/>
    <col min="11750" max="11750" customWidth="1" bestFit="1" width="3.0" style="763"/>
    <col min="11751" max="11751" customWidth="1" bestFit="1" width="3.0" style="763"/>
    <col min="11752" max="11752" customWidth="1" bestFit="1" width="3.0" style="763"/>
    <col min="11753" max="11753" customWidth="1" bestFit="1" width="3.0" style="763"/>
    <col min="11754" max="11754" customWidth="1" bestFit="1" width="3.0" style="763"/>
    <col min="11755" max="11755" customWidth="1" bestFit="1" width="3.0" style="763"/>
    <col min="11756" max="11756" customWidth="1" bestFit="1" width="3.0" style="763"/>
    <col min="11757" max="11757" customWidth="1" bestFit="1" width="3.0" style="763"/>
    <col min="11758" max="11758" customWidth="1" bestFit="1" width="3.0" style="763"/>
    <col min="11759" max="11759" customWidth="1" bestFit="1" width="3.0" style="763"/>
    <col min="11760" max="11760" customWidth="1" bestFit="1" width="3.0" style="763"/>
    <col min="11761" max="11761" customWidth="1" bestFit="1" width="3.0" style="763"/>
    <col min="11762" max="11762" customWidth="1" bestFit="1" width="3.0" style="763"/>
    <col min="11763" max="11763" customWidth="1" bestFit="1" width="3.0" style="763"/>
    <col min="11764" max="11764" customWidth="1" bestFit="1" width="3.0" style="763"/>
    <col min="11765" max="11765" customWidth="1" bestFit="1" width="3.0" style="763"/>
    <col min="11766" max="11766" customWidth="1" bestFit="1" width="3.0" style="763"/>
    <col min="11767" max="11767" customWidth="1" bestFit="1" width="3.0" style="763"/>
    <col min="11768" max="11768" customWidth="1" bestFit="1" width="3.0" style="763"/>
    <col min="11769" max="11769" customWidth="1" bestFit="1" width="3.0" style="763"/>
    <col min="11770" max="11770" customWidth="1" bestFit="1" width="3.0" style="763"/>
    <col min="11771" max="11771" customWidth="1" bestFit="1" width="3.0" style="763"/>
    <col min="11772" max="11772" customWidth="1" bestFit="1" width="3.0" style="763"/>
    <col min="11773" max="11773" customWidth="1" bestFit="1" width="3.0" style="763"/>
    <col min="11774" max="11774" customWidth="1" bestFit="1" width="3.0" style="763"/>
    <col min="11775" max="11775" customWidth="1" bestFit="1" width="3.0" style="763"/>
    <col min="11776" max="11776" customWidth="1" bestFit="1" width="3.0" style="763"/>
    <col min="11777" max="11777" customWidth="1" bestFit="1" width="3.0" style="763"/>
    <col min="11778" max="11778" customWidth="1" bestFit="1" width="3.0" style="763"/>
    <col min="11779" max="11779" customWidth="1" bestFit="1" width="3.0" style="763"/>
    <col min="11780" max="11780" customWidth="1" bestFit="1" width="3.0" style="763"/>
    <col min="11781" max="11781" customWidth="1" bestFit="1" width="3.0" style="763"/>
    <col min="11782" max="11782" customWidth="1" bestFit="1" width="3.0" style="763"/>
    <col min="11783" max="11783" customWidth="1" bestFit="1" width="3.0" style="763"/>
    <col min="11784" max="11784" customWidth="1" bestFit="1" width="3.0" style="763"/>
    <col min="11785" max="11785" customWidth="1" bestFit="1" width="3.0" style="763"/>
    <col min="11786" max="11786" customWidth="1" bestFit="1" width="3.0" style="763"/>
    <col min="11787" max="11787" customWidth="1" bestFit="1" width="3.0" style="763"/>
    <col min="11788" max="11788" customWidth="1" bestFit="1" width="3.0" style="763"/>
    <col min="11789" max="11789" customWidth="1" bestFit="1" width="3.0" style="763"/>
    <col min="11790" max="11790" customWidth="1" bestFit="1" width="3.0" style="763"/>
    <col min="11791" max="11791" customWidth="1" bestFit="1" width="3.0" style="763"/>
    <col min="11792" max="11792" customWidth="1" bestFit="1" width="3.0" style="763"/>
    <col min="11793" max="11793" customWidth="1" bestFit="1" width="3.0" style="763"/>
    <col min="11794" max="11794" customWidth="1" bestFit="1" width="3.0" style="763"/>
    <col min="11795" max="11795" customWidth="1" bestFit="1" width="3.0" style="763"/>
    <col min="11796" max="11796" customWidth="1" bestFit="1" width="3.0" style="763"/>
    <col min="11797" max="11797" customWidth="1" bestFit="1" width="3.0" style="763"/>
    <col min="11798" max="11798" customWidth="1" bestFit="1" width="3.0" style="763"/>
    <col min="11799" max="11799" customWidth="1" bestFit="1" width="3.0" style="763"/>
    <col min="11800" max="11800" customWidth="1" bestFit="1" width="3.0" style="763"/>
    <col min="11801" max="11801" customWidth="1" bestFit="1" width="3.0" style="763"/>
    <col min="11802" max="11802" customWidth="1" bestFit="1" width="3.0" style="763"/>
    <col min="11803" max="11803" customWidth="1" bestFit="1" width="3.0" style="763"/>
    <col min="11804" max="11804" customWidth="1" bestFit="1" width="3.0" style="763"/>
    <col min="11805" max="11805" customWidth="1" bestFit="1" width="3.0" style="763"/>
    <col min="11806" max="11806" customWidth="1" bestFit="1" width="3.0" style="763"/>
    <col min="11807" max="11807" customWidth="1" bestFit="1" width="3.0" style="763"/>
    <col min="11808" max="11808" customWidth="1" bestFit="1" width="3.0" style="763"/>
    <col min="11809" max="11809" customWidth="1" bestFit="1" width="3.0" style="763"/>
    <col min="11810" max="11810" customWidth="1" bestFit="1" width="3.0" style="763"/>
    <col min="11811" max="11811" customWidth="1" bestFit="1" width="3.0" style="763"/>
    <col min="11812" max="11812" customWidth="1" bestFit="1" width="3.0" style="763"/>
    <col min="11813" max="11813" customWidth="1" bestFit="1" width="3.0" style="763"/>
    <col min="11814" max="11814" customWidth="1" bestFit="1" width="3.0" style="763"/>
    <col min="11815" max="11815" customWidth="1" bestFit="1" width="3.0" style="763"/>
    <col min="11816" max="11816" customWidth="1" bestFit="1" width="3.0" style="763"/>
    <col min="11817" max="11817" customWidth="1" bestFit="1" width="3.0" style="763"/>
    <col min="11818" max="11818" customWidth="1" bestFit="1" width="3.0" style="763"/>
    <col min="11819" max="11819" customWidth="1" bestFit="1" width="3.0" style="763"/>
    <col min="11820" max="11820" customWidth="1" bestFit="1" width="3.0" style="763"/>
    <col min="11821" max="11821" customWidth="1" bestFit="1" width="3.0" style="763"/>
    <col min="11822" max="11822" customWidth="1" bestFit="1" width="3.0" style="763"/>
    <col min="11823" max="11823" customWidth="1" bestFit="1" width="3.0" style="763"/>
    <col min="11824" max="11824" customWidth="1" bestFit="1" width="3.0" style="763"/>
    <col min="11825" max="11825" customWidth="1" bestFit="1" width="3.0" style="763"/>
    <col min="11826" max="11826" customWidth="1" bestFit="1" width="3.0" style="763"/>
    <col min="11827" max="11827" customWidth="1" bestFit="1" width="3.0" style="763"/>
    <col min="11828" max="11828" customWidth="1" bestFit="1" width="3.0" style="763"/>
    <col min="11829" max="11829" customWidth="1" bestFit="1" width="3.0" style="763"/>
    <col min="11830" max="11830" customWidth="1" bestFit="1" width="3.0" style="763"/>
    <col min="11831" max="11831" customWidth="1" bestFit="1" width="3.0" style="763"/>
    <col min="11832" max="11832" customWidth="1" bestFit="1" width="3.0" style="763"/>
    <col min="11833" max="11833" customWidth="1" bestFit="1" width="3.0" style="763"/>
    <col min="11834" max="11834" customWidth="1" bestFit="1" width="3.0" style="763"/>
    <col min="11835" max="11835" customWidth="1" bestFit="1" width="3.0" style="763"/>
    <col min="11836" max="11836" customWidth="1" bestFit="1" width="3.0" style="763"/>
    <col min="11837" max="11837" customWidth="1" bestFit="1" width="3.0" style="763"/>
    <col min="11838" max="11838" customWidth="1" bestFit="1" width="3.0" style="763"/>
    <col min="11839" max="11839" customWidth="1" bestFit="1" width="3.0" style="763"/>
    <col min="11840" max="11840" customWidth="1" bestFit="1" width="3.0" style="763"/>
    <col min="11841" max="11841" customWidth="1" bestFit="1" width="3.0" style="763"/>
    <col min="11842" max="11842" customWidth="1" bestFit="1" width="3.0" style="763"/>
    <col min="11843" max="11843" customWidth="1" bestFit="1" width="3.0" style="763"/>
    <col min="11844" max="11844" customWidth="1" bestFit="1" width="3.0" style="763"/>
    <col min="11845" max="11845" customWidth="1" bestFit="1" width="3.0" style="763"/>
    <col min="11846" max="11846" customWidth="1" bestFit="1" width="3.0" style="763"/>
    <col min="11847" max="11847" customWidth="1" bestFit="1" width="3.0" style="763"/>
    <col min="11848" max="11848" customWidth="1" bestFit="1" width="3.0" style="763"/>
    <col min="11849" max="11849" customWidth="1" bestFit="1" width="3.0" style="763"/>
    <col min="11850" max="11850" customWidth="1" bestFit="1" width="3.0" style="763"/>
    <col min="11851" max="11851" customWidth="1" bestFit="1" width="3.0" style="763"/>
    <col min="11852" max="11852" customWidth="1" bestFit="1" width="3.0" style="763"/>
    <col min="11853" max="11853" customWidth="1" bestFit="1" width="3.0" style="763"/>
    <col min="11854" max="11854" customWidth="1" bestFit="1" width="3.0" style="763"/>
    <col min="11855" max="11855" customWidth="1" bestFit="1" width="3.0" style="763"/>
    <col min="11856" max="11856" customWidth="1" bestFit="1" width="3.0" style="763"/>
    <col min="11857" max="11857" customWidth="1" bestFit="1" width="3.0" style="763"/>
    <col min="11858" max="11858" customWidth="1" bestFit="1" width="3.0" style="763"/>
    <col min="11859" max="11859" customWidth="1" bestFit="1" width="3.0" style="763"/>
    <col min="11860" max="11860" customWidth="1" bestFit="1" width="3.0" style="763"/>
    <col min="11861" max="11861" customWidth="1" bestFit="1" width="3.0" style="763"/>
    <col min="11862" max="11862" customWidth="1" bestFit="1" width="3.0" style="763"/>
    <col min="11863" max="11863" customWidth="1" bestFit="1" width="3.0" style="763"/>
    <col min="11864" max="11864" customWidth="1" bestFit="1" width="3.0" style="763"/>
    <col min="11865" max="11865" customWidth="1" bestFit="1" width="3.0" style="763"/>
    <col min="11866" max="11866" customWidth="1" bestFit="1" width="3.0" style="763"/>
    <col min="11867" max="11867" customWidth="1" bestFit="1" width="3.0" style="763"/>
    <col min="11868" max="11868" customWidth="1" bestFit="1" width="3.0" style="763"/>
    <col min="11869" max="11869" customWidth="1" bestFit="1" width="3.0" style="763"/>
    <col min="11870" max="11870" customWidth="1" bestFit="1" width="3.0" style="763"/>
    <col min="11871" max="11871" customWidth="1" bestFit="1" width="3.0" style="763"/>
    <col min="11872" max="11872" customWidth="1" bestFit="1" width="3.0" style="763"/>
    <col min="11873" max="11873" customWidth="1" bestFit="1" width="3.0" style="763"/>
    <col min="11874" max="11874" customWidth="1" bestFit="1" width="3.0" style="763"/>
    <col min="11875" max="11875" customWidth="1" bestFit="1" width="3.0" style="763"/>
    <col min="11876" max="11876" customWidth="1" bestFit="1" width="3.0" style="763"/>
    <col min="11877" max="11877" customWidth="1" bestFit="1" width="3.0" style="763"/>
    <col min="11878" max="11878" customWidth="1" bestFit="1" width="3.0" style="763"/>
    <col min="11879" max="11879" customWidth="1" bestFit="1" width="3.0" style="763"/>
    <col min="11880" max="11880" customWidth="1" bestFit="1" width="3.0" style="763"/>
    <col min="11881" max="11881" customWidth="1" bestFit="1" width="3.0" style="763"/>
    <col min="11882" max="11882" customWidth="1" bestFit="1" width="3.0" style="763"/>
    <col min="11883" max="11883" customWidth="1" bestFit="1" width="3.0" style="763"/>
    <col min="11884" max="11884" customWidth="1" bestFit="1" width="3.0" style="763"/>
    <col min="11885" max="11885" customWidth="1" bestFit="1" width="3.0" style="763"/>
    <col min="11886" max="11886" customWidth="1" bestFit="1" width="3.0" style="763"/>
    <col min="11887" max="11887" customWidth="1" bestFit="1" width="3.0" style="763"/>
    <col min="11888" max="11888" customWidth="1" bestFit="1" width="3.0" style="763"/>
    <col min="11889" max="11889" customWidth="1" bestFit="1" width="3.0" style="763"/>
    <col min="11890" max="11890" customWidth="1" bestFit="1" width="3.0" style="763"/>
    <col min="11891" max="11891" customWidth="1" bestFit="1" width="3.0" style="763"/>
    <col min="11892" max="11892" customWidth="1" bestFit="1" width="3.0" style="763"/>
    <col min="11893" max="11893" customWidth="1" bestFit="1" width="3.0" style="763"/>
    <col min="11894" max="11894" customWidth="1" bestFit="1" width="3.0" style="763"/>
    <col min="11895" max="11895" customWidth="1" bestFit="1" width="3.0" style="763"/>
    <col min="11896" max="11896" customWidth="1" bestFit="1" width="3.0" style="763"/>
    <col min="11897" max="11897" customWidth="1" bestFit="1" width="3.0" style="763"/>
    <col min="11898" max="11898" customWidth="1" bestFit="1" width="3.0" style="763"/>
    <col min="11899" max="11899" customWidth="1" bestFit="1" width="3.0" style="763"/>
    <col min="11900" max="11900" customWidth="1" bestFit="1" width="3.0" style="763"/>
    <col min="11901" max="11901" customWidth="1" bestFit="1" width="3.0" style="763"/>
    <col min="11902" max="11902" customWidth="1" bestFit="1" width="3.0" style="763"/>
    <col min="11903" max="11903" customWidth="1" bestFit="1" width="3.0" style="763"/>
    <col min="11904" max="11904" customWidth="1" bestFit="1" width="3.0" style="763"/>
    <col min="11905" max="11905" customWidth="1" bestFit="1" width="3.0" style="763"/>
    <col min="11906" max="11906" customWidth="1" bestFit="1" width="3.0" style="763"/>
    <col min="11907" max="11907" customWidth="1" bestFit="1" width="3.0" style="763"/>
    <col min="11908" max="11908" customWidth="1" bestFit="1" width="3.0" style="763"/>
    <col min="11909" max="11909" customWidth="1" bestFit="1" width="3.0" style="763"/>
    <col min="11910" max="11910" customWidth="1" bestFit="1" width="3.0" style="763"/>
    <col min="11911" max="11911" customWidth="1" bestFit="1" width="3.0" style="763"/>
    <col min="11912" max="11912" customWidth="1" bestFit="1" width="3.0" style="763"/>
    <col min="11913" max="11913" customWidth="1" bestFit="1" width="3.0" style="763"/>
    <col min="11914" max="11914" customWidth="1" bestFit="1" width="3.0" style="763"/>
    <col min="11915" max="11915" customWidth="1" bestFit="1" width="3.0" style="763"/>
    <col min="11916" max="11916" customWidth="1" bestFit="1" width="3.0" style="763"/>
    <col min="11917" max="11917" customWidth="1" bestFit="1" width="3.0" style="763"/>
    <col min="11918" max="11918" customWidth="1" bestFit="1" width="3.0" style="763"/>
    <col min="11919" max="11919" customWidth="1" bestFit="1" width="3.0" style="763"/>
    <col min="11920" max="11920" customWidth="1" bestFit="1" width="3.0" style="763"/>
    <col min="11921" max="11921" customWidth="1" bestFit="1" width="3.0" style="763"/>
    <col min="11922" max="11922" customWidth="1" bestFit="1" width="3.0" style="763"/>
    <col min="11923" max="11923" customWidth="1" bestFit="1" width="3.0" style="763"/>
    <col min="11924" max="11924" customWidth="1" bestFit="1" width="3.0" style="763"/>
    <col min="11925" max="11925" customWidth="1" bestFit="1" width="3.0" style="763"/>
    <col min="11926" max="11926" customWidth="1" bestFit="1" width="3.0" style="763"/>
    <col min="11927" max="11927" customWidth="1" bestFit="1" width="3.0" style="763"/>
    <col min="11928" max="11928" customWidth="1" bestFit="1" width="3.0" style="763"/>
    <col min="11929" max="11929" customWidth="1" bestFit="1" width="3.0" style="763"/>
    <col min="11930" max="11930" customWidth="1" bestFit="1" width="3.0" style="763"/>
    <col min="11931" max="11931" customWidth="1" bestFit="1" width="3.0" style="763"/>
    <col min="11932" max="11932" customWidth="1" bestFit="1" width="3.0" style="763"/>
    <col min="11933" max="11933" customWidth="1" bestFit="1" width="3.0" style="763"/>
    <col min="11934" max="11934" customWidth="1" bestFit="1" width="3.0" style="763"/>
    <col min="11935" max="11935" customWidth="1" bestFit="1" width="3.0" style="763"/>
    <col min="11936" max="11936" customWidth="1" bestFit="1" width="3.0" style="763"/>
    <col min="11937" max="11937" customWidth="1" bestFit="1" width="3.0" style="763"/>
    <col min="11938" max="11938" customWidth="1" bestFit="1" width="3.0" style="763"/>
    <col min="11939" max="11939" customWidth="1" bestFit="1" width="3.0" style="763"/>
    <col min="11940" max="11940" customWidth="1" bestFit="1" width="3.0" style="763"/>
    <col min="11941" max="11941" customWidth="1" bestFit="1" width="3.0" style="763"/>
    <col min="11942" max="11942" customWidth="1" bestFit="1" width="3.0" style="763"/>
    <col min="11943" max="11943" customWidth="1" bestFit="1" width="3.0" style="763"/>
    <col min="11944" max="11944" customWidth="1" bestFit="1" width="3.0" style="763"/>
    <col min="11945" max="11945" customWidth="1" bestFit="1" width="3.0" style="763"/>
    <col min="11946" max="11946" customWidth="1" bestFit="1" width="3.0" style="763"/>
    <col min="11947" max="11947" customWidth="1" bestFit="1" width="3.0" style="763"/>
    <col min="11948" max="11948" customWidth="1" bestFit="1" width="3.0" style="763"/>
    <col min="11949" max="11949" customWidth="1" bestFit="1" width="3.0" style="763"/>
    <col min="11950" max="11950" customWidth="1" bestFit="1" width="3.0" style="763"/>
    <col min="11951" max="11951" customWidth="1" bestFit="1" width="3.0" style="763"/>
    <col min="11952" max="11952" customWidth="1" bestFit="1" width="3.0" style="763"/>
    <col min="11953" max="11953" customWidth="1" bestFit="1" width="3.0" style="763"/>
    <col min="11954" max="11954" customWidth="1" bestFit="1" width="3.0" style="763"/>
    <col min="11955" max="11955" customWidth="1" bestFit="1" width="3.0" style="763"/>
    <col min="11956" max="11956" customWidth="1" bestFit="1" width="3.0" style="763"/>
    <col min="11957" max="11957" customWidth="1" bestFit="1" width="3.0" style="763"/>
    <col min="11958" max="11958" customWidth="1" bestFit="1" width="3.0" style="763"/>
    <col min="11959" max="11959" customWidth="1" bestFit="1" width="3.0" style="763"/>
    <col min="11960" max="11960" customWidth="1" bestFit="1" width="3.0" style="763"/>
    <col min="11961" max="11961" customWidth="1" bestFit="1" width="3.0" style="763"/>
    <col min="11962" max="11962" customWidth="1" bestFit="1" width="3.0" style="763"/>
    <col min="11963" max="11963" customWidth="1" bestFit="1" width="3.0" style="763"/>
    <col min="11964" max="11964" customWidth="1" bestFit="1" width="3.0" style="763"/>
    <col min="11965" max="11965" customWidth="1" bestFit="1" width="3.0" style="763"/>
    <col min="11966" max="11966" customWidth="1" bestFit="1" width="3.0" style="763"/>
    <col min="11967" max="11967" customWidth="1" bestFit="1" width="3.0" style="763"/>
    <col min="11968" max="11968" customWidth="1" bestFit="1" width="3.0" style="763"/>
    <col min="11969" max="11969" customWidth="1" bestFit="1" width="3.0" style="763"/>
    <col min="11970" max="11970" customWidth="1" bestFit="1" width="3.0" style="763"/>
    <col min="11971" max="11971" customWidth="1" bestFit="1" width="3.0" style="763"/>
    <col min="11972" max="11972" customWidth="1" bestFit="1" width="3.0" style="763"/>
    <col min="11973" max="11973" customWidth="1" bestFit="1" width="3.0" style="763"/>
    <col min="11974" max="11974" customWidth="1" bestFit="1" width="3.0" style="763"/>
    <col min="11975" max="11975" customWidth="1" bestFit="1" width="3.0" style="763"/>
    <col min="11976" max="11976" customWidth="1" bestFit="1" width="3.0" style="763"/>
    <col min="11977" max="11977" customWidth="1" bestFit="1" width="3.0" style="763"/>
    <col min="11978" max="11978" customWidth="1" bestFit="1" width="3.0" style="763"/>
    <col min="11979" max="11979" customWidth="1" bestFit="1" width="3.0" style="763"/>
    <col min="11980" max="11980" customWidth="1" bestFit="1" width="3.0" style="763"/>
    <col min="11981" max="11981" customWidth="1" bestFit="1" width="3.0" style="763"/>
    <col min="11982" max="11982" customWidth="1" bestFit="1" width="3.0" style="763"/>
    <col min="11983" max="11983" customWidth="1" bestFit="1" width="3.0" style="763"/>
    <col min="11984" max="11984" customWidth="1" bestFit="1" width="3.0" style="763"/>
    <col min="11985" max="11985" customWidth="1" bestFit="1" width="3.0" style="763"/>
    <col min="11986" max="11986" customWidth="1" bestFit="1" width="3.0" style="763"/>
    <col min="11987" max="11987" customWidth="1" bestFit="1" width="3.0" style="763"/>
    <col min="11988" max="11988" customWidth="1" bestFit="1" width="3.0" style="763"/>
    <col min="11989" max="11989" customWidth="1" bestFit="1" width="3.0" style="763"/>
    <col min="11990" max="11990" customWidth="1" bestFit="1" width="3.0" style="763"/>
    <col min="11991" max="11991" customWidth="1" bestFit="1" width="3.0" style="763"/>
    <col min="11992" max="11992" customWidth="1" bestFit="1" width="3.0" style="763"/>
    <col min="11993" max="11993" customWidth="1" bestFit="1" width="3.0" style="763"/>
    <col min="11994" max="11994" customWidth="1" bestFit="1" width="3.0" style="763"/>
    <col min="11995" max="11995" customWidth="1" bestFit="1" width="3.0" style="763"/>
    <col min="11996" max="11996" customWidth="1" bestFit="1" width="3.0" style="763"/>
    <col min="11997" max="11997" customWidth="1" bestFit="1" width="3.0" style="763"/>
    <col min="11998" max="11998" customWidth="1" bestFit="1" width="3.0" style="763"/>
    <col min="11999" max="11999" customWidth="1" bestFit="1" width="3.0" style="763"/>
    <col min="12000" max="12000" customWidth="1" bestFit="1" width="3.0" style="763"/>
    <col min="12001" max="12001" customWidth="1" bestFit="1" width="3.0" style="763"/>
    <col min="12002" max="12002" customWidth="1" bestFit="1" width="3.0" style="763"/>
    <col min="12003" max="12003" customWidth="1" bestFit="1" width="3.0" style="763"/>
    <col min="12004" max="12004" customWidth="1" bestFit="1" width="3.0" style="763"/>
    <col min="12005" max="12005" customWidth="1" bestFit="1" width="3.0" style="763"/>
    <col min="12006" max="12006" customWidth="1" bestFit="1" width="3.0" style="763"/>
    <col min="12007" max="12007" customWidth="1" bestFit="1" width="3.0" style="763"/>
    <col min="12008" max="12008" customWidth="1" bestFit="1" width="3.0" style="763"/>
    <col min="12009" max="12009" customWidth="1" bestFit="1" width="3.0" style="763"/>
    <col min="12010" max="12010" customWidth="1" bestFit="1" width="3.0" style="763"/>
    <col min="12011" max="12011" customWidth="1" bestFit="1" width="3.0" style="763"/>
    <col min="12012" max="12012" customWidth="1" bestFit="1" width="3.0" style="763"/>
    <col min="12013" max="12013" customWidth="1" bestFit="1" width="3.0" style="763"/>
    <col min="12014" max="12014" customWidth="1" bestFit="1" width="3.0" style="763"/>
    <col min="12015" max="12015" customWidth="1" bestFit="1" width="3.0" style="763"/>
    <col min="12016" max="12016" customWidth="1" bestFit="1" width="3.0" style="763"/>
    <col min="12017" max="12017" customWidth="1" bestFit="1" width="3.0" style="763"/>
    <col min="12018" max="12018" customWidth="1" bestFit="1" width="3.0" style="763"/>
    <col min="12019" max="12019" customWidth="1" bestFit="1" width="3.0" style="763"/>
    <col min="12020" max="12020" customWidth="1" bestFit="1" width="3.0" style="763"/>
    <col min="12021" max="12021" customWidth="1" bestFit="1" width="3.0" style="763"/>
    <col min="12022" max="12022" customWidth="1" bestFit="1" width="3.0" style="763"/>
    <col min="12023" max="12023" customWidth="1" bestFit="1" width="3.0" style="763"/>
    <col min="12024" max="12024" customWidth="1" bestFit="1" width="3.0" style="763"/>
    <col min="12025" max="12025" customWidth="1" bestFit="1" width="3.0" style="763"/>
    <col min="12026" max="12026" customWidth="1" bestFit="1" width="3.0" style="763"/>
    <col min="12027" max="12027" customWidth="1" bestFit="1" width="3.0" style="763"/>
    <col min="12028" max="12028" customWidth="1" bestFit="1" width="3.0" style="763"/>
    <col min="12029" max="12029" customWidth="1" bestFit="1" width="3.0" style="763"/>
    <col min="12030" max="12030" customWidth="1" bestFit="1" width="3.0" style="763"/>
    <col min="12031" max="12031" customWidth="1" bestFit="1" width="3.0" style="763"/>
    <col min="12032" max="12032" customWidth="1" bestFit="1" width="3.0" style="763"/>
    <col min="12033" max="12033" customWidth="1" bestFit="1" width="3.0" style="763"/>
    <col min="12034" max="12034" customWidth="1" bestFit="1" width="3.0" style="763"/>
    <col min="12035" max="12035" customWidth="1" bestFit="1" width="3.0" style="763"/>
    <col min="12036" max="12036" customWidth="1" bestFit="1" width="3.0" style="763"/>
    <col min="12037" max="12037" customWidth="1" bestFit="1" width="3.0" style="763"/>
    <col min="12038" max="12038" customWidth="1" bestFit="1" width="3.0" style="763"/>
    <col min="12039" max="12039" customWidth="1" bestFit="1" width="3.0" style="763"/>
    <col min="12040" max="12040" customWidth="1" bestFit="1" width="3.0" style="763"/>
    <col min="12041" max="12041" customWidth="1" bestFit="1" width="3.0" style="763"/>
    <col min="12042" max="12042" customWidth="1" bestFit="1" width="3.0" style="763"/>
    <col min="12043" max="12043" customWidth="1" bestFit="1" width="3.0" style="763"/>
    <col min="12044" max="12044" customWidth="1" bestFit="1" width="3.0" style="763"/>
    <col min="12045" max="12045" customWidth="1" bestFit="1" width="3.0" style="763"/>
    <col min="12046" max="12046" customWidth="1" bestFit="1" width="3.0" style="763"/>
    <col min="12047" max="12047" customWidth="1" bestFit="1" width="3.0" style="763"/>
    <col min="12048" max="12048" customWidth="1" bestFit="1" width="3.0" style="763"/>
    <col min="12049" max="12049" customWidth="1" bestFit="1" width="3.0" style="763"/>
    <col min="12050" max="12050" customWidth="1" bestFit="1" width="3.0" style="763"/>
    <col min="12051" max="12051" customWidth="1" bestFit="1" width="3.0" style="763"/>
    <col min="12052" max="12052" customWidth="1" bestFit="1" width="3.0" style="763"/>
    <col min="12053" max="12053" customWidth="1" bestFit="1" width="3.0" style="763"/>
    <col min="12054" max="12054" customWidth="1" bestFit="1" width="3.0" style="763"/>
    <col min="12055" max="12055" customWidth="1" bestFit="1" width="3.0" style="763"/>
    <col min="12056" max="12056" customWidth="1" bestFit="1" width="3.0" style="763"/>
    <col min="12057" max="12057" customWidth="1" bestFit="1" width="3.0" style="763"/>
    <col min="12058" max="12058" customWidth="1" bestFit="1" width="3.0" style="763"/>
    <col min="12059" max="12059" customWidth="1" bestFit="1" width="3.0" style="763"/>
    <col min="12060" max="12060" customWidth="1" bestFit="1" width="3.0" style="763"/>
    <col min="12061" max="12061" customWidth="1" bestFit="1" width="3.0" style="763"/>
    <col min="12062" max="12062" customWidth="1" bestFit="1" width="3.0" style="763"/>
    <col min="12063" max="12063" customWidth="1" bestFit="1" width="3.0" style="763"/>
    <col min="12064" max="12064" customWidth="1" bestFit="1" width="3.0" style="763"/>
    <col min="12065" max="12065" customWidth="1" bestFit="1" width="3.0" style="763"/>
    <col min="12066" max="12066" customWidth="1" bestFit="1" width="3.0" style="763"/>
    <col min="12067" max="12067" customWidth="1" bestFit="1" width="3.0" style="763"/>
    <col min="12068" max="12068" customWidth="1" bestFit="1" width="3.0" style="763"/>
    <col min="12069" max="12069" customWidth="1" bestFit="1" width="3.0" style="763"/>
    <col min="12070" max="12070" customWidth="1" bestFit="1" width="3.0" style="763"/>
    <col min="12071" max="12071" customWidth="1" bestFit="1" width="3.0" style="763"/>
    <col min="12072" max="12072" customWidth="1" bestFit="1" width="3.0" style="763"/>
    <col min="12073" max="12073" customWidth="1" bestFit="1" width="3.0" style="763"/>
    <col min="12074" max="12074" customWidth="1" bestFit="1" width="3.0" style="763"/>
    <col min="12075" max="12075" customWidth="1" bestFit="1" width="3.0" style="763"/>
    <col min="12076" max="12076" customWidth="1" bestFit="1" width="3.0" style="763"/>
    <col min="12077" max="12077" customWidth="1" bestFit="1" width="3.0" style="763"/>
    <col min="12078" max="12078" customWidth="1" bestFit="1" width="3.0" style="763"/>
    <col min="12079" max="12079" customWidth="1" bestFit="1" width="3.0" style="763"/>
    <col min="12080" max="12080" customWidth="1" bestFit="1" width="3.0" style="763"/>
    <col min="12081" max="12081" customWidth="1" bestFit="1" width="3.0" style="763"/>
    <col min="12082" max="12082" customWidth="1" bestFit="1" width="3.0" style="763"/>
    <col min="12083" max="12083" customWidth="1" bestFit="1" width="3.0" style="763"/>
    <col min="12084" max="12084" customWidth="1" bestFit="1" width="3.0" style="763"/>
    <col min="12085" max="12085" customWidth="1" bestFit="1" width="3.0" style="763"/>
    <col min="12086" max="12086" customWidth="1" bestFit="1" width="3.0" style="763"/>
    <col min="12087" max="12087" customWidth="1" bestFit="1" width="3.0" style="763"/>
    <col min="12088" max="12088" customWidth="1" bestFit="1" width="3.0" style="763"/>
    <col min="12089" max="12089" customWidth="1" bestFit="1" width="3.0" style="763"/>
    <col min="12090" max="12090" customWidth="1" bestFit="1" width="3.0" style="763"/>
    <col min="12091" max="12091" customWidth="1" bestFit="1" width="3.0" style="763"/>
    <col min="12092" max="12092" customWidth="1" bestFit="1" width="3.0" style="763"/>
    <col min="12093" max="12093" customWidth="1" bestFit="1" width="3.0" style="763"/>
    <col min="12094" max="12094" customWidth="1" bestFit="1" width="3.0" style="763"/>
    <col min="12095" max="12095" customWidth="1" bestFit="1" width="3.0" style="763"/>
    <col min="12096" max="12096" customWidth="1" bestFit="1" width="3.0" style="763"/>
    <col min="12097" max="12097" customWidth="1" bestFit="1" width="3.0" style="763"/>
    <col min="12098" max="12098" customWidth="1" bestFit="1" width="3.0" style="763"/>
    <col min="12099" max="12099" customWidth="1" bestFit="1" width="3.0" style="763"/>
    <col min="12100" max="12100" customWidth="1" bestFit="1" width="3.0" style="763"/>
    <col min="12101" max="12101" customWidth="1" bestFit="1" width="3.0" style="763"/>
    <col min="12102" max="12102" customWidth="1" bestFit="1" width="3.0" style="763"/>
    <col min="12103" max="12103" customWidth="1" bestFit="1" width="3.0" style="763"/>
    <col min="12104" max="12104" customWidth="1" bestFit="1" width="3.0" style="763"/>
    <col min="12105" max="12105" customWidth="1" bestFit="1" width="3.0" style="763"/>
    <col min="12106" max="12106" customWidth="1" bestFit="1" width="3.0" style="763"/>
    <col min="12107" max="12107" customWidth="1" bestFit="1" width="3.0" style="763"/>
    <col min="12108" max="12108" customWidth="1" bestFit="1" width="3.0" style="763"/>
    <col min="12109" max="12109" customWidth="1" bestFit="1" width="3.0" style="763"/>
    <col min="12110" max="12110" customWidth="1" bestFit="1" width="3.0" style="763"/>
    <col min="12111" max="12111" customWidth="1" bestFit="1" width="3.0" style="763"/>
    <col min="12112" max="12112" customWidth="1" bestFit="1" width="3.0" style="763"/>
    <col min="12113" max="12113" customWidth="1" bestFit="1" width="3.0" style="763"/>
    <col min="12114" max="12114" customWidth="1" bestFit="1" width="3.0" style="763"/>
    <col min="12115" max="12115" customWidth="1" bestFit="1" width="3.0" style="763"/>
    <col min="12116" max="12116" customWidth="1" bestFit="1" width="3.0" style="763"/>
    <col min="12117" max="12117" customWidth="1" bestFit="1" width="3.0" style="763"/>
    <col min="12118" max="12118" customWidth="1" bestFit="1" width="3.0" style="763"/>
    <col min="12119" max="12119" customWidth="1" bestFit="1" width="3.0" style="763"/>
    <col min="12120" max="12120" customWidth="1" bestFit="1" width="3.0" style="763"/>
    <col min="12121" max="12121" customWidth="1" bestFit="1" width="3.0" style="763"/>
    <col min="12122" max="12122" customWidth="1" bestFit="1" width="3.0" style="763"/>
    <col min="12123" max="12123" customWidth="1" bestFit="1" width="3.0" style="763"/>
    <col min="12124" max="12124" customWidth="1" bestFit="1" width="3.0" style="763"/>
    <col min="12125" max="12125" customWidth="1" bestFit="1" width="3.0" style="763"/>
    <col min="12126" max="12126" customWidth="1" bestFit="1" width="3.0" style="763"/>
    <col min="12127" max="12127" customWidth="1" bestFit="1" width="3.0" style="763"/>
    <col min="12128" max="12128" customWidth="1" bestFit="1" width="3.0" style="763"/>
    <col min="12129" max="12129" customWidth="1" bestFit="1" width="3.0" style="763"/>
    <col min="12130" max="12130" customWidth="1" bestFit="1" width="3.0" style="763"/>
    <col min="12131" max="12131" customWidth="1" bestFit="1" width="3.0" style="763"/>
    <col min="12132" max="12132" customWidth="1" bestFit="1" width="3.0" style="763"/>
    <col min="12133" max="12133" customWidth="1" bestFit="1" width="3.0" style="763"/>
    <col min="12134" max="12134" customWidth="1" bestFit="1" width="3.0" style="763"/>
    <col min="12135" max="12135" customWidth="1" bestFit="1" width="3.0" style="763"/>
    <col min="12136" max="12136" customWidth="1" bestFit="1" width="3.0" style="763"/>
    <col min="12137" max="12137" customWidth="1" bestFit="1" width="3.0" style="763"/>
    <col min="12138" max="12138" customWidth="1" bestFit="1" width="3.0" style="763"/>
    <col min="12139" max="12139" customWidth="1" bestFit="1" width="3.0" style="763"/>
    <col min="12140" max="12140" customWidth="1" bestFit="1" width="3.0" style="763"/>
    <col min="12141" max="12141" customWidth="1" bestFit="1" width="3.0" style="763"/>
    <col min="12142" max="12142" customWidth="1" bestFit="1" width="3.0" style="763"/>
    <col min="12143" max="12143" customWidth="1" bestFit="1" width="3.0" style="763"/>
    <col min="12144" max="12144" customWidth="1" bestFit="1" width="3.0" style="763"/>
    <col min="12145" max="12145" customWidth="1" bestFit="1" width="3.0" style="763"/>
    <col min="12146" max="12146" customWidth="1" bestFit="1" width="3.0" style="763"/>
    <col min="12147" max="12147" customWidth="1" bestFit="1" width="3.0" style="763"/>
    <col min="12148" max="12148" customWidth="1" bestFit="1" width="3.0" style="763"/>
    <col min="12149" max="12149" customWidth="1" bestFit="1" width="3.0" style="763"/>
    <col min="12150" max="12150" customWidth="1" bestFit="1" width="3.0" style="763"/>
    <col min="12151" max="12151" customWidth="1" bestFit="1" width="3.0" style="763"/>
    <col min="12152" max="12152" customWidth="1" bestFit="1" width="3.0" style="763"/>
    <col min="12153" max="12153" customWidth="1" bestFit="1" width="3.0" style="763"/>
    <col min="12154" max="12154" customWidth="1" bestFit="1" width="3.0" style="763"/>
    <col min="12155" max="12155" customWidth="1" bestFit="1" width="3.0" style="763"/>
    <col min="12156" max="12156" customWidth="1" bestFit="1" width="3.0" style="763"/>
    <col min="12157" max="12157" customWidth="1" bestFit="1" width="3.0" style="763"/>
    <col min="12158" max="12158" customWidth="1" bestFit="1" width="3.0" style="763"/>
    <col min="12159" max="12159" customWidth="1" bestFit="1" width="3.0" style="763"/>
    <col min="12160" max="12160" customWidth="1" bestFit="1" width="3.0" style="763"/>
    <col min="12161" max="12161" customWidth="1" bestFit="1" width="3.0" style="763"/>
    <col min="12162" max="12162" customWidth="1" bestFit="1" width="3.0" style="763"/>
    <col min="12163" max="12163" customWidth="1" bestFit="1" width="3.0" style="763"/>
    <col min="12164" max="12164" customWidth="1" bestFit="1" width="3.0" style="763"/>
    <col min="12165" max="12165" customWidth="1" bestFit="1" width="3.0" style="763"/>
    <col min="12166" max="12166" customWidth="1" bestFit="1" width="3.0" style="763"/>
    <col min="12167" max="12167" customWidth="1" bestFit="1" width="3.0" style="763"/>
    <col min="12168" max="12168" customWidth="1" bestFit="1" width="3.0" style="763"/>
    <col min="12169" max="12169" customWidth="1" bestFit="1" width="3.0" style="763"/>
    <col min="12170" max="12170" customWidth="1" bestFit="1" width="3.0" style="763"/>
    <col min="12171" max="12171" customWidth="1" bestFit="1" width="3.0" style="763"/>
    <col min="12172" max="12172" customWidth="1" bestFit="1" width="3.0" style="763"/>
    <col min="12173" max="12173" customWidth="1" bestFit="1" width="3.0" style="763"/>
    <col min="12174" max="12174" customWidth="1" bestFit="1" width="3.0" style="763"/>
    <col min="12175" max="12175" customWidth="1" bestFit="1" width="3.0" style="763"/>
    <col min="12176" max="12176" customWidth="1" bestFit="1" width="3.0" style="763"/>
    <col min="12177" max="12177" customWidth="1" bestFit="1" width="3.0" style="763"/>
    <col min="12178" max="12178" customWidth="1" bestFit="1" width="3.0" style="763"/>
    <col min="12179" max="12179" customWidth="1" bestFit="1" width="3.0" style="763"/>
    <col min="12180" max="12180" customWidth="1" bestFit="1" width="3.0" style="763"/>
    <col min="12181" max="12181" customWidth="1" bestFit="1" width="3.0" style="763"/>
    <col min="12182" max="12182" customWidth="1" bestFit="1" width="3.0" style="763"/>
    <col min="12183" max="12183" customWidth="1" bestFit="1" width="3.0" style="763"/>
    <col min="12184" max="12184" customWidth="1" bestFit="1" width="3.0" style="763"/>
    <col min="12185" max="12185" customWidth="1" bestFit="1" width="3.0" style="763"/>
    <col min="12186" max="12186" customWidth="1" bestFit="1" width="3.0" style="763"/>
    <col min="12187" max="12187" customWidth="1" bestFit="1" width="3.0" style="763"/>
    <col min="12188" max="12188" customWidth="1" bestFit="1" width="3.0" style="763"/>
    <col min="12189" max="12189" customWidth="1" bestFit="1" width="3.0" style="763"/>
    <col min="12190" max="12190" customWidth="1" bestFit="1" width="3.0" style="763"/>
    <col min="12191" max="12191" customWidth="1" bestFit="1" width="3.0" style="763"/>
    <col min="12192" max="12192" customWidth="1" bestFit="1" width="3.0" style="763"/>
    <col min="12193" max="12193" customWidth="1" bestFit="1" width="3.0" style="763"/>
    <col min="12194" max="12194" customWidth="1" bestFit="1" width="3.0" style="763"/>
    <col min="12195" max="12195" customWidth="1" bestFit="1" width="3.0" style="763"/>
    <col min="12196" max="12196" customWidth="1" bestFit="1" width="3.0" style="763"/>
    <col min="12197" max="12197" customWidth="1" bestFit="1" width="3.0" style="763"/>
    <col min="12198" max="12198" customWidth="1" bestFit="1" width="3.0" style="763"/>
    <col min="12199" max="12199" customWidth="1" bestFit="1" width="3.0" style="763"/>
    <col min="12200" max="12200" customWidth="1" bestFit="1" width="3.0" style="763"/>
    <col min="12201" max="12201" customWidth="1" bestFit="1" width="3.0" style="763"/>
    <col min="12202" max="12202" customWidth="1" bestFit="1" width="3.0" style="763"/>
    <col min="12203" max="12203" customWidth="1" bestFit="1" width="3.0" style="763"/>
    <col min="12204" max="12204" customWidth="1" bestFit="1" width="3.0" style="763"/>
    <col min="12205" max="12205" customWidth="1" bestFit="1" width="3.0" style="763"/>
    <col min="12206" max="12206" customWidth="1" bestFit="1" width="3.0" style="763"/>
    <col min="12207" max="12207" customWidth="1" bestFit="1" width="3.0" style="763"/>
    <col min="12208" max="12208" customWidth="1" bestFit="1" width="3.0" style="763"/>
    <col min="12209" max="12209" customWidth="1" bestFit="1" width="3.0" style="763"/>
    <col min="12210" max="12210" customWidth="1" bestFit="1" width="3.0" style="763"/>
    <col min="12211" max="12211" customWidth="1" bestFit="1" width="3.0" style="763"/>
    <col min="12212" max="12212" customWidth="1" bestFit="1" width="3.0" style="763"/>
    <col min="12213" max="12213" customWidth="1" bestFit="1" width="3.0" style="763"/>
    <col min="12214" max="12214" customWidth="1" bestFit="1" width="3.0" style="763"/>
    <col min="12215" max="12215" customWidth="1" bestFit="1" width="3.0" style="763"/>
    <col min="12216" max="12216" customWidth="1" bestFit="1" width="3.0" style="763"/>
    <col min="12217" max="12217" customWidth="1" bestFit="1" width="3.0" style="763"/>
    <col min="12218" max="12218" customWidth="1" bestFit="1" width="3.0" style="763"/>
    <col min="12219" max="12219" customWidth="1" bestFit="1" width="3.0" style="763"/>
    <col min="12220" max="12220" customWidth="1" bestFit="1" width="3.0" style="763"/>
    <col min="12221" max="12221" customWidth="1" bestFit="1" width="3.0" style="763"/>
    <col min="12222" max="12222" customWidth="1" bestFit="1" width="3.0" style="763"/>
    <col min="12223" max="12223" customWidth="1" bestFit="1" width="3.0" style="763"/>
    <col min="12224" max="12224" customWidth="1" bestFit="1" width="3.0" style="763"/>
    <col min="12225" max="12225" customWidth="1" bestFit="1" width="3.0" style="763"/>
    <col min="12226" max="12226" customWidth="1" bestFit="1" width="3.0" style="763"/>
    <col min="12227" max="12227" customWidth="1" bestFit="1" width="3.0" style="763"/>
    <col min="12228" max="12228" customWidth="1" bestFit="1" width="3.0" style="763"/>
    <col min="12229" max="12229" customWidth="1" bestFit="1" width="3.0" style="763"/>
    <col min="12230" max="12230" customWidth="1" bestFit="1" width="3.0" style="763"/>
    <col min="12231" max="12231" customWidth="1" bestFit="1" width="3.0" style="763"/>
    <col min="12232" max="12232" customWidth="1" bestFit="1" width="3.0" style="763"/>
    <col min="12233" max="12233" customWidth="1" bestFit="1" width="3.0" style="763"/>
    <col min="12234" max="12234" customWidth="1" bestFit="1" width="3.0" style="763"/>
    <col min="12235" max="12235" customWidth="1" bestFit="1" width="3.0" style="763"/>
    <col min="12236" max="12236" customWidth="1" bestFit="1" width="3.0" style="763"/>
    <col min="12237" max="12237" customWidth="1" bestFit="1" width="3.0" style="763"/>
    <col min="12238" max="12238" customWidth="1" bestFit="1" width="3.0" style="763"/>
    <col min="12239" max="12239" customWidth="1" bestFit="1" width="3.0" style="763"/>
    <col min="12240" max="12240" customWidth="1" bestFit="1" width="3.0" style="763"/>
    <col min="12241" max="12241" customWidth="1" bestFit="1" width="3.0" style="763"/>
    <col min="12242" max="12242" customWidth="1" bestFit="1" width="3.0" style="763"/>
    <col min="12243" max="12243" customWidth="1" bestFit="1" width="3.0" style="763"/>
    <col min="12244" max="12244" customWidth="1" bestFit="1" width="3.0" style="763"/>
    <col min="12245" max="12245" customWidth="1" bestFit="1" width="3.0" style="763"/>
    <col min="12246" max="12246" customWidth="1" bestFit="1" width="3.0" style="763"/>
    <col min="12247" max="12247" customWidth="1" bestFit="1" width="3.0" style="763"/>
    <col min="12248" max="12248" customWidth="1" bestFit="1" width="3.0" style="763"/>
    <col min="12249" max="12249" customWidth="1" bestFit="1" width="3.0" style="763"/>
    <col min="12250" max="12250" customWidth="1" bestFit="1" width="3.0" style="763"/>
    <col min="12251" max="12251" customWidth="1" bestFit="1" width="3.0" style="763"/>
    <col min="12252" max="12252" customWidth="1" bestFit="1" width="3.0" style="763"/>
    <col min="12253" max="12253" customWidth="1" bestFit="1" width="3.0" style="763"/>
    <col min="12254" max="12254" customWidth="1" bestFit="1" width="3.0" style="763"/>
    <col min="12255" max="12255" customWidth="1" bestFit="1" width="3.0" style="763"/>
    <col min="12256" max="12256" customWidth="1" bestFit="1" width="3.0" style="763"/>
    <col min="12257" max="12257" customWidth="1" bestFit="1" width="3.0" style="763"/>
    <col min="12258" max="12258" customWidth="1" bestFit="1" width="3.0" style="763"/>
    <col min="12259" max="12259" customWidth="1" bestFit="1" width="3.0" style="763"/>
    <col min="12260" max="12260" customWidth="1" bestFit="1" width="3.0" style="763"/>
    <col min="12261" max="12261" customWidth="1" bestFit="1" width="3.0" style="763"/>
    <col min="12262" max="12262" customWidth="1" bestFit="1" width="3.0" style="763"/>
    <col min="12263" max="12263" customWidth="1" bestFit="1" width="3.0" style="763"/>
    <col min="12264" max="12264" customWidth="1" bestFit="1" width="3.0" style="763"/>
    <col min="12265" max="12265" customWidth="1" bestFit="1" width="3.0" style="763"/>
    <col min="12266" max="12266" customWidth="1" bestFit="1" width="3.0" style="763"/>
    <col min="12267" max="12267" customWidth="1" bestFit="1" width="3.0" style="763"/>
    <col min="12268" max="12268" customWidth="1" bestFit="1" width="3.0" style="763"/>
    <col min="12269" max="12269" customWidth="1" bestFit="1" width="3.0" style="763"/>
    <col min="12270" max="12270" customWidth="1" bestFit="1" width="3.0" style="763"/>
    <col min="12271" max="12271" customWidth="1" bestFit="1" width="3.0" style="763"/>
    <col min="12272" max="12272" customWidth="1" bestFit="1" width="3.0" style="763"/>
    <col min="12273" max="12273" customWidth="1" bestFit="1" width="3.0" style="763"/>
    <col min="12274" max="12274" customWidth="1" bestFit="1" width="3.0" style="763"/>
    <col min="12275" max="12275" customWidth="1" bestFit="1" width="3.0" style="763"/>
    <col min="12276" max="12276" customWidth="1" bestFit="1" width="3.0" style="763"/>
    <col min="12277" max="12277" customWidth="1" bestFit="1" width="3.0" style="763"/>
    <col min="12278" max="12278" customWidth="1" bestFit="1" width="3.0" style="763"/>
    <col min="12279" max="12279" customWidth="1" bestFit="1" width="3.0" style="763"/>
    <col min="12280" max="12280" customWidth="1" bestFit="1" width="3.0" style="763"/>
    <col min="12281" max="12281" customWidth="1" bestFit="1" width="3.0" style="763"/>
    <col min="12282" max="12282" customWidth="1" bestFit="1" width="3.0" style="763"/>
    <col min="12283" max="12283" customWidth="1" bestFit="1" width="3.0" style="763"/>
    <col min="12284" max="12284" customWidth="1" bestFit="1" width="3.0" style="763"/>
    <col min="12285" max="12285" customWidth="1" bestFit="1" width="3.0" style="763"/>
    <col min="12286" max="12286" customWidth="1" bestFit="1" width="3.0" style="763"/>
    <col min="12287" max="12287" customWidth="1" bestFit="1" width="3.0" style="763"/>
    <col min="12288" max="12288" customWidth="1" bestFit="1" width="3.0" style="763"/>
    <col min="12289" max="12289" customWidth="1" bestFit="1" width="3.0" style="763"/>
    <col min="12290" max="12290" customWidth="1" bestFit="1" width="3.0" style="763"/>
    <col min="12291" max="12291" customWidth="1" bestFit="1" width="3.0" style="763"/>
    <col min="12292" max="12292" customWidth="1" bestFit="1" width="3.0" style="763"/>
    <col min="12293" max="12293" customWidth="1" bestFit="1" width="3.0" style="763"/>
    <col min="12294" max="12294" customWidth="1" bestFit="1" width="3.0" style="763"/>
    <col min="12295" max="12295" customWidth="1" bestFit="1" width="3.0" style="763"/>
    <col min="12296" max="12296" customWidth="1" bestFit="1" width="3.0" style="763"/>
    <col min="12297" max="12297" customWidth="1" bestFit="1" width="3.0" style="763"/>
    <col min="12298" max="12298" customWidth="1" bestFit="1" width="3.0" style="763"/>
    <col min="12299" max="12299" customWidth="1" bestFit="1" width="3.0" style="763"/>
    <col min="12300" max="12300" customWidth="1" bestFit="1" width="3.0" style="763"/>
    <col min="12301" max="12301" customWidth="1" bestFit="1" width="3.0" style="763"/>
    <col min="12302" max="12302" customWidth="1" bestFit="1" width="3.0" style="763"/>
    <col min="12303" max="12303" customWidth="1" bestFit="1" width="3.0" style="763"/>
    <col min="12304" max="12304" customWidth="1" bestFit="1" width="3.0" style="763"/>
    <col min="12305" max="12305" customWidth="1" bestFit="1" width="3.0" style="763"/>
    <col min="12306" max="12306" customWidth="1" bestFit="1" width="3.0" style="763"/>
    <col min="12307" max="12307" customWidth="1" bestFit="1" width="3.0" style="763"/>
    <col min="12308" max="12308" customWidth="1" bestFit="1" width="3.0" style="763"/>
    <col min="12309" max="12309" customWidth="1" bestFit="1" width="3.0" style="763"/>
    <col min="12310" max="12310" customWidth="1" bestFit="1" width="3.0" style="763"/>
    <col min="12311" max="12311" customWidth="1" bestFit="1" width="3.0" style="763"/>
    <col min="12312" max="12312" customWidth="1" bestFit="1" width="3.0" style="763"/>
    <col min="12313" max="12313" customWidth="1" bestFit="1" width="3.0" style="763"/>
    <col min="12314" max="12314" customWidth="1" bestFit="1" width="3.0" style="763"/>
    <col min="12315" max="12315" customWidth="1" bestFit="1" width="3.0" style="763"/>
    <col min="12316" max="12316" customWidth="1" bestFit="1" width="3.0" style="763"/>
    <col min="12317" max="12317" customWidth="1" bestFit="1" width="3.0" style="763"/>
    <col min="12318" max="12318" customWidth="1" bestFit="1" width="3.0" style="763"/>
    <col min="12319" max="12319" customWidth="1" bestFit="1" width="3.0" style="763"/>
    <col min="12320" max="12320" customWidth="1" bestFit="1" width="3.0" style="763"/>
    <col min="12321" max="12321" customWidth="1" bestFit="1" width="3.0" style="763"/>
    <col min="12322" max="12322" customWidth="1" bestFit="1" width="3.0" style="763"/>
    <col min="12323" max="12323" customWidth="1" bestFit="1" width="3.0" style="763"/>
    <col min="12324" max="12324" customWidth="1" bestFit="1" width="3.0" style="763"/>
    <col min="12325" max="12325" customWidth="1" bestFit="1" width="3.0" style="763"/>
    <col min="12326" max="12326" customWidth="1" bestFit="1" width="3.0" style="763"/>
    <col min="12327" max="12327" customWidth="1" bestFit="1" width="3.0" style="763"/>
    <col min="12328" max="12328" customWidth="1" bestFit="1" width="3.0" style="763"/>
    <col min="12329" max="12329" customWidth="1" bestFit="1" width="3.0" style="763"/>
    <col min="12330" max="12330" customWidth="1" bestFit="1" width="3.0" style="763"/>
    <col min="12331" max="12331" customWidth="1" bestFit="1" width="3.0" style="763"/>
    <col min="12332" max="12332" customWidth="1" bestFit="1" width="3.0" style="763"/>
    <col min="12333" max="12333" customWidth="1" bestFit="1" width="3.0" style="763"/>
    <col min="12334" max="12334" customWidth="1" bestFit="1" width="3.0" style="763"/>
    <col min="12335" max="12335" customWidth="1" bestFit="1" width="3.0" style="763"/>
    <col min="12336" max="12336" customWidth="1" bestFit="1" width="3.0" style="763"/>
    <col min="12337" max="12337" customWidth="1" bestFit="1" width="3.0" style="763"/>
    <col min="12338" max="12338" customWidth="1" bestFit="1" width="3.0" style="763"/>
    <col min="12339" max="12339" customWidth="1" bestFit="1" width="3.0" style="763"/>
    <col min="12340" max="12340" customWidth="1" bestFit="1" width="3.0" style="763"/>
    <col min="12341" max="12341" customWidth="1" bestFit="1" width="3.0" style="763"/>
    <col min="12342" max="12342" customWidth="1" bestFit="1" width="3.0" style="763"/>
    <col min="12343" max="12343" customWidth="1" bestFit="1" width="3.0" style="763"/>
    <col min="12344" max="12344" customWidth="1" bestFit="1" width="3.0" style="763"/>
    <col min="12345" max="12345" customWidth="1" bestFit="1" width="3.0" style="763"/>
    <col min="12346" max="12346" customWidth="1" bestFit="1" width="3.0" style="763"/>
    <col min="12347" max="12347" customWidth="1" bestFit="1" width="3.0" style="763"/>
    <col min="12348" max="12348" customWidth="1" bestFit="1" width="3.0" style="763"/>
    <col min="12349" max="12349" customWidth="1" bestFit="1" width="3.0" style="763"/>
    <col min="12350" max="12350" customWidth="1" bestFit="1" width="3.0" style="763"/>
    <col min="12351" max="12351" customWidth="1" bestFit="1" width="3.0" style="763"/>
    <col min="12352" max="12352" customWidth="1" bestFit="1" width="3.0" style="763"/>
    <col min="12353" max="12353" customWidth="1" bestFit="1" width="3.0" style="763"/>
    <col min="12354" max="12354" customWidth="1" bestFit="1" width="3.0" style="763"/>
    <col min="12355" max="12355" customWidth="1" bestFit="1" width="3.0" style="763"/>
    <col min="12356" max="12356" customWidth="1" bestFit="1" width="3.0" style="763"/>
    <col min="12357" max="12357" customWidth="1" bestFit="1" width="3.0" style="763"/>
    <col min="12358" max="12358" customWidth="1" bestFit="1" width="3.0" style="763"/>
    <col min="12359" max="12359" customWidth="1" bestFit="1" width="3.0" style="763"/>
    <col min="12360" max="12360" customWidth="1" bestFit="1" width="3.0" style="763"/>
    <col min="12361" max="12361" customWidth="1" bestFit="1" width="3.0" style="763"/>
    <col min="12362" max="12362" customWidth="1" bestFit="1" width="3.0" style="763"/>
    <col min="12363" max="12363" customWidth="1" bestFit="1" width="3.0" style="763"/>
    <col min="12364" max="12364" customWidth="1" bestFit="1" width="3.0" style="763"/>
    <col min="12365" max="12365" customWidth="1" bestFit="1" width="3.0" style="763"/>
    <col min="12366" max="12366" customWidth="1" bestFit="1" width="3.0" style="763"/>
    <col min="12367" max="12367" customWidth="1" bestFit="1" width="3.0" style="763"/>
    <col min="12368" max="12368" customWidth="1" bestFit="1" width="3.0" style="763"/>
    <col min="12369" max="12369" customWidth="1" bestFit="1" width="3.0" style="763"/>
    <col min="12370" max="12370" customWidth="1" bestFit="1" width="3.0" style="763"/>
    <col min="12371" max="12371" customWidth="1" bestFit="1" width="3.0" style="763"/>
    <col min="12372" max="12372" customWidth="1" bestFit="1" width="3.0" style="763"/>
    <col min="12373" max="12373" customWidth="1" bestFit="1" width="3.0" style="763"/>
    <col min="12374" max="12374" customWidth="1" bestFit="1" width="3.0" style="763"/>
    <col min="12375" max="12375" customWidth="1" bestFit="1" width="3.0" style="763"/>
    <col min="12376" max="12376" customWidth="1" bestFit="1" width="3.0" style="763"/>
    <col min="12377" max="12377" customWidth="1" bestFit="1" width="3.0" style="763"/>
    <col min="12378" max="12378" customWidth="1" bestFit="1" width="3.0" style="763"/>
    <col min="12379" max="12379" customWidth="1" bestFit="1" width="3.0" style="763"/>
    <col min="12380" max="12380" customWidth="1" bestFit="1" width="3.0" style="763"/>
    <col min="12381" max="12381" customWidth="1" bestFit="1" width="3.0" style="763"/>
    <col min="12382" max="12382" customWidth="1" bestFit="1" width="3.0" style="763"/>
    <col min="12383" max="12383" customWidth="1" bestFit="1" width="3.0" style="763"/>
    <col min="12384" max="12384" customWidth="1" bestFit="1" width="3.0" style="763"/>
    <col min="12385" max="12385" customWidth="1" bestFit="1" width="3.0" style="763"/>
    <col min="12386" max="12386" customWidth="1" bestFit="1" width="3.0" style="763"/>
    <col min="12387" max="12387" customWidth="1" bestFit="1" width="3.0" style="763"/>
    <col min="12388" max="12388" customWidth="1" bestFit="1" width="3.0" style="763"/>
    <col min="12389" max="12389" customWidth="1" bestFit="1" width="3.0" style="763"/>
    <col min="12390" max="12390" customWidth="1" bestFit="1" width="3.0" style="763"/>
    <col min="12391" max="12391" customWidth="1" bestFit="1" width="3.0" style="763"/>
    <col min="12392" max="12392" customWidth="1" bestFit="1" width="3.0" style="763"/>
    <col min="12393" max="12393" customWidth="1" bestFit="1" width="3.0" style="763"/>
    <col min="12394" max="12394" customWidth="1" bestFit="1" width="3.0" style="763"/>
    <col min="12395" max="12395" customWidth="1" bestFit="1" width="3.0" style="763"/>
    <col min="12396" max="12396" customWidth="1" bestFit="1" width="3.0" style="763"/>
    <col min="12397" max="12397" customWidth="1" bestFit="1" width="3.0" style="763"/>
    <col min="12398" max="12398" customWidth="1" bestFit="1" width="3.0" style="763"/>
    <col min="12399" max="12399" customWidth="1" bestFit="1" width="3.0" style="763"/>
    <col min="12400" max="12400" customWidth="1" bestFit="1" width="3.0" style="763"/>
    <col min="12401" max="12401" customWidth="1" bestFit="1" width="3.0" style="763"/>
    <col min="12402" max="12402" customWidth="1" bestFit="1" width="3.0" style="763"/>
    <col min="12403" max="12403" customWidth="1" bestFit="1" width="3.0" style="763"/>
    <col min="12404" max="12404" customWidth="1" bestFit="1" width="3.0" style="763"/>
    <col min="12405" max="12405" customWidth="1" bestFit="1" width="3.0" style="763"/>
    <col min="12406" max="12406" customWidth="1" bestFit="1" width="3.0" style="763"/>
    <col min="12407" max="12407" customWidth="1" bestFit="1" width="3.0" style="763"/>
    <col min="12408" max="12408" customWidth="1" bestFit="1" width="3.0" style="763"/>
    <col min="12409" max="12409" customWidth="1" bestFit="1" width="3.0" style="763"/>
    <col min="12410" max="12410" customWidth="1" bestFit="1" width="3.0" style="763"/>
    <col min="12411" max="12411" customWidth="1" bestFit="1" width="3.0" style="763"/>
    <col min="12412" max="12412" customWidth="1" bestFit="1" width="3.0" style="763"/>
    <col min="12413" max="12413" customWidth="1" bestFit="1" width="3.0" style="763"/>
    <col min="12414" max="12414" customWidth="1" bestFit="1" width="3.0" style="763"/>
    <col min="12415" max="12415" customWidth="1" bestFit="1" width="3.0" style="763"/>
    <col min="12416" max="12416" customWidth="1" bestFit="1" width="3.0" style="763"/>
    <col min="12417" max="12417" customWidth="1" bestFit="1" width="3.0" style="763"/>
    <col min="12418" max="12418" customWidth="1" bestFit="1" width="3.0" style="763"/>
    <col min="12419" max="12419" customWidth="1" bestFit="1" width="3.0" style="763"/>
    <col min="12420" max="12420" customWidth="1" bestFit="1" width="3.0" style="763"/>
    <col min="12421" max="12421" customWidth="1" bestFit="1" width="3.0" style="763"/>
    <col min="12422" max="12422" customWidth="1" bestFit="1" width="3.0" style="763"/>
    <col min="12423" max="12423" customWidth="1" bestFit="1" width="3.0" style="763"/>
    <col min="12424" max="12424" customWidth="1" bestFit="1" width="3.0" style="763"/>
    <col min="12425" max="12425" customWidth="1" bestFit="1" width="3.0" style="763"/>
    <col min="12426" max="12426" customWidth="1" bestFit="1" width="3.0" style="763"/>
    <col min="12427" max="12427" customWidth="1" bestFit="1" width="3.0" style="763"/>
    <col min="12428" max="12428" customWidth="1" bestFit="1" width="3.0" style="763"/>
    <col min="12429" max="12429" customWidth="1" bestFit="1" width="3.0" style="763"/>
    <col min="12430" max="12430" customWidth="1" bestFit="1" width="3.0" style="763"/>
    <col min="12431" max="12431" customWidth="1" bestFit="1" width="3.0" style="763"/>
    <col min="12432" max="12432" customWidth="1" bestFit="1" width="3.0" style="763"/>
    <col min="12433" max="12433" customWidth="1" bestFit="1" width="3.0" style="763"/>
    <col min="12434" max="12434" customWidth="1" bestFit="1" width="3.0" style="763"/>
    <col min="12435" max="12435" customWidth="1" bestFit="1" width="3.0" style="763"/>
    <col min="12436" max="12436" customWidth="1" bestFit="1" width="3.0" style="763"/>
    <col min="12437" max="12437" customWidth="1" bestFit="1" width="3.0" style="763"/>
    <col min="12438" max="12438" customWidth="1" bestFit="1" width="3.0" style="763"/>
    <col min="12439" max="12439" customWidth="1" bestFit="1" width="3.0" style="763"/>
    <col min="12440" max="12440" customWidth="1" bestFit="1" width="3.0" style="763"/>
    <col min="12441" max="12441" customWidth="1" bestFit="1" width="3.0" style="763"/>
    <col min="12442" max="12442" customWidth="1" bestFit="1" width="3.0" style="763"/>
    <col min="12443" max="12443" customWidth="1" bestFit="1" width="3.0" style="763"/>
    <col min="12444" max="12444" customWidth="1" bestFit="1" width="3.0" style="763"/>
    <col min="12445" max="12445" customWidth="1" bestFit="1" width="3.0" style="763"/>
    <col min="12446" max="12446" customWidth="1" bestFit="1" width="3.0" style="763"/>
    <col min="12447" max="12447" customWidth="1" bestFit="1" width="3.0" style="763"/>
    <col min="12448" max="12448" customWidth="1" bestFit="1" width="3.0" style="763"/>
    <col min="12449" max="12449" customWidth="1" bestFit="1" width="3.0" style="763"/>
    <col min="12450" max="12450" customWidth="1" bestFit="1" width="3.0" style="763"/>
    <col min="12451" max="12451" customWidth="1" bestFit="1" width="3.0" style="763"/>
    <col min="12452" max="12452" customWidth="1" bestFit="1" width="3.0" style="763"/>
    <col min="12453" max="12453" customWidth="1" bestFit="1" width="3.0" style="763"/>
    <col min="12454" max="12454" customWidth="1" bestFit="1" width="3.0" style="763"/>
    <col min="12455" max="12455" customWidth="1" bestFit="1" width="3.0" style="763"/>
    <col min="12456" max="12456" customWidth="1" bestFit="1" width="3.0" style="763"/>
    <col min="12457" max="12457" customWidth="1" bestFit="1" width="3.0" style="763"/>
    <col min="12458" max="12458" customWidth="1" bestFit="1" width="3.0" style="763"/>
    <col min="12459" max="12459" customWidth="1" bestFit="1" width="3.0" style="763"/>
    <col min="12460" max="12460" customWidth="1" bestFit="1" width="3.0" style="763"/>
    <col min="12461" max="12461" customWidth="1" bestFit="1" width="3.0" style="763"/>
    <col min="12462" max="12462" customWidth="1" bestFit="1" width="3.0" style="763"/>
    <col min="12463" max="12463" customWidth="1" bestFit="1" width="3.0" style="763"/>
    <col min="12464" max="12464" customWidth="1" bestFit="1" width="3.0" style="763"/>
    <col min="12465" max="12465" customWidth="1" bestFit="1" width="3.0" style="763"/>
    <col min="12466" max="12466" customWidth="1" bestFit="1" width="3.0" style="763"/>
    <col min="12467" max="12467" customWidth="1" bestFit="1" width="3.0" style="763"/>
    <col min="12468" max="12468" customWidth="1" bestFit="1" width="3.0" style="763"/>
    <col min="12469" max="12469" customWidth="1" bestFit="1" width="3.0" style="763"/>
    <col min="12470" max="12470" customWidth="1" bestFit="1" width="3.0" style="763"/>
    <col min="12471" max="12471" customWidth="1" bestFit="1" width="3.0" style="763"/>
    <col min="12472" max="12472" customWidth="1" bestFit="1" width="3.0" style="763"/>
    <col min="12473" max="12473" customWidth="1" bestFit="1" width="3.0" style="763"/>
    <col min="12474" max="12474" customWidth="1" bestFit="1" width="3.0" style="763"/>
    <col min="12475" max="12475" customWidth="1" bestFit="1" width="3.0" style="763"/>
    <col min="12476" max="12476" customWidth="1" bestFit="1" width="3.0" style="763"/>
    <col min="12477" max="12477" customWidth="1" bestFit="1" width="3.0" style="763"/>
    <col min="12478" max="12478" customWidth="1" bestFit="1" width="3.0" style="763"/>
    <col min="12479" max="12479" customWidth="1" bestFit="1" width="3.0" style="763"/>
    <col min="12480" max="12480" customWidth="1" bestFit="1" width="3.0" style="763"/>
    <col min="12481" max="12481" customWidth="1" bestFit="1" width="3.0" style="763"/>
    <col min="12482" max="12482" customWidth="1" bestFit="1" width="3.0" style="763"/>
    <col min="12483" max="12483" customWidth="1" bestFit="1" width="3.0" style="763"/>
    <col min="12484" max="12484" customWidth="1" bestFit="1" width="3.0" style="763"/>
    <col min="12485" max="12485" customWidth="1" bestFit="1" width="3.0" style="763"/>
    <col min="12486" max="12486" customWidth="1" bestFit="1" width="3.0" style="763"/>
    <col min="12487" max="12487" customWidth="1" bestFit="1" width="3.0" style="763"/>
    <col min="12488" max="12488" customWidth="1" bestFit="1" width="3.0" style="763"/>
    <col min="12489" max="12489" customWidth="1" bestFit="1" width="3.0" style="763"/>
    <col min="12490" max="12490" customWidth="1" bestFit="1" width="3.0" style="763"/>
    <col min="12491" max="12491" customWidth="1" bestFit="1" width="3.0" style="763"/>
    <col min="12492" max="12492" customWidth="1" bestFit="1" width="3.0" style="763"/>
    <col min="12493" max="12493" customWidth="1" bestFit="1" width="3.0" style="763"/>
    <col min="12494" max="12494" customWidth="1" bestFit="1" width="3.0" style="763"/>
    <col min="12495" max="12495" customWidth="1" bestFit="1" width="3.0" style="763"/>
    <col min="12496" max="12496" customWidth="1" bestFit="1" width="3.0" style="763"/>
    <col min="12497" max="12497" customWidth="1" bestFit="1" width="3.0" style="763"/>
    <col min="12498" max="12498" customWidth="1" bestFit="1" width="3.0" style="763"/>
    <col min="12499" max="12499" customWidth="1" bestFit="1" width="3.0" style="763"/>
    <col min="12500" max="12500" customWidth="1" bestFit="1" width="3.0" style="763"/>
    <col min="12501" max="12501" customWidth="1" bestFit="1" width="3.0" style="763"/>
    <col min="12502" max="12502" customWidth="1" bestFit="1" width="3.0" style="763"/>
    <col min="12503" max="12503" customWidth="1" bestFit="1" width="3.0" style="763"/>
    <col min="12504" max="12504" customWidth="1" bestFit="1" width="3.0" style="763"/>
    <col min="12505" max="12505" customWidth="1" bestFit="1" width="3.0" style="763"/>
    <col min="12506" max="12506" customWidth="1" bestFit="1" width="3.0" style="763"/>
    <col min="12507" max="12507" customWidth="1" bestFit="1" width="3.0" style="763"/>
    <col min="12508" max="12508" customWidth="1" bestFit="1" width="3.0" style="763"/>
    <col min="12509" max="12509" customWidth="1" bestFit="1" width="3.0" style="763"/>
    <col min="12510" max="12510" customWidth="1" bestFit="1" width="3.0" style="763"/>
    <col min="12511" max="12511" customWidth="1" bestFit="1" width="3.0" style="763"/>
    <col min="12512" max="12512" customWidth="1" bestFit="1" width="3.0" style="763"/>
    <col min="12513" max="12513" customWidth="1" bestFit="1" width="3.0" style="763"/>
    <col min="12514" max="12514" customWidth="1" bestFit="1" width="3.0" style="763"/>
    <col min="12515" max="12515" customWidth="1" bestFit="1" width="3.0" style="763"/>
    <col min="12516" max="12516" customWidth="1" bestFit="1" width="3.0" style="763"/>
    <col min="12517" max="12517" customWidth="1" bestFit="1" width="3.0" style="763"/>
    <col min="12518" max="12518" customWidth="1" bestFit="1" width="3.0" style="763"/>
    <col min="12519" max="12519" customWidth="1" bestFit="1" width="3.0" style="763"/>
    <col min="12520" max="12520" customWidth="1" bestFit="1" width="3.0" style="763"/>
    <col min="12521" max="12521" customWidth="1" bestFit="1" width="3.0" style="763"/>
    <col min="12522" max="12522" customWidth="1" bestFit="1" width="3.0" style="763"/>
    <col min="12523" max="12523" customWidth="1" bestFit="1" width="3.0" style="763"/>
    <col min="12524" max="12524" customWidth="1" bestFit="1" width="3.0" style="763"/>
    <col min="12525" max="12525" customWidth="1" bestFit="1" width="3.0" style="763"/>
    <col min="12526" max="12526" customWidth="1" bestFit="1" width="3.0" style="763"/>
    <col min="12527" max="12527" customWidth="1" bestFit="1" width="3.0" style="763"/>
    <col min="12528" max="12528" customWidth="1" bestFit="1" width="3.0" style="763"/>
    <col min="12529" max="12529" customWidth="1" bestFit="1" width="3.0" style="763"/>
    <col min="12530" max="12530" customWidth="1" bestFit="1" width="3.0" style="763"/>
    <col min="12531" max="12531" customWidth="1" bestFit="1" width="3.0" style="763"/>
    <col min="12532" max="12532" customWidth="1" bestFit="1" width="3.0" style="763"/>
    <col min="12533" max="12533" customWidth="1" bestFit="1" width="3.0" style="763"/>
    <col min="12534" max="12534" customWidth="1" bestFit="1" width="3.0" style="763"/>
    <col min="12535" max="12535" customWidth="1" bestFit="1" width="3.0" style="763"/>
    <col min="12536" max="12536" customWidth="1" bestFit="1" width="3.0" style="763"/>
    <col min="12537" max="12537" customWidth="1" bestFit="1" width="3.0" style="763"/>
    <col min="12538" max="12538" customWidth="1" bestFit="1" width="3.0" style="763"/>
    <col min="12539" max="12539" customWidth="1" bestFit="1" width="3.0" style="763"/>
    <col min="12540" max="12540" customWidth="1" bestFit="1" width="3.0" style="763"/>
    <col min="12541" max="12541" customWidth="1" bestFit="1" width="3.0" style="763"/>
    <col min="12542" max="12542" customWidth="1" bestFit="1" width="3.0" style="763"/>
    <col min="12543" max="12543" customWidth="1" bestFit="1" width="3.0" style="763"/>
    <col min="12544" max="12544" customWidth="1" bestFit="1" width="3.0" style="763"/>
    <col min="12545" max="12545" customWidth="1" bestFit="1" width="3.0" style="763"/>
    <col min="12546" max="12546" customWidth="1" bestFit="1" width="3.0" style="763"/>
    <col min="12547" max="12547" customWidth="1" bestFit="1" width="3.0" style="763"/>
    <col min="12548" max="12548" customWidth="1" bestFit="1" width="3.0" style="763"/>
    <col min="12549" max="12549" customWidth="1" bestFit="1" width="3.0" style="763"/>
    <col min="12550" max="12550" customWidth="1" bestFit="1" width="3.0" style="763"/>
    <col min="12551" max="12551" customWidth="1" bestFit="1" width="3.0" style="763"/>
    <col min="12552" max="12552" customWidth="1" bestFit="1" width="3.0" style="763"/>
    <col min="12553" max="12553" customWidth="1" bestFit="1" width="3.0" style="763"/>
    <col min="12554" max="12554" customWidth="1" bestFit="1" width="3.0" style="763"/>
    <col min="12555" max="12555" customWidth="1" bestFit="1" width="3.0" style="763"/>
    <col min="12556" max="12556" customWidth="1" bestFit="1" width="3.0" style="763"/>
    <col min="12557" max="12557" customWidth="1" bestFit="1" width="3.0" style="763"/>
    <col min="12558" max="12558" customWidth="1" bestFit="1" width="3.0" style="763"/>
    <col min="12559" max="12559" customWidth="1" bestFit="1" width="3.0" style="763"/>
    <col min="12560" max="12560" customWidth="1" bestFit="1" width="3.0" style="763"/>
    <col min="12561" max="12561" customWidth="1" bestFit="1" width="3.0" style="763"/>
    <col min="12562" max="12562" customWidth="1" bestFit="1" width="3.0" style="763"/>
    <col min="12563" max="12563" customWidth="1" bestFit="1" width="3.0" style="763"/>
    <col min="12564" max="12564" customWidth="1" bestFit="1" width="3.0" style="763"/>
    <col min="12565" max="12565" customWidth="1" bestFit="1" width="3.0" style="763"/>
    <col min="12566" max="12566" customWidth="1" bestFit="1" width="3.0" style="763"/>
    <col min="12567" max="12567" customWidth="1" bestFit="1" width="3.0" style="763"/>
    <col min="12568" max="12568" customWidth="1" bestFit="1" width="3.0" style="763"/>
    <col min="12569" max="12569" customWidth="1" bestFit="1" width="3.0" style="763"/>
    <col min="12570" max="12570" customWidth="1" bestFit="1" width="3.0" style="763"/>
    <col min="12571" max="12571" customWidth="1" bestFit="1" width="3.0" style="763"/>
    <col min="12572" max="12572" customWidth="1" bestFit="1" width="3.0" style="763"/>
    <col min="12573" max="12573" customWidth="1" bestFit="1" width="3.0" style="763"/>
    <col min="12574" max="12574" customWidth="1" bestFit="1" width="3.0" style="763"/>
    <col min="12575" max="12575" customWidth="1" bestFit="1" width="3.0" style="763"/>
    <col min="12576" max="12576" customWidth="1" bestFit="1" width="3.0" style="763"/>
    <col min="12577" max="12577" customWidth="1" bestFit="1" width="3.0" style="763"/>
    <col min="12578" max="12578" customWidth="1" bestFit="1" width="3.0" style="763"/>
    <col min="12579" max="12579" customWidth="1" bestFit="1" width="3.0" style="763"/>
    <col min="12580" max="12580" customWidth="1" bestFit="1" width="3.0" style="763"/>
    <col min="12581" max="12581" customWidth="1" bestFit="1" width="3.0" style="763"/>
    <col min="12582" max="12582" customWidth="1" bestFit="1" width="3.0" style="763"/>
    <col min="12583" max="12583" customWidth="1" bestFit="1" width="3.0" style="763"/>
    <col min="12584" max="12584" customWidth="1" bestFit="1" width="3.0" style="763"/>
    <col min="12585" max="12585" customWidth="1" bestFit="1" width="3.0" style="763"/>
    <col min="12586" max="12586" customWidth="1" bestFit="1" width="3.0" style="763"/>
    <col min="12587" max="12587" customWidth="1" bestFit="1" width="3.0" style="763"/>
    <col min="12588" max="12588" customWidth="1" bestFit="1" width="3.0" style="763"/>
    <col min="12589" max="12589" customWidth="1" bestFit="1" width="3.0" style="763"/>
    <col min="12590" max="12590" customWidth="1" bestFit="1" width="3.0" style="763"/>
    <col min="12591" max="12591" customWidth="1" bestFit="1" width="3.0" style="763"/>
    <col min="12592" max="12592" customWidth="1" bestFit="1" width="3.0" style="763"/>
    <col min="12593" max="12593" customWidth="1" bestFit="1" width="3.0" style="763"/>
    <col min="12594" max="12594" customWidth="1" bestFit="1" width="3.0" style="763"/>
    <col min="12595" max="12595" customWidth="1" bestFit="1" width="3.0" style="763"/>
    <col min="12596" max="12596" customWidth="1" bestFit="1" width="3.0" style="763"/>
    <col min="12597" max="12597" customWidth="1" bestFit="1" width="3.0" style="763"/>
    <col min="12598" max="12598" customWidth="1" bestFit="1" width="3.0" style="763"/>
    <col min="12599" max="12599" customWidth="1" bestFit="1" width="3.0" style="763"/>
    <col min="12600" max="12600" customWidth="1" bestFit="1" width="3.0" style="763"/>
    <col min="12601" max="12601" customWidth="1" bestFit="1" width="3.0" style="763"/>
    <col min="12602" max="12602" customWidth="1" bestFit="1" width="3.0" style="763"/>
    <col min="12603" max="12603" customWidth="1" bestFit="1" width="3.0" style="763"/>
    <col min="12604" max="12604" customWidth="1" bestFit="1" width="3.0" style="763"/>
    <col min="12605" max="12605" customWidth="1" bestFit="1" width="3.0" style="763"/>
    <col min="12606" max="12606" customWidth="1" bestFit="1" width="3.0" style="763"/>
    <col min="12607" max="12607" customWidth="1" bestFit="1" width="3.0" style="763"/>
    <col min="12608" max="12608" customWidth="1" bestFit="1" width="3.0" style="763"/>
    <col min="12609" max="12609" customWidth="1" bestFit="1" width="3.0" style="763"/>
    <col min="12610" max="12610" customWidth="1" bestFit="1" width="3.0" style="763"/>
    <col min="12611" max="12611" customWidth="1" bestFit="1" width="3.0" style="763"/>
    <col min="12612" max="12612" customWidth="1" bestFit="1" width="3.0" style="763"/>
    <col min="12613" max="12613" customWidth="1" bestFit="1" width="3.0" style="763"/>
    <col min="12614" max="12614" customWidth="1" bestFit="1" width="3.0" style="763"/>
    <col min="12615" max="12615" customWidth="1" bestFit="1" width="3.0" style="763"/>
    <col min="12616" max="12616" customWidth="1" bestFit="1" width="3.0" style="763"/>
    <col min="12617" max="12617" customWidth="1" bestFit="1" width="3.0" style="763"/>
    <col min="12618" max="12618" customWidth="1" bestFit="1" width="3.0" style="763"/>
    <col min="12619" max="12619" customWidth="1" bestFit="1" width="3.0" style="763"/>
    <col min="12620" max="12620" customWidth="1" bestFit="1" width="3.0" style="763"/>
    <col min="12621" max="12621" customWidth="1" bestFit="1" width="3.0" style="763"/>
    <col min="12622" max="12622" customWidth="1" bestFit="1" width="3.0" style="763"/>
    <col min="12623" max="12623" customWidth="1" bestFit="1" width="3.0" style="763"/>
    <col min="12624" max="12624" customWidth="1" bestFit="1" width="3.0" style="763"/>
    <col min="12625" max="12625" customWidth="1" bestFit="1" width="3.0" style="763"/>
    <col min="12626" max="12626" customWidth="1" bestFit="1" width="3.0" style="763"/>
    <col min="12627" max="12627" customWidth="1" bestFit="1" width="3.0" style="763"/>
    <col min="12628" max="12628" customWidth="1" bestFit="1" width="3.0" style="763"/>
    <col min="12629" max="12629" customWidth="1" bestFit="1" width="3.0" style="763"/>
    <col min="12630" max="12630" customWidth="1" bestFit="1" width="3.0" style="763"/>
    <col min="12631" max="12631" customWidth="1" bestFit="1" width="3.0" style="763"/>
    <col min="12632" max="12632" customWidth="1" bestFit="1" width="3.0" style="763"/>
    <col min="12633" max="12633" customWidth="1" bestFit="1" width="3.0" style="763"/>
    <col min="12634" max="12634" customWidth="1" bestFit="1" width="3.0" style="763"/>
    <col min="12635" max="12635" customWidth="1" bestFit="1" width="3.0" style="763"/>
    <col min="12636" max="12636" customWidth="1" bestFit="1" width="3.0" style="763"/>
    <col min="12637" max="12637" customWidth="1" bestFit="1" width="3.0" style="763"/>
    <col min="12638" max="12638" customWidth="1" bestFit="1" width="3.0" style="763"/>
    <col min="12639" max="12639" customWidth="1" bestFit="1" width="3.0" style="763"/>
    <col min="12640" max="12640" customWidth="1" bestFit="1" width="3.0" style="763"/>
    <col min="12641" max="12641" customWidth="1" bestFit="1" width="3.0" style="763"/>
    <col min="12642" max="12642" customWidth="1" bestFit="1" width="3.0" style="763"/>
    <col min="12643" max="12643" customWidth="1" bestFit="1" width="3.0" style="763"/>
    <col min="12644" max="12644" customWidth="1" bestFit="1" width="3.0" style="763"/>
    <col min="12645" max="12645" customWidth="1" bestFit="1" width="3.0" style="763"/>
    <col min="12646" max="12646" customWidth="1" bestFit="1" width="3.0" style="763"/>
    <col min="12647" max="12647" customWidth="1" bestFit="1" width="3.0" style="763"/>
    <col min="12648" max="12648" customWidth="1" bestFit="1" width="3.0" style="763"/>
    <col min="12649" max="12649" customWidth="1" bestFit="1" width="3.0" style="763"/>
    <col min="12650" max="12650" customWidth="1" bestFit="1" width="3.0" style="763"/>
    <col min="12651" max="12651" customWidth="1" bestFit="1" width="3.0" style="763"/>
    <col min="12652" max="12652" customWidth="1" bestFit="1" width="3.0" style="763"/>
    <col min="12653" max="12653" customWidth="1" bestFit="1" width="3.0" style="763"/>
    <col min="12654" max="12654" customWidth="1" bestFit="1" width="3.0" style="763"/>
    <col min="12655" max="12655" customWidth="1" bestFit="1" width="3.0" style="763"/>
    <col min="12656" max="12656" customWidth="1" bestFit="1" width="3.0" style="763"/>
    <col min="12657" max="12657" customWidth="1" bestFit="1" width="3.0" style="763"/>
    <col min="12658" max="12658" customWidth="1" bestFit="1" width="3.0" style="763"/>
    <col min="12659" max="12659" customWidth="1" bestFit="1" width="3.0" style="763"/>
    <col min="12660" max="12660" customWidth="1" bestFit="1" width="3.0" style="763"/>
    <col min="12661" max="12661" customWidth="1" bestFit="1" width="3.0" style="763"/>
    <col min="12662" max="12662" customWidth="1" bestFit="1" width="3.0" style="763"/>
    <col min="12663" max="12663" customWidth="1" bestFit="1" width="3.0" style="763"/>
    <col min="12664" max="12664" customWidth="1" bestFit="1" width="3.0" style="763"/>
    <col min="12665" max="12665" customWidth="1" bestFit="1" width="3.0" style="763"/>
    <col min="12666" max="12666" customWidth="1" bestFit="1" width="3.0" style="763"/>
    <col min="12667" max="12667" customWidth="1" bestFit="1" width="3.0" style="763"/>
    <col min="12668" max="12668" customWidth="1" bestFit="1" width="3.0" style="763"/>
    <col min="12669" max="12669" customWidth="1" bestFit="1" width="3.0" style="763"/>
    <col min="12670" max="12670" customWidth="1" bestFit="1" width="3.0" style="763"/>
    <col min="12671" max="12671" customWidth="1" bestFit="1" width="3.0" style="763"/>
    <col min="12672" max="12672" customWidth="1" bestFit="1" width="3.0" style="763"/>
    <col min="12673" max="12673" customWidth="1" bestFit="1" width="3.0" style="763"/>
    <col min="12674" max="12674" customWidth="1" bestFit="1" width="3.0" style="763"/>
    <col min="12675" max="12675" customWidth="1" bestFit="1" width="3.0" style="763"/>
    <col min="12676" max="12676" customWidth="1" bestFit="1" width="3.0" style="763"/>
    <col min="12677" max="12677" customWidth="1" bestFit="1" width="3.0" style="763"/>
    <col min="12678" max="12678" customWidth="1" bestFit="1" width="3.0" style="763"/>
    <col min="12679" max="12679" customWidth="1" bestFit="1" width="3.0" style="763"/>
    <col min="12680" max="12680" customWidth="1" bestFit="1" width="3.0" style="763"/>
    <col min="12681" max="12681" customWidth="1" bestFit="1" width="3.0" style="763"/>
    <col min="12682" max="12682" customWidth="1" bestFit="1" width="3.0" style="763"/>
    <col min="12683" max="12683" customWidth="1" bestFit="1" width="3.0" style="763"/>
    <col min="12684" max="12684" customWidth="1" bestFit="1" width="3.0" style="763"/>
    <col min="12685" max="12685" customWidth="1" bestFit="1" width="3.0" style="763"/>
    <col min="12686" max="12686" customWidth="1" bestFit="1" width="3.0" style="763"/>
    <col min="12687" max="12687" customWidth="1" bestFit="1" width="3.0" style="763"/>
    <col min="12688" max="12688" customWidth="1" bestFit="1" width="3.0" style="763"/>
    <col min="12689" max="12689" customWidth="1" bestFit="1" width="3.0" style="763"/>
    <col min="12690" max="12690" customWidth="1" bestFit="1" width="3.0" style="763"/>
    <col min="12691" max="12691" customWidth="1" bestFit="1" width="3.0" style="763"/>
    <col min="12692" max="12692" customWidth="1" bestFit="1" width="3.0" style="763"/>
    <col min="12693" max="12693" customWidth="1" bestFit="1" width="3.0" style="763"/>
    <col min="12694" max="12694" customWidth="1" bestFit="1" width="3.0" style="763"/>
    <col min="12695" max="12695" customWidth="1" bestFit="1" width="3.0" style="763"/>
    <col min="12696" max="12696" customWidth="1" bestFit="1" width="3.0" style="763"/>
    <col min="12697" max="12697" customWidth="1" bestFit="1" width="3.0" style="763"/>
    <col min="12698" max="12698" customWidth="1" bestFit="1" width="3.0" style="763"/>
    <col min="12699" max="12699" customWidth="1" bestFit="1" width="3.0" style="763"/>
    <col min="12700" max="12700" customWidth="1" bestFit="1" width="3.0" style="763"/>
    <col min="12701" max="12701" customWidth="1" bestFit="1" width="3.0" style="763"/>
    <col min="12702" max="12702" customWidth="1" bestFit="1" width="3.0" style="763"/>
    <col min="12703" max="12703" customWidth="1" bestFit="1" width="3.0" style="763"/>
    <col min="12704" max="12704" customWidth="1" bestFit="1" width="3.0" style="763"/>
    <col min="12705" max="12705" customWidth="1" bestFit="1" width="3.0" style="763"/>
    <col min="12706" max="12706" customWidth="1" bestFit="1" width="3.0" style="763"/>
    <col min="12707" max="12707" customWidth="1" bestFit="1" width="3.0" style="763"/>
    <col min="12708" max="12708" customWidth="1" bestFit="1" width="3.0" style="763"/>
    <col min="12709" max="12709" customWidth="1" bestFit="1" width="3.0" style="763"/>
    <col min="12710" max="12710" customWidth="1" bestFit="1" width="3.0" style="763"/>
    <col min="12711" max="12711" customWidth="1" bestFit="1" width="3.0" style="763"/>
    <col min="12712" max="12712" customWidth="1" bestFit="1" width="3.0" style="763"/>
    <col min="12713" max="12713" customWidth="1" bestFit="1" width="3.0" style="763"/>
    <col min="12714" max="12714" customWidth="1" bestFit="1" width="3.0" style="763"/>
    <col min="12715" max="12715" customWidth="1" bestFit="1" width="3.0" style="763"/>
    <col min="12716" max="12716" customWidth="1" bestFit="1" width="3.0" style="763"/>
    <col min="12717" max="12717" customWidth="1" bestFit="1" width="3.0" style="763"/>
    <col min="12718" max="12718" customWidth="1" bestFit="1" width="3.0" style="763"/>
    <col min="12719" max="12719" customWidth="1" bestFit="1" width="3.0" style="763"/>
    <col min="12720" max="12720" customWidth="1" bestFit="1" width="3.0" style="763"/>
    <col min="12721" max="12721" customWidth="1" bestFit="1" width="3.0" style="763"/>
    <col min="12722" max="12722" customWidth="1" bestFit="1" width="3.0" style="763"/>
    <col min="12723" max="12723" customWidth="1" bestFit="1" width="3.0" style="763"/>
    <col min="12724" max="12724" customWidth="1" bestFit="1" width="3.0" style="763"/>
    <col min="12725" max="12725" customWidth="1" bestFit="1" width="3.0" style="763"/>
    <col min="12726" max="12726" customWidth="1" bestFit="1" width="3.0" style="763"/>
    <col min="12727" max="12727" customWidth="1" bestFit="1" width="3.0" style="763"/>
    <col min="12728" max="12728" customWidth="1" bestFit="1" width="3.0" style="763"/>
    <col min="12729" max="12729" customWidth="1" bestFit="1" width="3.0" style="763"/>
    <col min="12730" max="12730" customWidth="1" bestFit="1" width="3.0" style="763"/>
    <col min="12731" max="12731" customWidth="1" bestFit="1" width="3.0" style="763"/>
    <col min="12732" max="12732" customWidth="1" bestFit="1" width="3.0" style="763"/>
    <col min="12733" max="12733" customWidth="1" bestFit="1" width="3.0" style="763"/>
    <col min="12734" max="12734" customWidth="1" bestFit="1" width="3.0" style="763"/>
    <col min="12735" max="12735" customWidth="1" bestFit="1" width="3.0" style="763"/>
    <col min="12736" max="12736" customWidth="1" bestFit="1" width="3.0" style="763"/>
    <col min="12737" max="12737" customWidth="1" bestFit="1" width="3.0" style="763"/>
    <col min="12738" max="12738" customWidth="1" bestFit="1" width="3.0" style="763"/>
    <col min="12739" max="12739" customWidth="1" bestFit="1" width="3.0" style="763"/>
    <col min="12740" max="12740" customWidth="1" bestFit="1" width="3.0" style="763"/>
    <col min="12741" max="12741" customWidth="1" bestFit="1" width="3.0" style="763"/>
    <col min="12742" max="12742" customWidth="1" bestFit="1" width="3.0" style="763"/>
    <col min="12743" max="12743" customWidth="1" bestFit="1" width="3.0" style="763"/>
    <col min="12744" max="12744" customWidth="1" bestFit="1" width="3.0" style="763"/>
    <col min="12745" max="12745" customWidth="1" bestFit="1" width="3.0" style="763"/>
    <col min="12746" max="12746" customWidth="1" bestFit="1" width="3.0" style="763"/>
    <col min="12747" max="12747" customWidth="1" bestFit="1" width="3.0" style="763"/>
    <col min="12748" max="12748" customWidth="1" bestFit="1" width="3.0" style="763"/>
    <col min="12749" max="12749" customWidth="1" bestFit="1" width="3.0" style="763"/>
    <col min="12750" max="12750" customWidth="1" bestFit="1" width="3.0" style="763"/>
    <col min="12751" max="12751" customWidth="1" bestFit="1" width="3.0" style="763"/>
    <col min="12752" max="12752" customWidth="1" bestFit="1" width="3.0" style="763"/>
    <col min="12753" max="12753" customWidth="1" bestFit="1" width="3.0" style="763"/>
    <col min="12754" max="12754" customWidth="1" bestFit="1" width="3.0" style="763"/>
    <col min="12755" max="12755" customWidth="1" bestFit="1" width="3.0" style="763"/>
    <col min="12756" max="12756" customWidth="1" bestFit="1" width="3.0" style="763"/>
    <col min="12757" max="12757" customWidth="1" bestFit="1" width="3.0" style="763"/>
    <col min="12758" max="12758" customWidth="1" bestFit="1" width="3.0" style="763"/>
    <col min="12759" max="12759" customWidth="1" bestFit="1" width="3.0" style="763"/>
    <col min="12760" max="12760" customWidth="1" bestFit="1" width="3.0" style="763"/>
    <col min="12761" max="12761" customWidth="1" bestFit="1" width="3.0" style="763"/>
    <col min="12762" max="12762" customWidth="1" bestFit="1" width="3.0" style="763"/>
    <col min="12763" max="12763" customWidth="1" bestFit="1" width="3.0" style="763"/>
    <col min="12764" max="12764" customWidth="1" bestFit="1" width="3.0" style="763"/>
    <col min="12765" max="12765" customWidth="1" bestFit="1" width="3.0" style="763"/>
    <col min="12766" max="12766" customWidth="1" bestFit="1" width="3.0" style="763"/>
    <col min="12767" max="12767" customWidth="1" bestFit="1" width="3.0" style="763"/>
    <col min="12768" max="12768" customWidth="1" bestFit="1" width="3.0" style="763"/>
    <col min="12769" max="12769" customWidth="1" bestFit="1" width="3.0" style="763"/>
    <col min="12770" max="12770" customWidth="1" bestFit="1" width="3.0" style="763"/>
    <col min="12771" max="12771" customWidth="1" bestFit="1" width="3.0" style="763"/>
    <col min="12772" max="12772" customWidth="1" bestFit="1" width="3.0" style="763"/>
    <col min="12773" max="12773" customWidth="1" bestFit="1" width="3.0" style="763"/>
    <col min="12774" max="12774" customWidth="1" bestFit="1" width="3.0" style="763"/>
    <col min="12775" max="12775" customWidth="1" bestFit="1" width="3.0" style="763"/>
    <col min="12776" max="12776" customWidth="1" bestFit="1" width="3.0" style="763"/>
    <col min="12777" max="12777" customWidth="1" bestFit="1" width="3.0" style="763"/>
    <col min="12778" max="12778" customWidth="1" bestFit="1" width="3.0" style="763"/>
    <col min="12779" max="12779" customWidth="1" bestFit="1" width="3.0" style="763"/>
    <col min="12780" max="12780" customWidth="1" bestFit="1" width="3.0" style="763"/>
    <col min="12781" max="12781" customWidth="1" bestFit="1" width="3.0" style="763"/>
    <col min="12782" max="12782" customWidth="1" bestFit="1" width="3.0" style="763"/>
    <col min="12783" max="12783" customWidth="1" bestFit="1" width="3.0" style="763"/>
    <col min="12784" max="12784" customWidth="1" bestFit="1" width="3.0" style="763"/>
    <col min="12785" max="12785" customWidth="1" bestFit="1" width="3.0" style="763"/>
    <col min="12786" max="12786" customWidth="1" bestFit="1" width="3.0" style="763"/>
    <col min="12787" max="12787" customWidth="1" bestFit="1" width="3.0" style="763"/>
    <col min="12788" max="12788" customWidth="1" bestFit="1" width="3.0" style="763"/>
    <col min="12789" max="12789" customWidth="1" bestFit="1" width="3.0" style="763"/>
    <col min="12790" max="12790" customWidth="1" bestFit="1" width="3.0" style="763"/>
    <col min="12791" max="12791" customWidth="1" bestFit="1" width="3.0" style="763"/>
    <col min="12792" max="12792" customWidth="1" bestFit="1" width="3.0" style="763"/>
    <col min="12793" max="12793" customWidth="1" bestFit="1" width="3.0" style="763"/>
    <col min="12794" max="12794" customWidth="1" bestFit="1" width="3.0" style="763"/>
    <col min="12795" max="12795" customWidth="1" bestFit="1" width="3.0" style="763"/>
    <col min="12796" max="12796" customWidth="1" bestFit="1" width="3.0" style="763"/>
    <col min="12797" max="12797" customWidth="1" bestFit="1" width="3.0" style="763"/>
    <col min="12798" max="12798" customWidth="1" bestFit="1" width="3.0" style="763"/>
    <col min="12799" max="12799" customWidth="1" bestFit="1" width="3.0" style="763"/>
    <col min="12800" max="12800" customWidth="1" bestFit="1" width="3.0" style="763"/>
    <col min="12801" max="12801" customWidth="1" bestFit="1" width="3.0" style="763"/>
    <col min="12802" max="12802" customWidth="1" bestFit="1" width="3.0" style="763"/>
    <col min="12803" max="12803" customWidth="1" bestFit="1" width="3.0" style="763"/>
    <col min="12804" max="12804" customWidth="1" bestFit="1" width="3.0" style="763"/>
    <col min="12805" max="12805" customWidth="1" bestFit="1" width="3.0" style="763"/>
    <col min="12806" max="12806" customWidth="1" bestFit="1" width="3.0" style="763"/>
    <col min="12807" max="12807" customWidth="1" bestFit="1" width="3.0" style="763"/>
    <col min="12808" max="12808" customWidth="1" bestFit="1" width="3.0" style="763"/>
    <col min="12809" max="12809" customWidth="1" bestFit="1" width="3.0" style="763"/>
    <col min="12810" max="12810" customWidth="1" bestFit="1" width="3.0" style="763"/>
    <col min="12811" max="12811" customWidth="1" bestFit="1" width="3.0" style="763"/>
    <col min="12812" max="12812" customWidth="1" bestFit="1" width="3.0" style="763"/>
    <col min="12813" max="12813" customWidth="1" bestFit="1" width="3.0" style="763"/>
    <col min="12814" max="12814" customWidth="1" bestFit="1" width="3.0" style="763"/>
    <col min="12815" max="12815" customWidth="1" bestFit="1" width="3.0" style="763"/>
    <col min="12816" max="12816" customWidth="1" bestFit="1" width="3.0" style="763"/>
    <col min="12817" max="12817" customWidth="1" bestFit="1" width="3.0" style="763"/>
    <col min="12818" max="12818" customWidth="1" bestFit="1" width="3.0" style="763"/>
    <col min="12819" max="12819" customWidth="1" bestFit="1" width="3.0" style="763"/>
    <col min="12820" max="12820" customWidth="1" bestFit="1" width="3.0" style="763"/>
    <col min="12821" max="12821" customWidth="1" bestFit="1" width="3.0" style="763"/>
    <col min="12822" max="12822" customWidth="1" bestFit="1" width="3.0" style="763"/>
    <col min="12823" max="12823" customWidth="1" bestFit="1" width="3.0" style="763"/>
    <col min="12824" max="12824" customWidth="1" bestFit="1" width="3.0" style="763"/>
    <col min="12825" max="12825" customWidth="1" bestFit="1" width="3.0" style="763"/>
    <col min="12826" max="12826" customWidth="1" bestFit="1" width="3.0" style="763"/>
    <col min="12827" max="12827" customWidth="1" bestFit="1" width="3.0" style="763"/>
    <col min="12828" max="12828" customWidth="1" bestFit="1" width="3.0" style="763"/>
    <col min="12829" max="12829" customWidth="1" bestFit="1" width="3.0" style="763"/>
    <col min="12830" max="12830" customWidth="1" bestFit="1" width="3.0" style="763"/>
    <col min="12831" max="12831" customWidth="1" bestFit="1" width="3.0" style="763"/>
    <col min="12832" max="12832" customWidth="1" bestFit="1" width="3.0" style="763"/>
    <col min="12833" max="12833" customWidth="1" bestFit="1" width="3.0" style="763"/>
    <col min="12834" max="12834" customWidth="1" bestFit="1" width="3.0" style="763"/>
    <col min="12835" max="12835" customWidth="1" bestFit="1" width="3.0" style="763"/>
    <col min="12836" max="12836" customWidth="1" bestFit="1" width="3.0" style="763"/>
    <col min="12837" max="12837" customWidth="1" bestFit="1" width="3.0" style="763"/>
    <col min="12838" max="12838" customWidth="1" bestFit="1" width="3.0" style="763"/>
    <col min="12839" max="12839" customWidth="1" bestFit="1" width="3.0" style="763"/>
    <col min="12840" max="12840" customWidth="1" bestFit="1" width="3.0" style="763"/>
    <col min="12841" max="12841" customWidth="1" bestFit="1" width="3.0" style="763"/>
    <col min="12842" max="12842" customWidth="1" bestFit="1" width="3.0" style="763"/>
    <col min="12843" max="12843" customWidth="1" bestFit="1" width="3.0" style="763"/>
    <col min="12844" max="12844" customWidth="1" bestFit="1" width="3.0" style="763"/>
    <col min="12845" max="12845" customWidth="1" bestFit="1" width="3.0" style="763"/>
    <col min="12846" max="12846" customWidth="1" bestFit="1" width="3.0" style="763"/>
    <col min="12847" max="12847" customWidth="1" bestFit="1" width="3.0" style="763"/>
    <col min="12848" max="12848" customWidth="1" bestFit="1" width="3.0" style="763"/>
    <col min="12849" max="12849" customWidth="1" bestFit="1" width="3.0" style="763"/>
    <col min="12850" max="12850" customWidth="1" bestFit="1" width="3.0" style="763"/>
    <col min="12851" max="12851" customWidth="1" bestFit="1" width="3.0" style="763"/>
    <col min="12852" max="12852" customWidth="1" bestFit="1" width="3.0" style="763"/>
    <col min="12853" max="12853" customWidth="1" bestFit="1" width="3.0" style="763"/>
    <col min="12854" max="12854" customWidth="1" bestFit="1" width="3.0" style="763"/>
    <col min="12855" max="12855" customWidth="1" bestFit="1" width="3.0" style="763"/>
    <col min="12856" max="12856" customWidth="1" bestFit="1" width="3.0" style="763"/>
    <col min="12857" max="12857" customWidth="1" bestFit="1" width="3.0" style="763"/>
    <col min="12858" max="12858" customWidth="1" bestFit="1" width="3.0" style="763"/>
    <col min="12859" max="12859" customWidth="1" bestFit="1" width="3.0" style="763"/>
    <col min="12860" max="12860" customWidth="1" bestFit="1" width="3.0" style="763"/>
    <col min="12861" max="12861" customWidth="1" bestFit="1" width="3.0" style="763"/>
    <col min="12862" max="12862" customWidth="1" bestFit="1" width="3.0" style="763"/>
    <col min="12863" max="12863" customWidth="1" bestFit="1" width="3.0" style="763"/>
    <col min="12864" max="12864" customWidth="1" bestFit="1" width="3.0" style="763"/>
    <col min="12865" max="12865" customWidth="1" bestFit="1" width="3.0" style="763"/>
    <col min="12866" max="12866" customWidth="1" bestFit="1" width="3.0" style="763"/>
    <col min="12867" max="12867" customWidth="1" bestFit="1" width="3.0" style="763"/>
    <col min="12868" max="12868" customWidth="1" bestFit="1" width="3.0" style="763"/>
    <col min="12869" max="12869" customWidth="1" bestFit="1" width="3.0" style="763"/>
    <col min="12870" max="12870" customWidth="1" bestFit="1" width="3.0" style="763"/>
    <col min="12871" max="12871" customWidth="1" bestFit="1" width="3.0" style="763"/>
    <col min="12872" max="12872" customWidth="1" bestFit="1" width="3.0" style="763"/>
    <col min="12873" max="12873" customWidth="1" bestFit="1" width="3.0" style="763"/>
    <col min="12874" max="12874" customWidth="1" bestFit="1" width="3.0" style="763"/>
    <col min="12875" max="12875" customWidth="1" bestFit="1" width="3.0" style="763"/>
    <col min="12876" max="12876" customWidth="1" bestFit="1" width="3.0" style="763"/>
    <col min="12877" max="12877" customWidth="1" bestFit="1" width="3.0" style="763"/>
    <col min="12878" max="12878" customWidth="1" bestFit="1" width="3.0" style="763"/>
    <col min="12879" max="12879" customWidth="1" bestFit="1" width="3.0" style="763"/>
    <col min="12880" max="12880" customWidth="1" bestFit="1" width="3.0" style="763"/>
    <col min="12881" max="12881" customWidth="1" bestFit="1" width="3.0" style="763"/>
    <col min="12882" max="12882" customWidth="1" bestFit="1" width="3.0" style="763"/>
    <col min="12883" max="12883" customWidth="1" bestFit="1" width="3.0" style="763"/>
    <col min="12884" max="12884" customWidth="1" bestFit="1" width="3.0" style="763"/>
    <col min="12885" max="12885" customWidth="1" bestFit="1" width="3.0" style="763"/>
    <col min="12886" max="12886" customWidth="1" bestFit="1" width="3.0" style="763"/>
    <col min="12887" max="12887" customWidth="1" bestFit="1" width="3.0" style="763"/>
    <col min="12888" max="12888" customWidth="1" bestFit="1" width="3.0" style="763"/>
    <col min="12889" max="12889" customWidth="1" bestFit="1" width="3.0" style="763"/>
    <col min="12890" max="12890" customWidth="1" bestFit="1" width="3.0" style="763"/>
    <col min="12891" max="12891" customWidth="1" bestFit="1" width="3.0" style="763"/>
    <col min="12892" max="12892" customWidth="1" bestFit="1" width="3.0" style="763"/>
    <col min="12893" max="12893" customWidth="1" bestFit="1" width="3.0" style="763"/>
    <col min="12894" max="12894" customWidth="1" bestFit="1" width="3.0" style="763"/>
    <col min="12895" max="12895" customWidth="1" bestFit="1" width="3.0" style="763"/>
    <col min="12896" max="12896" customWidth="1" bestFit="1" width="3.0" style="763"/>
    <col min="12897" max="12897" customWidth="1" bestFit="1" width="3.0" style="763"/>
    <col min="12898" max="12898" customWidth="1" bestFit="1" width="3.0" style="763"/>
    <col min="12899" max="12899" customWidth="1" bestFit="1" width="3.0" style="763"/>
    <col min="12900" max="12900" customWidth="1" bestFit="1" width="3.0" style="763"/>
    <col min="12901" max="12901" customWidth="1" bestFit="1" width="3.0" style="763"/>
    <col min="12902" max="12902" customWidth="1" bestFit="1" width="3.0" style="763"/>
    <col min="12903" max="12903" customWidth="1" bestFit="1" width="3.0" style="763"/>
    <col min="12904" max="12904" customWidth="1" bestFit="1" width="3.0" style="763"/>
    <col min="12905" max="12905" customWidth="1" bestFit="1" width="3.0" style="763"/>
    <col min="12906" max="12906" customWidth="1" bestFit="1" width="3.0" style="763"/>
    <col min="12907" max="12907" customWidth="1" bestFit="1" width="3.0" style="763"/>
    <col min="12908" max="12908" customWidth="1" bestFit="1" width="3.0" style="763"/>
    <col min="12909" max="12909" customWidth="1" bestFit="1" width="3.0" style="763"/>
    <col min="12910" max="12910" customWidth="1" bestFit="1" width="3.0" style="763"/>
    <col min="12911" max="12911" customWidth="1" bestFit="1" width="3.0" style="763"/>
    <col min="12912" max="12912" customWidth="1" bestFit="1" width="3.0" style="763"/>
    <col min="12913" max="12913" customWidth="1" bestFit="1" width="3.0" style="763"/>
    <col min="12914" max="12914" customWidth="1" bestFit="1" width="3.0" style="763"/>
    <col min="12915" max="12915" customWidth="1" bestFit="1" width="3.0" style="763"/>
    <col min="12916" max="12916" customWidth="1" bestFit="1" width="3.0" style="763"/>
    <col min="12917" max="12917" customWidth="1" bestFit="1" width="3.0" style="763"/>
    <col min="12918" max="12918" customWidth="1" bestFit="1" width="3.0" style="763"/>
    <col min="12919" max="12919" customWidth="1" bestFit="1" width="3.0" style="763"/>
    <col min="12920" max="12920" customWidth="1" bestFit="1" width="3.0" style="763"/>
    <col min="12921" max="12921" customWidth="1" bestFit="1" width="3.0" style="763"/>
    <col min="12922" max="12922" customWidth="1" bestFit="1" width="3.0" style="763"/>
    <col min="12923" max="12923" customWidth="1" bestFit="1" width="3.0" style="763"/>
    <col min="12924" max="12924" customWidth="1" bestFit="1" width="3.0" style="763"/>
    <col min="12925" max="12925" customWidth="1" bestFit="1" width="3.0" style="763"/>
    <col min="12926" max="12926" customWidth="1" bestFit="1" width="3.0" style="763"/>
    <col min="12927" max="12927" customWidth="1" bestFit="1" width="3.0" style="763"/>
    <col min="12928" max="12928" customWidth="1" bestFit="1" width="3.0" style="763"/>
    <col min="12929" max="12929" customWidth="1" bestFit="1" width="3.0" style="763"/>
    <col min="12930" max="12930" customWidth="1" bestFit="1" width="3.0" style="763"/>
    <col min="12931" max="12931" customWidth="1" bestFit="1" width="3.0" style="763"/>
    <col min="12932" max="12932" customWidth="1" bestFit="1" width="3.0" style="763"/>
    <col min="12933" max="12933" customWidth="1" bestFit="1" width="3.0" style="763"/>
    <col min="12934" max="12934" customWidth="1" bestFit="1" width="3.0" style="763"/>
    <col min="12935" max="12935" customWidth="1" bestFit="1" width="3.0" style="763"/>
    <col min="12936" max="12936" customWidth="1" bestFit="1" width="3.0" style="763"/>
    <col min="12937" max="12937" customWidth="1" bestFit="1" width="3.0" style="763"/>
    <col min="12938" max="12938" customWidth="1" bestFit="1" width="3.0" style="763"/>
    <col min="12939" max="12939" customWidth="1" bestFit="1" width="3.0" style="763"/>
    <col min="12940" max="12940" customWidth="1" bestFit="1" width="3.0" style="763"/>
    <col min="12941" max="12941" customWidth="1" bestFit="1" width="3.0" style="763"/>
    <col min="12942" max="12942" customWidth="1" bestFit="1" width="3.0" style="763"/>
    <col min="12943" max="12943" customWidth="1" bestFit="1" width="3.0" style="763"/>
    <col min="12944" max="12944" customWidth="1" bestFit="1" width="3.0" style="763"/>
    <col min="12945" max="12945" customWidth="1" bestFit="1" width="3.0" style="763"/>
    <col min="12946" max="12946" customWidth="1" bestFit="1" width="3.0" style="763"/>
    <col min="12947" max="12947" customWidth="1" bestFit="1" width="3.0" style="763"/>
    <col min="12948" max="12948" customWidth="1" bestFit="1" width="3.0" style="763"/>
    <col min="12949" max="12949" customWidth="1" bestFit="1" width="3.0" style="763"/>
    <col min="12950" max="12950" customWidth="1" bestFit="1" width="3.0" style="763"/>
    <col min="12951" max="12951" customWidth="1" bestFit="1" width="3.0" style="763"/>
    <col min="12952" max="12952" customWidth="1" bestFit="1" width="3.0" style="763"/>
    <col min="12953" max="12953" customWidth="1" bestFit="1" width="3.0" style="763"/>
    <col min="12954" max="12954" customWidth="1" bestFit="1" width="3.0" style="763"/>
    <col min="12955" max="12955" customWidth="1" bestFit="1" width="3.0" style="763"/>
    <col min="12956" max="12956" customWidth="1" bestFit="1" width="3.0" style="763"/>
    <col min="12957" max="12957" customWidth="1" bestFit="1" width="3.0" style="763"/>
    <col min="12958" max="12958" customWidth="1" bestFit="1" width="3.0" style="763"/>
    <col min="12959" max="12959" customWidth="1" bestFit="1" width="3.0" style="763"/>
    <col min="12960" max="12960" customWidth="1" bestFit="1" width="3.0" style="763"/>
    <col min="12961" max="12961" customWidth="1" bestFit="1" width="3.0" style="763"/>
    <col min="12962" max="12962" customWidth="1" bestFit="1" width="3.0" style="763"/>
    <col min="12963" max="12963" customWidth="1" bestFit="1" width="3.0" style="763"/>
    <col min="12964" max="12964" customWidth="1" bestFit="1" width="3.0" style="763"/>
    <col min="12965" max="12965" customWidth="1" bestFit="1" width="3.0" style="763"/>
    <col min="12966" max="12966" customWidth="1" bestFit="1" width="3.0" style="763"/>
    <col min="12967" max="12967" customWidth="1" bestFit="1" width="3.0" style="763"/>
    <col min="12968" max="12968" customWidth="1" bestFit="1" width="3.0" style="763"/>
    <col min="12969" max="12969" customWidth="1" bestFit="1" width="3.0" style="763"/>
    <col min="12970" max="12970" customWidth="1" bestFit="1" width="3.0" style="763"/>
    <col min="12971" max="12971" customWidth="1" bestFit="1" width="3.0" style="763"/>
    <col min="12972" max="12972" customWidth="1" bestFit="1" width="3.0" style="763"/>
    <col min="12973" max="12973" customWidth="1" bestFit="1" width="3.0" style="763"/>
    <col min="12974" max="12974" customWidth="1" bestFit="1" width="3.0" style="763"/>
    <col min="12975" max="12975" customWidth="1" bestFit="1" width="3.0" style="763"/>
    <col min="12976" max="12976" customWidth="1" bestFit="1" width="3.0" style="763"/>
    <col min="12977" max="12977" customWidth="1" bestFit="1" width="3.0" style="763"/>
    <col min="12978" max="12978" customWidth="1" bestFit="1" width="3.0" style="763"/>
    <col min="12979" max="12979" customWidth="1" bestFit="1" width="3.0" style="763"/>
    <col min="12980" max="12980" customWidth="1" bestFit="1" width="3.0" style="763"/>
    <col min="12981" max="12981" customWidth="1" bestFit="1" width="3.0" style="763"/>
    <col min="12982" max="12982" customWidth="1" bestFit="1" width="3.0" style="763"/>
    <col min="12983" max="12983" customWidth="1" bestFit="1" width="3.0" style="763"/>
    <col min="12984" max="12984" customWidth="1" bestFit="1" width="3.0" style="763"/>
    <col min="12985" max="12985" customWidth="1" bestFit="1" width="3.0" style="763"/>
    <col min="12986" max="12986" customWidth="1" bestFit="1" width="3.0" style="763"/>
    <col min="12987" max="12987" customWidth="1" bestFit="1" width="3.0" style="763"/>
    <col min="12988" max="12988" customWidth="1" bestFit="1" width="3.0" style="763"/>
    <col min="12989" max="12989" customWidth="1" bestFit="1" width="3.0" style="763"/>
    <col min="12990" max="12990" customWidth="1" bestFit="1" width="3.0" style="763"/>
    <col min="12991" max="12991" customWidth="1" bestFit="1" width="3.0" style="763"/>
    <col min="12992" max="12992" customWidth="1" bestFit="1" width="3.0" style="763"/>
    <col min="12993" max="12993" customWidth="1" bestFit="1" width="3.0" style="763"/>
    <col min="12994" max="12994" customWidth="1" bestFit="1" width="3.0" style="763"/>
    <col min="12995" max="12995" customWidth="1" bestFit="1" width="3.0" style="763"/>
    <col min="12996" max="12996" customWidth="1" bestFit="1" width="3.0" style="763"/>
    <col min="12997" max="12997" customWidth="1" bestFit="1" width="3.0" style="763"/>
    <col min="12998" max="12998" customWidth="1" bestFit="1" width="3.0" style="763"/>
    <col min="12999" max="12999" customWidth="1" bestFit="1" width="3.0" style="763"/>
    <col min="13000" max="13000" customWidth="1" bestFit="1" width="3.0" style="763"/>
    <col min="13001" max="13001" customWidth="1" bestFit="1" width="3.0" style="763"/>
    <col min="13002" max="13002" customWidth="1" bestFit="1" width="3.0" style="763"/>
    <col min="13003" max="13003" customWidth="1" bestFit="1" width="3.0" style="763"/>
    <col min="13004" max="13004" customWidth="1" bestFit="1" width="3.0" style="763"/>
    <col min="13005" max="13005" customWidth="1" bestFit="1" width="3.0" style="763"/>
    <col min="13006" max="13006" customWidth="1" bestFit="1" width="3.0" style="763"/>
    <col min="13007" max="13007" customWidth="1" bestFit="1" width="3.0" style="763"/>
    <col min="13008" max="13008" customWidth="1" bestFit="1" width="3.0" style="763"/>
    <col min="13009" max="13009" customWidth="1" bestFit="1" width="3.0" style="763"/>
    <col min="13010" max="13010" customWidth="1" bestFit="1" width="3.0" style="763"/>
    <col min="13011" max="13011" customWidth="1" bestFit="1" width="3.0" style="763"/>
    <col min="13012" max="13012" customWidth="1" bestFit="1" width="3.0" style="763"/>
    <col min="13013" max="13013" customWidth="1" bestFit="1" width="3.0" style="763"/>
    <col min="13014" max="13014" customWidth="1" bestFit="1" width="3.0" style="763"/>
    <col min="13015" max="13015" customWidth="1" bestFit="1" width="3.0" style="763"/>
    <col min="13016" max="13016" customWidth="1" bestFit="1" width="3.0" style="763"/>
    <col min="13017" max="13017" customWidth="1" bestFit="1" width="3.0" style="763"/>
    <col min="13018" max="13018" customWidth="1" bestFit="1" width="3.0" style="763"/>
    <col min="13019" max="13019" customWidth="1" bestFit="1" width="3.0" style="763"/>
    <col min="13020" max="13020" customWidth="1" bestFit="1" width="3.0" style="763"/>
    <col min="13021" max="13021" customWidth="1" bestFit="1" width="3.0" style="763"/>
    <col min="13022" max="13022" customWidth="1" bestFit="1" width="3.0" style="763"/>
    <col min="13023" max="13023" customWidth="1" bestFit="1" width="3.0" style="763"/>
    <col min="13024" max="13024" customWidth="1" bestFit="1" width="3.0" style="763"/>
    <col min="13025" max="13025" customWidth="1" bestFit="1" width="3.0" style="763"/>
    <col min="13026" max="13026" customWidth="1" bestFit="1" width="3.0" style="763"/>
    <col min="13027" max="13027" customWidth="1" bestFit="1" width="3.0" style="763"/>
    <col min="13028" max="13028" customWidth="1" bestFit="1" width="3.0" style="763"/>
    <col min="13029" max="13029" customWidth="1" bestFit="1" width="3.0" style="763"/>
    <col min="13030" max="13030" customWidth="1" bestFit="1" width="3.0" style="763"/>
    <col min="13031" max="13031" customWidth="1" bestFit="1" width="3.0" style="763"/>
    <col min="13032" max="13032" customWidth="1" bestFit="1" width="3.0" style="763"/>
    <col min="13033" max="13033" customWidth="1" bestFit="1" width="3.0" style="763"/>
    <col min="13034" max="13034" customWidth="1" bestFit="1" width="3.0" style="763"/>
    <col min="13035" max="13035" customWidth="1" bestFit="1" width="3.0" style="763"/>
    <col min="13036" max="13036" customWidth="1" bestFit="1" width="3.0" style="763"/>
    <col min="13037" max="13037" customWidth="1" bestFit="1" width="3.0" style="763"/>
    <col min="13038" max="13038" customWidth="1" bestFit="1" width="3.0" style="763"/>
    <col min="13039" max="13039" customWidth="1" bestFit="1" width="3.0" style="763"/>
    <col min="13040" max="13040" customWidth="1" bestFit="1" width="3.0" style="763"/>
    <col min="13041" max="13041" customWidth="1" bestFit="1" width="3.0" style="763"/>
    <col min="13042" max="13042" customWidth="1" bestFit="1" width="3.0" style="763"/>
    <col min="13043" max="13043" customWidth="1" bestFit="1" width="3.0" style="763"/>
    <col min="13044" max="13044" customWidth="1" bestFit="1" width="3.0" style="763"/>
    <col min="13045" max="13045" customWidth="1" bestFit="1" width="3.0" style="763"/>
    <col min="13046" max="13046" customWidth="1" bestFit="1" width="3.0" style="763"/>
    <col min="13047" max="13047" customWidth="1" bestFit="1" width="3.0" style="763"/>
    <col min="13048" max="13048" customWidth="1" bestFit="1" width="3.0" style="763"/>
    <col min="13049" max="13049" customWidth="1" bestFit="1" width="3.0" style="763"/>
    <col min="13050" max="13050" customWidth="1" bestFit="1" width="3.0" style="763"/>
    <col min="13051" max="13051" customWidth="1" bestFit="1" width="3.0" style="763"/>
    <col min="13052" max="13052" customWidth="1" bestFit="1" width="3.0" style="763"/>
    <col min="13053" max="13053" customWidth="1" bestFit="1" width="3.0" style="763"/>
    <col min="13054" max="13054" customWidth="1" bestFit="1" width="3.0" style="763"/>
    <col min="13055" max="13055" customWidth="1" bestFit="1" width="3.0" style="763"/>
    <col min="13056" max="13056" customWidth="1" bestFit="1" width="3.0" style="763"/>
    <col min="13057" max="13057" customWidth="1" bestFit="1" width="3.0" style="763"/>
    <col min="13058" max="13058" customWidth="1" bestFit="1" width="3.0" style="763"/>
    <col min="13059" max="13059" customWidth="1" bestFit="1" width="3.0" style="763"/>
    <col min="13060" max="13060" customWidth="1" bestFit="1" width="3.0" style="763"/>
    <col min="13061" max="13061" customWidth="1" bestFit="1" width="3.0" style="763"/>
    <col min="13062" max="13062" customWidth="1" bestFit="1" width="3.0" style="763"/>
    <col min="13063" max="13063" customWidth="1" bestFit="1" width="3.0" style="763"/>
    <col min="13064" max="13064" customWidth="1" bestFit="1" width="3.0" style="763"/>
    <col min="13065" max="13065" customWidth="1" bestFit="1" width="3.0" style="763"/>
    <col min="13066" max="13066" customWidth="1" bestFit="1" width="3.0" style="763"/>
    <col min="13067" max="13067" customWidth="1" bestFit="1" width="3.0" style="763"/>
    <col min="13068" max="13068" customWidth="1" bestFit="1" width="3.0" style="763"/>
    <col min="13069" max="13069" customWidth="1" bestFit="1" width="3.0" style="763"/>
    <col min="13070" max="13070" customWidth="1" bestFit="1" width="3.0" style="763"/>
    <col min="13071" max="13071" customWidth="1" bestFit="1" width="3.0" style="763"/>
    <col min="13072" max="13072" customWidth="1" bestFit="1" width="3.0" style="763"/>
    <col min="13073" max="13073" customWidth="1" bestFit="1" width="3.0" style="763"/>
    <col min="13074" max="13074" customWidth="1" bestFit="1" width="3.0" style="763"/>
    <col min="13075" max="13075" customWidth="1" bestFit="1" width="3.0" style="763"/>
    <col min="13076" max="13076" customWidth="1" bestFit="1" width="3.0" style="763"/>
    <col min="13077" max="13077" customWidth="1" bestFit="1" width="3.0" style="763"/>
    <col min="13078" max="13078" customWidth="1" bestFit="1" width="3.0" style="763"/>
    <col min="13079" max="13079" customWidth="1" bestFit="1" width="3.0" style="763"/>
    <col min="13080" max="13080" customWidth="1" bestFit="1" width="3.0" style="763"/>
    <col min="13081" max="13081" customWidth="1" bestFit="1" width="3.0" style="763"/>
    <col min="13082" max="13082" customWidth="1" bestFit="1" width="3.0" style="763"/>
    <col min="13083" max="13083" customWidth="1" bestFit="1" width="3.0" style="763"/>
    <col min="13084" max="13084" customWidth="1" bestFit="1" width="3.0" style="763"/>
    <col min="13085" max="13085" customWidth="1" bestFit="1" width="3.0" style="763"/>
    <col min="13086" max="13086" customWidth="1" bestFit="1" width="3.0" style="763"/>
    <col min="13087" max="13087" customWidth="1" bestFit="1" width="3.0" style="763"/>
    <col min="13088" max="13088" customWidth="1" bestFit="1" width="3.0" style="763"/>
    <col min="13089" max="13089" customWidth="1" bestFit="1" width="3.0" style="763"/>
    <col min="13090" max="13090" customWidth="1" bestFit="1" width="3.0" style="763"/>
    <col min="13091" max="13091" customWidth="1" bestFit="1" width="3.0" style="763"/>
    <col min="13092" max="13092" customWidth="1" bestFit="1" width="3.0" style="763"/>
    <col min="13093" max="13093" customWidth="1" bestFit="1" width="3.0" style="763"/>
    <col min="13094" max="13094" customWidth="1" bestFit="1" width="3.0" style="763"/>
    <col min="13095" max="13095" customWidth="1" bestFit="1" width="3.0" style="763"/>
    <col min="13096" max="13096" customWidth="1" bestFit="1" width="3.0" style="763"/>
    <col min="13097" max="13097" customWidth="1" bestFit="1" width="3.0" style="763"/>
    <col min="13098" max="13098" customWidth="1" bestFit="1" width="3.0" style="763"/>
    <col min="13099" max="13099" customWidth="1" bestFit="1" width="3.0" style="763"/>
    <col min="13100" max="13100" customWidth="1" bestFit="1" width="3.0" style="763"/>
    <col min="13101" max="13101" customWidth="1" bestFit="1" width="3.0" style="763"/>
    <col min="13102" max="13102" customWidth="1" bestFit="1" width="3.0" style="763"/>
    <col min="13103" max="13103" customWidth="1" bestFit="1" width="3.0" style="763"/>
    <col min="13104" max="13104" customWidth="1" bestFit="1" width="3.0" style="763"/>
    <col min="13105" max="13105" customWidth="1" bestFit="1" width="3.0" style="763"/>
    <col min="13106" max="13106" customWidth="1" bestFit="1" width="3.0" style="763"/>
    <col min="13107" max="13107" customWidth="1" bestFit="1" width="3.0" style="763"/>
    <col min="13108" max="13108" customWidth="1" bestFit="1" width="3.0" style="763"/>
    <col min="13109" max="13109" customWidth="1" bestFit="1" width="3.0" style="763"/>
    <col min="13110" max="13110" customWidth="1" bestFit="1" width="3.0" style="763"/>
    <col min="13111" max="13111" customWidth="1" bestFit="1" width="3.0" style="763"/>
    <col min="13112" max="13112" customWidth="1" bestFit="1" width="3.0" style="763"/>
    <col min="13113" max="13113" customWidth="1" bestFit="1" width="3.0" style="763"/>
    <col min="13114" max="13114" customWidth="1" bestFit="1" width="3.0" style="763"/>
    <col min="13115" max="13115" customWidth="1" bestFit="1" width="3.0" style="763"/>
    <col min="13116" max="13116" customWidth="1" bestFit="1" width="3.0" style="763"/>
    <col min="13117" max="13117" customWidth="1" bestFit="1" width="3.0" style="763"/>
    <col min="13118" max="13118" customWidth="1" bestFit="1" width="3.0" style="763"/>
    <col min="13119" max="13119" customWidth="1" bestFit="1" width="3.0" style="763"/>
    <col min="13120" max="13120" customWidth="1" bestFit="1" width="3.0" style="763"/>
    <col min="13121" max="13121" customWidth="1" bestFit="1" width="3.0" style="763"/>
    <col min="13122" max="13122" customWidth="1" bestFit="1" width="3.0" style="763"/>
    <col min="13123" max="13123" customWidth="1" bestFit="1" width="3.0" style="763"/>
    <col min="13124" max="13124" customWidth="1" bestFit="1" width="3.0" style="763"/>
    <col min="13125" max="13125" customWidth="1" bestFit="1" width="3.0" style="763"/>
    <col min="13126" max="13126" customWidth="1" bestFit="1" width="3.0" style="763"/>
    <col min="13127" max="13127" customWidth="1" bestFit="1" width="3.0" style="763"/>
    <col min="13128" max="13128" customWidth="1" bestFit="1" width="3.0" style="763"/>
    <col min="13129" max="13129" customWidth="1" bestFit="1" width="3.0" style="763"/>
    <col min="13130" max="13130" customWidth="1" bestFit="1" width="3.0" style="763"/>
    <col min="13131" max="13131" customWidth="1" bestFit="1" width="3.0" style="763"/>
    <col min="13132" max="13132" customWidth="1" bestFit="1" width="3.0" style="763"/>
    <col min="13133" max="13133" customWidth="1" bestFit="1" width="3.0" style="763"/>
    <col min="13134" max="13134" customWidth="1" bestFit="1" width="3.0" style="763"/>
    <col min="13135" max="13135" customWidth="1" bestFit="1" width="3.0" style="763"/>
    <col min="13136" max="13136" customWidth="1" bestFit="1" width="3.0" style="763"/>
    <col min="13137" max="13137" customWidth="1" bestFit="1" width="3.0" style="763"/>
    <col min="13138" max="13138" customWidth="1" bestFit="1" width="3.0" style="763"/>
    <col min="13139" max="13139" customWidth="1" bestFit="1" width="3.0" style="763"/>
    <col min="13140" max="13140" customWidth="1" bestFit="1" width="3.0" style="763"/>
    <col min="13141" max="13141" customWidth="1" bestFit="1" width="3.0" style="763"/>
    <col min="13142" max="13142" customWidth="1" bestFit="1" width="3.0" style="763"/>
    <col min="13143" max="13143" customWidth="1" bestFit="1" width="3.0" style="763"/>
    <col min="13144" max="13144" customWidth="1" bestFit="1" width="3.0" style="763"/>
    <col min="13145" max="13145" customWidth="1" bestFit="1" width="3.0" style="763"/>
    <col min="13146" max="13146" customWidth="1" bestFit="1" width="3.0" style="763"/>
    <col min="13147" max="13147" customWidth="1" bestFit="1" width="3.0" style="763"/>
    <col min="13148" max="13148" customWidth="1" bestFit="1" width="3.0" style="763"/>
    <col min="13149" max="13149" customWidth="1" bestFit="1" width="3.0" style="763"/>
    <col min="13150" max="13150" customWidth="1" bestFit="1" width="3.0" style="763"/>
    <col min="13151" max="13151" customWidth="1" bestFit="1" width="3.0" style="763"/>
    <col min="13152" max="13152" customWidth="1" bestFit="1" width="3.0" style="763"/>
    <col min="13153" max="13153" customWidth="1" bestFit="1" width="3.0" style="763"/>
    <col min="13154" max="13154" customWidth="1" bestFit="1" width="3.0" style="763"/>
    <col min="13155" max="13155" customWidth="1" bestFit="1" width="3.0" style="763"/>
    <col min="13156" max="13156" customWidth="1" bestFit="1" width="3.0" style="763"/>
    <col min="13157" max="13157" customWidth="1" bestFit="1" width="3.0" style="763"/>
    <col min="13158" max="13158" customWidth="1" bestFit="1" width="3.0" style="763"/>
    <col min="13159" max="13159" customWidth="1" bestFit="1" width="3.0" style="763"/>
    <col min="13160" max="13160" customWidth="1" bestFit="1" width="3.0" style="763"/>
    <col min="13161" max="13161" customWidth="1" bestFit="1" width="3.0" style="763"/>
    <col min="13162" max="13162" customWidth="1" bestFit="1" width="3.0" style="763"/>
    <col min="13163" max="13163" customWidth="1" bestFit="1" width="3.0" style="763"/>
    <col min="13164" max="13164" customWidth="1" bestFit="1" width="3.0" style="763"/>
    <col min="13165" max="13165" customWidth="1" bestFit="1" width="3.0" style="763"/>
    <col min="13166" max="13166" customWidth="1" bestFit="1" width="3.0" style="763"/>
    <col min="13167" max="13167" customWidth="1" bestFit="1" width="3.0" style="763"/>
    <col min="13168" max="13168" customWidth="1" bestFit="1" width="3.0" style="763"/>
    <col min="13169" max="13169" customWidth="1" bestFit="1" width="3.0" style="763"/>
    <col min="13170" max="13170" customWidth="1" bestFit="1" width="3.0" style="763"/>
    <col min="13171" max="13171" customWidth="1" bestFit="1" width="3.0" style="763"/>
    <col min="13172" max="13172" customWidth="1" bestFit="1" width="3.0" style="763"/>
    <col min="13173" max="13173" customWidth="1" bestFit="1" width="3.0" style="763"/>
    <col min="13174" max="13174" customWidth="1" bestFit="1" width="3.0" style="763"/>
    <col min="13175" max="13175" customWidth="1" bestFit="1" width="3.0" style="763"/>
    <col min="13176" max="13176" customWidth="1" bestFit="1" width="3.0" style="763"/>
    <col min="13177" max="13177" customWidth="1" bestFit="1" width="3.0" style="763"/>
    <col min="13178" max="13178" customWidth="1" bestFit="1" width="3.0" style="763"/>
    <col min="13179" max="13179" customWidth="1" bestFit="1" width="3.0" style="763"/>
    <col min="13180" max="13180" customWidth="1" bestFit="1" width="3.0" style="763"/>
    <col min="13181" max="13181" customWidth="1" bestFit="1" width="3.0" style="763"/>
    <col min="13182" max="13182" customWidth="1" bestFit="1" width="3.0" style="763"/>
    <col min="13183" max="13183" customWidth="1" bestFit="1" width="3.0" style="763"/>
    <col min="13184" max="13184" customWidth="1" bestFit="1" width="3.0" style="763"/>
    <col min="13185" max="13185" customWidth="1" bestFit="1" width="3.0" style="763"/>
    <col min="13186" max="13186" customWidth="1" bestFit="1" width="3.0" style="763"/>
    <col min="13187" max="13187" customWidth="1" bestFit="1" width="3.0" style="763"/>
    <col min="13188" max="13188" customWidth="1" bestFit="1" width="3.0" style="763"/>
    <col min="13189" max="13189" customWidth="1" bestFit="1" width="3.0" style="763"/>
    <col min="13190" max="13190" customWidth="1" bestFit="1" width="3.0" style="763"/>
    <col min="13191" max="13191" customWidth="1" bestFit="1" width="3.0" style="763"/>
    <col min="13192" max="13192" customWidth="1" bestFit="1" width="3.0" style="763"/>
    <col min="13193" max="13193" customWidth="1" bestFit="1" width="3.0" style="763"/>
    <col min="13194" max="13194" customWidth="1" bestFit="1" width="3.0" style="763"/>
    <col min="13195" max="13195" customWidth="1" bestFit="1" width="3.0" style="763"/>
    <col min="13196" max="13196" customWidth="1" bestFit="1" width="3.0" style="763"/>
    <col min="13197" max="13197" customWidth="1" bestFit="1" width="3.0" style="763"/>
    <col min="13198" max="13198" customWidth="1" bestFit="1" width="3.0" style="763"/>
    <col min="13199" max="13199" customWidth="1" bestFit="1" width="3.0" style="763"/>
    <col min="13200" max="13200" customWidth="1" bestFit="1" width="3.0" style="763"/>
    <col min="13201" max="13201" customWidth="1" bestFit="1" width="3.0" style="763"/>
    <col min="13202" max="13202" customWidth="1" bestFit="1" width="3.0" style="763"/>
    <col min="13203" max="13203" customWidth="1" bestFit="1" width="3.0" style="763"/>
    <col min="13204" max="13204" customWidth="1" bestFit="1" width="3.0" style="763"/>
    <col min="13205" max="13205" customWidth="1" bestFit="1" width="3.0" style="763"/>
    <col min="13206" max="13206" customWidth="1" bestFit="1" width="3.0" style="763"/>
    <col min="13207" max="13207" customWidth="1" bestFit="1" width="3.0" style="763"/>
    <col min="13208" max="13208" customWidth="1" bestFit="1" width="3.0" style="763"/>
    <col min="13209" max="13209" customWidth="1" bestFit="1" width="3.0" style="763"/>
    <col min="13210" max="13210" customWidth="1" bestFit="1" width="3.0" style="763"/>
    <col min="13211" max="13211" customWidth="1" bestFit="1" width="3.0" style="763"/>
    <col min="13212" max="13212" customWidth="1" bestFit="1" width="3.0" style="763"/>
    <col min="13213" max="13213" customWidth="1" bestFit="1" width="3.0" style="763"/>
    <col min="13214" max="13214" customWidth="1" bestFit="1" width="3.0" style="763"/>
    <col min="13215" max="13215" customWidth="1" bestFit="1" width="3.0" style="763"/>
    <col min="13216" max="13216" customWidth="1" bestFit="1" width="3.0" style="763"/>
    <col min="13217" max="13217" customWidth="1" bestFit="1" width="3.0" style="763"/>
    <col min="13218" max="13218" customWidth="1" bestFit="1" width="3.0" style="763"/>
    <col min="13219" max="13219" customWidth="1" bestFit="1" width="3.0" style="763"/>
    <col min="13220" max="13220" customWidth="1" bestFit="1" width="3.0" style="763"/>
    <col min="13221" max="13221" customWidth="1" bestFit="1" width="3.0" style="763"/>
    <col min="13222" max="13222" customWidth="1" bestFit="1" width="3.0" style="763"/>
    <col min="13223" max="13223" customWidth="1" bestFit="1" width="3.0" style="763"/>
    <col min="13224" max="13224" customWidth="1" bestFit="1" width="3.0" style="763"/>
    <col min="13225" max="13225" customWidth="1" bestFit="1" width="3.0" style="763"/>
    <col min="13226" max="13226" customWidth="1" bestFit="1" width="3.0" style="763"/>
    <col min="13227" max="13227" customWidth="1" bestFit="1" width="3.0" style="763"/>
    <col min="13228" max="13228" customWidth="1" bestFit="1" width="3.0" style="763"/>
    <col min="13229" max="13229" customWidth="1" bestFit="1" width="3.0" style="763"/>
    <col min="13230" max="13230" customWidth="1" bestFit="1" width="3.0" style="763"/>
    <col min="13231" max="13231" customWidth="1" bestFit="1" width="3.0" style="763"/>
    <col min="13232" max="13232" customWidth="1" bestFit="1" width="3.0" style="763"/>
    <col min="13233" max="13233" customWidth="1" bestFit="1" width="3.0" style="763"/>
    <col min="13234" max="13234" customWidth="1" bestFit="1" width="3.0" style="763"/>
    <col min="13235" max="13235" customWidth="1" bestFit="1" width="3.0" style="763"/>
    <col min="13236" max="13236" customWidth="1" bestFit="1" width="3.0" style="763"/>
    <col min="13237" max="13237" customWidth="1" bestFit="1" width="3.0" style="763"/>
    <col min="13238" max="13238" customWidth="1" bestFit="1" width="3.0" style="763"/>
    <col min="13239" max="13239" customWidth="1" bestFit="1" width="3.0" style="763"/>
    <col min="13240" max="13240" customWidth="1" bestFit="1" width="3.0" style="763"/>
    <col min="13241" max="13241" customWidth="1" bestFit="1" width="3.0" style="763"/>
    <col min="13242" max="13242" customWidth="1" bestFit="1" width="3.0" style="763"/>
    <col min="13243" max="13243" customWidth="1" bestFit="1" width="3.0" style="763"/>
    <col min="13244" max="13244" customWidth="1" bestFit="1" width="3.0" style="763"/>
    <col min="13245" max="13245" customWidth="1" bestFit="1" width="3.0" style="763"/>
    <col min="13246" max="13246" customWidth="1" bestFit="1" width="3.0" style="763"/>
    <col min="13247" max="13247" customWidth="1" bestFit="1" width="3.0" style="763"/>
    <col min="13248" max="13248" customWidth="1" bestFit="1" width="3.0" style="763"/>
    <col min="13249" max="13249" customWidth="1" bestFit="1" width="3.0" style="763"/>
    <col min="13250" max="13250" customWidth="1" bestFit="1" width="3.0" style="763"/>
    <col min="13251" max="13251" customWidth="1" bestFit="1" width="3.0" style="763"/>
    <col min="13252" max="13252" customWidth="1" bestFit="1" width="3.0" style="763"/>
    <col min="13253" max="13253" customWidth="1" bestFit="1" width="3.0" style="763"/>
    <col min="13254" max="13254" customWidth="1" bestFit="1" width="3.0" style="763"/>
    <col min="13255" max="13255" customWidth="1" bestFit="1" width="3.0" style="763"/>
    <col min="13256" max="13256" customWidth="1" bestFit="1" width="3.0" style="763"/>
    <col min="13257" max="13257" customWidth="1" bestFit="1" width="3.0" style="763"/>
    <col min="13258" max="13258" customWidth="1" bestFit="1" width="3.0" style="763"/>
    <col min="13259" max="13259" customWidth="1" bestFit="1" width="3.0" style="763"/>
    <col min="13260" max="13260" customWidth="1" bestFit="1" width="3.0" style="763"/>
    <col min="13261" max="13261" customWidth="1" bestFit="1" width="3.0" style="763"/>
    <col min="13262" max="13262" customWidth="1" bestFit="1" width="3.0" style="763"/>
    <col min="13263" max="13263" customWidth="1" bestFit="1" width="3.0" style="763"/>
    <col min="13264" max="13264" customWidth="1" bestFit="1" width="3.0" style="763"/>
    <col min="13265" max="13265" customWidth="1" bestFit="1" width="3.0" style="763"/>
    <col min="13266" max="13266" customWidth="1" bestFit="1" width="3.0" style="763"/>
    <col min="13267" max="13267" customWidth="1" bestFit="1" width="3.0" style="763"/>
    <col min="13268" max="13268" customWidth="1" bestFit="1" width="3.0" style="763"/>
    <col min="13269" max="13269" customWidth="1" bestFit="1" width="3.0" style="763"/>
    <col min="13270" max="13270" customWidth="1" bestFit="1" width="3.0" style="763"/>
    <col min="13271" max="13271" customWidth="1" bestFit="1" width="3.0" style="763"/>
    <col min="13272" max="13272" customWidth="1" bestFit="1" width="3.0" style="763"/>
    <col min="13273" max="13273" customWidth="1" bestFit="1" width="3.0" style="763"/>
    <col min="13274" max="13274" customWidth="1" bestFit="1" width="3.0" style="763"/>
    <col min="13275" max="13275" customWidth="1" bestFit="1" width="3.0" style="763"/>
    <col min="13276" max="13276" customWidth="1" bestFit="1" width="3.0" style="763"/>
    <col min="13277" max="13277" customWidth="1" bestFit="1" width="3.0" style="763"/>
    <col min="13278" max="13278" customWidth="1" bestFit="1" width="3.0" style="763"/>
    <col min="13279" max="13279" customWidth="1" bestFit="1" width="3.0" style="763"/>
    <col min="13280" max="13280" customWidth="1" bestFit="1" width="3.0" style="763"/>
    <col min="13281" max="13281" customWidth="1" bestFit="1" width="3.0" style="763"/>
    <col min="13282" max="13282" customWidth="1" bestFit="1" width="3.0" style="763"/>
    <col min="13283" max="13283" customWidth="1" bestFit="1" width="3.0" style="763"/>
    <col min="13284" max="13284" customWidth="1" bestFit="1" width="3.0" style="763"/>
    <col min="13285" max="13285" customWidth="1" bestFit="1" width="3.0" style="763"/>
    <col min="13286" max="13286" customWidth="1" bestFit="1" width="3.0" style="763"/>
    <col min="13287" max="13287" customWidth="1" bestFit="1" width="3.0" style="763"/>
    <col min="13288" max="13288" customWidth="1" bestFit="1" width="3.0" style="763"/>
    <col min="13289" max="13289" customWidth="1" bestFit="1" width="3.0" style="763"/>
    <col min="13290" max="13290" customWidth="1" bestFit="1" width="3.0" style="763"/>
    <col min="13291" max="13291" customWidth="1" bestFit="1" width="3.0" style="763"/>
    <col min="13292" max="13292" customWidth="1" bestFit="1" width="3.0" style="763"/>
    <col min="13293" max="13293" customWidth="1" bestFit="1" width="3.0" style="763"/>
    <col min="13294" max="13294" customWidth="1" bestFit="1" width="3.0" style="763"/>
    <col min="13295" max="13295" customWidth="1" bestFit="1" width="3.0" style="763"/>
    <col min="13296" max="13296" customWidth="1" bestFit="1" width="3.0" style="763"/>
    <col min="13297" max="13297" customWidth="1" bestFit="1" width="3.0" style="763"/>
    <col min="13298" max="13298" customWidth="1" bestFit="1" width="3.0" style="763"/>
    <col min="13299" max="13299" customWidth="1" bestFit="1" width="3.0" style="763"/>
    <col min="13300" max="13300" customWidth="1" bestFit="1" width="3.0" style="763"/>
    <col min="13301" max="13301" customWidth="1" bestFit="1" width="3.0" style="763"/>
    <col min="13302" max="13302" customWidth="1" bestFit="1" width="3.0" style="763"/>
    <col min="13303" max="13303" customWidth="1" bestFit="1" width="3.0" style="763"/>
    <col min="13304" max="13304" customWidth="1" bestFit="1" width="3.0" style="763"/>
    <col min="13305" max="13305" customWidth="1" bestFit="1" width="3.0" style="763"/>
    <col min="13306" max="13306" customWidth="1" bestFit="1" width="3.0" style="763"/>
    <col min="13307" max="13307" customWidth="1" bestFit="1" width="3.0" style="763"/>
    <col min="13308" max="13308" customWidth="1" bestFit="1" width="3.0" style="763"/>
    <col min="13309" max="13309" customWidth="1" bestFit="1" width="3.0" style="763"/>
    <col min="13310" max="13310" customWidth="1" bestFit="1" width="3.0" style="763"/>
    <col min="13311" max="13311" customWidth="1" bestFit="1" width="3.0" style="763"/>
    <col min="13312" max="13312" customWidth="1" bestFit="1" width="3.0" style="763"/>
    <col min="13313" max="13313" customWidth="1" bestFit="1" width="3.0" style="763"/>
    <col min="13314" max="13314" customWidth="1" bestFit="1" width="3.0" style="763"/>
    <col min="13315" max="13315" customWidth="1" bestFit="1" width="3.0" style="763"/>
    <col min="13316" max="13316" customWidth="1" bestFit="1" width="3.0" style="763"/>
    <col min="13317" max="13317" customWidth="1" bestFit="1" width="3.0" style="763"/>
    <col min="13318" max="13318" customWidth="1" bestFit="1" width="3.0" style="763"/>
    <col min="13319" max="13319" customWidth="1" bestFit="1" width="3.0" style="763"/>
    <col min="13320" max="13320" customWidth="1" bestFit="1" width="3.0" style="763"/>
    <col min="13321" max="13321" customWidth="1" bestFit="1" width="3.0" style="763"/>
    <col min="13322" max="13322" customWidth="1" bestFit="1" width="3.0" style="763"/>
    <col min="13323" max="13323" customWidth="1" bestFit="1" width="3.0" style="763"/>
    <col min="13324" max="13324" customWidth="1" bestFit="1" width="3.0" style="763"/>
    <col min="13325" max="13325" customWidth="1" bestFit="1" width="3.0" style="763"/>
    <col min="13326" max="13326" customWidth="1" bestFit="1" width="3.0" style="763"/>
    <col min="13327" max="13327" customWidth="1" bestFit="1" width="3.0" style="763"/>
    <col min="13328" max="13328" customWidth="1" bestFit="1" width="3.0" style="763"/>
    <col min="13329" max="13329" customWidth="1" bestFit="1" width="3.0" style="763"/>
    <col min="13330" max="13330" customWidth="1" bestFit="1" width="3.0" style="763"/>
    <col min="13331" max="13331" customWidth="1" bestFit="1" width="3.0" style="763"/>
    <col min="13332" max="13332" customWidth="1" bestFit="1" width="3.0" style="763"/>
    <col min="13333" max="13333" customWidth="1" bestFit="1" width="3.0" style="763"/>
    <col min="13334" max="13334" customWidth="1" bestFit="1" width="3.0" style="763"/>
    <col min="13335" max="13335" customWidth="1" bestFit="1" width="3.0" style="763"/>
    <col min="13336" max="13336" customWidth="1" bestFit="1" width="3.0" style="763"/>
    <col min="13337" max="13337" customWidth="1" bestFit="1" width="3.0" style="763"/>
    <col min="13338" max="13338" customWidth="1" bestFit="1" width="3.0" style="763"/>
    <col min="13339" max="13339" customWidth="1" bestFit="1" width="3.0" style="763"/>
    <col min="13340" max="13340" customWidth="1" bestFit="1" width="3.0" style="763"/>
    <col min="13341" max="13341" customWidth="1" bestFit="1" width="3.0" style="763"/>
    <col min="13342" max="13342" customWidth="1" bestFit="1" width="3.0" style="763"/>
    <col min="13343" max="13343" customWidth="1" bestFit="1" width="3.0" style="763"/>
    <col min="13344" max="13344" customWidth="1" bestFit="1" width="3.0" style="763"/>
    <col min="13345" max="13345" customWidth="1" bestFit="1" width="3.0" style="763"/>
    <col min="13346" max="13346" customWidth="1" bestFit="1" width="3.0" style="763"/>
    <col min="13347" max="13347" customWidth="1" bestFit="1" width="3.0" style="763"/>
    <col min="13348" max="13348" customWidth="1" bestFit="1" width="3.0" style="763"/>
    <col min="13349" max="13349" customWidth="1" bestFit="1" width="3.0" style="763"/>
    <col min="13350" max="13350" customWidth="1" bestFit="1" width="3.0" style="763"/>
    <col min="13351" max="13351" customWidth="1" bestFit="1" width="3.0" style="763"/>
    <col min="13352" max="13352" customWidth="1" bestFit="1" width="3.0" style="763"/>
    <col min="13353" max="13353" customWidth="1" bestFit="1" width="3.0" style="763"/>
    <col min="13354" max="13354" customWidth="1" bestFit="1" width="3.0" style="763"/>
    <col min="13355" max="13355" customWidth="1" bestFit="1" width="3.0" style="763"/>
    <col min="13356" max="13356" customWidth="1" bestFit="1" width="3.0" style="763"/>
    <col min="13357" max="13357" customWidth="1" bestFit="1" width="3.0" style="763"/>
    <col min="13358" max="13358" customWidth="1" bestFit="1" width="3.0" style="763"/>
    <col min="13359" max="13359" customWidth="1" bestFit="1" width="3.0" style="763"/>
    <col min="13360" max="13360" customWidth="1" bestFit="1" width="3.0" style="763"/>
    <col min="13361" max="13361" customWidth="1" bestFit="1" width="3.0" style="763"/>
    <col min="13362" max="13362" customWidth="1" bestFit="1" width="3.0" style="763"/>
    <col min="13363" max="13363" customWidth="1" bestFit="1" width="3.0" style="763"/>
    <col min="13364" max="13364" customWidth="1" bestFit="1" width="3.0" style="763"/>
    <col min="13365" max="13365" customWidth="1" bestFit="1" width="3.0" style="763"/>
    <col min="13366" max="13366" customWidth="1" bestFit="1" width="3.0" style="763"/>
    <col min="13367" max="13367" customWidth="1" bestFit="1" width="3.0" style="763"/>
    <col min="13368" max="13368" customWidth="1" bestFit="1" width="3.0" style="763"/>
    <col min="13369" max="13369" customWidth="1" bestFit="1" width="3.0" style="763"/>
    <col min="13370" max="13370" customWidth="1" bestFit="1" width="3.0" style="763"/>
    <col min="13371" max="13371" customWidth="1" bestFit="1" width="3.0" style="763"/>
    <col min="13372" max="13372" customWidth="1" bestFit="1" width="3.0" style="763"/>
    <col min="13373" max="13373" customWidth="1" bestFit="1" width="3.0" style="763"/>
    <col min="13374" max="13374" customWidth="1" bestFit="1" width="3.0" style="763"/>
    <col min="13375" max="13375" customWidth="1" bestFit="1" width="3.0" style="763"/>
    <col min="13376" max="13376" customWidth="1" bestFit="1" width="3.0" style="763"/>
    <col min="13377" max="13377" customWidth="1" bestFit="1" width="3.0" style="763"/>
    <col min="13378" max="13378" customWidth="1" bestFit="1" width="3.0" style="763"/>
    <col min="13379" max="13379" customWidth="1" bestFit="1" width="3.0" style="763"/>
    <col min="13380" max="13380" customWidth="1" bestFit="1" width="3.0" style="763"/>
    <col min="13381" max="13381" customWidth="1" bestFit="1" width="3.0" style="763"/>
    <col min="13382" max="13382" customWidth="1" bestFit="1" width="3.0" style="763"/>
    <col min="13383" max="13383" customWidth="1" bestFit="1" width="3.0" style="763"/>
    <col min="13384" max="13384" customWidth="1" bestFit="1" width="3.0" style="763"/>
    <col min="13385" max="13385" customWidth="1" bestFit="1" width="3.0" style="763"/>
    <col min="13386" max="13386" customWidth="1" bestFit="1" width="3.0" style="763"/>
    <col min="13387" max="13387" customWidth="1" bestFit="1" width="3.0" style="763"/>
    <col min="13388" max="13388" customWidth="1" bestFit="1" width="3.0" style="763"/>
    <col min="13389" max="13389" customWidth="1" bestFit="1" width="3.0" style="763"/>
    <col min="13390" max="13390" customWidth="1" bestFit="1" width="3.0" style="763"/>
    <col min="13391" max="13391" customWidth="1" bestFit="1" width="3.0" style="763"/>
    <col min="13392" max="13392" customWidth="1" bestFit="1" width="3.0" style="763"/>
    <col min="13393" max="13393" customWidth="1" bestFit="1" width="3.0" style="763"/>
    <col min="13394" max="13394" customWidth="1" bestFit="1" width="3.0" style="763"/>
    <col min="13395" max="13395" customWidth="1" bestFit="1" width="3.0" style="763"/>
    <col min="13396" max="13396" customWidth="1" bestFit="1" width="3.0" style="763"/>
    <col min="13397" max="13397" customWidth="1" bestFit="1" width="3.0" style="763"/>
    <col min="13398" max="13398" customWidth="1" bestFit="1" width="3.0" style="763"/>
    <col min="13399" max="13399" customWidth="1" bestFit="1" width="3.0" style="763"/>
    <col min="13400" max="13400" customWidth="1" bestFit="1" width="3.0" style="763"/>
    <col min="13401" max="13401" customWidth="1" bestFit="1" width="3.0" style="763"/>
    <col min="13402" max="13402" customWidth="1" bestFit="1" width="3.0" style="763"/>
    <col min="13403" max="13403" customWidth="1" bestFit="1" width="3.0" style="763"/>
    <col min="13404" max="13404" customWidth="1" bestFit="1" width="3.0" style="763"/>
    <col min="13405" max="13405" customWidth="1" bestFit="1" width="3.0" style="763"/>
    <col min="13406" max="13406" customWidth="1" bestFit="1" width="3.0" style="763"/>
    <col min="13407" max="13407" customWidth="1" bestFit="1" width="3.0" style="763"/>
    <col min="13408" max="13408" customWidth="1" bestFit="1" width="3.0" style="763"/>
    <col min="13409" max="13409" customWidth="1" bestFit="1" width="3.0" style="763"/>
    <col min="13410" max="13410" customWidth="1" bestFit="1" width="3.0" style="763"/>
    <col min="13411" max="13411" customWidth="1" bestFit="1" width="3.0" style="763"/>
    <col min="13412" max="13412" customWidth="1" bestFit="1" width="3.0" style="763"/>
    <col min="13413" max="13413" customWidth="1" bestFit="1" width="3.0" style="763"/>
    <col min="13414" max="13414" customWidth="1" bestFit="1" width="3.0" style="763"/>
    <col min="13415" max="13415" customWidth="1" bestFit="1" width="3.0" style="763"/>
    <col min="13416" max="13416" customWidth="1" bestFit="1" width="3.0" style="763"/>
    <col min="13417" max="13417" customWidth="1" bestFit="1" width="3.0" style="763"/>
    <col min="13418" max="13418" customWidth="1" bestFit="1" width="3.0" style="763"/>
    <col min="13419" max="13419" customWidth="1" bestFit="1" width="3.0" style="763"/>
    <col min="13420" max="13420" customWidth="1" bestFit="1" width="3.0" style="763"/>
    <col min="13421" max="13421" customWidth="1" bestFit="1" width="3.0" style="763"/>
    <col min="13422" max="13422" customWidth="1" bestFit="1" width="3.0" style="763"/>
    <col min="13423" max="13423" customWidth="1" bestFit="1" width="3.0" style="763"/>
    <col min="13424" max="13424" customWidth="1" bestFit="1" width="3.0" style="763"/>
    <col min="13425" max="13425" customWidth="1" bestFit="1" width="3.0" style="763"/>
    <col min="13426" max="13426" customWidth="1" bestFit="1" width="3.0" style="763"/>
    <col min="13427" max="13427" customWidth="1" bestFit="1" width="3.0" style="763"/>
    <col min="13428" max="13428" customWidth="1" bestFit="1" width="3.0" style="763"/>
    <col min="13429" max="13429" customWidth="1" bestFit="1" width="3.0" style="763"/>
    <col min="13430" max="13430" customWidth="1" bestFit="1" width="3.0" style="763"/>
    <col min="13431" max="13431" customWidth="1" bestFit="1" width="3.0" style="763"/>
    <col min="13432" max="13432" customWidth="1" bestFit="1" width="3.0" style="763"/>
    <col min="13433" max="13433" customWidth="1" bestFit="1" width="3.0" style="763"/>
    <col min="13434" max="13434" customWidth="1" bestFit="1" width="3.0" style="763"/>
    <col min="13435" max="13435" customWidth="1" bestFit="1" width="3.0" style="763"/>
    <col min="13436" max="13436" customWidth="1" bestFit="1" width="3.0" style="763"/>
    <col min="13437" max="13437" customWidth="1" bestFit="1" width="3.0" style="763"/>
    <col min="13438" max="13438" customWidth="1" bestFit="1" width="3.0" style="763"/>
    <col min="13439" max="13439" customWidth="1" bestFit="1" width="3.0" style="763"/>
    <col min="13440" max="13440" customWidth="1" bestFit="1" width="3.0" style="763"/>
    <col min="13441" max="13441" customWidth="1" bestFit="1" width="3.0" style="763"/>
    <col min="13442" max="13442" customWidth="1" bestFit="1" width="3.0" style="763"/>
    <col min="13443" max="13443" customWidth="1" bestFit="1" width="3.0" style="763"/>
    <col min="13444" max="13444" customWidth="1" bestFit="1" width="3.0" style="763"/>
    <col min="13445" max="13445" customWidth="1" bestFit="1" width="3.0" style="763"/>
    <col min="13446" max="13446" customWidth="1" bestFit="1" width="3.0" style="763"/>
    <col min="13447" max="13447" customWidth="1" bestFit="1" width="3.0" style="763"/>
    <col min="13448" max="13448" customWidth="1" bestFit="1" width="3.0" style="763"/>
    <col min="13449" max="13449" customWidth="1" bestFit="1" width="3.0" style="763"/>
    <col min="13450" max="13450" customWidth="1" bestFit="1" width="3.0" style="763"/>
    <col min="13451" max="13451" customWidth="1" bestFit="1" width="3.0" style="763"/>
    <col min="13452" max="13452" customWidth="1" bestFit="1" width="3.0" style="763"/>
    <col min="13453" max="13453" customWidth="1" bestFit="1" width="3.0" style="763"/>
    <col min="13454" max="13454" customWidth="1" bestFit="1" width="3.0" style="763"/>
    <col min="13455" max="13455" customWidth="1" bestFit="1" width="3.0" style="763"/>
    <col min="13456" max="13456" customWidth="1" bestFit="1" width="3.0" style="763"/>
    <col min="13457" max="13457" customWidth="1" bestFit="1" width="3.0" style="763"/>
    <col min="13458" max="13458" customWidth="1" bestFit="1" width="3.0" style="763"/>
    <col min="13459" max="13459" customWidth="1" bestFit="1" width="3.0" style="763"/>
    <col min="13460" max="13460" customWidth="1" bestFit="1" width="3.0" style="763"/>
    <col min="13461" max="13461" customWidth="1" bestFit="1" width="3.0" style="763"/>
    <col min="13462" max="13462" customWidth="1" bestFit="1" width="3.0" style="763"/>
    <col min="13463" max="13463" customWidth="1" bestFit="1" width="3.0" style="763"/>
    <col min="13464" max="13464" customWidth="1" bestFit="1" width="3.0" style="763"/>
    <col min="13465" max="13465" customWidth="1" bestFit="1" width="3.0" style="763"/>
    <col min="13466" max="13466" customWidth="1" bestFit="1" width="3.0" style="763"/>
    <col min="13467" max="13467" customWidth="1" bestFit="1" width="3.0" style="763"/>
    <col min="13468" max="13468" customWidth="1" bestFit="1" width="3.0" style="763"/>
    <col min="13469" max="13469" customWidth="1" bestFit="1" width="3.0" style="763"/>
    <col min="13470" max="13470" customWidth="1" bestFit="1" width="3.0" style="763"/>
    <col min="13471" max="13471" customWidth="1" bestFit="1" width="3.0" style="763"/>
    <col min="13472" max="13472" customWidth="1" bestFit="1" width="3.0" style="763"/>
    <col min="13473" max="13473" customWidth="1" bestFit="1" width="3.0" style="763"/>
    <col min="13474" max="13474" customWidth="1" bestFit="1" width="3.0" style="763"/>
    <col min="13475" max="13475" customWidth="1" bestFit="1" width="3.0" style="763"/>
    <col min="13476" max="13476" customWidth="1" bestFit="1" width="3.0" style="763"/>
    <col min="13477" max="13477" customWidth="1" bestFit="1" width="3.0" style="763"/>
    <col min="13478" max="13478" customWidth="1" bestFit="1" width="3.0" style="763"/>
    <col min="13479" max="13479" customWidth="1" bestFit="1" width="3.0" style="763"/>
    <col min="13480" max="13480" customWidth="1" bestFit="1" width="3.0" style="763"/>
    <col min="13481" max="13481" customWidth="1" bestFit="1" width="3.0" style="763"/>
    <col min="13482" max="13482" customWidth="1" bestFit="1" width="3.0" style="763"/>
    <col min="13483" max="13483" customWidth="1" bestFit="1" width="3.0" style="763"/>
    <col min="13484" max="13484" customWidth="1" bestFit="1" width="3.0" style="763"/>
    <col min="13485" max="13485" customWidth="1" bestFit="1" width="3.0" style="763"/>
    <col min="13486" max="13486" customWidth="1" bestFit="1" width="3.0" style="763"/>
    <col min="13487" max="13487" customWidth="1" bestFit="1" width="3.0" style="763"/>
    <col min="13488" max="13488" customWidth="1" bestFit="1" width="3.0" style="763"/>
    <col min="13489" max="13489" customWidth="1" bestFit="1" width="3.0" style="763"/>
    <col min="13490" max="13490" customWidth="1" bestFit="1" width="3.0" style="763"/>
    <col min="13491" max="13491" customWidth="1" bestFit="1" width="3.0" style="763"/>
    <col min="13492" max="13492" customWidth="1" bestFit="1" width="3.0" style="763"/>
    <col min="13493" max="13493" customWidth="1" bestFit="1" width="3.0" style="763"/>
    <col min="13494" max="13494" customWidth="1" bestFit="1" width="3.0" style="763"/>
    <col min="13495" max="13495" customWidth="1" bestFit="1" width="3.0" style="763"/>
    <col min="13496" max="13496" customWidth="1" bestFit="1" width="3.0" style="763"/>
    <col min="13497" max="13497" customWidth="1" bestFit="1" width="3.0" style="763"/>
    <col min="13498" max="13498" customWidth="1" bestFit="1" width="3.0" style="763"/>
    <col min="13499" max="13499" customWidth="1" bestFit="1" width="3.0" style="763"/>
    <col min="13500" max="13500" customWidth="1" bestFit="1" width="3.0" style="763"/>
    <col min="13501" max="13501" customWidth="1" bestFit="1" width="3.0" style="763"/>
    <col min="13502" max="13502" customWidth="1" bestFit="1" width="3.0" style="763"/>
    <col min="13503" max="13503" customWidth="1" bestFit="1" width="3.0" style="763"/>
    <col min="13504" max="13504" customWidth="1" bestFit="1" width="3.0" style="763"/>
    <col min="13505" max="13505" customWidth="1" bestFit="1" width="3.0" style="763"/>
    <col min="13506" max="13506" customWidth="1" bestFit="1" width="3.0" style="763"/>
    <col min="13507" max="13507" customWidth="1" bestFit="1" width="3.0" style="763"/>
    <col min="13508" max="13508" customWidth="1" bestFit="1" width="3.0" style="763"/>
    <col min="13509" max="13509" customWidth="1" bestFit="1" width="3.0" style="763"/>
    <col min="13510" max="13510" customWidth="1" bestFit="1" width="3.0" style="763"/>
    <col min="13511" max="13511" customWidth="1" bestFit="1" width="3.0" style="763"/>
    <col min="13512" max="13512" customWidth="1" bestFit="1" width="3.0" style="763"/>
    <col min="13513" max="13513" customWidth="1" bestFit="1" width="3.0" style="763"/>
    <col min="13514" max="13514" customWidth="1" bestFit="1" width="3.0" style="763"/>
    <col min="13515" max="13515" customWidth="1" bestFit="1" width="3.0" style="763"/>
    <col min="13516" max="13516" customWidth="1" bestFit="1" width="3.0" style="763"/>
    <col min="13517" max="13517" customWidth="1" bestFit="1" width="3.0" style="763"/>
    <col min="13518" max="13518" customWidth="1" bestFit="1" width="3.0" style="763"/>
    <col min="13519" max="13519" customWidth="1" bestFit="1" width="3.0" style="763"/>
    <col min="13520" max="13520" customWidth="1" bestFit="1" width="3.0" style="763"/>
    <col min="13521" max="13521" customWidth="1" bestFit="1" width="3.0" style="763"/>
    <col min="13522" max="13522" customWidth="1" bestFit="1" width="3.0" style="763"/>
    <col min="13523" max="13523" customWidth="1" bestFit="1" width="3.0" style="763"/>
    <col min="13524" max="13524" customWidth="1" bestFit="1" width="3.0" style="763"/>
    <col min="13525" max="13525" customWidth="1" bestFit="1" width="3.0" style="763"/>
    <col min="13526" max="13526" customWidth="1" bestFit="1" width="3.0" style="763"/>
    <col min="13527" max="13527" customWidth="1" bestFit="1" width="3.0" style="763"/>
    <col min="13528" max="13528" customWidth="1" bestFit="1" width="3.0" style="763"/>
    <col min="13529" max="13529" customWidth="1" bestFit="1" width="3.0" style="763"/>
    <col min="13530" max="13530" customWidth="1" bestFit="1" width="3.0" style="763"/>
    <col min="13531" max="13531" customWidth="1" bestFit="1" width="3.0" style="763"/>
    <col min="13532" max="13532" customWidth="1" bestFit="1" width="3.0" style="763"/>
    <col min="13533" max="13533" customWidth="1" bestFit="1" width="3.0" style="763"/>
    <col min="13534" max="13534" customWidth="1" bestFit="1" width="3.0" style="763"/>
    <col min="13535" max="13535" customWidth="1" bestFit="1" width="3.0" style="763"/>
    <col min="13536" max="13536" customWidth="1" bestFit="1" width="3.0" style="763"/>
    <col min="13537" max="13537" customWidth="1" bestFit="1" width="3.0" style="763"/>
    <col min="13538" max="13538" customWidth="1" bestFit="1" width="3.0" style="763"/>
    <col min="13539" max="13539" customWidth="1" bestFit="1" width="3.0" style="763"/>
    <col min="13540" max="13540" customWidth="1" bestFit="1" width="3.0" style="763"/>
    <col min="13541" max="13541" customWidth="1" bestFit="1" width="3.0" style="763"/>
    <col min="13542" max="13542" customWidth="1" bestFit="1" width="3.0" style="763"/>
    <col min="13543" max="13543" customWidth="1" bestFit="1" width="3.0" style="763"/>
    <col min="13544" max="13544" customWidth="1" bestFit="1" width="3.0" style="763"/>
    <col min="13545" max="13545" customWidth="1" bestFit="1" width="3.0" style="763"/>
    <col min="13546" max="13546" customWidth="1" bestFit="1" width="3.0" style="763"/>
    <col min="13547" max="13547" customWidth="1" bestFit="1" width="3.0" style="763"/>
    <col min="13548" max="13548" customWidth="1" bestFit="1" width="3.0" style="763"/>
    <col min="13549" max="13549" customWidth="1" bestFit="1" width="3.0" style="763"/>
    <col min="13550" max="13550" customWidth="1" bestFit="1" width="3.0" style="763"/>
    <col min="13551" max="13551" customWidth="1" bestFit="1" width="3.0" style="763"/>
    <col min="13552" max="13552" customWidth="1" bestFit="1" width="3.0" style="763"/>
    <col min="13553" max="13553" customWidth="1" bestFit="1" width="3.0" style="763"/>
    <col min="13554" max="13554" customWidth="1" bestFit="1" width="3.0" style="763"/>
    <col min="13555" max="13555" customWidth="1" bestFit="1" width="3.0" style="763"/>
    <col min="13556" max="13556" customWidth="1" bestFit="1" width="3.0" style="763"/>
    <col min="13557" max="13557" customWidth="1" bestFit="1" width="3.0" style="763"/>
    <col min="13558" max="13558" customWidth="1" bestFit="1" width="3.0" style="763"/>
    <col min="13559" max="13559" customWidth="1" bestFit="1" width="3.0" style="763"/>
    <col min="13560" max="13560" customWidth="1" bestFit="1" width="3.0" style="763"/>
    <col min="13561" max="13561" customWidth="1" bestFit="1" width="3.0" style="763"/>
    <col min="13562" max="13562" customWidth="1" bestFit="1" width="3.0" style="763"/>
    <col min="13563" max="13563" customWidth="1" bestFit="1" width="3.0" style="763"/>
    <col min="13564" max="13564" customWidth="1" bestFit="1" width="3.0" style="763"/>
    <col min="13565" max="13565" customWidth="1" bestFit="1" width="3.0" style="763"/>
    <col min="13566" max="13566" customWidth="1" bestFit="1" width="3.0" style="763"/>
    <col min="13567" max="13567" customWidth="1" bestFit="1" width="3.0" style="763"/>
    <col min="13568" max="13568" customWidth="1" bestFit="1" width="3.0" style="763"/>
    <col min="13569" max="13569" customWidth="1" bestFit="1" width="3.0" style="763"/>
    <col min="13570" max="13570" customWidth="1" bestFit="1" width="3.0" style="763"/>
    <col min="13571" max="13571" customWidth="1" bestFit="1" width="3.0" style="763"/>
    <col min="13572" max="13572" customWidth="1" bestFit="1" width="3.0" style="763"/>
    <col min="13573" max="13573" customWidth="1" bestFit="1" width="3.0" style="763"/>
    <col min="13574" max="13574" customWidth="1" bestFit="1" width="3.0" style="763"/>
    <col min="13575" max="13575" customWidth="1" bestFit="1" width="3.0" style="763"/>
    <col min="13576" max="13576" customWidth="1" bestFit="1" width="3.0" style="763"/>
    <col min="13577" max="13577" customWidth="1" bestFit="1" width="3.0" style="763"/>
    <col min="13578" max="13578" customWidth="1" bestFit="1" width="3.0" style="763"/>
    <col min="13579" max="13579" customWidth="1" bestFit="1" width="3.0" style="763"/>
    <col min="13580" max="13580" customWidth="1" bestFit="1" width="3.0" style="763"/>
    <col min="13581" max="13581" customWidth="1" bestFit="1" width="3.0" style="763"/>
    <col min="13582" max="13582" customWidth="1" bestFit="1" width="3.0" style="763"/>
    <col min="13583" max="13583" customWidth="1" bestFit="1" width="3.0" style="763"/>
    <col min="13584" max="13584" customWidth="1" bestFit="1" width="3.0" style="763"/>
    <col min="13585" max="13585" customWidth="1" bestFit="1" width="3.0" style="763"/>
    <col min="13586" max="13586" customWidth="1" bestFit="1" width="3.0" style="763"/>
    <col min="13587" max="13587" customWidth="1" bestFit="1" width="3.0" style="763"/>
    <col min="13588" max="13588" customWidth="1" bestFit="1" width="3.0" style="763"/>
    <col min="13589" max="13589" customWidth="1" bestFit="1" width="3.0" style="763"/>
    <col min="13590" max="13590" customWidth="1" bestFit="1" width="3.0" style="763"/>
    <col min="13591" max="13591" customWidth="1" bestFit="1" width="3.0" style="763"/>
    <col min="13592" max="13592" customWidth="1" bestFit="1" width="3.0" style="763"/>
    <col min="13593" max="13593" customWidth="1" bestFit="1" width="3.0" style="763"/>
    <col min="13594" max="13594" customWidth="1" bestFit="1" width="3.0" style="763"/>
    <col min="13595" max="13595" customWidth="1" bestFit="1" width="3.0" style="763"/>
    <col min="13596" max="13596" customWidth="1" bestFit="1" width="3.0" style="763"/>
    <col min="13597" max="13597" customWidth="1" bestFit="1" width="3.0" style="763"/>
    <col min="13598" max="13598" customWidth="1" bestFit="1" width="3.0" style="763"/>
    <col min="13599" max="13599" customWidth="1" bestFit="1" width="3.0" style="763"/>
    <col min="13600" max="13600" customWidth="1" bestFit="1" width="3.0" style="763"/>
    <col min="13601" max="13601" customWidth="1" bestFit="1" width="3.0" style="763"/>
    <col min="13602" max="13602" customWidth="1" bestFit="1" width="3.0" style="763"/>
    <col min="13603" max="13603" customWidth="1" bestFit="1" width="3.0" style="763"/>
    <col min="13604" max="13604" customWidth="1" bestFit="1" width="3.0" style="763"/>
    <col min="13605" max="13605" customWidth="1" bestFit="1" width="3.0" style="763"/>
    <col min="13606" max="13606" customWidth="1" bestFit="1" width="3.0" style="763"/>
    <col min="13607" max="13607" customWidth="1" bestFit="1" width="3.0" style="763"/>
    <col min="13608" max="13608" customWidth="1" bestFit="1" width="3.0" style="763"/>
    <col min="13609" max="13609" customWidth="1" bestFit="1" width="3.0" style="763"/>
    <col min="13610" max="13610" customWidth="1" bestFit="1" width="3.0" style="763"/>
    <col min="13611" max="13611" customWidth="1" bestFit="1" width="3.0" style="763"/>
    <col min="13612" max="13612" customWidth="1" bestFit="1" width="3.0" style="763"/>
    <col min="13613" max="13613" customWidth="1" bestFit="1" width="3.0" style="763"/>
    <col min="13614" max="13614" customWidth="1" bestFit="1" width="3.0" style="763"/>
    <col min="13615" max="13615" customWidth="1" bestFit="1" width="3.0" style="763"/>
    <col min="13616" max="13616" customWidth="1" bestFit="1" width="3.0" style="763"/>
    <col min="13617" max="13617" customWidth="1" bestFit="1" width="3.0" style="763"/>
    <col min="13618" max="13618" customWidth="1" bestFit="1" width="3.0" style="763"/>
    <col min="13619" max="13619" customWidth="1" bestFit="1" width="3.0" style="763"/>
    <col min="13620" max="13620" customWidth="1" bestFit="1" width="3.0" style="763"/>
    <col min="13621" max="13621" customWidth="1" bestFit="1" width="3.0" style="763"/>
    <col min="13622" max="13622" customWidth="1" bestFit="1" width="3.0" style="763"/>
    <col min="13623" max="13623" customWidth="1" bestFit="1" width="3.0" style="763"/>
    <col min="13624" max="13624" customWidth="1" bestFit="1" width="3.0" style="763"/>
    <col min="13625" max="13625" customWidth="1" bestFit="1" width="3.0" style="763"/>
    <col min="13626" max="13626" customWidth="1" bestFit="1" width="3.0" style="763"/>
    <col min="13627" max="13627" customWidth="1" bestFit="1" width="3.0" style="763"/>
    <col min="13628" max="13628" customWidth="1" bestFit="1" width="3.0" style="763"/>
    <col min="13629" max="13629" customWidth="1" bestFit="1" width="3.0" style="763"/>
    <col min="13630" max="13630" customWidth="1" bestFit="1" width="3.0" style="763"/>
    <col min="13631" max="13631" customWidth="1" bestFit="1" width="3.0" style="763"/>
    <col min="13632" max="13632" customWidth="1" bestFit="1" width="3.0" style="763"/>
    <col min="13633" max="13633" customWidth="1" bestFit="1" width="3.0" style="763"/>
    <col min="13634" max="13634" customWidth="1" bestFit="1" width="3.0" style="763"/>
    <col min="13635" max="13635" customWidth="1" bestFit="1" width="3.0" style="763"/>
    <col min="13636" max="13636" customWidth="1" bestFit="1" width="3.0" style="763"/>
    <col min="13637" max="13637" customWidth="1" bestFit="1" width="3.0" style="763"/>
    <col min="13638" max="13638" customWidth="1" bestFit="1" width="3.0" style="763"/>
    <col min="13639" max="13639" customWidth="1" bestFit="1" width="3.0" style="763"/>
    <col min="13640" max="13640" customWidth="1" bestFit="1" width="3.0" style="763"/>
    <col min="13641" max="13641" customWidth="1" bestFit="1" width="3.0" style="763"/>
    <col min="13642" max="13642" customWidth="1" bestFit="1" width="3.0" style="763"/>
    <col min="13643" max="13643" customWidth="1" bestFit="1" width="3.0" style="763"/>
    <col min="13644" max="13644" customWidth="1" bestFit="1" width="3.0" style="763"/>
    <col min="13645" max="13645" customWidth="1" bestFit="1" width="3.0" style="763"/>
    <col min="13646" max="13646" customWidth="1" bestFit="1" width="3.0" style="763"/>
    <col min="13647" max="13647" customWidth="1" bestFit="1" width="3.0" style="763"/>
    <col min="13648" max="13648" customWidth="1" bestFit="1" width="3.0" style="763"/>
    <col min="13649" max="13649" customWidth="1" bestFit="1" width="3.0" style="763"/>
    <col min="13650" max="13650" customWidth="1" bestFit="1" width="3.0" style="763"/>
    <col min="13651" max="13651" customWidth="1" bestFit="1" width="3.0" style="763"/>
    <col min="13652" max="13652" customWidth="1" bestFit="1" width="3.0" style="763"/>
    <col min="13653" max="13653" customWidth="1" bestFit="1" width="3.0" style="763"/>
    <col min="13654" max="13654" customWidth="1" bestFit="1" width="3.0" style="763"/>
    <col min="13655" max="13655" customWidth="1" bestFit="1" width="3.0" style="763"/>
    <col min="13656" max="13656" customWidth="1" bestFit="1" width="3.0" style="763"/>
    <col min="13657" max="13657" customWidth="1" bestFit="1" width="3.0" style="763"/>
    <col min="13658" max="13658" customWidth="1" bestFit="1" width="3.0" style="763"/>
    <col min="13659" max="13659" customWidth="1" bestFit="1" width="3.0" style="763"/>
    <col min="13660" max="13660" customWidth="1" bestFit="1" width="3.0" style="763"/>
    <col min="13661" max="13661" customWidth="1" bestFit="1" width="3.0" style="763"/>
    <col min="13662" max="13662" customWidth="1" bestFit="1" width="3.0" style="763"/>
    <col min="13663" max="13663" customWidth="1" bestFit="1" width="3.0" style="763"/>
    <col min="13664" max="13664" customWidth="1" bestFit="1" width="3.0" style="763"/>
    <col min="13665" max="13665" customWidth="1" bestFit="1" width="3.0" style="763"/>
    <col min="13666" max="13666" customWidth="1" bestFit="1" width="3.0" style="763"/>
    <col min="13667" max="13667" customWidth="1" bestFit="1" width="3.0" style="763"/>
    <col min="13668" max="13668" customWidth="1" bestFit="1" width="3.0" style="763"/>
    <col min="13669" max="13669" customWidth="1" bestFit="1" width="3.0" style="763"/>
    <col min="13670" max="13670" customWidth="1" bestFit="1" width="3.0" style="763"/>
    <col min="13671" max="13671" customWidth="1" bestFit="1" width="3.0" style="763"/>
    <col min="13672" max="13672" customWidth="1" bestFit="1" width="3.0" style="763"/>
    <col min="13673" max="13673" customWidth="1" bestFit="1" width="3.0" style="763"/>
    <col min="13674" max="13674" customWidth="1" bestFit="1" width="3.0" style="763"/>
    <col min="13675" max="13675" customWidth="1" bestFit="1" width="3.0" style="763"/>
    <col min="13676" max="13676" customWidth="1" bestFit="1" width="3.0" style="763"/>
    <col min="13677" max="13677" customWidth="1" bestFit="1" width="3.0" style="763"/>
    <col min="13678" max="13678" customWidth="1" bestFit="1" width="3.0" style="763"/>
    <col min="13679" max="13679" customWidth="1" bestFit="1" width="3.0" style="763"/>
    <col min="13680" max="13680" customWidth="1" bestFit="1" width="3.0" style="763"/>
    <col min="13681" max="13681" customWidth="1" bestFit="1" width="3.0" style="763"/>
    <col min="13682" max="13682" customWidth="1" bestFit="1" width="3.0" style="763"/>
    <col min="13683" max="13683" customWidth="1" bestFit="1" width="3.0" style="763"/>
    <col min="13684" max="13684" customWidth="1" bestFit="1" width="3.0" style="763"/>
    <col min="13685" max="13685" customWidth="1" bestFit="1" width="3.0" style="763"/>
    <col min="13686" max="13686" customWidth="1" bestFit="1" width="3.0" style="763"/>
    <col min="13687" max="13687" customWidth="1" bestFit="1" width="3.0" style="763"/>
    <col min="13688" max="13688" customWidth="1" bestFit="1" width="3.0" style="763"/>
    <col min="13689" max="13689" customWidth="1" bestFit="1" width="3.0" style="763"/>
    <col min="13690" max="13690" customWidth="1" bestFit="1" width="3.0" style="763"/>
    <col min="13691" max="13691" customWidth="1" bestFit="1" width="3.0" style="763"/>
    <col min="13692" max="13692" customWidth="1" bestFit="1" width="3.0" style="763"/>
    <col min="13693" max="13693" customWidth="1" bestFit="1" width="3.0" style="763"/>
    <col min="13694" max="13694" customWidth="1" bestFit="1" width="3.0" style="763"/>
    <col min="13695" max="13695" customWidth="1" bestFit="1" width="3.0" style="763"/>
    <col min="13696" max="13696" customWidth="1" bestFit="1" width="3.0" style="763"/>
    <col min="13697" max="13697" customWidth="1" bestFit="1" width="3.0" style="763"/>
    <col min="13698" max="13698" customWidth="1" bestFit="1" width="3.0" style="763"/>
    <col min="13699" max="13699" customWidth="1" bestFit="1" width="3.0" style="763"/>
    <col min="13700" max="13700" customWidth="1" bestFit="1" width="3.0" style="763"/>
    <col min="13701" max="13701" customWidth="1" bestFit="1" width="3.0" style="763"/>
    <col min="13702" max="13702" customWidth="1" bestFit="1" width="3.0" style="763"/>
    <col min="13703" max="13703" customWidth="1" bestFit="1" width="3.0" style="763"/>
    <col min="13704" max="13704" customWidth="1" bestFit="1" width="3.0" style="763"/>
    <col min="13705" max="13705" customWidth="1" bestFit="1" width="3.0" style="763"/>
    <col min="13706" max="13706" customWidth="1" bestFit="1" width="3.0" style="763"/>
    <col min="13707" max="13707" customWidth="1" bestFit="1" width="3.0" style="763"/>
    <col min="13708" max="13708" customWidth="1" bestFit="1" width="3.0" style="763"/>
    <col min="13709" max="13709" customWidth="1" bestFit="1" width="3.0" style="763"/>
    <col min="13710" max="13710" customWidth="1" bestFit="1" width="3.0" style="763"/>
    <col min="13711" max="13711" customWidth="1" bestFit="1" width="3.0" style="763"/>
    <col min="13712" max="13712" customWidth="1" bestFit="1" width="3.0" style="763"/>
    <col min="13713" max="13713" customWidth="1" bestFit="1" width="3.0" style="763"/>
    <col min="13714" max="13714" customWidth="1" bestFit="1" width="3.0" style="763"/>
    <col min="13715" max="13715" customWidth="1" bestFit="1" width="3.0" style="763"/>
    <col min="13716" max="13716" customWidth="1" bestFit="1" width="3.0" style="763"/>
    <col min="13717" max="13717" customWidth="1" bestFit="1" width="3.0" style="763"/>
    <col min="13718" max="13718" customWidth="1" bestFit="1" width="3.0" style="763"/>
    <col min="13719" max="13719" customWidth="1" bestFit="1" width="3.0" style="763"/>
    <col min="13720" max="13720" customWidth="1" bestFit="1" width="3.0" style="763"/>
    <col min="13721" max="13721" customWidth="1" bestFit="1" width="3.0" style="763"/>
    <col min="13722" max="13722" customWidth="1" bestFit="1" width="3.0" style="763"/>
    <col min="13723" max="13723" customWidth="1" bestFit="1" width="3.0" style="763"/>
    <col min="13724" max="13724" customWidth="1" bestFit="1" width="3.0" style="763"/>
    <col min="13725" max="13725" customWidth="1" bestFit="1" width="3.0" style="763"/>
    <col min="13726" max="13726" customWidth="1" bestFit="1" width="3.0" style="763"/>
    <col min="13727" max="13727" customWidth="1" bestFit="1" width="3.0" style="763"/>
    <col min="13728" max="13728" customWidth="1" bestFit="1" width="3.0" style="763"/>
    <col min="13729" max="13729" customWidth="1" bestFit="1" width="3.0" style="763"/>
    <col min="13730" max="13730" customWidth="1" bestFit="1" width="3.0" style="763"/>
    <col min="13731" max="13731" customWidth="1" bestFit="1" width="3.0" style="763"/>
    <col min="13732" max="13732" customWidth="1" bestFit="1" width="3.0" style="763"/>
    <col min="13733" max="13733" customWidth="1" bestFit="1" width="3.0" style="763"/>
    <col min="13734" max="13734" customWidth="1" bestFit="1" width="3.0" style="763"/>
    <col min="13735" max="13735" customWidth="1" bestFit="1" width="3.0" style="763"/>
    <col min="13736" max="13736" customWidth="1" bestFit="1" width="3.0" style="763"/>
    <col min="13737" max="13737" customWidth="1" bestFit="1" width="3.0" style="763"/>
    <col min="13738" max="13738" customWidth="1" bestFit="1" width="3.0" style="763"/>
    <col min="13739" max="13739" customWidth="1" bestFit="1" width="3.0" style="763"/>
    <col min="13740" max="13740" customWidth="1" bestFit="1" width="3.0" style="763"/>
    <col min="13741" max="13741" customWidth="1" bestFit="1" width="3.0" style="763"/>
    <col min="13742" max="13742" customWidth="1" bestFit="1" width="3.0" style="763"/>
    <col min="13743" max="13743" customWidth="1" bestFit="1" width="3.0" style="763"/>
    <col min="13744" max="13744" customWidth="1" bestFit="1" width="3.0" style="763"/>
    <col min="13745" max="13745" customWidth="1" bestFit="1" width="3.0" style="763"/>
    <col min="13746" max="13746" customWidth="1" bestFit="1" width="3.0" style="763"/>
    <col min="13747" max="13747" customWidth="1" bestFit="1" width="3.0" style="763"/>
    <col min="13748" max="13748" customWidth="1" bestFit="1" width="3.0" style="763"/>
    <col min="13749" max="13749" customWidth="1" bestFit="1" width="3.0" style="763"/>
    <col min="13750" max="13750" customWidth="1" bestFit="1" width="3.0" style="763"/>
    <col min="13751" max="13751" customWidth="1" bestFit="1" width="3.0" style="763"/>
    <col min="13752" max="13752" customWidth="1" bestFit="1" width="3.0" style="763"/>
    <col min="13753" max="13753" customWidth="1" bestFit="1" width="3.0" style="763"/>
    <col min="13754" max="13754" customWidth="1" bestFit="1" width="3.0" style="763"/>
    <col min="13755" max="13755" customWidth="1" bestFit="1" width="3.0" style="763"/>
    <col min="13756" max="13756" customWidth="1" bestFit="1" width="3.0" style="763"/>
    <col min="13757" max="13757" customWidth="1" bestFit="1" width="3.0" style="763"/>
    <col min="13758" max="13758" customWidth="1" bestFit="1" width="3.0" style="763"/>
    <col min="13759" max="13759" customWidth="1" bestFit="1" width="3.0" style="763"/>
    <col min="13760" max="13760" customWidth="1" bestFit="1" width="3.0" style="763"/>
    <col min="13761" max="13761" customWidth="1" bestFit="1" width="3.0" style="763"/>
    <col min="13762" max="13762" customWidth="1" bestFit="1" width="3.0" style="763"/>
    <col min="13763" max="13763" customWidth="1" bestFit="1" width="3.0" style="763"/>
    <col min="13764" max="13764" customWidth="1" bestFit="1" width="3.0" style="763"/>
    <col min="13765" max="13765" customWidth="1" bestFit="1" width="3.0" style="763"/>
    <col min="13766" max="13766" customWidth="1" bestFit="1" width="3.0" style="763"/>
    <col min="13767" max="13767" customWidth="1" bestFit="1" width="3.0" style="763"/>
    <col min="13768" max="13768" customWidth="1" bestFit="1" width="3.0" style="763"/>
    <col min="13769" max="13769" customWidth="1" bestFit="1" width="3.0" style="763"/>
    <col min="13770" max="13770" customWidth="1" bestFit="1" width="3.0" style="763"/>
    <col min="13771" max="13771" customWidth="1" bestFit="1" width="3.0" style="763"/>
    <col min="13772" max="13772" customWidth="1" bestFit="1" width="3.0" style="763"/>
    <col min="13773" max="13773" customWidth="1" bestFit="1" width="3.0" style="763"/>
    <col min="13774" max="13774" customWidth="1" bestFit="1" width="3.0" style="763"/>
    <col min="13775" max="13775" customWidth="1" bestFit="1" width="3.0" style="763"/>
    <col min="13776" max="13776" customWidth="1" bestFit="1" width="3.0" style="763"/>
    <col min="13777" max="13777" customWidth="1" bestFit="1" width="3.0" style="763"/>
    <col min="13778" max="13778" customWidth="1" bestFit="1" width="3.0" style="763"/>
    <col min="13779" max="13779" customWidth="1" bestFit="1" width="3.0" style="763"/>
    <col min="13780" max="13780" customWidth="1" bestFit="1" width="3.0" style="763"/>
    <col min="13781" max="13781" customWidth="1" bestFit="1" width="3.0" style="763"/>
    <col min="13782" max="13782" customWidth="1" bestFit="1" width="3.0" style="763"/>
    <col min="13783" max="13783" customWidth="1" bestFit="1" width="3.0" style="763"/>
    <col min="13784" max="13784" customWidth="1" bestFit="1" width="3.0" style="763"/>
    <col min="13785" max="13785" customWidth="1" bestFit="1" width="3.0" style="763"/>
    <col min="13786" max="13786" customWidth="1" bestFit="1" width="3.0" style="763"/>
    <col min="13787" max="13787" customWidth="1" bestFit="1" width="3.0" style="763"/>
    <col min="13788" max="13788" customWidth="1" bestFit="1" width="3.0" style="763"/>
    <col min="13789" max="13789" customWidth="1" bestFit="1" width="3.0" style="763"/>
    <col min="13790" max="13790" customWidth="1" bestFit="1" width="3.0" style="763"/>
    <col min="13791" max="13791" customWidth="1" bestFit="1" width="3.0" style="763"/>
    <col min="13792" max="13792" customWidth="1" bestFit="1" width="3.0" style="763"/>
    <col min="13793" max="13793" customWidth="1" bestFit="1" width="3.0" style="763"/>
    <col min="13794" max="13794" customWidth="1" bestFit="1" width="3.0" style="763"/>
    <col min="13795" max="13795" customWidth="1" bestFit="1" width="3.0" style="763"/>
    <col min="13796" max="13796" customWidth="1" bestFit="1" width="3.0" style="763"/>
    <col min="13797" max="13797" customWidth="1" bestFit="1" width="3.0" style="763"/>
    <col min="13798" max="13798" customWidth="1" bestFit="1" width="3.0" style="763"/>
    <col min="13799" max="13799" customWidth="1" bestFit="1" width="3.0" style="763"/>
    <col min="13800" max="13800" customWidth="1" bestFit="1" width="3.0" style="763"/>
    <col min="13801" max="13801" customWidth="1" bestFit="1" width="3.0" style="763"/>
    <col min="13802" max="13802" customWidth="1" bestFit="1" width="3.0" style="763"/>
    <col min="13803" max="13803" customWidth="1" bestFit="1" width="3.0" style="763"/>
    <col min="13804" max="13804" customWidth="1" bestFit="1" width="3.0" style="763"/>
    <col min="13805" max="13805" customWidth="1" bestFit="1" width="3.0" style="763"/>
    <col min="13806" max="13806" customWidth="1" bestFit="1" width="3.0" style="763"/>
    <col min="13807" max="13807" customWidth="1" bestFit="1" width="3.0" style="763"/>
    <col min="13808" max="13808" customWidth="1" bestFit="1" width="3.0" style="763"/>
    <col min="13809" max="13809" customWidth="1" bestFit="1" width="3.0" style="763"/>
    <col min="13810" max="13810" customWidth="1" bestFit="1" width="3.0" style="763"/>
    <col min="13811" max="13811" customWidth="1" bestFit="1" width="3.0" style="763"/>
    <col min="13812" max="13812" customWidth="1" bestFit="1" width="3.0" style="763"/>
    <col min="13813" max="13813" customWidth="1" bestFit="1" width="3.0" style="763"/>
    <col min="13814" max="13814" customWidth="1" bestFit="1" width="3.0" style="763"/>
    <col min="13815" max="13815" customWidth="1" bestFit="1" width="3.0" style="763"/>
    <col min="13816" max="13816" customWidth="1" bestFit="1" width="3.0" style="763"/>
    <col min="13817" max="13817" customWidth="1" bestFit="1" width="3.0" style="763"/>
    <col min="13818" max="13818" customWidth="1" bestFit="1" width="3.0" style="763"/>
    <col min="13819" max="13819" customWidth="1" bestFit="1" width="3.0" style="763"/>
    <col min="13820" max="13820" customWidth="1" bestFit="1" width="3.0" style="763"/>
    <col min="13821" max="13821" customWidth="1" bestFit="1" width="3.0" style="763"/>
    <col min="13822" max="13822" customWidth="1" bestFit="1" width="3.0" style="763"/>
    <col min="13823" max="13823" customWidth="1" bestFit="1" width="3.0" style="763"/>
    <col min="13824" max="13824" customWidth="1" bestFit="1" width="3.0" style="763"/>
    <col min="13825" max="13825" customWidth="1" bestFit="1" width="3.0" style="763"/>
    <col min="13826" max="13826" customWidth="1" bestFit="1" width="3.0" style="763"/>
    <col min="13827" max="13827" customWidth="1" bestFit="1" width="3.0" style="763"/>
    <col min="13828" max="13828" customWidth="1" bestFit="1" width="3.0" style="763"/>
    <col min="13829" max="13829" customWidth="1" bestFit="1" width="3.0" style="763"/>
    <col min="13830" max="13830" customWidth="1" bestFit="1" width="3.0" style="763"/>
    <col min="13831" max="13831" customWidth="1" bestFit="1" width="3.0" style="763"/>
    <col min="13832" max="13832" customWidth="1" bestFit="1" width="3.0" style="763"/>
    <col min="13833" max="13833" customWidth="1" bestFit="1" width="3.0" style="763"/>
    <col min="13834" max="13834" customWidth="1" bestFit="1" width="3.0" style="763"/>
    <col min="13835" max="13835" customWidth="1" bestFit="1" width="3.0" style="763"/>
    <col min="13836" max="13836" customWidth="1" bestFit="1" width="3.0" style="763"/>
    <col min="13837" max="13837" customWidth="1" bestFit="1" width="3.0" style="763"/>
    <col min="13838" max="13838" customWidth="1" bestFit="1" width="3.0" style="763"/>
    <col min="13839" max="13839" customWidth="1" bestFit="1" width="3.0" style="763"/>
    <col min="13840" max="13840" customWidth="1" bestFit="1" width="3.0" style="763"/>
    <col min="13841" max="13841" customWidth="1" bestFit="1" width="3.0" style="763"/>
    <col min="13842" max="13842" customWidth="1" bestFit="1" width="3.0" style="763"/>
    <col min="13843" max="13843" customWidth="1" bestFit="1" width="3.0" style="763"/>
    <col min="13844" max="13844" customWidth="1" bestFit="1" width="3.0" style="763"/>
    <col min="13845" max="13845" customWidth="1" bestFit="1" width="3.0" style="763"/>
    <col min="13846" max="13846" customWidth="1" bestFit="1" width="3.0" style="763"/>
    <col min="13847" max="13847" customWidth="1" bestFit="1" width="3.0" style="763"/>
    <col min="13848" max="13848" customWidth="1" bestFit="1" width="3.0" style="763"/>
    <col min="13849" max="13849" customWidth="1" bestFit="1" width="3.0" style="763"/>
    <col min="13850" max="13850" customWidth="1" bestFit="1" width="3.0" style="763"/>
    <col min="13851" max="13851" customWidth="1" bestFit="1" width="3.0" style="763"/>
    <col min="13852" max="13852" customWidth="1" bestFit="1" width="3.0" style="763"/>
    <col min="13853" max="13853" customWidth="1" bestFit="1" width="3.0" style="763"/>
    <col min="13854" max="13854" customWidth="1" bestFit="1" width="3.0" style="763"/>
    <col min="13855" max="13855" customWidth="1" bestFit="1" width="3.0" style="763"/>
    <col min="13856" max="13856" customWidth="1" bestFit="1" width="3.0" style="763"/>
    <col min="13857" max="13857" customWidth="1" bestFit="1" width="3.0" style="763"/>
    <col min="13858" max="13858" customWidth="1" bestFit="1" width="3.0" style="763"/>
    <col min="13859" max="13859" customWidth="1" bestFit="1" width="3.0" style="763"/>
    <col min="13860" max="13860" customWidth="1" bestFit="1" width="3.0" style="763"/>
    <col min="13861" max="13861" customWidth="1" bestFit="1" width="3.0" style="763"/>
    <col min="13862" max="13862" customWidth="1" bestFit="1" width="3.0" style="763"/>
    <col min="13863" max="13863" customWidth="1" bestFit="1" width="3.0" style="763"/>
    <col min="13864" max="13864" customWidth="1" bestFit="1" width="3.0" style="763"/>
    <col min="13865" max="13865" customWidth="1" bestFit="1" width="3.0" style="763"/>
    <col min="13866" max="13866" customWidth="1" bestFit="1" width="3.0" style="763"/>
    <col min="13867" max="13867" customWidth="1" bestFit="1" width="3.0" style="763"/>
    <col min="13868" max="13868" customWidth="1" bestFit="1" width="3.0" style="763"/>
    <col min="13869" max="13869" customWidth="1" bestFit="1" width="3.0" style="763"/>
    <col min="13870" max="13870" customWidth="1" bestFit="1" width="3.0" style="763"/>
    <col min="13871" max="13871" customWidth="1" bestFit="1" width="3.0" style="763"/>
    <col min="13872" max="13872" customWidth="1" bestFit="1" width="3.0" style="763"/>
    <col min="13873" max="13873" customWidth="1" bestFit="1" width="3.0" style="763"/>
    <col min="13874" max="13874" customWidth="1" bestFit="1" width="3.0" style="763"/>
    <col min="13875" max="13875" customWidth="1" bestFit="1" width="3.0" style="763"/>
    <col min="13876" max="13876" customWidth="1" bestFit="1" width="3.0" style="763"/>
    <col min="13877" max="13877" customWidth="1" bestFit="1" width="3.0" style="763"/>
    <col min="13878" max="13878" customWidth="1" bestFit="1" width="3.0" style="763"/>
    <col min="13879" max="13879" customWidth="1" bestFit="1" width="3.0" style="763"/>
    <col min="13880" max="13880" customWidth="1" bestFit="1" width="3.0" style="763"/>
    <col min="13881" max="13881" customWidth="1" bestFit="1" width="3.0" style="763"/>
    <col min="13882" max="13882" customWidth="1" bestFit="1" width="3.0" style="763"/>
    <col min="13883" max="13883" customWidth="1" bestFit="1" width="3.0" style="763"/>
    <col min="13884" max="13884" customWidth="1" bestFit="1" width="3.0" style="763"/>
    <col min="13885" max="13885" customWidth="1" bestFit="1" width="3.0" style="763"/>
    <col min="13886" max="13886" customWidth="1" bestFit="1" width="3.0" style="763"/>
    <col min="13887" max="13887" customWidth="1" bestFit="1" width="3.0" style="763"/>
    <col min="13888" max="13888" customWidth="1" bestFit="1" width="3.0" style="763"/>
    <col min="13889" max="13889" customWidth="1" bestFit="1" width="3.0" style="763"/>
    <col min="13890" max="13890" customWidth="1" bestFit="1" width="3.0" style="763"/>
    <col min="13891" max="13891" customWidth="1" bestFit="1" width="3.0" style="763"/>
    <col min="13892" max="13892" customWidth="1" bestFit="1" width="3.0" style="763"/>
    <col min="13893" max="13893" customWidth="1" bestFit="1" width="3.0" style="763"/>
    <col min="13894" max="13894" customWidth="1" bestFit="1" width="3.0" style="763"/>
    <col min="13895" max="13895" customWidth="1" bestFit="1" width="3.0" style="763"/>
    <col min="13896" max="13896" customWidth="1" bestFit="1" width="3.0" style="763"/>
    <col min="13897" max="13897" customWidth="1" bestFit="1" width="3.0" style="763"/>
    <col min="13898" max="13898" customWidth="1" bestFit="1" width="3.0" style="763"/>
    <col min="13899" max="13899" customWidth="1" bestFit="1" width="3.0" style="763"/>
    <col min="13900" max="13900" customWidth="1" bestFit="1" width="3.0" style="763"/>
    <col min="13901" max="13901" customWidth="1" bestFit="1" width="3.0" style="763"/>
    <col min="13902" max="13902" customWidth="1" bestFit="1" width="3.0" style="763"/>
    <col min="13903" max="13903" customWidth="1" bestFit="1" width="3.0" style="763"/>
    <col min="13904" max="13904" customWidth="1" bestFit="1" width="3.0" style="763"/>
    <col min="13905" max="13905" customWidth="1" bestFit="1" width="3.0" style="763"/>
    <col min="13906" max="13906" customWidth="1" bestFit="1" width="3.0" style="763"/>
    <col min="13907" max="13907" customWidth="1" bestFit="1" width="3.0" style="763"/>
    <col min="13908" max="13908" customWidth="1" bestFit="1" width="3.0" style="763"/>
    <col min="13909" max="13909" customWidth="1" bestFit="1" width="3.0" style="763"/>
    <col min="13910" max="13910" customWidth="1" bestFit="1" width="3.0" style="763"/>
    <col min="13911" max="13911" customWidth="1" bestFit="1" width="3.0" style="763"/>
    <col min="13912" max="13912" customWidth="1" bestFit="1" width="3.0" style="763"/>
    <col min="13913" max="13913" customWidth="1" bestFit="1" width="3.0" style="763"/>
    <col min="13914" max="13914" customWidth="1" bestFit="1" width="3.0" style="763"/>
    <col min="13915" max="13915" customWidth="1" bestFit="1" width="3.0" style="763"/>
    <col min="13916" max="13916" customWidth="1" bestFit="1" width="3.0" style="763"/>
    <col min="13917" max="13917" customWidth="1" bestFit="1" width="3.0" style="763"/>
    <col min="13918" max="13918" customWidth="1" bestFit="1" width="3.0" style="763"/>
    <col min="13919" max="13919" customWidth="1" bestFit="1" width="3.0" style="763"/>
    <col min="13920" max="13920" customWidth="1" bestFit="1" width="3.0" style="763"/>
    <col min="13921" max="13921" customWidth="1" bestFit="1" width="3.0" style="763"/>
    <col min="13922" max="13922" customWidth="1" bestFit="1" width="3.0" style="763"/>
    <col min="13923" max="13923" customWidth="1" bestFit="1" width="3.0" style="763"/>
    <col min="13924" max="13924" customWidth="1" bestFit="1" width="3.0" style="763"/>
    <col min="13925" max="13925" customWidth="1" bestFit="1" width="3.0" style="763"/>
    <col min="13926" max="13926" customWidth="1" bestFit="1" width="3.0" style="763"/>
    <col min="13927" max="13927" customWidth="1" bestFit="1" width="3.0" style="763"/>
    <col min="13928" max="13928" customWidth="1" bestFit="1" width="3.0" style="763"/>
    <col min="13929" max="13929" customWidth="1" bestFit="1" width="3.0" style="763"/>
    <col min="13930" max="13930" customWidth="1" bestFit="1" width="3.0" style="763"/>
    <col min="13931" max="13931" customWidth="1" bestFit="1" width="3.0" style="763"/>
    <col min="13932" max="13932" customWidth="1" bestFit="1" width="3.0" style="763"/>
    <col min="13933" max="13933" customWidth="1" bestFit="1" width="3.0" style="763"/>
    <col min="13934" max="13934" customWidth="1" bestFit="1" width="3.0" style="763"/>
    <col min="13935" max="13935" customWidth="1" bestFit="1" width="3.0" style="763"/>
    <col min="13936" max="13936" customWidth="1" bestFit="1" width="3.0" style="763"/>
    <col min="13937" max="13937" customWidth="1" bestFit="1" width="3.0" style="763"/>
    <col min="13938" max="13938" customWidth="1" bestFit="1" width="3.0" style="763"/>
    <col min="13939" max="13939" customWidth="1" bestFit="1" width="3.0" style="763"/>
    <col min="13940" max="13940" customWidth="1" bestFit="1" width="3.0" style="763"/>
    <col min="13941" max="13941" customWidth="1" bestFit="1" width="3.0" style="763"/>
    <col min="13942" max="13942" customWidth="1" bestFit="1" width="3.0" style="763"/>
    <col min="13943" max="13943" customWidth="1" bestFit="1" width="3.0" style="763"/>
    <col min="13944" max="13944" customWidth="1" bestFit="1" width="3.0" style="763"/>
    <col min="13945" max="13945" customWidth="1" bestFit="1" width="3.0" style="763"/>
    <col min="13946" max="13946" customWidth="1" bestFit="1" width="3.0" style="763"/>
    <col min="13947" max="13947" customWidth="1" bestFit="1" width="3.0" style="763"/>
    <col min="13948" max="13948" customWidth="1" bestFit="1" width="3.0" style="763"/>
    <col min="13949" max="13949" customWidth="1" bestFit="1" width="3.0" style="763"/>
    <col min="13950" max="13950" customWidth="1" bestFit="1" width="3.0" style="763"/>
    <col min="13951" max="13951" customWidth="1" bestFit="1" width="3.0" style="763"/>
    <col min="13952" max="13952" customWidth="1" bestFit="1" width="3.0" style="763"/>
    <col min="13953" max="13953" customWidth="1" bestFit="1" width="3.0" style="763"/>
    <col min="13954" max="13954" customWidth="1" bestFit="1" width="3.0" style="763"/>
    <col min="13955" max="13955" customWidth="1" bestFit="1" width="3.0" style="763"/>
    <col min="13956" max="13956" customWidth="1" bestFit="1" width="3.0" style="763"/>
    <col min="13957" max="13957" customWidth="1" bestFit="1" width="3.0" style="763"/>
    <col min="13958" max="13958" customWidth="1" bestFit="1" width="3.0" style="763"/>
    <col min="13959" max="13959" customWidth="1" bestFit="1" width="3.0" style="763"/>
    <col min="13960" max="13960" customWidth="1" bestFit="1" width="3.0" style="763"/>
    <col min="13961" max="13961" customWidth="1" bestFit="1" width="3.0" style="763"/>
    <col min="13962" max="13962" customWidth="1" bestFit="1" width="3.0" style="763"/>
    <col min="13963" max="13963" customWidth="1" bestFit="1" width="3.0" style="763"/>
    <col min="13964" max="13964" customWidth="1" bestFit="1" width="3.0" style="763"/>
    <col min="13965" max="13965" customWidth="1" bestFit="1" width="3.0" style="763"/>
    <col min="13966" max="13966" customWidth="1" bestFit="1" width="3.0" style="763"/>
    <col min="13967" max="13967" customWidth="1" bestFit="1" width="3.0" style="763"/>
    <col min="13968" max="13968" customWidth="1" bestFit="1" width="3.0" style="763"/>
    <col min="13969" max="13969" customWidth="1" bestFit="1" width="3.0" style="763"/>
    <col min="13970" max="13970" customWidth="1" bestFit="1" width="3.0" style="763"/>
    <col min="13971" max="13971" customWidth="1" bestFit="1" width="3.0" style="763"/>
    <col min="13972" max="13972" customWidth="1" bestFit="1" width="3.0" style="763"/>
    <col min="13973" max="13973" customWidth="1" bestFit="1" width="3.0" style="763"/>
    <col min="13974" max="13974" customWidth="1" bestFit="1" width="3.0" style="763"/>
    <col min="13975" max="13975" customWidth="1" bestFit="1" width="3.0" style="763"/>
    <col min="13976" max="13976" customWidth="1" bestFit="1" width="3.0" style="763"/>
    <col min="13977" max="13977" customWidth="1" bestFit="1" width="3.0" style="763"/>
    <col min="13978" max="13978" customWidth="1" bestFit="1" width="3.0" style="763"/>
    <col min="13979" max="13979" customWidth="1" bestFit="1" width="3.0" style="763"/>
    <col min="13980" max="13980" customWidth="1" bestFit="1" width="3.0" style="763"/>
    <col min="13981" max="13981" customWidth="1" bestFit="1" width="3.0" style="763"/>
    <col min="13982" max="13982" customWidth="1" bestFit="1" width="3.0" style="763"/>
    <col min="13983" max="13983" customWidth="1" bestFit="1" width="3.0" style="763"/>
    <col min="13984" max="13984" customWidth="1" bestFit="1" width="3.0" style="763"/>
    <col min="13985" max="13985" customWidth="1" bestFit="1" width="3.0" style="763"/>
    <col min="13986" max="13986" customWidth="1" bestFit="1" width="3.0" style="763"/>
    <col min="13987" max="13987" customWidth="1" bestFit="1" width="3.0" style="763"/>
    <col min="13988" max="13988" customWidth="1" bestFit="1" width="3.0" style="763"/>
    <col min="13989" max="13989" customWidth="1" bestFit="1" width="3.0" style="763"/>
    <col min="13990" max="13990" customWidth="1" bestFit="1" width="3.0" style="763"/>
    <col min="13991" max="13991" customWidth="1" bestFit="1" width="3.0" style="763"/>
    <col min="13992" max="13992" customWidth="1" bestFit="1" width="3.0" style="763"/>
    <col min="13993" max="13993" customWidth="1" bestFit="1" width="3.0" style="763"/>
    <col min="13994" max="13994" customWidth="1" bestFit="1" width="3.0" style="763"/>
    <col min="13995" max="13995" customWidth="1" bestFit="1" width="3.0" style="763"/>
    <col min="13996" max="13996" customWidth="1" bestFit="1" width="3.0" style="763"/>
    <col min="13997" max="13997" customWidth="1" bestFit="1" width="3.0" style="763"/>
    <col min="13998" max="13998" customWidth="1" bestFit="1" width="3.0" style="763"/>
    <col min="13999" max="13999" customWidth="1" bestFit="1" width="3.0" style="763"/>
    <col min="14000" max="14000" customWidth="1" bestFit="1" width="3.0" style="763"/>
    <col min="14001" max="14001" customWidth="1" bestFit="1" width="3.0" style="763"/>
    <col min="14002" max="14002" customWidth="1" bestFit="1" width="3.0" style="763"/>
    <col min="14003" max="14003" customWidth="1" bestFit="1" width="3.0" style="763"/>
    <col min="14004" max="14004" customWidth="1" bestFit="1" width="3.0" style="763"/>
    <col min="14005" max="14005" customWidth="1" bestFit="1" width="3.0" style="763"/>
    <col min="14006" max="14006" customWidth="1" bestFit="1" width="3.0" style="763"/>
    <col min="14007" max="14007" customWidth="1" bestFit="1" width="3.0" style="763"/>
    <col min="14008" max="14008" customWidth="1" bestFit="1" width="3.0" style="763"/>
    <col min="14009" max="14009" customWidth="1" bestFit="1" width="3.0" style="763"/>
    <col min="14010" max="14010" customWidth="1" bestFit="1" width="3.0" style="763"/>
    <col min="14011" max="14011" customWidth="1" bestFit="1" width="3.0" style="763"/>
    <col min="14012" max="14012" customWidth="1" bestFit="1" width="3.0" style="763"/>
    <col min="14013" max="14013" customWidth="1" bestFit="1" width="3.0" style="763"/>
    <col min="14014" max="14014" customWidth="1" bestFit="1" width="3.0" style="763"/>
    <col min="14015" max="14015" customWidth="1" bestFit="1" width="3.0" style="763"/>
    <col min="14016" max="14016" customWidth="1" bestFit="1" width="3.0" style="763"/>
    <col min="14017" max="14017" customWidth="1" bestFit="1" width="3.0" style="763"/>
    <col min="14018" max="14018" customWidth="1" bestFit="1" width="3.0" style="763"/>
    <col min="14019" max="14019" customWidth="1" bestFit="1" width="3.0" style="763"/>
    <col min="14020" max="14020" customWidth="1" bestFit="1" width="3.0" style="763"/>
    <col min="14021" max="14021" customWidth="1" bestFit="1" width="3.0" style="763"/>
    <col min="14022" max="14022" customWidth="1" bestFit="1" width="3.0" style="763"/>
    <col min="14023" max="14023" customWidth="1" bestFit="1" width="3.0" style="763"/>
    <col min="14024" max="14024" customWidth="1" bestFit="1" width="3.0" style="763"/>
    <col min="14025" max="14025" customWidth="1" bestFit="1" width="3.0" style="763"/>
    <col min="14026" max="14026" customWidth="1" bestFit="1" width="3.0" style="763"/>
    <col min="14027" max="14027" customWidth="1" bestFit="1" width="3.0" style="763"/>
    <col min="14028" max="14028" customWidth="1" bestFit="1" width="3.0" style="763"/>
    <col min="14029" max="14029" customWidth="1" bestFit="1" width="3.0" style="763"/>
    <col min="14030" max="14030" customWidth="1" bestFit="1" width="3.0" style="763"/>
    <col min="14031" max="14031" customWidth="1" bestFit="1" width="3.0" style="763"/>
    <col min="14032" max="14032" customWidth="1" bestFit="1" width="3.0" style="763"/>
    <col min="14033" max="14033" customWidth="1" bestFit="1" width="3.0" style="763"/>
    <col min="14034" max="14034" customWidth="1" bestFit="1" width="3.0" style="763"/>
    <col min="14035" max="14035" customWidth="1" bestFit="1" width="3.0" style="763"/>
    <col min="14036" max="14036" customWidth="1" bestFit="1" width="3.0" style="763"/>
    <col min="14037" max="14037" customWidth="1" bestFit="1" width="3.0" style="763"/>
    <col min="14038" max="14038" customWidth="1" bestFit="1" width="3.0" style="763"/>
    <col min="14039" max="14039" customWidth="1" bestFit="1" width="3.0" style="763"/>
    <col min="14040" max="14040" customWidth="1" bestFit="1" width="3.0" style="763"/>
    <col min="14041" max="14041" customWidth="1" bestFit="1" width="3.0" style="763"/>
    <col min="14042" max="14042" customWidth="1" bestFit="1" width="3.0" style="763"/>
    <col min="14043" max="14043" customWidth="1" bestFit="1" width="3.0" style="763"/>
    <col min="14044" max="14044" customWidth="1" bestFit="1" width="3.0" style="763"/>
    <col min="14045" max="14045" customWidth="1" bestFit="1" width="3.0" style="763"/>
    <col min="14046" max="14046" customWidth="1" bestFit="1" width="3.0" style="763"/>
    <col min="14047" max="14047" customWidth="1" bestFit="1" width="3.0" style="763"/>
    <col min="14048" max="14048" customWidth="1" bestFit="1" width="3.0" style="763"/>
    <col min="14049" max="14049" customWidth="1" bestFit="1" width="3.0" style="763"/>
    <col min="14050" max="14050" customWidth="1" bestFit="1" width="3.0" style="763"/>
    <col min="14051" max="14051" customWidth="1" bestFit="1" width="3.0" style="763"/>
    <col min="14052" max="14052" customWidth="1" bestFit="1" width="3.0" style="763"/>
    <col min="14053" max="14053" customWidth="1" bestFit="1" width="3.0" style="763"/>
    <col min="14054" max="14054" customWidth="1" bestFit="1" width="3.0" style="763"/>
    <col min="14055" max="14055" customWidth="1" bestFit="1" width="3.0" style="763"/>
    <col min="14056" max="14056" customWidth="1" bestFit="1" width="3.0" style="763"/>
    <col min="14057" max="14057" customWidth="1" bestFit="1" width="3.0" style="763"/>
    <col min="14058" max="14058" customWidth="1" bestFit="1" width="3.0" style="763"/>
    <col min="14059" max="14059" customWidth="1" bestFit="1" width="3.0" style="763"/>
    <col min="14060" max="14060" customWidth="1" bestFit="1" width="3.0" style="763"/>
    <col min="14061" max="14061" customWidth="1" bestFit="1" width="3.0" style="763"/>
    <col min="14062" max="14062" customWidth="1" bestFit="1" width="3.0" style="763"/>
    <col min="14063" max="14063" customWidth="1" bestFit="1" width="3.0" style="763"/>
    <col min="14064" max="14064" customWidth="1" bestFit="1" width="3.0" style="763"/>
    <col min="14065" max="14065" customWidth="1" bestFit="1" width="3.0" style="763"/>
    <col min="14066" max="14066" customWidth="1" bestFit="1" width="3.0" style="763"/>
    <col min="14067" max="14067" customWidth="1" bestFit="1" width="3.0" style="763"/>
    <col min="14068" max="14068" customWidth="1" bestFit="1" width="3.0" style="763"/>
    <col min="14069" max="14069" customWidth="1" bestFit="1" width="3.0" style="763"/>
    <col min="14070" max="14070" customWidth="1" bestFit="1" width="3.0" style="763"/>
    <col min="14071" max="14071" customWidth="1" bestFit="1" width="3.0" style="763"/>
    <col min="14072" max="14072" customWidth="1" bestFit="1" width="3.0" style="763"/>
    <col min="14073" max="14073" customWidth="1" bestFit="1" width="3.0" style="763"/>
    <col min="14074" max="14074" customWidth="1" bestFit="1" width="3.0" style="763"/>
    <col min="14075" max="14075" customWidth="1" bestFit="1" width="3.0" style="763"/>
    <col min="14076" max="14076" customWidth="1" bestFit="1" width="3.0" style="763"/>
    <col min="14077" max="14077" customWidth="1" bestFit="1" width="3.0" style="763"/>
    <col min="14078" max="14078" customWidth="1" bestFit="1" width="3.0" style="763"/>
    <col min="14079" max="14079" customWidth="1" bestFit="1" width="3.0" style="763"/>
    <col min="14080" max="14080" customWidth="1" bestFit="1" width="3.0" style="763"/>
    <col min="14081" max="14081" customWidth="1" bestFit="1" width="3.0" style="763"/>
    <col min="14082" max="14082" customWidth="1" bestFit="1" width="3.0" style="763"/>
    <col min="14083" max="14083" customWidth="1" bestFit="1" width="3.0" style="763"/>
    <col min="14084" max="14084" customWidth="1" bestFit="1" width="3.0" style="763"/>
    <col min="14085" max="14085" customWidth="1" bestFit="1" width="3.0" style="763"/>
    <col min="14086" max="14086" customWidth="1" bestFit="1" width="3.0" style="763"/>
    <col min="14087" max="14087" customWidth="1" bestFit="1" width="3.0" style="763"/>
    <col min="14088" max="14088" customWidth="1" bestFit="1" width="3.0" style="763"/>
    <col min="14089" max="14089" customWidth="1" bestFit="1" width="3.0" style="763"/>
    <col min="14090" max="14090" customWidth="1" bestFit="1" width="3.0" style="763"/>
    <col min="14091" max="14091" customWidth="1" bestFit="1" width="3.0" style="763"/>
    <col min="14092" max="14092" customWidth="1" bestFit="1" width="3.0" style="763"/>
    <col min="14093" max="14093" customWidth="1" bestFit="1" width="3.0" style="763"/>
    <col min="14094" max="14094" customWidth="1" bestFit="1" width="3.0" style="763"/>
    <col min="14095" max="14095" customWidth="1" bestFit="1" width="3.0" style="763"/>
    <col min="14096" max="14096" customWidth="1" bestFit="1" width="3.0" style="763"/>
    <col min="14097" max="14097" customWidth="1" bestFit="1" width="3.0" style="763"/>
    <col min="14098" max="14098" customWidth="1" bestFit="1" width="3.0" style="763"/>
    <col min="14099" max="14099" customWidth="1" bestFit="1" width="3.0" style="763"/>
    <col min="14100" max="14100" customWidth="1" bestFit="1" width="3.0" style="763"/>
    <col min="14101" max="14101" customWidth="1" bestFit="1" width="3.0" style="763"/>
    <col min="14102" max="14102" customWidth="1" bestFit="1" width="3.0" style="763"/>
    <col min="14103" max="14103" customWidth="1" bestFit="1" width="3.0" style="763"/>
    <col min="14104" max="14104" customWidth="1" bestFit="1" width="3.0" style="763"/>
    <col min="14105" max="14105" customWidth="1" bestFit="1" width="3.0" style="763"/>
    <col min="14106" max="14106" customWidth="1" bestFit="1" width="3.0" style="763"/>
    <col min="14107" max="14107" customWidth="1" bestFit="1" width="3.0" style="763"/>
    <col min="14108" max="14108" customWidth="1" bestFit="1" width="3.0" style="763"/>
    <col min="14109" max="14109" customWidth="1" bestFit="1" width="3.0" style="763"/>
    <col min="14110" max="14110" customWidth="1" bestFit="1" width="3.0" style="763"/>
    <col min="14111" max="14111" customWidth="1" bestFit="1" width="3.0" style="763"/>
    <col min="14112" max="14112" customWidth="1" bestFit="1" width="3.0" style="763"/>
    <col min="14113" max="14113" customWidth="1" bestFit="1" width="3.0" style="763"/>
    <col min="14114" max="14114" customWidth="1" bestFit="1" width="3.0" style="763"/>
    <col min="14115" max="14115" customWidth="1" bestFit="1" width="3.0" style="763"/>
    <col min="14116" max="14116" customWidth="1" bestFit="1" width="3.0" style="763"/>
    <col min="14117" max="14117" customWidth="1" bestFit="1" width="3.0" style="763"/>
    <col min="14118" max="14118" customWidth="1" bestFit="1" width="3.0" style="763"/>
    <col min="14119" max="14119" customWidth="1" bestFit="1" width="3.0" style="763"/>
    <col min="14120" max="14120" customWidth="1" bestFit="1" width="3.0" style="763"/>
    <col min="14121" max="14121" customWidth="1" bestFit="1" width="3.0" style="763"/>
    <col min="14122" max="14122" customWidth="1" bestFit="1" width="3.0" style="763"/>
    <col min="14123" max="14123" customWidth="1" bestFit="1" width="3.0" style="763"/>
    <col min="14124" max="14124" customWidth="1" bestFit="1" width="3.0" style="763"/>
    <col min="14125" max="14125" customWidth="1" bestFit="1" width="3.0" style="763"/>
    <col min="14126" max="14126" customWidth="1" bestFit="1" width="3.0" style="763"/>
    <col min="14127" max="14127" customWidth="1" bestFit="1" width="3.0" style="763"/>
    <col min="14128" max="14128" customWidth="1" bestFit="1" width="3.0" style="763"/>
    <col min="14129" max="14129" customWidth="1" bestFit="1" width="3.0" style="763"/>
    <col min="14130" max="14130" customWidth="1" bestFit="1" width="3.0" style="763"/>
    <col min="14131" max="14131" customWidth="1" bestFit="1" width="3.0" style="763"/>
    <col min="14132" max="14132" customWidth="1" bestFit="1" width="3.0" style="763"/>
    <col min="14133" max="14133" customWidth="1" bestFit="1" width="3.0" style="763"/>
    <col min="14134" max="14134" customWidth="1" bestFit="1" width="3.0" style="763"/>
    <col min="14135" max="14135" customWidth="1" bestFit="1" width="3.0" style="763"/>
    <col min="14136" max="14136" customWidth="1" bestFit="1" width="3.0" style="763"/>
    <col min="14137" max="14137" customWidth="1" bestFit="1" width="3.0" style="763"/>
    <col min="14138" max="14138" customWidth="1" bestFit="1" width="3.0" style="763"/>
    <col min="14139" max="14139" customWidth="1" bestFit="1" width="3.0" style="763"/>
    <col min="14140" max="14140" customWidth="1" bestFit="1" width="3.0" style="763"/>
    <col min="14141" max="14141" customWidth="1" bestFit="1" width="3.0" style="763"/>
    <col min="14142" max="14142" customWidth="1" bestFit="1" width="3.0" style="763"/>
    <col min="14143" max="14143" customWidth="1" bestFit="1" width="3.0" style="763"/>
    <col min="14144" max="14144" customWidth="1" bestFit="1" width="3.0" style="763"/>
    <col min="14145" max="14145" customWidth="1" bestFit="1" width="3.0" style="763"/>
    <col min="14146" max="14146" customWidth="1" bestFit="1" width="3.0" style="763"/>
    <col min="14147" max="14147" customWidth="1" bestFit="1" width="3.0" style="763"/>
    <col min="14148" max="14148" customWidth="1" bestFit="1" width="3.0" style="763"/>
    <col min="14149" max="14149" customWidth="1" bestFit="1" width="3.0" style="763"/>
    <col min="14150" max="14150" customWidth="1" bestFit="1" width="3.0" style="763"/>
    <col min="14151" max="14151" customWidth="1" bestFit="1" width="3.0" style="763"/>
    <col min="14152" max="14152" customWidth="1" bestFit="1" width="3.0" style="763"/>
    <col min="14153" max="14153" customWidth="1" bestFit="1" width="3.0" style="763"/>
    <col min="14154" max="14154" customWidth="1" bestFit="1" width="3.0" style="763"/>
    <col min="14155" max="14155" customWidth="1" bestFit="1" width="3.0" style="763"/>
    <col min="14156" max="14156" customWidth="1" bestFit="1" width="3.0" style="763"/>
    <col min="14157" max="14157" customWidth="1" bestFit="1" width="3.0" style="763"/>
    <col min="14158" max="14158" customWidth="1" bestFit="1" width="3.0" style="763"/>
    <col min="14159" max="14159" customWidth="1" bestFit="1" width="3.0" style="763"/>
    <col min="14160" max="14160" customWidth="1" bestFit="1" width="3.0" style="763"/>
    <col min="14161" max="14161" customWidth="1" bestFit="1" width="3.0" style="763"/>
    <col min="14162" max="14162" customWidth="1" bestFit="1" width="3.0" style="763"/>
    <col min="14163" max="14163" customWidth="1" bestFit="1" width="3.0" style="763"/>
    <col min="14164" max="14164" customWidth="1" bestFit="1" width="3.0" style="763"/>
    <col min="14165" max="14165" customWidth="1" bestFit="1" width="3.0" style="763"/>
    <col min="14166" max="14166" customWidth="1" bestFit="1" width="3.0" style="763"/>
    <col min="14167" max="14167" customWidth="1" bestFit="1" width="3.0" style="763"/>
    <col min="14168" max="14168" customWidth="1" bestFit="1" width="3.0" style="763"/>
    <col min="14169" max="14169" customWidth="1" bestFit="1" width="3.0" style="763"/>
    <col min="14170" max="14170" customWidth="1" bestFit="1" width="3.0" style="763"/>
    <col min="14171" max="14171" customWidth="1" bestFit="1" width="3.0" style="763"/>
    <col min="14172" max="14172" customWidth="1" bestFit="1" width="3.0" style="763"/>
    <col min="14173" max="14173" customWidth="1" bestFit="1" width="3.0" style="763"/>
    <col min="14174" max="14174" customWidth="1" bestFit="1" width="3.0" style="763"/>
    <col min="14175" max="14175" customWidth="1" bestFit="1" width="3.0" style="763"/>
    <col min="14176" max="14176" customWidth="1" bestFit="1" width="3.0" style="763"/>
    <col min="14177" max="14177" customWidth="1" bestFit="1" width="3.0" style="763"/>
    <col min="14178" max="14178" customWidth="1" bestFit="1" width="3.0" style="763"/>
    <col min="14179" max="14179" customWidth="1" bestFit="1" width="3.0" style="763"/>
    <col min="14180" max="14180" customWidth="1" bestFit="1" width="3.0" style="763"/>
    <col min="14181" max="14181" customWidth="1" bestFit="1" width="3.0" style="763"/>
    <col min="14182" max="14182" customWidth="1" bestFit="1" width="3.0" style="763"/>
    <col min="14183" max="14183" customWidth="1" bestFit="1" width="3.0" style="763"/>
    <col min="14184" max="14184" customWidth="1" bestFit="1" width="3.0" style="763"/>
    <col min="14185" max="14185" customWidth="1" bestFit="1" width="3.0" style="763"/>
    <col min="14186" max="14186" customWidth="1" bestFit="1" width="3.0" style="763"/>
    <col min="14187" max="14187" customWidth="1" bestFit="1" width="3.0" style="763"/>
    <col min="14188" max="14188" customWidth="1" bestFit="1" width="3.0" style="763"/>
    <col min="14189" max="14189" customWidth="1" bestFit="1" width="3.0" style="763"/>
    <col min="14190" max="14190" customWidth="1" bestFit="1" width="3.0" style="763"/>
    <col min="14191" max="14191" customWidth="1" bestFit="1" width="3.0" style="763"/>
    <col min="14192" max="14192" customWidth="1" bestFit="1" width="3.0" style="763"/>
    <col min="14193" max="14193" customWidth="1" bestFit="1" width="3.0" style="763"/>
    <col min="14194" max="14194" customWidth="1" bestFit="1" width="3.0" style="763"/>
    <col min="14195" max="14195" customWidth="1" bestFit="1" width="3.0" style="763"/>
    <col min="14196" max="14196" customWidth="1" bestFit="1" width="3.0" style="763"/>
    <col min="14197" max="14197" customWidth="1" bestFit="1" width="3.0" style="763"/>
    <col min="14198" max="14198" customWidth="1" bestFit="1" width="3.0" style="763"/>
    <col min="14199" max="14199" customWidth="1" bestFit="1" width="3.0" style="763"/>
    <col min="14200" max="14200" customWidth="1" bestFit="1" width="3.0" style="763"/>
    <col min="14201" max="14201" customWidth="1" bestFit="1" width="3.0" style="763"/>
    <col min="14202" max="14202" customWidth="1" bestFit="1" width="3.0" style="763"/>
    <col min="14203" max="14203" customWidth="1" bestFit="1" width="3.0" style="763"/>
    <col min="14204" max="14204" customWidth="1" bestFit="1" width="3.0" style="763"/>
    <col min="14205" max="14205" customWidth="1" bestFit="1" width="3.0" style="763"/>
    <col min="14206" max="14206" customWidth="1" bestFit="1" width="3.0" style="763"/>
    <col min="14207" max="14207" customWidth="1" bestFit="1" width="3.0" style="763"/>
    <col min="14208" max="14208" customWidth="1" bestFit="1" width="3.0" style="763"/>
    <col min="14209" max="14209" customWidth="1" bestFit="1" width="3.0" style="763"/>
    <col min="14210" max="14210" customWidth="1" bestFit="1" width="3.0" style="763"/>
    <col min="14211" max="14211" customWidth="1" bestFit="1" width="3.0" style="763"/>
    <col min="14212" max="14212" customWidth="1" bestFit="1" width="3.0" style="763"/>
    <col min="14213" max="14213" customWidth="1" bestFit="1" width="3.0" style="763"/>
    <col min="14214" max="14214" customWidth="1" bestFit="1" width="3.0" style="763"/>
    <col min="14215" max="14215" customWidth="1" bestFit="1" width="3.0" style="763"/>
    <col min="14216" max="14216" customWidth="1" bestFit="1" width="3.0" style="763"/>
    <col min="14217" max="14217" customWidth="1" bestFit="1" width="3.0" style="763"/>
    <col min="14218" max="14218" customWidth="1" bestFit="1" width="3.0" style="763"/>
    <col min="14219" max="14219" customWidth="1" bestFit="1" width="3.0" style="763"/>
    <col min="14220" max="14220" customWidth="1" bestFit="1" width="3.0" style="763"/>
    <col min="14221" max="14221" customWidth="1" bestFit="1" width="3.0" style="763"/>
    <col min="14222" max="14222" customWidth="1" bestFit="1" width="3.0" style="763"/>
    <col min="14223" max="14223" customWidth="1" bestFit="1" width="3.0" style="763"/>
    <col min="14224" max="14224" customWidth="1" bestFit="1" width="3.0" style="763"/>
    <col min="14225" max="14225" customWidth="1" bestFit="1" width="3.0" style="763"/>
    <col min="14226" max="14226" customWidth="1" bestFit="1" width="3.0" style="763"/>
    <col min="14227" max="14227" customWidth="1" bestFit="1" width="3.0" style="763"/>
    <col min="14228" max="14228" customWidth="1" bestFit="1" width="3.0" style="763"/>
    <col min="14229" max="14229" customWidth="1" bestFit="1" width="3.0" style="763"/>
    <col min="14230" max="14230" customWidth="1" bestFit="1" width="3.0" style="763"/>
    <col min="14231" max="14231" customWidth="1" bestFit="1" width="3.0" style="763"/>
    <col min="14232" max="14232" customWidth="1" bestFit="1" width="3.0" style="763"/>
    <col min="14233" max="14233" customWidth="1" bestFit="1" width="3.0" style="763"/>
    <col min="14234" max="14234" customWidth="1" bestFit="1" width="3.0" style="763"/>
    <col min="14235" max="14235" customWidth="1" bestFit="1" width="3.0" style="763"/>
    <col min="14236" max="14236" customWidth="1" bestFit="1" width="3.0" style="763"/>
    <col min="14237" max="14237" customWidth="1" bestFit="1" width="3.0" style="763"/>
    <col min="14238" max="14238" customWidth="1" bestFit="1" width="3.0" style="763"/>
    <col min="14239" max="14239" customWidth="1" bestFit="1" width="3.0" style="763"/>
    <col min="14240" max="14240" customWidth="1" bestFit="1" width="3.0" style="763"/>
    <col min="14241" max="14241" customWidth="1" bestFit="1" width="3.0" style="763"/>
    <col min="14242" max="14242" customWidth="1" bestFit="1" width="3.0" style="763"/>
    <col min="14243" max="14243" customWidth="1" bestFit="1" width="3.0" style="763"/>
    <col min="14244" max="14244" customWidth="1" bestFit="1" width="3.0" style="763"/>
    <col min="14245" max="14245" customWidth="1" bestFit="1" width="3.0" style="763"/>
    <col min="14246" max="14246" customWidth="1" bestFit="1" width="3.0" style="763"/>
    <col min="14247" max="14247" customWidth="1" bestFit="1" width="3.0" style="763"/>
    <col min="14248" max="14248" customWidth="1" bestFit="1" width="3.0" style="763"/>
    <col min="14249" max="14249" customWidth="1" bestFit="1" width="3.0" style="763"/>
    <col min="14250" max="14250" customWidth="1" bestFit="1" width="3.0" style="763"/>
    <col min="14251" max="14251" customWidth="1" bestFit="1" width="3.0" style="763"/>
    <col min="14252" max="14252" customWidth="1" bestFit="1" width="3.0" style="763"/>
    <col min="14253" max="14253" customWidth="1" bestFit="1" width="3.0" style="763"/>
    <col min="14254" max="14254" customWidth="1" bestFit="1" width="3.0" style="763"/>
    <col min="14255" max="14255" customWidth="1" bestFit="1" width="3.0" style="763"/>
    <col min="14256" max="14256" customWidth="1" bestFit="1" width="3.0" style="763"/>
    <col min="14257" max="14257" customWidth="1" bestFit="1" width="3.0" style="763"/>
    <col min="14258" max="14258" customWidth="1" bestFit="1" width="3.0" style="763"/>
    <col min="14259" max="14259" customWidth="1" bestFit="1" width="3.0" style="763"/>
    <col min="14260" max="14260" customWidth="1" bestFit="1" width="3.0" style="763"/>
    <col min="14261" max="14261" customWidth="1" bestFit="1" width="3.0" style="763"/>
    <col min="14262" max="14262" customWidth="1" bestFit="1" width="3.0" style="763"/>
    <col min="14263" max="14263" customWidth="1" bestFit="1" width="3.0" style="763"/>
    <col min="14264" max="14264" customWidth="1" bestFit="1" width="3.0" style="763"/>
    <col min="14265" max="14265" customWidth="1" bestFit="1" width="3.0" style="763"/>
    <col min="14266" max="14266" customWidth="1" bestFit="1" width="3.0" style="763"/>
    <col min="14267" max="14267" customWidth="1" bestFit="1" width="3.0" style="763"/>
    <col min="14268" max="14268" customWidth="1" bestFit="1" width="3.0" style="763"/>
    <col min="14269" max="14269" customWidth="1" bestFit="1" width="3.0" style="763"/>
    <col min="14270" max="14270" customWidth="1" bestFit="1" width="3.0" style="763"/>
    <col min="14271" max="14271" customWidth="1" bestFit="1" width="3.0" style="763"/>
    <col min="14272" max="14272" customWidth="1" bestFit="1" width="3.0" style="763"/>
    <col min="14273" max="14273" customWidth="1" bestFit="1" width="3.0" style="763"/>
    <col min="14274" max="14274" customWidth="1" bestFit="1" width="3.0" style="763"/>
    <col min="14275" max="14275" customWidth="1" bestFit="1" width="3.0" style="763"/>
    <col min="14276" max="14276" customWidth="1" bestFit="1" width="3.0" style="763"/>
    <col min="14277" max="14277" customWidth="1" bestFit="1" width="3.0" style="763"/>
    <col min="14278" max="14278" customWidth="1" bestFit="1" width="3.0" style="763"/>
    <col min="14279" max="14279" customWidth="1" bestFit="1" width="3.0" style="763"/>
    <col min="14280" max="14280" customWidth="1" bestFit="1" width="3.0" style="763"/>
    <col min="14281" max="14281" customWidth="1" bestFit="1" width="3.0" style="763"/>
    <col min="14282" max="14282" customWidth="1" bestFit="1" width="3.0" style="763"/>
    <col min="14283" max="14283" customWidth="1" bestFit="1" width="3.0" style="763"/>
    <col min="14284" max="14284" customWidth="1" bestFit="1" width="3.0" style="763"/>
    <col min="14285" max="14285" customWidth="1" bestFit="1" width="3.0" style="763"/>
    <col min="14286" max="14286" customWidth="1" bestFit="1" width="3.0" style="763"/>
    <col min="14287" max="14287" customWidth="1" bestFit="1" width="3.0" style="763"/>
    <col min="14288" max="14288" customWidth="1" bestFit="1" width="3.0" style="763"/>
    <col min="14289" max="14289" customWidth="1" bestFit="1" width="3.0" style="763"/>
    <col min="14290" max="14290" customWidth="1" bestFit="1" width="3.0" style="763"/>
    <col min="14291" max="14291" customWidth="1" bestFit="1" width="3.0" style="763"/>
    <col min="14292" max="14292" customWidth="1" bestFit="1" width="3.0" style="763"/>
    <col min="14293" max="14293" customWidth="1" bestFit="1" width="3.0" style="763"/>
    <col min="14294" max="14294" customWidth="1" bestFit="1" width="3.0" style="763"/>
    <col min="14295" max="14295" customWidth="1" bestFit="1" width="3.0" style="763"/>
    <col min="14296" max="14296" customWidth="1" bestFit="1" width="3.0" style="763"/>
    <col min="14297" max="14297" customWidth="1" bestFit="1" width="3.0" style="763"/>
    <col min="14298" max="14298" customWidth="1" bestFit="1" width="3.0" style="763"/>
    <col min="14299" max="14299" customWidth="1" bestFit="1" width="3.0" style="763"/>
    <col min="14300" max="14300" customWidth="1" bestFit="1" width="3.0" style="763"/>
    <col min="14301" max="14301" customWidth="1" bestFit="1" width="3.0" style="763"/>
    <col min="14302" max="14302" customWidth="1" bestFit="1" width="3.0" style="763"/>
    <col min="14303" max="14303" customWidth="1" bestFit="1" width="3.0" style="763"/>
    <col min="14304" max="14304" customWidth="1" bestFit="1" width="3.0" style="763"/>
    <col min="14305" max="14305" customWidth="1" bestFit="1" width="3.0" style="763"/>
    <col min="14306" max="14306" customWidth="1" bestFit="1" width="3.0" style="763"/>
    <col min="14307" max="14307" customWidth="1" bestFit="1" width="3.0" style="763"/>
    <col min="14308" max="14308" customWidth="1" bestFit="1" width="3.0" style="763"/>
    <col min="14309" max="14309" customWidth="1" bestFit="1" width="3.0" style="763"/>
    <col min="14310" max="14310" customWidth="1" bestFit="1" width="3.0" style="763"/>
    <col min="14311" max="14311" customWidth="1" bestFit="1" width="3.0" style="763"/>
    <col min="14312" max="14312" customWidth="1" bestFit="1" width="3.0" style="763"/>
    <col min="14313" max="14313" customWidth="1" bestFit="1" width="3.0" style="763"/>
    <col min="14314" max="14314" customWidth="1" bestFit="1" width="3.0" style="763"/>
    <col min="14315" max="14315" customWidth="1" bestFit="1" width="3.0" style="763"/>
    <col min="14316" max="14316" customWidth="1" bestFit="1" width="3.0" style="763"/>
    <col min="14317" max="14317" customWidth="1" bestFit="1" width="3.0" style="763"/>
    <col min="14318" max="14318" customWidth="1" bestFit="1" width="3.0" style="763"/>
    <col min="14319" max="14319" customWidth="1" bestFit="1" width="3.0" style="763"/>
    <col min="14320" max="14320" customWidth="1" bestFit="1" width="3.0" style="763"/>
    <col min="14321" max="14321" customWidth="1" bestFit="1" width="3.0" style="763"/>
    <col min="14322" max="14322" customWidth="1" bestFit="1" width="3.0" style="763"/>
    <col min="14323" max="14323" customWidth="1" bestFit="1" width="3.0" style="763"/>
    <col min="14324" max="14324" customWidth="1" bestFit="1" width="3.0" style="763"/>
    <col min="14325" max="14325" customWidth="1" bestFit="1" width="3.0" style="763"/>
    <col min="14326" max="14326" customWidth="1" bestFit="1" width="3.0" style="763"/>
    <col min="14327" max="14327" customWidth="1" bestFit="1" width="3.0" style="763"/>
    <col min="14328" max="14328" customWidth="1" bestFit="1" width="3.0" style="763"/>
    <col min="14329" max="14329" customWidth="1" bestFit="1" width="3.0" style="763"/>
    <col min="14330" max="14330" customWidth="1" bestFit="1" width="3.0" style="763"/>
    <col min="14331" max="14331" customWidth="1" bestFit="1" width="3.0" style="763"/>
    <col min="14332" max="14332" customWidth="1" bestFit="1" width="3.0" style="763"/>
    <col min="14333" max="14333" customWidth="1" bestFit="1" width="3.0" style="763"/>
    <col min="14334" max="14334" customWidth="1" bestFit="1" width="3.0" style="763"/>
    <col min="14335" max="14335" customWidth="1" bestFit="1" width="3.0" style="763"/>
    <col min="14336" max="14336" customWidth="1" bestFit="1" width="3.0" style="763"/>
    <col min="14337" max="14337" customWidth="1" bestFit="1" width="3.0" style="763"/>
    <col min="14338" max="14338" customWidth="1" bestFit="1" width="3.0" style="763"/>
    <col min="14339" max="14339" customWidth="1" bestFit="1" width="3.0" style="763"/>
    <col min="14340" max="14340" customWidth="1" bestFit="1" width="3.0" style="763"/>
    <col min="14341" max="14341" customWidth="1" bestFit="1" width="3.0" style="763"/>
    <col min="14342" max="14342" customWidth="1" bestFit="1" width="3.0" style="763"/>
    <col min="14343" max="14343" customWidth="1" bestFit="1" width="3.0" style="763"/>
    <col min="14344" max="14344" customWidth="1" bestFit="1" width="3.0" style="763"/>
    <col min="14345" max="14345" customWidth="1" bestFit="1" width="3.0" style="763"/>
    <col min="14346" max="14346" customWidth="1" bestFit="1" width="3.0" style="763"/>
    <col min="14347" max="14347" customWidth="1" bestFit="1" width="3.0" style="763"/>
    <col min="14348" max="14348" customWidth="1" bestFit="1" width="3.0" style="763"/>
    <col min="14349" max="14349" customWidth="1" bestFit="1" width="3.0" style="763"/>
    <col min="14350" max="14350" customWidth="1" bestFit="1" width="3.0" style="763"/>
    <col min="14351" max="14351" customWidth="1" bestFit="1" width="3.0" style="763"/>
    <col min="14352" max="14352" customWidth="1" bestFit="1" width="3.0" style="763"/>
    <col min="14353" max="14353" customWidth="1" bestFit="1" width="3.0" style="763"/>
    <col min="14354" max="14354" customWidth="1" bestFit="1" width="3.0" style="763"/>
    <col min="14355" max="14355" customWidth="1" bestFit="1" width="3.0" style="763"/>
    <col min="14356" max="14356" customWidth="1" bestFit="1" width="3.0" style="763"/>
    <col min="14357" max="14357" customWidth="1" bestFit="1" width="3.0" style="763"/>
    <col min="14358" max="14358" customWidth="1" bestFit="1" width="3.0" style="763"/>
    <col min="14359" max="14359" customWidth="1" bestFit="1" width="3.0" style="763"/>
    <col min="14360" max="14360" customWidth="1" bestFit="1" width="3.0" style="763"/>
    <col min="14361" max="14361" customWidth="1" bestFit="1" width="3.0" style="763"/>
    <col min="14362" max="14362" customWidth="1" bestFit="1" width="3.0" style="763"/>
    <col min="14363" max="14363" customWidth="1" bestFit="1" width="3.0" style="763"/>
    <col min="14364" max="14364" customWidth="1" bestFit="1" width="3.0" style="763"/>
    <col min="14365" max="14365" customWidth="1" bestFit="1" width="3.0" style="763"/>
    <col min="14366" max="14366" customWidth="1" bestFit="1" width="3.0" style="763"/>
    <col min="14367" max="14367" customWidth="1" bestFit="1" width="3.0" style="763"/>
    <col min="14368" max="14368" customWidth="1" bestFit="1" width="3.0" style="763"/>
    <col min="14369" max="14369" customWidth="1" bestFit="1" width="3.0" style="763"/>
    <col min="14370" max="14370" customWidth="1" bestFit="1" width="3.0" style="763"/>
    <col min="14371" max="14371" customWidth="1" bestFit="1" width="3.0" style="763"/>
    <col min="14372" max="14372" customWidth="1" bestFit="1" width="3.0" style="763"/>
    <col min="14373" max="14373" customWidth="1" bestFit="1" width="3.0" style="763"/>
    <col min="14374" max="14374" customWidth="1" bestFit="1" width="3.0" style="763"/>
    <col min="14375" max="14375" customWidth="1" bestFit="1" width="3.0" style="763"/>
    <col min="14376" max="14376" customWidth="1" bestFit="1" width="3.0" style="763"/>
    <col min="14377" max="14377" customWidth="1" bestFit="1" width="3.0" style="763"/>
    <col min="14378" max="14378" customWidth="1" bestFit="1" width="3.0" style="763"/>
    <col min="14379" max="14379" customWidth="1" bestFit="1" width="3.0" style="763"/>
    <col min="14380" max="14380" customWidth="1" bestFit="1" width="3.0" style="763"/>
    <col min="14381" max="14381" customWidth="1" bestFit="1" width="3.0" style="763"/>
    <col min="14382" max="14382" customWidth="1" bestFit="1" width="3.0" style="763"/>
    <col min="14383" max="14383" customWidth="1" bestFit="1" width="3.0" style="763"/>
    <col min="14384" max="14384" customWidth="1" bestFit="1" width="3.0" style="763"/>
    <col min="14385" max="14385" customWidth="1" bestFit="1" width="3.0" style="763"/>
    <col min="14386" max="14386" customWidth="1" bestFit="1" width="3.0" style="763"/>
    <col min="14387" max="14387" customWidth="1" bestFit="1" width="3.0" style="763"/>
    <col min="14388" max="14388" customWidth="1" bestFit="1" width="3.0" style="763"/>
    <col min="14389" max="14389" customWidth="1" bestFit="1" width="3.0" style="763"/>
    <col min="14390" max="14390" customWidth="1" bestFit="1" width="3.0" style="763"/>
    <col min="14391" max="14391" customWidth="1" bestFit="1" width="3.0" style="763"/>
    <col min="14392" max="14392" customWidth="1" bestFit="1" width="3.0" style="763"/>
    <col min="14393" max="14393" customWidth="1" bestFit="1" width="3.0" style="763"/>
    <col min="14394" max="14394" customWidth="1" bestFit="1" width="3.0" style="763"/>
    <col min="14395" max="14395" customWidth="1" bestFit="1" width="3.0" style="763"/>
    <col min="14396" max="14396" customWidth="1" bestFit="1" width="3.0" style="763"/>
    <col min="14397" max="14397" customWidth="1" bestFit="1" width="3.0" style="763"/>
    <col min="14398" max="14398" customWidth="1" bestFit="1" width="3.0" style="763"/>
    <col min="14399" max="14399" customWidth="1" bestFit="1" width="3.0" style="763"/>
    <col min="14400" max="14400" customWidth="1" bestFit="1" width="3.0" style="763"/>
    <col min="14401" max="14401" customWidth="1" bestFit="1" width="3.0" style="763"/>
    <col min="14402" max="14402" customWidth="1" bestFit="1" width="3.0" style="763"/>
    <col min="14403" max="14403" customWidth="1" bestFit="1" width="3.0" style="763"/>
    <col min="14404" max="14404" customWidth="1" bestFit="1" width="3.0" style="763"/>
    <col min="14405" max="14405" customWidth="1" bestFit="1" width="3.0" style="763"/>
    <col min="14406" max="14406" customWidth="1" bestFit="1" width="3.0" style="763"/>
    <col min="14407" max="14407" customWidth="1" bestFit="1" width="3.0" style="763"/>
    <col min="14408" max="14408" customWidth="1" bestFit="1" width="3.0" style="763"/>
    <col min="14409" max="14409" customWidth="1" bestFit="1" width="3.0" style="763"/>
    <col min="14410" max="14410" customWidth="1" bestFit="1" width="3.0" style="763"/>
    <col min="14411" max="14411" customWidth="1" bestFit="1" width="3.0" style="763"/>
    <col min="14412" max="14412" customWidth="1" bestFit="1" width="3.0" style="763"/>
    <col min="14413" max="14413" customWidth="1" bestFit="1" width="3.0" style="763"/>
    <col min="14414" max="14414" customWidth="1" bestFit="1" width="3.0" style="763"/>
    <col min="14415" max="14415" customWidth="1" bestFit="1" width="3.0" style="763"/>
    <col min="14416" max="14416" customWidth="1" bestFit="1" width="3.0" style="763"/>
    <col min="14417" max="14417" customWidth="1" bestFit="1" width="3.0" style="763"/>
    <col min="14418" max="14418" customWidth="1" bestFit="1" width="3.0" style="763"/>
    <col min="14419" max="14419" customWidth="1" bestFit="1" width="3.0" style="763"/>
    <col min="14420" max="14420" customWidth="1" bestFit="1" width="3.0" style="763"/>
    <col min="14421" max="14421" customWidth="1" bestFit="1" width="3.0" style="763"/>
    <col min="14422" max="14422" customWidth="1" bestFit="1" width="3.0" style="763"/>
    <col min="14423" max="14423" customWidth="1" bestFit="1" width="3.0" style="763"/>
    <col min="14424" max="14424" customWidth="1" bestFit="1" width="3.0" style="763"/>
    <col min="14425" max="14425" customWidth="1" bestFit="1" width="3.0" style="763"/>
    <col min="14426" max="14426" customWidth="1" bestFit="1" width="3.0" style="763"/>
    <col min="14427" max="14427" customWidth="1" bestFit="1" width="3.0" style="763"/>
    <col min="14428" max="14428" customWidth="1" bestFit="1" width="3.0" style="763"/>
    <col min="14429" max="14429" customWidth="1" bestFit="1" width="3.0" style="763"/>
    <col min="14430" max="14430" customWidth="1" bestFit="1" width="3.0" style="763"/>
    <col min="14431" max="14431" customWidth="1" bestFit="1" width="3.0" style="763"/>
    <col min="14432" max="14432" customWidth="1" bestFit="1" width="3.0" style="763"/>
    <col min="14433" max="14433" customWidth="1" bestFit="1" width="3.0" style="763"/>
    <col min="14434" max="14434" customWidth="1" bestFit="1" width="3.0" style="763"/>
    <col min="14435" max="14435" customWidth="1" bestFit="1" width="3.0" style="763"/>
    <col min="14436" max="14436" customWidth="1" bestFit="1" width="3.0" style="763"/>
    <col min="14437" max="14437" customWidth="1" bestFit="1" width="3.0" style="763"/>
    <col min="14438" max="14438" customWidth="1" bestFit="1" width="3.0" style="763"/>
    <col min="14439" max="14439" customWidth="1" bestFit="1" width="3.0" style="763"/>
    <col min="14440" max="14440" customWidth="1" bestFit="1" width="3.0" style="763"/>
    <col min="14441" max="14441" customWidth="1" bestFit="1" width="3.0" style="763"/>
    <col min="14442" max="14442" customWidth="1" bestFit="1" width="3.0" style="763"/>
    <col min="14443" max="14443" customWidth="1" bestFit="1" width="3.0" style="763"/>
    <col min="14444" max="14444" customWidth="1" bestFit="1" width="3.0" style="763"/>
    <col min="14445" max="14445" customWidth="1" bestFit="1" width="3.0" style="763"/>
    <col min="14446" max="14446" customWidth="1" bestFit="1" width="3.0" style="763"/>
    <col min="14447" max="14447" customWidth="1" bestFit="1" width="3.0" style="763"/>
    <col min="14448" max="14448" customWidth="1" bestFit="1" width="3.0" style="763"/>
    <col min="14449" max="14449" customWidth="1" bestFit="1" width="3.0" style="763"/>
    <col min="14450" max="14450" customWidth="1" bestFit="1" width="3.0" style="763"/>
    <col min="14451" max="14451" customWidth="1" bestFit="1" width="3.0" style="763"/>
    <col min="14452" max="14452" customWidth="1" bestFit="1" width="3.0" style="763"/>
    <col min="14453" max="14453" customWidth="1" bestFit="1" width="3.0" style="763"/>
    <col min="14454" max="14454" customWidth="1" bestFit="1" width="3.0" style="763"/>
    <col min="14455" max="14455" customWidth="1" bestFit="1" width="3.0" style="763"/>
    <col min="14456" max="14456" customWidth="1" bestFit="1" width="3.0" style="763"/>
    <col min="14457" max="14457" customWidth="1" bestFit="1" width="3.0" style="763"/>
    <col min="14458" max="14458" customWidth="1" bestFit="1" width="3.0" style="763"/>
    <col min="14459" max="14459" customWidth="1" bestFit="1" width="3.0" style="763"/>
    <col min="14460" max="14460" customWidth="1" bestFit="1" width="3.0" style="763"/>
    <col min="14461" max="14461" customWidth="1" bestFit="1" width="3.0" style="763"/>
    <col min="14462" max="14462" customWidth="1" bestFit="1" width="3.0" style="763"/>
    <col min="14463" max="14463" customWidth="1" bestFit="1" width="3.0" style="763"/>
    <col min="14464" max="14464" customWidth="1" bestFit="1" width="3.0" style="763"/>
    <col min="14465" max="14465" customWidth="1" bestFit="1" width="3.0" style="763"/>
    <col min="14466" max="14466" customWidth="1" bestFit="1" width="3.0" style="763"/>
    <col min="14467" max="14467" customWidth="1" bestFit="1" width="3.0" style="763"/>
    <col min="14468" max="14468" customWidth="1" bestFit="1" width="3.0" style="763"/>
    <col min="14469" max="14469" customWidth="1" bestFit="1" width="3.0" style="763"/>
    <col min="14470" max="14470" customWidth="1" bestFit="1" width="3.0" style="763"/>
    <col min="14471" max="14471" customWidth="1" bestFit="1" width="3.0" style="763"/>
    <col min="14472" max="14472" customWidth="1" bestFit="1" width="3.0" style="763"/>
    <col min="14473" max="14473" customWidth="1" bestFit="1" width="3.0" style="763"/>
    <col min="14474" max="14474" customWidth="1" bestFit="1" width="3.0" style="763"/>
    <col min="14475" max="14475" customWidth="1" bestFit="1" width="3.0" style="763"/>
    <col min="14476" max="14476" customWidth="1" bestFit="1" width="3.0" style="763"/>
    <col min="14477" max="14477" customWidth="1" bestFit="1" width="3.0" style="763"/>
    <col min="14478" max="14478" customWidth="1" bestFit="1" width="3.0" style="763"/>
    <col min="14479" max="14479" customWidth="1" bestFit="1" width="3.0" style="763"/>
    <col min="14480" max="14480" customWidth="1" bestFit="1" width="3.0" style="763"/>
    <col min="14481" max="14481" customWidth="1" bestFit="1" width="3.0" style="763"/>
    <col min="14482" max="14482" customWidth="1" bestFit="1" width="3.0" style="763"/>
    <col min="14483" max="14483" customWidth="1" bestFit="1" width="3.0" style="763"/>
    <col min="14484" max="14484" customWidth="1" bestFit="1" width="3.0" style="763"/>
    <col min="14485" max="14485" customWidth="1" bestFit="1" width="3.0" style="763"/>
    <col min="14486" max="14486" customWidth="1" bestFit="1" width="3.0" style="763"/>
    <col min="14487" max="14487" customWidth="1" bestFit="1" width="3.0" style="763"/>
    <col min="14488" max="14488" customWidth="1" bestFit="1" width="3.0" style="763"/>
    <col min="14489" max="14489" customWidth="1" bestFit="1" width="3.0" style="763"/>
    <col min="14490" max="14490" customWidth="1" bestFit="1" width="3.0" style="763"/>
    <col min="14491" max="14491" customWidth="1" bestFit="1" width="3.0" style="763"/>
    <col min="14492" max="14492" customWidth="1" bestFit="1" width="3.0" style="763"/>
    <col min="14493" max="14493" customWidth="1" bestFit="1" width="3.0" style="763"/>
    <col min="14494" max="14494" customWidth="1" bestFit="1" width="3.0" style="763"/>
    <col min="14495" max="14495" customWidth="1" bestFit="1" width="3.0" style="763"/>
    <col min="14496" max="14496" customWidth="1" bestFit="1" width="3.0" style="763"/>
    <col min="14497" max="14497" customWidth="1" bestFit="1" width="3.0" style="763"/>
    <col min="14498" max="14498" customWidth="1" bestFit="1" width="3.0" style="763"/>
    <col min="14499" max="14499" customWidth="1" bestFit="1" width="3.0" style="763"/>
    <col min="14500" max="14500" customWidth="1" bestFit="1" width="3.0" style="763"/>
    <col min="14501" max="14501" customWidth="1" bestFit="1" width="3.0" style="763"/>
    <col min="14502" max="14502" customWidth="1" bestFit="1" width="3.0" style="763"/>
    <col min="14503" max="14503" customWidth="1" bestFit="1" width="3.0" style="763"/>
    <col min="14504" max="14504" customWidth="1" bestFit="1" width="3.0" style="763"/>
    <col min="14505" max="14505" customWidth="1" bestFit="1" width="3.0" style="763"/>
    <col min="14506" max="14506" customWidth="1" bestFit="1" width="3.0" style="763"/>
    <col min="14507" max="14507" customWidth="1" bestFit="1" width="3.0" style="763"/>
    <col min="14508" max="14508" customWidth="1" bestFit="1" width="3.0" style="763"/>
    <col min="14509" max="14509" customWidth="1" bestFit="1" width="3.0" style="763"/>
    <col min="14510" max="14510" customWidth="1" bestFit="1" width="3.0" style="763"/>
    <col min="14511" max="14511" customWidth="1" bestFit="1" width="3.0" style="763"/>
    <col min="14512" max="14512" customWidth="1" bestFit="1" width="3.0" style="763"/>
    <col min="14513" max="14513" customWidth="1" bestFit="1" width="3.0" style="763"/>
    <col min="14514" max="14514" customWidth="1" bestFit="1" width="3.0" style="763"/>
    <col min="14515" max="14515" customWidth="1" bestFit="1" width="3.0" style="763"/>
    <col min="14516" max="14516" customWidth="1" bestFit="1" width="3.0" style="763"/>
    <col min="14517" max="14517" customWidth="1" bestFit="1" width="3.0" style="763"/>
    <col min="14518" max="14518" customWidth="1" bestFit="1" width="3.0" style="763"/>
    <col min="14519" max="14519" customWidth="1" bestFit="1" width="3.0" style="763"/>
    <col min="14520" max="14520" customWidth="1" bestFit="1" width="3.0" style="763"/>
    <col min="14521" max="14521" customWidth="1" bestFit="1" width="3.0" style="763"/>
    <col min="14522" max="14522" customWidth="1" bestFit="1" width="3.0" style="763"/>
    <col min="14523" max="14523" customWidth="1" bestFit="1" width="3.0" style="763"/>
    <col min="14524" max="14524" customWidth="1" bestFit="1" width="3.0" style="763"/>
    <col min="14525" max="14525" customWidth="1" bestFit="1" width="3.0" style="763"/>
    <col min="14526" max="14526" customWidth="1" bestFit="1" width="3.0" style="763"/>
    <col min="14527" max="14527" customWidth="1" bestFit="1" width="3.0" style="763"/>
    <col min="14528" max="14528" customWidth="1" bestFit="1" width="3.0" style="763"/>
    <col min="14529" max="14529" customWidth="1" bestFit="1" width="3.0" style="763"/>
    <col min="14530" max="14530" customWidth="1" bestFit="1" width="3.0" style="763"/>
    <col min="14531" max="14531" customWidth="1" bestFit="1" width="3.0" style="763"/>
    <col min="14532" max="14532" customWidth="1" bestFit="1" width="3.0" style="763"/>
    <col min="14533" max="14533" customWidth="1" bestFit="1" width="3.0" style="763"/>
    <col min="14534" max="14534" customWidth="1" bestFit="1" width="3.0" style="763"/>
    <col min="14535" max="14535" customWidth="1" bestFit="1" width="3.0" style="763"/>
    <col min="14536" max="14536" customWidth="1" bestFit="1" width="3.0" style="763"/>
    <col min="14537" max="14537" customWidth="1" bestFit="1" width="3.0" style="763"/>
    <col min="14538" max="14538" customWidth="1" bestFit="1" width="3.0" style="763"/>
    <col min="14539" max="14539" customWidth="1" bestFit="1" width="3.0" style="763"/>
    <col min="14540" max="14540" customWidth="1" bestFit="1" width="3.0" style="763"/>
    <col min="14541" max="14541" customWidth="1" bestFit="1" width="3.0" style="763"/>
    <col min="14542" max="14542" customWidth="1" bestFit="1" width="3.0" style="763"/>
    <col min="14543" max="14543" customWidth="1" bestFit="1" width="3.0" style="763"/>
    <col min="14544" max="14544" customWidth="1" bestFit="1" width="3.0" style="763"/>
    <col min="14545" max="14545" customWidth="1" bestFit="1" width="3.0" style="763"/>
    <col min="14546" max="14546" customWidth="1" bestFit="1" width="3.0" style="763"/>
    <col min="14547" max="14547" customWidth="1" bestFit="1" width="3.0" style="763"/>
    <col min="14548" max="14548" customWidth="1" bestFit="1" width="3.0" style="763"/>
    <col min="14549" max="14549" customWidth="1" bestFit="1" width="3.0" style="763"/>
    <col min="14550" max="14550" customWidth="1" bestFit="1" width="3.0" style="763"/>
    <col min="14551" max="14551" customWidth="1" bestFit="1" width="3.0" style="763"/>
    <col min="14552" max="14552" customWidth="1" bestFit="1" width="3.0" style="763"/>
    <col min="14553" max="14553" customWidth="1" bestFit="1" width="3.0" style="763"/>
    <col min="14554" max="14554" customWidth="1" bestFit="1" width="3.0" style="763"/>
    <col min="14555" max="14555" customWidth="1" bestFit="1" width="3.0" style="763"/>
    <col min="14556" max="14556" customWidth="1" bestFit="1" width="3.0" style="763"/>
    <col min="14557" max="14557" customWidth="1" bestFit="1" width="3.0" style="763"/>
    <col min="14558" max="14558" customWidth="1" bestFit="1" width="3.0" style="763"/>
    <col min="14559" max="14559" customWidth="1" bestFit="1" width="3.0" style="763"/>
    <col min="14560" max="14560" customWidth="1" bestFit="1" width="3.0" style="763"/>
    <col min="14561" max="14561" customWidth="1" bestFit="1" width="3.0" style="763"/>
    <col min="14562" max="14562" customWidth="1" bestFit="1" width="3.0" style="763"/>
    <col min="14563" max="14563" customWidth="1" bestFit="1" width="3.0" style="763"/>
    <col min="14564" max="14564" customWidth="1" bestFit="1" width="3.0" style="763"/>
    <col min="14565" max="14565" customWidth="1" bestFit="1" width="3.0" style="763"/>
    <col min="14566" max="14566" customWidth="1" bestFit="1" width="3.0" style="763"/>
    <col min="14567" max="14567" customWidth="1" bestFit="1" width="3.0" style="763"/>
    <col min="14568" max="14568" customWidth="1" bestFit="1" width="3.0" style="763"/>
    <col min="14569" max="14569" customWidth="1" bestFit="1" width="3.0" style="763"/>
    <col min="14570" max="14570" customWidth="1" bestFit="1" width="3.0" style="763"/>
    <col min="14571" max="14571" customWidth="1" bestFit="1" width="3.0" style="763"/>
    <col min="14572" max="14572" customWidth="1" bestFit="1" width="3.0" style="763"/>
    <col min="14573" max="14573" customWidth="1" bestFit="1" width="3.0" style="763"/>
    <col min="14574" max="14574" customWidth="1" bestFit="1" width="3.0" style="763"/>
    <col min="14575" max="14575" customWidth="1" bestFit="1" width="3.0" style="763"/>
    <col min="14576" max="14576" customWidth="1" bestFit="1" width="3.0" style="763"/>
    <col min="14577" max="14577" customWidth="1" bestFit="1" width="3.0" style="763"/>
    <col min="14578" max="14578" customWidth="1" bestFit="1" width="3.0" style="763"/>
    <col min="14579" max="14579" customWidth="1" bestFit="1" width="3.0" style="763"/>
    <col min="14580" max="14580" customWidth="1" bestFit="1" width="3.0" style="763"/>
    <col min="14581" max="14581" customWidth="1" bestFit="1" width="3.0" style="763"/>
    <col min="14582" max="14582" customWidth="1" bestFit="1" width="3.0" style="763"/>
    <col min="14583" max="14583" customWidth="1" bestFit="1" width="3.0" style="763"/>
    <col min="14584" max="14584" customWidth="1" bestFit="1" width="3.0" style="763"/>
    <col min="14585" max="14585" customWidth="1" bestFit="1" width="3.0" style="763"/>
    <col min="14586" max="14586" customWidth="1" bestFit="1" width="3.0" style="763"/>
    <col min="14587" max="14587" customWidth="1" bestFit="1" width="3.0" style="763"/>
    <col min="14588" max="14588" customWidth="1" bestFit="1" width="3.0" style="763"/>
    <col min="14589" max="14589" customWidth="1" bestFit="1" width="3.0" style="763"/>
    <col min="14590" max="14590" customWidth="1" bestFit="1" width="3.0" style="763"/>
    <col min="14591" max="14591" customWidth="1" bestFit="1" width="3.0" style="763"/>
    <col min="14592" max="14592" customWidth="1" bestFit="1" width="3.0" style="763"/>
    <col min="14593" max="14593" customWidth="1" bestFit="1" width="3.0" style="763"/>
    <col min="14594" max="14594" customWidth="1" bestFit="1" width="3.0" style="763"/>
    <col min="14595" max="14595" customWidth="1" bestFit="1" width="3.0" style="763"/>
    <col min="14596" max="14596" customWidth="1" bestFit="1" width="3.0" style="763"/>
    <col min="14597" max="14597" customWidth="1" bestFit="1" width="3.0" style="763"/>
    <col min="14598" max="14598" customWidth="1" bestFit="1" width="3.0" style="763"/>
    <col min="14599" max="14599" customWidth="1" bestFit="1" width="3.0" style="763"/>
    <col min="14600" max="14600" customWidth="1" bestFit="1" width="3.0" style="763"/>
    <col min="14601" max="14601" customWidth="1" bestFit="1" width="3.0" style="763"/>
    <col min="14602" max="14602" customWidth="1" bestFit="1" width="3.0" style="763"/>
    <col min="14603" max="14603" customWidth="1" bestFit="1" width="3.0" style="763"/>
    <col min="14604" max="14604" customWidth="1" bestFit="1" width="3.0" style="763"/>
    <col min="14605" max="14605" customWidth="1" bestFit="1" width="3.0" style="763"/>
    <col min="14606" max="14606" customWidth="1" bestFit="1" width="3.0" style="763"/>
    <col min="14607" max="14607" customWidth="1" bestFit="1" width="3.0" style="763"/>
    <col min="14608" max="14608" customWidth="1" bestFit="1" width="3.0" style="763"/>
    <col min="14609" max="14609" customWidth="1" bestFit="1" width="3.0" style="763"/>
    <col min="14610" max="14610" customWidth="1" bestFit="1" width="3.0" style="763"/>
    <col min="14611" max="14611" customWidth="1" bestFit="1" width="3.0" style="763"/>
    <col min="14612" max="14612" customWidth="1" bestFit="1" width="3.0" style="763"/>
    <col min="14613" max="14613" customWidth="1" bestFit="1" width="3.0" style="763"/>
    <col min="14614" max="14614" customWidth="1" bestFit="1" width="3.0" style="763"/>
    <col min="14615" max="14615" customWidth="1" bestFit="1" width="3.0" style="763"/>
    <col min="14616" max="14616" customWidth="1" bestFit="1" width="3.0" style="763"/>
    <col min="14617" max="14617" customWidth="1" bestFit="1" width="3.0" style="763"/>
    <col min="14618" max="14618" customWidth="1" bestFit="1" width="3.0" style="763"/>
    <col min="14619" max="14619" customWidth="1" bestFit="1" width="3.0" style="763"/>
    <col min="14620" max="14620" customWidth="1" bestFit="1" width="3.0" style="763"/>
    <col min="14621" max="14621" customWidth="1" bestFit="1" width="3.0" style="763"/>
    <col min="14622" max="14622" customWidth="1" bestFit="1" width="3.0" style="763"/>
    <col min="14623" max="14623" customWidth="1" bestFit="1" width="3.0" style="763"/>
    <col min="14624" max="14624" customWidth="1" bestFit="1" width="3.0" style="763"/>
    <col min="14625" max="14625" customWidth="1" bestFit="1" width="3.0" style="763"/>
    <col min="14626" max="14626" customWidth="1" bestFit="1" width="3.0" style="763"/>
    <col min="14627" max="14627" customWidth="1" bestFit="1" width="3.0" style="763"/>
    <col min="14628" max="14628" customWidth="1" bestFit="1" width="3.0" style="763"/>
    <col min="14629" max="14629" customWidth="1" bestFit="1" width="3.0" style="763"/>
    <col min="14630" max="14630" customWidth="1" bestFit="1" width="3.0" style="763"/>
    <col min="14631" max="14631" customWidth="1" bestFit="1" width="3.0" style="763"/>
    <col min="14632" max="14632" customWidth="1" bestFit="1" width="3.0" style="763"/>
    <col min="14633" max="14633" customWidth="1" bestFit="1" width="3.0" style="763"/>
    <col min="14634" max="14634" customWidth="1" bestFit="1" width="3.0" style="763"/>
    <col min="14635" max="14635" customWidth="1" bestFit="1" width="3.0" style="763"/>
    <col min="14636" max="14636" customWidth="1" bestFit="1" width="3.0" style="763"/>
    <col min="14637" max="14637" customWidth="1" bestFit="1" width="3.0" style="763"/>
    <col min="14638" max="14638" customWidth="1" bestFit="1" width="3.0" style="763"/>
    <col min="14639" max="14639" customWidth="1" bestFit="1" width="3.0" style="763"/>
    <col min="14640" max="14640" customWidth="1" bestFit="1" width="3.0" style="763"/>
    <col min="14641" max="14641" customWidth="1" bestFit="1" width="3.0" style="763"/>
    <col min="14642" max="14642" customWidth="1" bestFit="1" width="3.0" style="763"/>
    <col min="14643" max="14643" customWidth="1" bestFit="1" width="3.0" style="763"/>
    <col min="14644" max="14644" customWidth="1" bestFit="1" width="3.0" style="763"/>
    <col min="14645" max="14645" customWidth="1" bestFit="1" width="3.0" style="763"/>
    <col min="14646" max="14646" customWidth="1" bestFit="1" width="3.0" style="763"/>
    <col min="14647" max="14647" customWidth="1" bestFit="1" width="3.0" style="763"/>
    <col min="14648" max="14648" customWidth="1" bestFit="1" width="3.0" style="763"/>
    <col min="14649" max="14649" customWidth="1" bestFit="1" width="3.0" style="763"/>
    <col min="14650" max="14650" customWidth="1" bestFit="1" width="3.0" style="763"/>
    <col min="14651" max="14651" customWidth="1" bestFit="1" width="3.0" style="763"/>
    <col min="14652" max="14652" customWidth="1" bestFit="1" width="3.0" style="763"/>
    <col min="14653" max="14653" customWidth="1" bestFit="1" width="3.0" style="763"/>
    <col min="14654" max="14654" customWidth="1" bestFit="1" width="3.0" style="763"/>
    <col min="14655" max="14655" customWidth="1" bestFit="1" width="3.0" style="763"/>
    <col min="14656" max="14656" customWidth="1" bestFit="1" width="3.0" style="763"/>
    <col min="14657" max="14657" customWidth="1" bestFit="1" width="3.0" style="763"/>
    <col min="14658" max="14658" customWidth="1" bestFit="1" width="3.0" style="763"/>
    <col min="14659" max="14659" customWidth="1" bestFit="1" width="3.0" style="763"/>
    <col min="14660" max="14660" customWidth="1" bestFit="1" width="3.0" style="763"/>
    <col min="14661" max="14661" customWidth="1" bestFit="1" width="3.0" style="763"/>
    <col min="14662" max="14662" customWidth="1" bestFit="1" width="3.0" style="763"/>
    <col min="14663" max="14663" customWidth="1" bestFit="1" width="3.0" style="763"/>
    <col min="14664" max="14664" customWidth="1" bestFit="1" width="3.0" style="763"/>
    <col min="14665" max="14665" customWidth="1" bestFit="1" width="3.0" style="763"/>
    <col min="14666" max="14666" customWidth="1" bestFit="1" width="3.0" style="763"/>
    <col min="14667" max="14667" customWidth="1" bestFit="1" width="3.0" style="763"/>
    <col min="14668" max="14668" customWidth="1" bestFit="1" width="3.0" style="763"/>
    <col min="14669" max="14669" customWidth="1" bestFit="1" width="3.0" style="763"/>
    <col min="14670" max="14670" customWidth="1" bestFit="1" width="3.0" style="763"/>
    <col min="14671" max="14671" customWidth="1" bestFit="1" width="3.0" style="763"/>
    <col min="14672" max="14672" customWidth="1" bestFit="1" width="3.0" style="763"/>
    <col min="14673" max="14673" customWidth="1" bestFit="1" width="3.0" style="763"/>
    <col min="14674" max="14674" customWidth="1" bestFit="1" width="3.0" style="763"/>
    <col min="14675" max="14675" customWidth="1" bestFit="1" width="3.0" style="763"/>
    <col min="14676" max="14676" customWidth="1" bestFit="1" width="3.0" style="763"/>
    <col min="14677" max="14677" customWidth="1" bestFit="1" width="3.0" style="763"/>
    <col min="14678" max="14678" customWidth="1" bestFit="1" width="3.0" style="763"/>
    <col min="14679" max="14679" customWidth="1" bestFit="1" width="3.0" style="763"/>
    <col min="14680" max="14680" customWidth="1" bestFit="1" width="3.0" style="763"/>
    <col min="14681" max="14681" customWidth="1" bestFit="1" width="3.0" style="763"/>
    <col min="14682" max="14682" customWidth="1" bestFit="1" width="3.0" style="763"/>
    <col min="14683" max="14683" customWidth="1" bestFit="1" width="3.0" style="763"/>
    <col min="14684" max="14684" customWidth="1" bestFit="1" width="3.0" style="763"/>
    <col min="14685" max="14685" customWidth="1" bestFit="1" width="3.0" style="763"/>
    <col min="14686" max="14686" customWidth="1" bestFit="1" width="3.0" style="763"/>
    <col min="14687" max="14687" customWidth="1" bestFit="1" width="3.0" style="763"/>
    <col min="14688" max="14688" customWidth="1" bestFit="1" width="3.0" style="763"/>
    <col min="14689" max="14689" customWidth="1" bestFit="1" width="3.0" style="763"/>
    <col min="14690" max="14690" customWidth="1" bestFit="1" width="3.0" style="763"/>
    <col min="14691" max="14691" customWidth="1" bestFit="1" width="3.0" style="763"/>
    <col min="14692" max="14692" customWidth="1" bestFit="1" width="3.0" style="763"/>
    <col min="14693" max="14693" customWidth="1" bestFit="1" width="3.0" style="763"/>
    <col min="14694" max="14694" customWidth="1" bestFit="1" width="3.0" style="763"/>
    <col min="14695" max="14695" customWidth="1" bestFit="1" width="3.0" style="763"/>
    <col min="14696" max="14696" customWidth="1" bestFit="1" width="3.0" style="763"/>
    <col min="14697" max="14697" customWidth="1" bestFit="1" width="3.0" style="763"/>
    <col min="14698" max="14698" customWidth="1" bestFit="1" width="3.0" style="763"/>
    <col min="14699" max="14699" customWidth="1" bestFit="1" width="3.0" style="763"/>
    <col min="14700" max="14700" customWidth="1" bestFit="1" width="3.0" style="763"/>
    <col min="14701" max="14701" customWidth="1" bestFit="1" width="3.0" style="763"/>
    <col min="14702" max="14702" customWidth="1" bestFit="1" width="3.0" style="763"/>
    <col min="14703" max="14703" customWidth="1" bestFit="1" width="3.0" style="763"/>
    <col min="14704" max="14704" customWidth="1" bestFit="1" width="3.0" style="763"/>
    <col min="14705" max="14705" customWidth="1" bestFit="1" width="3.0" style="763"/>
    <col min="14706" max="14706" customWidth="1" bestFit="1" width="3.0" style="763"/>
    <col min="14707" max="14707" customWidth="1" bestFit="1" width="3.0" style="763"/>
    <col min="14708" max="14708" customWidth="1" bestFit="1" width="3.0" style="763"/>
    <col min="14709" max="14709" customWidth="1" bestFit="1" width="3.0" style="763"/>
    <col min="14710" max="14710" customWidth="1" bestFit="1" width="3.0" style="763"/>
    <col min="14711" max="14711" customWidth="1" bestFit="1" width="3.0" style="763"/>
    <col min="14712" max="14712" customWidth="1" bestFit="1" width="3.0" style="763"/>
    <col min="14713" max="14713" customWidth="1" bestFit="1" width="3.0" style="763"/>
    <col min="14714" max="14714" customWidth="1" bestFit="1" width="3.0" style="763"/>
    <col min="14715" max="14715" customWidth="1" bestFit="1" width="3.0" style="763"/>
    <col min="14716" max="14716" customWidth="1" bestFit="1" width="3.0" style="763"/>
    <col min="14717" max="14717" customWidth="1" bestFit="1" width="3.0" style="763"/>
    <col min="14718" max="14718" customWidth="1" bestFit="1" width="3.0" style="763"/>
    <col min="14719" max="14719" customWidth="1" bestFit="1" width="3.0" style="763"/>
    <col min="14720" max="14720" customWidth="1" bestFit="1" width="3.0" style="763"/>
    <col min="14721" max="14721" customWidth="1" bestFit="1" width="3.0" style="763"/>
    <col min="14722" max="14722" customWidth="1" bestFit="1" width="3.0" style="763"/>
    <col min="14723" max="14723" customWidth="1" bestFit="1" width="3.0" style="763"/>
    <col min="14724" max="14724" customWidth="1" bestFit="1" width="3.0" style="763"/>
    <col min="14725" max="14725" customWidth="1" bestFit="1" width="3.0" style="763"/>
    <col min="14726" max="14726" customWidth="1" bestFit="1" width="3.0" style="763"/>
    <col min="14727" max="14727" customWidth="1" bestFit="1" width="3.0" style="763"/>
    <col min="14728" max="14728" customWidth="1" bestFit="1" width="3.0" style="763"/>
    <col min="14729" max="14729" customWidth="1" bestFit="1" width="3.0" style="763"/>
    <col min="14730" max="14730" customWidth="1" bestFit="1" width="3.0" style="763"/>
    <col min="14731" max="14731" customWidth="1" bestFit="1" width="3.0" style="763"/>
    <col min="14732" max="14732" customWidth="1" bestFit="1" width="3.0" style="763"/>
    <col min="14733" max="14733" customWidth="1" bestFit="1" width="3.0" style="763"/>
    <col min="14734" max="14734" customWidth="1" bestFit="1" width="3.0" style="763"/>
    <col min="14735" max="14735" customWidth="1" bestFit="1" width="3.0" style="763"/>
    <col min="14736" max="14736" customWidth="1" bestFit="1" width="3.0" style="763"/>
    <col min="14737" max="14737" customWidth="1" bestFit="1" width="3.0" style="763"/>
    <col min="14738" max="14738" customWidth="1" bestFit="1" width="3.0" style="763"/>
    <col min="14739" max="14739" customWidth="1" bestFit="1" width="3.0" style="763"/>
    <col min="14740" max="14740" customWidth="1" bestFit="1" width="3.0" style="763"/>
    <col min="14741" max="14741" customWidth="1" bestFit="1" width="3.0" style="763"/>
    <col min="14742" max="14742" customWidth="1" bestFit="1" width="3.0" style="763"/>
    <col min="14743" max="14743" customWidth="1" bestFit="1" width="3.0" style="763"/>
    <col min="14744" max="14744" customWidth="1" bestFit="1" width="3.0" style="763"/>
    <col min="14745" max="14745" customWidth="1" bestFit="1" width="3.0" style="763"/>
    <col min="14746" max="14746" customWidth="1" bestFit="1" width="3.0" style="763"/>
    <col min="14747" max="14747" customWidth="1" bestFit="1" width="3.0" style="763"/>
    <col min="14748" max="14748" customWidth="1" bestFit="1" width="3.0" style="763"/>
    <col min="14749" max="14749" customWidth="1" bestFit="1" width="3.0" style="763"/>
    <col min="14750" max="14750" customWidth="1" bestFit="1" width="3.0" style="763"/>
    <col min="14751" max="14751" customWidth="1" bestFit="1" width="3.0" style="763"/>
    <col min="14752" max="14752" customWidth="1" bestFit="1" width="3.0" style="763"/>
    <col min="14753" max="14753" customWidth="1" bestFit="1" width="3.0" style="763"/>
    <col min="14754" max="14754" customWidth="1" bestFit="1" width="3.0" style="763"/>
    <col min="14755" max="14755" customWidth="1" bestFit="1" width="3.0" style="763"/>
    <col min="14756" max="14756" customWidth="1" bestFit="1" width="3.0" style="763"/>
    <col min="14757" max="14757" customWidth="1" bestFit="1" width="3.0" style="763"/>
    <col min="14758" max="14758" customWidth="1" bestFit="1" width="3.0" style="763"/>
    <col min="14759" max="14759" customWidth="1" bestFit="1" width="3.0" style="763"/>
    <col min="14760" max="14760" customWidth="1" bestFit="1" width="3.0" style="763"/>
    <col min="14761" max="14761" customWidth="1" bestFit="1" width="3.0" style="763"/>
    <col min="14762" max="14762" customWidth="1" bestFit="1" width="3.0" style="763"/>
    <col min="14763" max="14763" customWidth="1" bestFit="1" width="3.0" style="763"/>
    <col min="14764" max="14764" customWidth="1" bestFit="1" width="3.0" style="763"/>
    <col min="14765" max="14765" customWidth="1" bestFit="1" width="3.0" style="763"/>
    <col min="14766" max="14766" customWidth="1" bestFit="1" width="3.0" style="763"/>
    <col min="14767" max="14767" customWidth="1" bestFit="1" width="3.0" style="763"/>
    <col min="14768" max="14768" customWidth="1" bestFit="1" width="3.0" style="763"/>
    <col min="14769" max="14769" customWidth="1" bestFit="1" width="3.0" style="763"/>
    <col min="14770" max="14770" customWidth="1" bestFit="1" width="3.0" style="763"/>
    <col min="14771" max="14771" customWidth="1" bestFit="1" width="3.0" style="763"/>
    <col min="14772" max="14772" customWidth="1" bestFit="1" width="3.0" style="763"/>
    <col min="14773" max="14773" customWidth="1" bestFit="1" width="3.0" style="763"/>
    <col min="14774" max="14774" customWidth="1" bestFit="1" width="3.0" style="763"/>
    <col min="14775" max="14775" customWidth="1" bestFit="1" width="3.0" style="763"/>
    <col min="14776" max="14776" customWidth="1" bestFit="1" width="3.0" style="763"/>
    <col min="14777" max="14777" customWidth="1" bestFit="1" width="3.0" style="763"/>
    <col min="14778" max="14778" customWidth="1" bestFit="1" width="3.0" style="763"/>
    <col min="14779" max="14779" customWidth="1" bestFit="1" width="3.0" style="763"/>
    <col min="14780" max="14780" customWidth="1" bestFit="1" width="3.0" style="763"/>
    <col min="14781" max="14781" customWidth="1" bestFit="1" width="3.0" style="763"/>
    <col min="14782" max="14782" customWidth="1" bestFit="1" width="3.0" style="763"/>
    <col min="14783" max="14783" customWidth="1" bestFit="1" width="3.0" style="763"/>
    <col min="14784" max="14784" customWidth="1" bestFit="1" width="3.0" style="763"/>
    <col min="14785" max="14785" customWidth="1" bestFit="1" width="3.0" style="763"/>
    <col min="14786" max="14786" customWidth="1" bestFit="1" width="3.0" style="763"/>
    <col min="14787" max="14787" customWidth="1" bestFit="1" width="3.0" style="763"/>
    <col min="14788" max="14788" customWidth="1" bestFit="1" width="3.0" style="763"/>
    <col min="14789" max="14789" customWidth="1" bestFit="1" width="3.0" style="763"/>
    <col min="14790" max="14790" customWidth="1" bestFit="1" width="3.0" style="763"/>
    <col min="14791" max="14791" customWidth="1" bestFit="1" width="3.0" style="763"/>
    <col min="14792" max="14792" customWidth="1" bestFit="1" width="3.0" style="763"/>
    <col min="14793" max="14793" customWidth="1" bestFit="1" width="3.0" style="763"/>
    <col min="14794" max="14794" customWidth="1" bestFit="1" width="3.0" style="763"/>
    <col min="14795" max="14795" customWidth="1" bestFit="1" width="3.0" style="763"/>
    <col min="14796" max="14796" customWidth="1" bestFit="1" width="3.0" style="763"/>
    <col min="14797" max="14797" customWidth="1" bestFit="1" width="3.0" style="763"/>
    <col min="14798" max="14798" customWidth="1" bestFit="1" width="3.0" style="763"/>
    <col min="14799" max="14799" customWidth="1" bestFit="1" width="3.0" style="763"/>
    <col min="14800" max="14800" customWidth="1" bestFit="1" width="3.0" style="763"/>
    <col min="14801" max="14801" customWidth="1" bestFit="1" width="3.0" style="763"/>
    <col min="14802" max="14802" customWidth="1" bestFit="1" width="3.0" style="763"/>
    <col min="14803" max="14803" customWidth="1" bestFit="1" width="3.0" style="763"/>
    <col min="14804" max="14804" customWidth="1" bestFit="1" width="3.0" style="763"/>
    <col min="14805" max="14805" customWidth="1" bestFit="1" width="3.0" style="763"/>
    <col min="14806" max="14806" customWidth="1" bestFit="1" width="3.0" style="763"/>
    <col min="14807" max="14807" customWidth="1" bestFit="1" width="3.0" style="763"/>
    <col min="14808" max="14808" customWidth="1" bestFit="1" width="3.0" style="763"/>
    <col min="14809" max="14809" customWidth="1" bestFit="1" width="3.0" style="763"/>
    <col min="14810" max="14810" customWidth="1" bestFit="1" width="3.0" style="763"/>
    <col min="14811" max="14811" customWidth="1" bestFit="1" width="3.0" style="763"/>
    <col min="14812" max="14812" customWidth="1" bestFit="1" width="3.0" style="763"/>
    <col min="14813" max="14813" customWidth="1" bestFit="1" width="3.0" style="763"/>
    <col min="14814" max="14814" customWidth="1" bestFit="1" width="3.0" style="763"/>
    <col min="14815" max="14815" customWidth="1" bestFit="1" width="3.0" style="763"/>
    <col min="14816" max="14816" customWidth="1" bestFit="1" width="3.0" style="763"/>
    <col min="14817" max="14817" customWidth="1" bestFit="1" width="3.0" style="763"/>
    <col min="14818" max="14818" customWidth="1" bestFit="1" width="3.0" style="763"/>
    <col min="14819" max="14819" customWidth="1" bestFit="1" width="3.0" style="763"/>
    <col min="14820" max="14820" customWidth="1" bestFit="1" width="3.0" style="763"/>
    <col min="14821" max="14821" customWidth="1" bestFit="1" width="3.0" style="763"/>
    <col min="14822" max="14822" customWidth="1" bestFit="1" width="3.0" style="763"/>
    <col min="14823" max="14823" customWidth="1" bestFit="1" width="3.0" style="763"/>
    <col min="14824" max="14824" customWidth="1" bestFit="1" width="3.0" style="763"/>
    <col min="14825" max="14825" customWidth="1" bestFit="1" width="3.0" style="763"/>
    <col min="14826" max="14826" customWidth="1" bestFit="1" width="3.0" style="763"/>
    <col min="14827" max="14827" customWidth="1" bestFit="1" width="3.0" style="763"/>
    <col min="14828" max="14828" customWidth="1" bestFit="1" width="3.0" style="763"/>
    <col min="14829" max="14829" customWidth="1" bestFit="1" width="3.0" style="763"/>
    <col min="14830" max="14830" customWidth="1" bestFit="1" width="3.0" style="763"/>
    <col min="14831" max="14831" customWidth="1" bestFit="1" width="3.0" style="763"/>
    <col min="14832" max="14832" customWidth="1" bestFit="1" width="3.0" style="763"/>
    <col min="14833" max="14833" customWidth="1" bestFit="1" width="3.0" style="763"/>
    <col min="14834" max="14834" customWidth="1" bestFit="1" width="3.0" style="763"/>
    <col min="14835" max="14835" customWidth="1" bestFit="1" width="3.0" style="763"/>
    <col min="14836" max="14836" customWidth="1" bestFit="1" width="3.0" style="763"/>
    <col min="14837" max="14837" customWidth="1" bestFit="1" width="3.0" style="763"/>
    <col min="14838" max="14838" customWidth="1" bestFit="1" width="3.0" style="763"/>
    <col min="14839" max="14839" customWidth="1" bestFit="1" width="3.0" style="763"/>
    <col min="14840" max="14840" customWidth="1" bestFit="1" width="3.0" style="763"/>
    <col min="14841" max="14841" customWidth="1" bestFit="1" width="3.0" style="763"/>
    <col min="14842" max="14842" customWidth="1" bestFit="1" width="3.0" style="763"/>
    <col min="14843" max="14843" customWidth="1" bestFit="1" width="3.0" style="763"/>
    <col min="14844" max="14844" customWidth="1" bestFit="1" width="3.0" style="763"/>
    <col min="14845" max="14845" customWidth="1" bestFit="1" width="3.0" style="763"/>
    <col min="14846" max="14846" customWidth="1" bestFit="1" width="3.0" style="763"/>
    <col min="14847" max="14847" customWidth="1" bestFit="1" width="3.0" style="763"/>
    <col min="14848" max="14848" customWidth="1" bestFit="1" width="3.0" style="763"/>
    <col min="14849" max="14849" customWidth="1" bestFit="1" width="3.0" style="763"/>
    <col min="14850" max="14850" customWidth="1" bestFit="1" width="3.0" style="763"/>
    <col min="14851" max="14851" customWidth="1" bestFit="1" width="3.0" style="763"/>
    <col min="14852" max="14852" customWidth="1" bestFit="1" width="3.0" style="763"/>
    <col min="14853" max="14853" customWidth="1" bestFit="1" width="3.0" style="763"/>
    <col min="14854" max="14854" customWidth="1" bestFit="1" width="3.0" style="763"/>
    <col min="14855" max="14855" customWidth="1" bestFit="1" width="3.0" style="763"/>
    <col min="14856" max="14856" customWidth="1" bestFit="1" width="3.0" style="763"/>
    <col min="14857" max="14857" customWidth="1" bestFit="1" width="3.0" style="763"/>
    <col min="14858" max="14858" customWidth="1" bestFit="1" width="3.0" style="763"/>
    <col min="14859" max="14859" customWidth="1" bestFit="1" width="3.0" style="763"/>
    <col min="14860" max="14860" customWidth="1" bestFit="1" width="3.0" style="763"/>
    <col min="14861" max="14861" customWidth="1" bestFit="1" width="3.0" style="763"/>
    <col min="14862" max="14862" customWidth="1" bestFit="1" width="3.0" style="763"/>
    <col min="14863" max="14863" customWidth="1" bestFit="1" width="3.0" style="763"/>
    <col min="14864" max="14864" customWidth="1" bestFit="1" width="3.0" style="763"/>
    <col min="14865" max="14865" customWidth="1" bestFit="1" width="3.0" style="763"/>
    <col min="14866" max="14866" customWidth="1" bestFit="1" width="3.0" style="763"/>
    <col min="14867" max="14867" customWidth="1" bestFit="1" width="3.0" style="763"/>
    <col min="14868" max="14868" customWidth="1" bestFit="1" width="3.0" style="763"/>
    <col min="14869" max="14869" customWidth="1" bestFit="1" width="3.0" style="763"/>
    <col min="14870" max="14870" customWidth="1" bestFit="1" width="3.0" style="763"/>
    <col min="14871" max="14871" customWidth="1" bestFit="1" width="3.0" style="763"/>
    <col min="14872" max="14872" customWidth="1" bestFit="1" width="3.0" style="763"/>
    <col min="14873" max="14873" customWidth="1" bestFit="1" width="3.0" style="763"/>
    <col min="14874" max="14874" customWidth="1" bestFit="1" width="3.0" style="763"/>
    <col min="14875" max="14875" customWidth="1" bestFit="1" width="3.0" style="763"/>
    <col min="14876" max="14876" customWidth="1" bestFit="1" width="3.0" style="763"/>
    <col min="14877" max="14877" customWidth="1" bestFit="1" width="3.0" style="763"/>
    <col min="14878" max="14878" customWidth="1" bestFit="1" width="3.0" style="763"/>
    <col min="14879" max="14879" customWidth="1" bestFit="1" width="3.0" style="763"/>
    <col min="14880" max="14880" customWidth="1" bestFit="1" width="3.0" style="763"/>
    <col min="14881" max="14881" customWidth="1" bestFit="1" width="3.0" style="763"/>
    <col min="14882" max="14882" customWidth="1" bestFit="1" width="3.0" style="763"/>
    <col min="14883" max="14883" customWidth="1" bestFit="1" width="3.0" style="763"/>
    <col min="14884" max="14884" customWidth="1" bestFit="1" width="3.0" style="763"/>
    <col min="14885" max="14885" customWidth="1" bestFit="1" width="3.0" style="763"/>
    <col min="14886" max="14886" customWidth="1" bestFit="1" width="3.0" style="763"/>
    <col min="14887" max="14887" customWidth="1" bestFit="1" width="3.0" style="763"/>
    <col min="14888" max="14888" customWidth="1" bestFit="1" width="3.0" style="763"/>
    <col min="14889" max="14889" customWidth="1" bestFit="1" width="3.0" style="763"/>
    <col min="14890" max="14890" customWidth="1" bestFit="1" width="3.0" style="763"/>
    <col min="14891" max="14891" customWidth="1" bestFit="1" width="3.0" style="763"/>
    <col min="14892" max="14892" customWidth="1" bestFit="1" width="3.0" style="763"/>
    <col min="14893" max="14893" customWidth="1" bestFit="1" width="3.0" style="763"/>
    <col min="14894" max="14894" customWidth="1" bestFit="1" width="3.0" style="763"/>
    <col min="14895" max="14895" customWidth="1" bestFit="1" width="3.0" style="763"/>
    <col min="14896" max="14896" customWidth="1" bestFit="1" width="3.0" style="763"/>
    <col min="14897" max="14897" customWidth="1" bestFit="1" width="3.0" style="763"/>
    <col min="14898" max="14898" customWidth="1" bestFit="1" width="3.0" style="763"/>
    <col min="14899" max="14899" customWidth="1" bestFit="1" width="3.0" style="763"/>
    <col min="14900" max="14900" customWidth="1" bestFit="1" width="3.0" style="763"/>
    <col min="14901" max="14901" customWidth="1" bestFit="1" width="3.0" style="763"/>
    <col min="14902" max="14902" customWidth="1" bestFit="1" width="3.0" style="763"/>
    <col min="14903" max="14903" customWidth="1" bestFit="1" width="3.0" style="763"/>
    <col min="14904" max="14904" customWidth="1" bestFit="1" width="3.0" style="763"/>
    <col min="14905" max="14905" customWidth="1" bestFit="1" width="3.0" style="763"/>
    <col min="14906" max="14906" customWidth="1" bestFit="1" width="3.0" style="763"/>
    <col min="14907" max="14907" customWidth="1" bestFit="1" width="3.0" style="763"/>
    <col min="14908" max="14908" customWidth="1" bestFit="1" width="3.0" style="763"/>
    <col min="14909" max="14909" customWidth="1" bestFit="1" width="3.0" style="763"/>
    <col min="14910" max="14910" customWidth="1" bestFit="1" width="3.0" style="763"/>
    <col min="14911" max="14911" customWidth="1" bestFit="1" width="3.0" style="763"/>
    <col min="14912" max="14912" customWidth="1" bestFit="1" width="3.0" style="763"/>
    <col min="14913" max="14913" customWidth="1" bestFit="1" width="3.0" style="763"/>
    <col min="14914" max="14914" customWidth="1" bestFit="1" width="3.0" style="763"/>
    <col min="14915" max="14915" customWidth="1" bestFit="1" width="3.0" style="763"/>
    <col min="14916" max="14916" customWidth="1" bestFit="1" width="3.0" style="763"/>
    <col min="14917" max="14917" customWidth="1" bestFit="1" width="3.0" style="763"/>
    <col min="14918" max="14918" customWidth="1" bestFit="1" width="3.0" style="763"/>
    <col min="14919" max="14919" customWidth="1" bestFit="1" width="3.0" style="763"/>
    <col min="14920" max="14920" customWidth="1" bestFit="1" width="3.0" style="763"/>
    <col min="14921" max="14921" customWidth="1" bestFit="1" width="3.0" style="763"/>
    <col min="14922" max="14922" customWidth="1" bestFit="1" width="3.0" style="763"/>
    <col min="14923" max="14923" customWidth="1" bestFit="1" width="3.0" style="763"/>
    <col min="14924" max="14924" customWidth="1" bestFit="1" width="3.0" style="763"/>
    <col min="14925" max="14925" customWidth="1" bestFit="1" width="3.0" style="763"/>
    <col min="14926" max="14926" customWidth="1" bestFit="1" width="3.0" style="763"/>
    <col min="14927" max="14927" customWidth="1" bestFit="1" width="3.0" style="763"/>
    <col min="14928" max="14928" customWidth="1" bestFit="1" width="3.0" style="763"/>
    <col min="14929" max="14929" customWidth="1" bestFit="1" width="3.0" style="763"/>
    <col min="14930" max="14930" customWidth="1" bestFit="1" width="3.0" style="763"/>
    <col min="14931" max="14931" customWidth="1" bestFit="1" width="3.0" style="763"/>
    <col min="14932" max="14932" customWidth="1" bestFit="1" width="3.0" style="763"/>
    <col min="14933" max="14933" customWidth="1" bestFit="1" width="3.0" style="763"/>
    <col min="14934" max="14934" customWidth="1" bestFit="1" width="3.0" style="763"/>
    <col min="14935" max="14935" customWidth="1" bestFit="1" width="3.0" style="763"/>
    <col min="14936" max="14936" customWidth="1" bestFit="1" width="3.0" style="763"/>
    <col min="14937" max="14937" customWidth="1" bestFit="1" width="3.0" style="763"/>
    <col min="14938" max="14938" customWidth="1" bestFit="1" width="3.0" style="763"/>
    <col min="14939" max="14939" customWidth="1" bestFit="1" width="3.0" style="763"/>
    <col min="14940" max="14940" customWidth="1" bestFit="1" width="3.0" style="763"/>
    <col min="14941" max="14941" customWidth="1" bestFit="1" width="3.0" style="763"/>
    <col min="14942" max="14942" customWidth="1" bestFit="1" width="3.0" style="763"/>
    <col min="14943" max="14943" customWidth="1" bestFit="1" width="3.0" style="763"/>
    <col min="14944" max="14944" customWidth="1" bestFit="1" width="3.0" style="763"/>
    <col min="14945" max="14945" customWidth="1" bestFit="1" width="3.0" style="763"/>
    <col min="14946" max="14946" customWidth="1" bestFit="1" width="3.0" style="763"/>
    <col min="14947" max="14947" customWidth="1" bestFit="1" width="3.0" style="763"/>
    <col min="14948" max="14948" customWidth="1" bestFit="1" width="3.0" style="763"/>
    <col min="14949" max="14949" customWidth="1" bestFit="1" width="3.0" style="763"/>
    <col min="14950" max="14950" customWidth="1" bestFit="1" width="3.0" style="763"/>
    <col min="14951" max="14951" customWidth="1" bestFit="1" width="3.0" style="763"/>
    <col min="14952" max="14952" customWidth="1" bestFit="1" width="3.0" style="763"/>
    <col min="14953" max="14953" customWidth="1" bestFit="1" width="3.0" style="763"/>
    <col min="14954" max="14954" customWidth="1" bestFit="1" width="3.0" style="763"/>
    <col min="14955" max="14955" customWidth="1" bestFit="1" width="3.0" style="763"/>
    <col min="14956" max="14956" customWidth="1" bestFit="1" width="3.0" style="763"/>
    <col min="14957" max="14957" customWidth="1" bestFit="1" width="3.0" style="763"/>
    <col min="14958" max="14958" customWidth="1" bestFit="1" width="3.0" style="763"/>
    <col min="14959" max="14959" customWidth="1" bestFit="1" width="3.0" style="763"/>
    <col min="14960" max="14960" customWidth="1" bestFit="1" width="3.0" style="763"/>
    <col min="14961" max="14961" customWidth="1" bestFit="1" width="3.0" style="763"/>
    <col min="14962" max="14962" customWidth="1" bestFit="1" width="3.0" style="763"/>
    <col min="14963" max="14963" customWidth="1" bestFit="1" width="3.0" style="763"/>
    <col min="14964" max="14964" customWidth="1" bestFit="1" width="3.0" style="763"/>
    <col min="14965" max="14965" customWidth="1" bestFit="1" width="3.0" style="763"/>
    <col min="14966" max="14966" customWidth="1" bestFit="1" width="3.0" style="763"/>
    <col min="14967" max="14967" customWidth="1" bestFit="1" width="3.0" style="763"/>
    <col min="14968" max="14968" customWidth="1" bestFit="1" width="3.0" style="763"/>
    <col min="14969" max="14969" customWidth="1" bestFit="1" width="3.0" style="763"/>
    <col min="14970" max="14970" customWidth="1" bestFit="1" width="3.0" style="763"/>
    <col min="14971" max="14971" customWidth="1" bestFit="1" width="3.0" style="763"/>
    <col min="14972" max="14972" customWidth="1" bestFit="1" width="3.0" style="763"/>
    <col min="14973" max="14973" customWidth="1" bestFit="1" width="3.0" style="763"/>
    <col min="14974" max="14974" customWidth="1" bestFit="1" width="3.0" style="763"/>
    <col min="14975" max="14975" customWidth="1" bestFit="1" width="3.0" style="763"/>
    <col min="14976" max="14976" customWidth="1" bestFit="1" width="3.0" style="763"/>
    <col min="14977" max="14977" customWidth="1" bestFit="1" width="3.0" style="763"/>
    <col min="14978" max="14978" customWidth="1" bestFit="1" width="3.0" style="763"/>
    <col min="14979" max="14979" customWidth="1" bestFit="1" width="3.0" style="763"/>
    <col min="14980" max="14980" customWidth="1" bestFit="1" width="3.0" style="763"/>
    <col min="14981" max="14981" customWidth="1" bestFit="1" width="3.0" style="763"/>
    <col min="14982" max="14982" customWidth="1" bestFit="1" width="3.0" style="763"/>
    <col min="14983" max="14983" customWidth="1" bestFit="1" width="3.0" style="763"/>
    <col min="14984" max="14984" customWidth="1" bestFit="1" width="3.0" style="763"/>
    <col min="14985" max="14985" customWidth="1" bestFit="1" width="3.0" style="763"/>
    <col min="14986" max="14986" customWidth="1" bestFit="1" width="3.0" style="763"/>
    <col min="14987" max="14987" customWidth="1" bestFit="1" width="3.0" style="763"/>
    <col min="14988" max="14988" customWidth="1" bestFit="1" width="3.0" style="763"/>
    <col min="14989" max="14989" customWidth="1" bestFit="1" width="3.0" style="763"/>
    <col min="14990" max="14990" customWidth="1" bestFit="1" width="3.0" style="763"/>
    <col min="14991" max="14991" customWidth="1" bestFit="1" width="3.0" style="763"/>
    <col min="14992" max="14992" customWidth="1" bestFit="1" width="3.0" style="763"/>
    <col min="14993" max="14993" customWidth="1" bestFit="1" width="3.0" style="763"/>
    <col min="14994" max="14994" customWidth="1" bestFit="1" width="3.0" style="763"/>
    <col min="14995" max="14995" customWidth="1" bestFit="1" width="3.0" style="763"/>
    <col min="14996" max="14996" customWidth="1" bestFit="1" width="3.0" style="763"/>
    <col min="14997" max="14997" customWidth="1" bestFit="1" width="3.0" style="763"/>
    <col min="14998" max="14998" customWidth="1" bestFit="1" width="3.0" style="763"/>
    <col min="14999" max="14999" customWidth="1" bestFit="1" width="3.0" style="763"/>
    <col min="15000" max="15000" customWidth="1" bestFit="1" width="3.0" style="763"/>
    <col min="15001" max="15001" customWidth="1" bestFit="1" width="3.0" style="763"/>
    <col min="15002" max="15002" customWidth="1" bestFit="1" width="3.0" style="763"/>
    <col min="15003" max="15003" customWidth="1" bestFit="1" width="3.0" style="763"/>
    <col min="15004" max="15004" customWidth="1" bestFit="1" width="3.0" style="763"/>
    <col min="15005" max="15005" customWidth="1" bestFit="1" width="3.0" style="763"/>
    <col min="15006" max="15006" customWidth="1" bestFit="1" width="3.0" style="763"/>
    <col min="15007" max="15007" customWidth="1" bestFit="1" width="3.0" style="763"/>
    <col min="15008" max="15008" customWidth="1" bestFit="1" width="3.0" style="763"/>
    <col min="15009" max="15009" customWidth="1" bestFit="1" width="3.0" style="763"/>
    <col min="15010" max="15010" customWidth="1" bestFit="1" width="3.0" style="763"/>
    <col min="15011" max="15011" customWidth="1" bestFit="1" width="3.0" style="763"/>
    <col min="15012" max="15012" customWidth="1" bestFit="1" width="3.0" style="763"/>
    <col min="15013" max="15013" customWidth="1" bestFit="1" width="3.0" style="763"/>
    <col min="15014" max="15014" customWidth="1" bestFit="1" width="3.0" style="763"/>
    <col min="15015" max="15015" customWidth="1" bestFit="1" width="3.0" style="763"/>
    <col min="15016" max="15016" customWidth="1" bestFit="1" width="3.0" style="763"/>
    <col min="15017" max="15017" customWidth="1" bestFit="1" width="3.0" style="763"/>
    <col min="15018" max="15018" customWidth="1" bestFit="1" width="3.0" style="763"/>
    <col min="15019" max="15019" customWidth="1" bestFit="1" width="3.0" style="763"/>
    <col min="15020" max="15020" customWidth="1" bestFit="1" width="3.0" style="763"/>
    <col min="15021" max="15021" customWidth="1" bestFit="1" width="3.0" style="763"/>
    <col min="15022" max="15022" customWidth="1" bestFit="1" width="3.0" style="763"/>
    <col min="15023" max="15023" customWidth="1" bestFit="1" width="3.0" style="763"/>
    <col min="15024" max="15024" customWidth="1" bestFit="1" width="3.0" style="763"/>
    <col min="15025" max="15025" customWidth="1" bestFit="1" width="3.0" style="763"/>
    <col min="15026" max="15026" customWidth="1" bestFit="1" width="3.0" style="763"/>
    <col min="15027" max="15027" customWidth="1" bestFit="1" width="3.0" style="763"/>
    <col min="15028" max="15028" customWidth="1" bestFit="1" width="3.0" style="763"/>
    <col min="15029" max="15029" customWidth="1" bestFit="1" width="3.0" style="763"/>
    <col min="15030" max="15030" customWidth="1" bestFit="1" width="3.0" style="763"/>
    <col min="15031" max="15031" customWidth="1" bestFit="1" width="3.0" style="763"/>
    <col min="15032" max="15032" customWidth="1" bestFit="1" width="3.0" style="763"/>
    <col min="15033" max="15033" customWidth="1" bestFit="1" width="3.0" style="763"/>
    <col min="15034" max="15034" customWidth="1" bestFit="1" width="3.0" style="763"/>
    <col min="15035" max="15035" customWidth="1" bestFit="1" width="3.0" style="763"/>
    <col min="15036" max="15036" customWidth="1" bestFit="1" width="3.0" style="763"/>
    <col min="15037" max="15037" customWidth="1" bestFit="1" width="3.0" style="763"/>
    <col min="15038" max="15038" customWidth="1" bestFit="1" width="3.0" style="763"/>
    <col min="15039" max="15039" customWidth="1" bestFit="1" width="3.0" style="763"/>
    <col min="15040" max="15040" customWidth="1" bestFit="1" width="3.0" style="763"/>
    <col min="15041" max="15041" customWidth="1" bestFit="1" width="3.0" style="763"/>
    <col min="15042" max="15042" customWidth="1" bestFit="1" width="3.0" style="763"/>
    <col min="15043" max="15043" customWidth="1" bestFit="1" width="3.0" style="763"/>
    <col min="15044" max="15044" customWidth="1" bestFit="1" width="3.0" style="763"/>
    <col min="15045" max="15045" customWidth="1" bestFit="1" width="3.0" style="763"/>
    <col min="15046" max="15046" customWidth="1" bestFit="1" width="3.0" style="763"/>
    <col min="15047" max="15047" customWidth="1" bestFit="1" width="3.0" style="763"/>
    <col min="15048" max="15048" customWidth="1" bestFit="1" width="3.0" style="763"/>
    <col min="15049" max="15049" customWidth="1" bestFit="1" width="3.0" style="763"/>
    <col min="15050" max="15050" customWidth="1" bestFit="1" width="3.0" style="763"/>
    <col min="15051" max="15051" customWidth="1" bestFit="1" width="3.0" style="763"/>
    <col min="15052" max="15052" customWidth="1" bestFit="1" width="3.0" style="763"/>
    <col min="15053" max="15053" customWidth="1" bestFit="1" width="3.0" style="763"/>
    <col min="15054" max="15054" customWidth="1" bestFit="1" width="3.0" style="763"/>
    <col min="15055" max="15055" customWidth="1" bestFit="1" width="3.0" style="763"/>
    <col min="15056" max="15056" customWidth="1" bestFit="1" width="3.0" style="763"/>
    <col min="15057" max="15057" customWidth="1" bestFit="1" width="3.0" style="763"/>
    <col min="15058" max="15058" customWidth="1" bestFit="1" width="3.0" style="763"/>
    <col min="15059" max="15059" customWidth="1" bestFit="1" width="3.0" style="763"/>
    <col min="15060" max="15060" customWidth="1" bestFit="1" width="3.0" style="763"/>
    <col min="15061" max="15061" customWidth="1" bestFit="1" width="3.0" style="763"/>
    <col min="15062" max="15062" customWidth="1" bestFit="1" width="3.0" style="763"/>
    <col min="15063" max="15063" customWidth="1" bestFit="1" width="3.0" style="763"/>
    <col min="15064" max="15064" customWidth="1" bestFit="1" width="3.0" style="763"/>
    <col min="15065" max="15065" customWidth="1" bestFit="1" width="3.0" style="763"/>
    <col min="15066" max="15066" customWidth="1" bestFit="1" width="3.0" style="763"/>
    <col min="15067" max="15067" customWidth="1" bestFit="1" width="3.0" style="763"/>
    <col min="15068" max="15068" customWidth="1" bestFit="1" width="3.0" style="763"/>
    <col min="15069" max="15069" customWidth="1" bestFit="1" width="3.0" style="763"/>
    <col min="15070" max="15070" customWidth="1" bestFit="1" width="3.0" style="763"/>
    <col min="15071" max="15071" customWidth="1" bestFit="1" width="3.0" style="763"/>
    <col min="15072" max="15072" customWidth="1" bestFit="1" width="3.0" style="763"/>
    <col min="15073" max="15073" customWidth="1" bestFit="1" width="3.0" style="763"/>
    <col min="15074" max="15074" customWidth="1" bestFit="1" width="3.0" style="763"/>
    <col min="15075" max="15075" customWidth="1" bestFit="1" width="3.0" style="763"/>
    <col min="15076" max="15076" customWidth="1" bestFit="1" width="3.0" style="763"/>
    <col min="15077" max="15077" customWidth="1" bestFit="1" width="3.0" style="763"/>
    <col min="15078" max="15078" customWidth="1" bestFit="1" width="3.0" style="763"/>
    <col min="15079" max="15079" customWidth="1" bestFit="1" width="3.0" style="763"/>
    <col min="15080" max="15080" customWidth="1" bestFit="1" width="3.0" style="763"/>
    <col min="15081" max="15081" customWidth="1" bestFit="1" width="3.0" style="763"/>
    <col min="15082" max="15082" customWidth="1" bestFit="1" width="3.0" style="763"/>
    <col min="15083" max="15083" customWidth="1" bestFit="1" width="3.0" style="763"/>
    <col min="15084" max="15084" customWidth="1" bestFit="1" width="3.0" style="763"/>
    <col min="15085" max="15085" customWidth="1" bestFit="1" width="3.0" style="763"/>
    <col min="15086" max="15086" customWidth="1" bestFit="1" width="3.0" style="763"/>
    <col min="15087" max="15087" customWidth="1" bestFit="1" width="3.0" style="763"/>
    <col min="15088" max="15088" customWidth="1" bestFit="1" width="3.0" style="763"/>
    <col min="15089" max="15089" customWidth="1" bestFit="1" width="3.0" style="763"/>
    <col min="15090" max="15090" customWidth="1" bestFit="1" width="3.0" style="763"/>
    <col min="15091" max="15091" customWidth="1" bestFit="1" width="3.0" style="763"/>
    <col min="15092" max="15092" customWidth="1" bestFit="1" width="3.0" style="763"/>
    <col min="15093" max="15093" customWidth="1" bestFit="1" width="3.0" style="763"/>
    <col min="15094" max="15094" customWidth="1" bestFit="1" width="3.0" style="763"/>
    <col min="15095" max="15095" customWidth="1" bestFit="1" width="3.0" style="763"/>
    <col min="15096" max="15096" customWidth="1" bestFit="1" width="3.0" style="763"/>
    <col min="15097" max="15097" customWidth="1" bestFit="1" width="3.0" style="763"/>
    <col min="15098" max="15098" customWidth="1" bestFit="1" width="3.0" style="763"/>
    <col min="15099" max="15099" customWidth="1" bestFit="1" width="3.0" style="763"/>
    <col min="15100" max="15100" customWidth="1" bestFit="1" width="3.0" style="763"/>
    <col min="15101" max="15101" customWidth="1" bestFit="1" width="3.0" style="763"/>
    <col min="15102" max="15102" customWidth="1" bestFit="1" width="3.0" style="763"/>
    <col min="15103" max="15103" customWidth="1" bestFit="1" width="3.0" style="763"/>
    <col min="15104" max="15104" customWidth="1" bestFit="1" width="3.0" style="763"/>
    <col min="15105" max="15105" customWidth="1" bestFit="1" width="3.0" style="763"/>
    <col min="15106" max="15106" customWidth="1" bestFit="1" width="3.0" style="763"/>
    <col min="15107" max="15107" customWidth="1" bestFit="1" width="3.0" style="763"/>
    <col min="15108" max="15108" customWidth="1" bestFit="1" width="3.0" style="763"/>
    <col min="15109" max="15109" customWidth="1" bestFit="1" width="3.0" style="763"/>
    <col min="15110" max="15110" customWidth="1" bestFit="1" width="3.0" style="763"/>
    <col min="15111" max="15111" customWidth="1" bestFit="1" width="3.0" style="763"/>
    <col min="15112" max="15112" customWidth="1" bestFit="1" width="3.0" style="763"/>
    <col min="15113" max="15113" customWidth="1" bestFit="1" width="3.0" style="763"/>
    <col min="15114" max="15114" customWidth="1" bestFit="1" width="3.0" style="763"/>
    <col min="15115" max="15115" customWidth="1" bestFit="1" width="3.0" style="763"/>
    <col min="15116" max="15116" customWidth="1" bestFit="1" width="3.0" style="763"/>
    <col min="15117" max="15117" customWidth="1" bestFit="1" width="3.0" style="763"/>
    <col min="15118" max="15118" customWidth="1" bestFit="1" width="3.0" style="763"/>
    <col min="15119" max="15119" customWidth="1" bestFit="1" width="3.0" style="763"/>
    <col min="15120" max="15120" customWidth="1" bestFit="1" width="3.0" style="763"/>
    <col min="15121" max="15121" customWidth="1" bestFit="1" width="3.0" style="763"/>
    <col min="15122" max="15122" customWidth="1" bestFit="1" width="3.0" style="763"/>
    <col min="15123" max="15123" customWidth="1" bestFit="1" width="3.0" style="763"/>
    <col min="15124" max="15124" customWidth="1" bestFit="1" width="3.0" style="763"/>
    <col min="15125" max="15125" customWidth="1" bestFit="1" width="3.0" style="763"/>
    <col min="15126" max="15126" customWidth="1" bestFit="1" width="3.0" style="763"/>
    <col min="15127" max="15127" customWidth="1" bestFit="1" width="3.0" style="763"/>
    <col min="15128" max="15128" customWidth="1" bestFit="1" width="3.0" style="763"/>
    <col min="15129" max="15129" customWidth="1" bestFit="1" width="3.0" style="763"/>
    <col min="15130" max="15130" customWidth="1" bestFit="1" width="3.0" style="763"/>
    <col min="15131" max="15131" customWidth="1" bestFit="1" width="3.0" style="763"/>
    <col min="15132" max="15132" customWidth="1" bestFit="1" width="3.0" style="763"/>
    <col min="15133" max="15133" customWidth="1" bestFit="1" width="3.0" style="763"/>
    <col min="15134" max="15134" customWidth="1" bestFit="1" width="3.0" style="763"/>
    <col min="15135" max="15135" customWidth="1" bestFit="1" width="3.0" style="763"/>
    <col min="15136" max="15136" customWidth="1" bestFit="1" width="3.0" style="763"/>
    <col min="15137" max="15137" customWidth="1" bestFit="1" width="3.0" style="763"/>
    <col min="15138" max="15138" customWidth="1" bestFit="1" width="3.0" style="763"/>
    <col min="15139" max="15139" customWidth="1" bestFit="1" width="3.0" style="763"/>
    <col min="15140" max="15140" customWidth="1" bestFit="1" width="3.0" style="763"/>
    <col min="15141" max="15141" customWidth="1" bestFit="1" width="3.0" style="763"/>
    <col min="15142" max="15142" customWidth="1" bestFit="1" width="3.0" style="763"/>
    <col min="15143" max="15143" customWidth="1" bestFit="1" width="3.0" style="763"/>
    <col min="15144" max="15144" customWidth="1" bestFit="1" width="3.0" style="763"/>
    <col min="15145" max="15145" customWidth="1" bestFit="1" width="3.0" style="763"/>
    <col min="15146" max="15146" customWidth="1" bestFit="1" width="3.0" style="763"/>
    <col min="15147" max="15147" customWidth="1" bestFit="1" width="3.0" style="763"/>
    <col min="15148" max="15148" customWidth="1" bestFit="1" width="3.0" style="763"/>
    <col min="15149" max="15149" customWidth="1" bestFit="1" width="3.0" style="763"/>
    <col min="15150" max="15150" customWidth="1" bestFit="1" width="3.0" style="763"/>
    <col min="15151" max="15151" customWidth="1" bestFit="1" width="3.0" style="763"/>
    <col min="15152" max="15152" customWidth="1" bestFit="1" width="3.0" style="763"/>
    <col min="15153" max="15153" customWidth="1" bestFit="1" width="3.0" style="763"/>
    <col min="15154" max="15154" customWidth="1" bestFit="1" width="3.0" style="763"/>
    <col min="15155" max="15155" customWidth="1" bestFit="1" width="3.0" style="763"/>
    <col min="15156" max="15156" customWidth="1" bestFit="1" width="3.0" style="763"/>
    <col min="15157" max="15157" customWidth="1" bestFit="1" width="3.0" style="763"/>
    <col min="15158" max="15158" customWidth="1" bestFit="1" width="3.0" style="763"/>
    <col min="15159" max="15159" customWidth="1" bestFit="1" width="3.0" style="763"/>
    <col min="15160" max="15160" customWidth="1" bestFit="1" width="3.0" style="763"/>
    <col min="15161" max="15161" customWidth="1" bestFit="1" width="3.0" style="763"/>
    <col min="15162" max="15162" customWidth="1" bestFit="1" width="3.0" style="763"/>
    <col min="15163" max="15163" customWidth="1" bestFit="1" width="3.0" style="763"/>
    <col min="15164" max="15164" customWidth="1" bestFit="1" width="3.0" style="763"/>
    <col min="15165" max="15165" customWidth="1" bestFit="1" width="3.0" style="763"/>
    <col min="15166" max="15166" customWidth="1" bestFit="1" width="3.0" style="763"/>
    <col min="15167" max="15167" customWidth="1" bestFit="1" width="3.0" style="763"/>
    <col min="15168" max="15168" customWidth="1" bestFit="1" width="3.0" style="763"/>
    <col min="15169" max="15169" customWidth="1" bestFit="1" width="3.0" style="763"/>
    <col min="15170" max="15170" customWidth="1" bestFit="1" width="3.0" style="763"/>
    <col min="15171" max="15171" customWidth="1" bestFit="1" width="3.0" style="763"/>
    <col min="15172" max="15172" customWidth="1" bestFit="1" width="3.0" style="763"/>
    <col min="15173" max="15173" customWidth="1" bestFit="1" width="3.0" style="763"/>
    <col min="15174" max="15174" customWidth="1" bestFit="1" width="3.0" style="763"/>
    <col min="15175" max="15175" customWidth="1" bestFit="1" width="3.0" style="763"/>
    <col min="15176" max="15176" customWidth="1" bestFit="1" width="3.0" style="763"/>
    <col min="15177" max="15177" customWidth="1" bestFit="1" width="3.0" style="763"/>
    <col min="15178" max="15178" customWidth="1" bestFit="1" width="3.0" style="763"/>
    <col min="15179" max="15179" customWidth="1" bestFit="1" width="3.0" style="763"/>
    <col min="15180" max="15180" customWidth="1" bestFit="1" width="3.0" style="763"/>
    <col min="15181" max="15181" customWidth="1" bestFit="1" width="3.0" style="763"/>
    <col min="15182" max="15182" customWidth="1" bestFit="1" width="3.0" style="763"/>
    <col min="15183" max="15183" customWidth="1" bestFit="1" width="3.0" style="763"/>
    <col min="15184" max="15184" customWidth="1" bestFit="1" width="3.0" style="763"/>
    <col min="15185" max="15185" customWidth="1" bestFit="1" width="3.0" style="763"/>
    <col min="15186" max="15186" customWidth="1" bestFit="1" width="3.0" style="763"/>
    <col min="15187" max="15187" customWidth="1" bestFit="1" width="3.0" style="763"/>
    <col min="15188" max="15188" customWidth="1" bestFit="1" width="3.0" style="763"/>
    <col min="15189" max="15189" customWidth="1" bestFit="1" width="3.0" style="763"/>
    <col min="15190" max="15190" customWidth="1" bestFit="1" width="3.0" style="763"/>
    <col min="15191" max="15191" customWidth="1" bestFit="1" width="3.0" style="763"/>
    <col min="15192" max="15192" customWidth="1" bestFit="1" width="3.0" style="763"/>
    <col min="15193" max="15193" customWidth="1" bestFit="1" width="3.0" style="763"/>
    <col min="15194" max="15194" customWidth="1" bestFit="1" width="3.0" style="763"/>
    <col min="15195" max="15195" customWidth="1" bestFit="1" width="3.0" style="763"/>
    <col min="15196" max="15196" customWidth="1" bestFit="1" width="3.0" style="763"/>
    <col min="15197" max="15197" customWidth="1" bestFit="1" width="3.0" style="763"/>
    <col min="15198" max="15198" customWidth="1" bestFit="1" width="3.0" style="763"/>
    <col min="15199" max="15199" customWidth="1" bestFit="1" width="3.0" style="763"/>
    <col min="15200" max="15200" customWidth="1" bestFit="1" width="3.0" style="763"/>
    <col min="15201" max="15201" customWidth="1" bestFit="1" width="3.0" style="763"/>
    <col min="15202" max="15202" customWidth="1" bestFit="1" width="3.0" style="763"/>
    <col min="15203" max="15203" customWidth="1" bestFit="1" width="3.0" style="763"/>
    <col min="15204" max="15204" customWidth="1" bestFit="1" width="3.0" style="763"/>
    <col min="15205" max="15205" customWidth="1" bestFit="1" width="3.0" style="763"/>
    <col min="15206" max="15206" customWidth="1" bestFit="1" width="3.0" style="763"/>
    <col min="15207" max="15207" customWidth="1" bestFit="1" width="3.0" style="763"/>
    <col min="15208" max="15208" customWidth="1" bestFit="1" width="3.0" style="763"/>
    <col min="15209" max="15209" customWidth="1" bestFit="1" width="3.0" style="763"/>
    <col min="15210" max="15210" customWidth="1" bestFit="1" width="3.0" style="763"/>
    <col min="15211" max="15211" customWidth="1" bestFit="1" width="3.0" style="763"/>
    <col min="15212" max="15212" customWidth="1" bestFit="1" width="3.0" style="763"/>
    <col min="15213" max="15213" customWidth="1" bestFit="1" width="3.0" style="763"/>
    <col min="15214" max="15214" customWidth="1" bestFit="1" width="3.0" style="763"/>
    <col min="15215" max="15215" customWidth="1" bestFit="1" width="3.0" style="763"/>
    <col min="15216" max="15216" customWidth="1" bestFit="1" width="3.0" style="763"/>
    <col min="15217" max="15217" customWidth="1" bestFit="1" width="3.0" style="763"/>
    <col min="15218" max="15218" customWidth="1" bestFit="1" width="3.0" style="763"/>
    <col min="15219" max="15219" customWidth="1" bestFit="1" width="3.0" style="763"/>
    <col min="15220" max="15220" customWidth="1" bestFit="1" width="3.0" style="763"/>
    <col min="15221" max="15221" customWidth="1" bestFit="1" width="3.0" style="763"/>
    <col min="15222" max="15222" customWidth="1" bestFit="1" width="3.0" style="763"/>
    <col min="15223" max="15223" customWidth="1" bestFit="1" width="3.0" style="763"/>
    <col min="15224" max="15224" customWidth="1" bestFit="1" width="3.0" style="763"/>
    <col min="15225" max="15225" customWidth="1" bestFit="1" width="3.0" style="763"/>
    <col min="15226" max="15226" customWidth="1" bestFit="1" width="3.0" style="763"/>
    <col min="15227" max="15227" customWidth="1" bestFit="1" width="3.0" style="763"/>
    <col min="15228" max="15228" customWidth="1" bestFit="1" width="3.0" style="763"/>
    <col min="15229" max="15229" customWidth="1" bestFit="1" width="3.0" style="763"/>
    <col min="15230" max="15230" customWidth="1" bestFit="1" width="3.0" style="763"/>
    <col min="15231" max="15231" customWidth="1" bestFit="1" width="3.0" style="763"/>
    <col min="15232" max="15232" customWidth="1" bestFit="1" width="3.0" style="763"/>
    <col min="15233" max="15233" customWidth="1" bestFit="1" width="3.0" style="763"/>
    <col min="15234" max="15234" customWidth="1" bestFit="1" width="3.0" style="763"/>
    <col min="15235" max="15235" customWidth="1" bestFit="1" width="3.0" style="763"/>
    <col min="15236" max="15236" customWidth="1" bestFit="1" width="3.0" style="763"/>
    <col min="15237" max="15237" customWidth="1" bestFit="1" width="3.0" style="763"/>
    <col min="15238" max="15238" customWidth="1" bestFit="1" width="3.0" style="763"/>
    <col min="15239" max="15239" customWidth="1" bestFit="1" width="3.0" style="763"/>
    <col min="15240" max="15240" customWidth="1" bestFit="1" width="3.0" style="763"/>
    <col min="15241" max="15241" customWidth="1" bestFit="1" width="3.0" style="763"/>
    <col min="15242" max="15242" customWidth="1" bestFit="1" width="3.0" style="763"/>
    <col min="15243" max="15243" customWidth="1" bestFit="1" width="3.0" style="763"/>
    <col min="15244" max="15244" customWidth="1" bestFit="1" width="3.0" style="763"/>
    <col min="15245" max="15245" customWidth="1" bestFit="1" width="3.0" style="763"/>
    <col min="15246" max="15246" customWidth="1" bestFit="1" width="3.0" style="763"/>
    <col min="15247" max="15247" customWidth="1" bestFit="1" width="3.0" style="763"/>
    <col min="15248" max="15248" customWidth="1" bestFit="1" width="3.0" style="763"/>
    <col min="15249" max="15249" customWidth="1" bestFit="1" width="3.0" style="763"/>
    <col min="15250" max="15250" customWidth="1" bestFit="1" width="3.0" style="763"/>
    <col min="15251" max="15251" customWidth="1" bestFit="1" width="3.0" style="763"/>
    <col min="15252" max="15252" customWidth="1" bestFit="1" width="3.0" style="763"/>
    <col min="15253" max="15253" customWidth="1" bestFit="1" width="3.0" style="763"/>
    <col min="15254" max="15254" customWidth="1" bestFit="1" width="3.0" style="763"/>
    <col min="15255" max="15255" customWidth="1" bestFit="1" width="3.0" style="763"/>
    <col min="15256" max="15256" customWidth="1" bestFit="1" width="3.0" style="763"/>
    <col min="15257" max="15257" customWidth="1" bestFit="1" width="3.0" style="763"/>
    <col min="15258" max="15258" customWidth="1" bestFit="1" width="3.0" style="763"/>
    <col min="15259" max="15259" customWidth="1" bestFit="1" width="3.0" style="763"/>
    <col min="15260" max="15260" customWidth="1" bestFit="1" width="3.0" style="763"/>
    <col min="15261" max="15261" customWidth="1" bestFit="1" width="3.0" style="763"/>
    <col min="15262" max="15262" customWidth="1" bestFit="1" width="3.0" style="763"/>
    <col min="15263" max="15263" customWidth="1" bestFit="1" width="3.0" style="763"/>
    <col min="15264" max="15264" customWidth="1" bestFit="1" width="3.0" style="763"/>
    <col min="15265" max="15265" customWidth="1" bestFit="1" width="3.0" style="763"/>
    <col min="15266" max="15266" customWidth="1" bestFit="1" width="3.0" style="763"/>
    <col min="15267" max="15267" customWidth="1" bestFit="1" width="3.0" style="763"/>
    <col min="15268" max="15268" customWidth="1" bestFit="1" width="3.0" style="763"/>
    <col min="15269" max="15269" customWidth="1" bestFit="1" width="3.0" style="763"/>
    <col min="15270" max="15270" customWidth="1" bestFit="1" width="3.0" style="763"/>
    <col min="15271" max="15271" customWidth="1" bestFit="1" width="3.0" style="763"/>
    <col min="15272" max="15272" customWidth="1" bestFit="1" width="3.0" style="763"/>
    <col min="15273" max="15273" customWidth="1" bestFit="1" width="3.0" style="763"/>
    <col min="15274" max="15274" customWidth="1" bestFit="1" width="3.0" style="763"/>
    <col min="15275" max="15275" customWidth="1" bestFit="1" width="3.0" style="763"/>
    <col min="15276" max="15276" customWidth="1" bestFit="1" width="3.0" style="763"/>
    <col min="15277" max="15277" customWidth="1" bestFit="1" width="3.0" style="763"/>
    <col min="15278" max="15278" customWidth="1" bestFit="1" width="3.0" style="763"/>
    <col min="15279" max="15279" customWidth="1" bestFit="1" width="3.0" style="763"/>
    <col min="15280" max="15280" customWidth="1" bestFit="1" width="3.0" style="763"/>
    <col min="15281" max="15281" customWidth="1" bestFit="1" width="3.0" style="763"/>
    <col min="15282" max="15282" customWidth="1" bestFit="1" width="3.0" style="763"/>
    <col min="15283" max="15283" customWidth="1" bestFit="1" width="3.0" style="763"/>
    <col min="15284" max="15284" customWidth="1" bestFit="1" width="3.0" style="763"/>
    <col min="15285" max="15285" customWidth="1" bestFit="1" width="3.0" style="763"/>
    <col min="15286" max="15286" customWidth="1" bestFit="1" width="3.0" style="763"/>
    <col min="15287" max="15287" customWidth="1" bestFit="1" width="3.0" style="763"/>
    <col min="15288" max="15288" customWidth="1" bestFit="1" width="3.0" style="763"/>
    <col min="15289" max="15289" customWidth="1" bestFit="1" width="3.0" style="763"/>
    <col min="15290" max="15290" customWidth="1" bestFit="1" width="3.0" style="763"/>
    <col min="15291" max="15291" customWidth="1" bestFit="1" width="3.0" style="763"/>
    <col min="15292" max="15292" customWidth="1" bestFit="1" width="3.0" style="763"/>
    <col min="15293" max="15293" customWidth="1" bestFit="1" width="3.0" style="763"/>
    <col min="15294" max="15294" customWidth="1" bestFit="1" width="3.0" style="763"/>
    <col min="15295" max="15295" customWidth="1" bestFit="1" width="3.0" style="763"/>
    <col min="15296" max="15296" customWidth="1" bestFit="1" width="3.0" style="763"/>
    <col min="15297" max="15297" customWidth="1" bestFit="1" width="3.0" style="763"/>
    <col min="15298" max="15298" customWidth="1" bestFit="1" width="3.0" style="763"/>
    <col min="15299" max="15299" customWidth="1" bestFit="1" width="3.0" style="763"/>
    <col min="15300" max="15300" customWidth="1" bestFit="1" width="3.0" style="763"/>
    <col min="15301" max="15301" customWidth="1" bestFit="1" width="3.0" style="763"/>
    <col min="15302" max="15302" customWidth="1" bestFit="1" width="3.0" style="763"/>
    <col min="15303" max="15303" customWidth="1" bestFit="1" width="3.0" style="763"/>
    <col min="15304" max="15304" customWidth="1" bestFit="1" width="3.0" style="763"/>
    <col min="15305" max="15305" customWidth="1" bestFit="1" width="3.0" style="763"/>
    <col min="15306" max="15306" customWidth="1" bestFit="1" width="3.0" style="763"/>
    <col min="15307" max="15307" customWidth="1" bestFit="1" width="3.0" style="763"/>
    <col min="15308" max="15308" customWidth="1" bestFit="1" width="3.0" style="763"/>
    <col min="15309" max="15309" customWidth="1" bestFit="1" width="3.0" style="763"/>
    <col min="15310" max="15310" customWidth="1" bestFit="1" width="3.0" style="763"/>
    <col min="15311" max="15311" customWidth="1" bestFit="1" width="3.0" style="763"/>
    <col min="15312" max="15312" customWidth="1" bestFit="1" width="3.0" style="763"/>
    <col min="15313" max="15313" customWidth="1" bestFit="1" width="3.0" style="763"/>
    <col min="15314" max="15314" customWidth="1" bestFit="1" width="3.0" style="763"/>
    <col min="15315" max="15315" customWidth="1" bestFit="1" width="3.0" style="763"/>
    <col min="15316" max="15316" customWidth="1" bestFit="1" width="3.0" style="763"/>
    <col min="15317" max="15317" customWidth="1" bestFit="1" width="3.0" style="763"/>
    <col min="15318" max="15318" customWidth="1" bestFit="1" width="3.0" style="763"/>
    <col min="15319" max="15319" customWidth="1" bestFit="1" width="3.0" style="763"/>
    <col min="15320" max="15320" customWidth="1" bestFit="1" width="3.0" style="763"/>
    <col min="15321" max="15321" customWidth="1" bestFit="1" width="3.0" style="763"/>
    <col min="15322" max="15322" customWidth="1" bestFit="1" width="3.0" style="763"/>
    <col min="15323" max="15323" customWidth="1" bestFit="1" width="3.0" style="763"/>
    <col min="15324" max="15324" customWidth="1" bestFit="1" width="3.0" style="763"/>
    <col min="15325" max="15325" customWidth="1" bestFit="1" width="3.0" style="763"/>
    <col min="15326" max="15326" customWidth="1" bestFit="1" width="3.0" style="763"/>
    <col min="15327" max="15327" customWidth="1" bestFit="1" width="3.0" style="763"/>
    <col min="15328" max="15328" customWidth="1" bestFit="1" width="3.0" style="763"/>
    <col min="15329" max="15329" customWidth="1" bestFit="1" width="3.0" style="763"/>
    <col min="15330" max="15330" customWidth="1" bestFit="1" width="3.0" style="763"/>
    <col min="15331" max="15331" customWidth="1" bestFit="1" width="3.0" style="763"/>
    <col min="15332" max="15332" customWidth="1" bestFit="1" width="3.0" style="763"/>
    <col min="15333" max="15333" customWidth="1" bestFit="1" width="3.0" style="763"/>
    <col min="15334" max="15334" customWidth="1" bestFit="1" width="3.0" style="763"/>
    <col min="15335" max="15335" customWidth="1" bestFit="1" width="3.0" style="763"/>
    <col min="15336" max="15336" customWidth="1" bestFit="1" width="3.0" style="763"/>
    <col min="15337" max="15337" customWidth="1" bestFit="1" width="3.0" style="763"/>
    <col min="15338" max="15338" customWidth="1" bestFit="1" width="3.0" style="763"/>
    <col min="15339" max="15339" customWidth="1" bestFit="1" width="3.0" style="763"/>
    <col min="15340" max="15340" customWidth="1" bestFit="1" width="3.0" style="763"/>
    <col min="15341" max="15341" customWidth="1" bestFit="1" width="3.0" style="763"/>
    <col min="15342" max="15342" customWidth="1" bestFit="1" width="3.0" style="763"/>
    <col min="15343" max="15343" customWidth="1" bestFit="1" width="3.0" style="763"/>
    <col min="15344" max="15344" customWidth="1" bestFit="1" width="3.0" style="763"/>
    <col min="15345" max="15345" customWidth="1" bestFit="1" width="3.0" style="763"/>
    <col min="15346" max="15346" customWidth="1" bestFit="1" width="3.0" style="763"/>
    <col min="15347" max="15347" customWidth="1" bestFit="1" width="3.0" style="763"/>
    <col min="15348" max="15348" customWidth="1" bestFit="1" width="3.0" style="763"/>
    <col min="15349" max="15349" customWidth="1" bestFit="1" width="3.0" style="763"/>
    <col min="15350" max="15350" customWidth="1" bestFit="1" width="3.0" style="763"/>
    <col min="15351" max="15351" customWidth="1" bestFit="1" width="3.0" style="763"/>
    <col min="15352" max="15352" customWidth="1" bestFit="1" width="3.0" style="763"/>
    <col min="15353" max="15353" customWidth="1" bestFit="1" width="3.0" style="763"/>
    <col min="15354" max="15354" customWidth="1" bestFit="1" width="3.0" style="763"/>
    <col min="15355" max="15355" customWidth="1" bestFit="1" width="3.0" style="763"/>
    <col min="15356" max="15356" customWidth="1" bestFit="1" width="3.0" style="763"/>
    <col min="15357" max="15357" customWidth="1" bestFit="1" width="3.0" style="763"/>
    <col min="15358" max="15358" customWidth="1" bestFit="1" width="3.0" style="763"/>
    <col min="15359" max="15359" customWidth="1" bestFit="1" width="3.0" style="763"/>
    <col min="15360" max="15360" customWidth="1" bestFit="1" width="3.0" style="763"/>
    <col min="15361" max="15361" customWidth="1" bestFit="1" width="3.0" style="763"/>
    <col min="15362" max="15362" customWidth="1" bestFit="1" width="3.0" style="763"/>
    <col min="15363" max="15363" customWidth="1" bestFit="1" width="3.0" style="763"/>
    <col min="15364" max="15364" customWidth="1" bestFit="1" width="3.0" style="763"/>
    <col min="15365" max="15365" customWidth="1" bestFit="1" width="3.0" style="763"/>
    <col min="15366" max="15366" customWidth="1" bestFit="1" width="3.0" style="763"/>
    <col min="15367" max="15367" customWidth="1" bestFit="1" width="3.0" style="763"/>
    <col min="15368" max="15368" customWidth="1" bestFit="1" width="3.0" style="763"/>
    <col min="15369" max="15369" customWidth="1" bestFit="1" width="3.0" style="763"/>
    <col min="15370" max="15370" customWidth="1" bestFit="1" width="3.0" style="763"/>
    <col min="15371" max="15371" customWidth="1" bestFit="1" width="3.0" style="763"/>
    <col min="15372" max="15372" customWidth="1" bestFit="1" width="3.0" style="763"/>
    <col min="15373" max="15373" customWidth="1" bestFit="1" width="3.0" style="763"/>
    <col min="15374" max="15374" customWidth="1" bestFit="1" width="3.0" style="763"/>
    <col min="15375" max="15375" customWidth="1" bestFit="1" width="3.0" style="763"/>
    <col min="15376" max="15376" customWidth="1" bestFit="1" width="3.0" style="763"/>
    <col min="15377" max="15377" customWidth="1" bestFit="1" width="3.0" style="763"/>
    <col min="15378" max="15378" customWidth="1" bestFit="1" width="3.0" style="763"/>
    <col min="15379" max="15379" customWidth="1" bestFit="1" width="3.0" style="763"/>
    <col min="15380" max="15380" customWidth="1" bestFit="1" width="3.0" style="763"/>
    <col min="15381" max="15381" customWidth="1" bestFit="1" width="3.0" style="763"/>
    <col min="15382" max="15382" customWidth="1" bestFit="1" width="3.0" style="763"/>
    <col min="15383" max="15383" customWidth="1" bestFit="1" width="3.0" style="763"/>
    <col min="15384" max="15384" customWidth="1" bestFit="1" width="3.0" style="763"/>
    <col min="15385" max="15385" customWidth="1" bestFit="1" width="3.0" style="763"/>
    <col min="15386" max="15386" customWidth="1" bestFit="1" width="3.0" style="763"/>
    <col min="15387" max="15387" customWidth="1" bestFit="1" width="3.0" style="763"/>
    <col min="15388" max="15388" customWidth="1" bestFit="1" width="3.0" style="763"/>
    <col min="15389" max="15389" customWidth="1" bestFit="1" width="3.0" style="763"/>
    <col min="15390" max="15390" customWidth="1" bestFit="1" width="3.0" style="763"/>
    <col min="15391" max="15391" customWidth="1" bestFit="1" width="3.0" style="763"/>
    <col min="15392" max="15392" customWidth="1" bestFit="1" width="3.0" style="763"/>
    <col min="15393" max="15393" customWidth="1" bestFit="1" width="3.0" style="763"/>
    <col min="15394" max="15394" customWidth="1" bestFit="1" width="3.0" style="763"/>
    <col min="15395" max="15395" customWidth="1" bestFit="1" width="3.0" style="763"/>
    <col min="15396" max="15396" customWidth="1" bestFit="1" width="3.0" style="763"/>
    <col min="15397" max="15397" customWidth="1" bestFit="1" width="3.0" style="763"/>
    <col min="15398" max="15398" customWidth="1" bestFit="1" width="3.0" style="763"/>
    <col min="15399" max="15399" customWidth="1" bestFit="1" width="3.0" style="763"/>
    <col min="15400" max="15400" customWidth="1" bestFit="1" width="3.0" style="763"/>
    <col min="15401" max="15401" customWidth="1" bestFit="1" width="3.0" style="763"/>
    <col min="15402" max="15402" customWidth="1" bestFit="1" width="3.0" style="763"/>
    <col min="15403" max="15403" customWidth="1" bestFit="1" width="3.0" style="763"/>
    <col min="15404" max="15404" customWidth="1" bestFit="1" width="3.0" style="763"/>
    <col min="15405" max="15405" customWidth="1" bestFit="1" width="3.0" style="763"/>
    <col min="15406" max="15406" customWidth="1" bestFit="1" width="3.0" style="763"/>
    <col min="15407" max="15407" customWidth="1" bestFit="1" width="3.0" style="763"/>
    <col min="15408" max="15408" customWidth="1" bestFit="1" width="3.0" style="763"/>
    <col min="15409" max="15409" customWidth="1" bestFit="1" width="3.0" style="763"/>
    <col min="15410" max="15410" customWidth="1" bestFit="1" width="3.0" style="763"/>
    <col min="15411" max="15411" customWidth="1" bestFit="1" width="3.0" style="763"/>
    <col min="15412" max="15412" customWidth="1" bestFit="1" width="3.0" style="763"/>
    <col min="15413" max="15413" customWidth="1" bestFit="1" width="3.0" style="763"/>
    <col min="15414" max="15414" customWidth="1" bestFit="1" width="3.0" style="763"/>
    <col min="15415" max="15415" customWidth="1" bestFit="1" width="3.0" style="763"/>
    <col min="15416" max="15416" customWidth="1" bestFit="1" width="3.0" style="763"/>
    <col min="15417" max="15417" customWidth="1" bestFit="1" width="3.0" style="763"/>
    <col min="15418" max="15418" customWidth="1" bestFit="1" width="3.0" style="763"/>
    <col min="15419" max="15419" customWidth="1" bestFit="1" width="3.0" style="763"/>
    <col min="15420" max="15420" customWidth="1" bestFit="1" width="3.0" style="763"/>
    <col min="15421" max="15421" customWidth="1" bestFit="1" width="3.0" style="763"/>
    <col min="15422" max="15422" customWidth="1" bestFit="1" width="3.0" style="763"/>
    <col min="15423" max="15423" customWidth="1" bestFit="1" width="3.0" style="763"/>
    <col min="15424" max="15424" customWidth="1" bestFit="1" width="3.0" style="763"/>
    <col min="15425" max="15425" customWidth="1" bestFit="1" width="3.0" style="763"/>
    <col min="15426" max="15426" customWidth="1" bestFit="1" width="3.0" style="763"/>
    <col min="15427" max="15427" customWidth="1" bestFit="1" width="3.0" style="763"/>
    <col min="15428" max="15428" customWidth="1" bestFit="1" width="3.0" style="763"/>
    <col min="15429" max="15429" customWidth="1" bestFit="1" width="3.0" style="763"/>
    <col min="15430" max="15430" customWidth="1" bestFit="1" width="3.0" style="763"/>
    <col min="15431" max="15431" customWidth="1" bestFit="1" width="3.0" style="763"/>
    <col min="15432" max="15432" customWidth="1" bestFit="1" width="3.0" style="763"/>
    <col min="15433" max="15433" customWidth="1" bestFit="1" width="3.0" style="763"/>
    <col min="15434" max="15434" customWidth="1" bestFit="1" width="3.0" style="763"/>
    <col min="15435" max="15435" customWidth="1" bestFit="1" width="3.0" style="763"/>
    <col min="15436" max="15436" customWidth="1" bestFit="1" width="3.0" style="763"/>
    <col min="15437" max="15437" customWidth="1" bestFit="1" width="3.0" style="763"/>
    <col min="15438" max="15438" customWidth="1" bestFit="1" width="3.0" style="763"/>
    <col min="15439" max="15439" customWidth="1" bestFit="1" width="3.0" style="763"/>
    <col min="15440" max="15440" customWidth="1" bestFit="1" width="3.0" style="763"/>
    <col min="15441" max="15441" customWidth="1" bestFit="1" width="3.0" style="763"/>
    <col min="15442" max="15442" customWidth="1" bestFit="1" width="3.0" style="763"/>
    <col min="15443" max="15443" customWidth="1" bestFit="1" width="3.0" style="763"/>
    <col min="15444" max="15444" customWidth="1" bestFit="1" width="3.0" style="763"/>
    <col min="15445" max="15445" customWidth="1" bestFit="1" width="3.0" style="763"/>
    <col min="15446" max="15446" customWidth="1" bestFit="1" width="3.0" style="763"/>
    <col min="15447" max="15447" customWidth="1" bestFit="1" width="3.0" style="763"/>
    <col min="15448" max="15448" customWidth="1" bestFit="1" width="3.0" style="763"/>
    <col min="15449" max="15449" customWidth="1" bestFit="1" width="3.0" style="763"/>
    <col min="15450" max="15450" customWidth="1" bestFit="1" width="3.0" style="763"/>
    <col min="15451" max="15451" customWidth="1" bestFit="1" width="3.0" style="763"/>
    <col min="15452" max="15452" customWidth="1" bestFit="1" width="3.0" style="763"/>
    <col min="15453" max="15453" customWidth="1" bestFit="1" width="3.0" style="763"/>
    <col min="15454" max="15454" customWidth="1" bestFit="1" width="3.0" style="763"/>
    <col min="15455" max="15455" customWidth="1" bestFit="1" width="3.0" style="763"/>
    <col min="15456" max="15456" customWidth="1" bestFit="1" width="3.0" style="763"/>
    <col min="15457" max="15457" customWidth="1" bestFit="1" width="3.0" style="763"/>
    <col min="15458" max="15458" customWidth="1" bestFit="1" width="3.0" style="763"/>
    <col min="15459" max="15459" customWidth="1" bestFit="1" width="3.0" style="763"/>
    <col min="15460" max="15460" customWidth="1" bestFit="1" width="3.0" style="763"/>
    <col min="15461" max="15461" customWidth="1" bestFit="1" width="3.0" style="763"/>
    <col min="15462" max="15462" customWidth="1" bestFit="1" width="3.0" style="763"/>
    <col min="15463" max="15463" customWidth="1" bestFit="1" width="3.0" style="763"/>
    <col min="15464" max="15464" customWidth="1" bestFit="1" width="3.0" style="763"/>
    <col min="15465" max="15465" customWidth="1" bestFit="1" width="3.0" style="763"/>
    <col min="15466" max="15466" customWidth="1" bestFit="1" width="3.0" style="763"/>
    <col min="15467" max="15467" customWidth="1" bestFit="1" width="3.0" style="763"/>
    <col min="15468" max="15468" customWidth="1" bestFit="1" width="3.0" style="763"/>
    <col min="15469" max="15469" customWidth="1" bestFit="1" width="3.0" style="763"/>
    <col min="15470" max="15470" customWidth="1" bestFit="1" width="3.0" style="763"/>
    <col min="15471" max="15471" customWidth="1" bestFit="1" width="3.0" style="763"/>
    <col min="15472" max="15472" customWidth="1" bestFit="1" width="3.0" style="763"/>
    <col min="15473" max="15473" customWidth="1" bestFit="1" width="3.0" style="763"/>
    <col min="15474" max="15474" customWidth="1" bestFit="1" width="3.0" style="763"/>
    <col min="15475" max="15475" customWidth="1" bestFit="1" width="3.0" style="763"/>
    <col min="15476" max="15476" customWidth="1" bestFit="1" width="3.0" style="763"/>
    <col min="15477" max="15477" customWidth="1" bestFit="1" width="3.0" style="763"/>
    <col min="15478" max="15478" customWidth="1" bestFit="1" width="3.0" style="763"/>
    <col min="15479" max="15479" customWidth="1" bestFit="1" width="3.0" style="763"/>
    <col min="15480" max="15480" customWidth="1" bestFit="1" width="3.0" style="763"/>
    <col min="15481" max="15481" customWidth="1" bestFit="1" width="3.0" style="763"/>
    <col min="15482" max="15482" customWidth="1" bestFit="1" width="3.0" style="763"/>
    <col min="15483" max="15483" customWidth="1" bestFit="1" width="3.0" style="763"/>
    <col min="15484" max="15484" customWidth="1" bestFit="1" width="3.0" style="763"/>
    <col min="15485" max="15485" customWidth="1" bestFit="1" width="3.0" style="763"/>
    <col min="15486" max="15486" customWidth="1" bestFit="1" width="3.0" style="763"/>
    <col min="15487" max="15487" customWidth="1" bestFit="1" width="3.0" style="763"/>
    <col min="15488" max="15488" customWidth="1" bestFit="1" width="3.0" style="763"/>
    <col min="15489" max="15489" customWidth="1" bestFit="1" width="3.0" style="763"/>
    <col min="15490" max="15490" customWidth="1" bestFit="1" width="3.0" style="763"/>
    <col min="15491" max="15491" customWidth="1" bestFit="1" width="3.0" style="763"/>
    <col min="15492" max="15492" customWidth="1" bestFit="1" width="3.0" style="763"/>
    <col min="15493" max="15493" customWidth="1" bestFit="1" width="3.0" style="763"/>
    <col min="15494" max="15494" customWidth="1" bestFit="1" width="3.0" style="763"/>
    <col min="15495" max="15495" customWidth="1" bestFit="1" width="3.0" style="763"/>
    <col min="15496" max="15496" customWidth="1" bestFit="1" width="3.0" style="763"/>
    <col min="15497" max="15497" customWidth="1" bestFit="1" width="3.0" style="763"/>
    <col min="15498" max="15498" customWidth="1" bestFit="1" width="3.0" style="763"/>
    <col min="15499" max="15499" customWidth="1" bestFit="1" width="3.0" style="763"/>
    <col min="15500" max="15500" customWidth="1" bestFit="1" width="3.0" style="763"/>
    <col min="15501" max="15501" customWidth="1" bestFit="1" width="3.0" style="763"/>
    <col min="15502" max="15502" customWidth="1" bestFit="1" width="3.0" style="763"/>
    <col min="15503" max="15503" customWidth="1" bestFit="1" width="3.0" style="763"/>
    <col min="15504" max="15504" customWidth="1" bestFit="1" width="3.0" style="763"/>
    <col min="15505" max="15505" customWidth="1" bestFit="1" width="3.0" style="763"/>
    <col min="15506" max="15506" customWidth="1" bestFit="1" width="3.0" style="763"/>
    <col min="15507" max="15507" customWidth="1" bestFit="1" width="3.0" style="763"/>
    <col min="15508" max="15508" customWidth="1" bestFit="1" width="3.0" style="763"/>
    <col min="15509" max="15509" customWidth="1" bestFit="1" width="3.0" style="763"/>
    <col min="15510" max="15510" customWidth="1" bestFit="1" width="3.0" style="763"/>
    <col min="15511" max="15511" customWidth="1" bestFit="1" width="3.0" style="763"/>
    <col min="15512" max="15512" customWidth="1" bestFit="1" width="3.0" style="763"/>
    <col min="15513" max="15513" customWidth="1" bestFit="1" width="3.0" style="763"/>
    <col min="15514" max="15514" customWidth="1" bestFit="1" width="3.0" style="763"/>
    <col min="15515" max="15515" customWidth="1" bestFit="1" width="3.0" style="763"/>
    <col min="15516" max="15516" customWidth="1" bestFit="1" width="3.0" style="763"/>
    <col min="15517" max="15517" customWidth="1" bestFit="1" width="3.0" style="763"/>
    <col min="15518" max="15518" customWidth="1" bestFit="1" width="3.0" style="763"/>
    <col min="15519" max="15519" customWidth="1" bestFit="1" width="3.0" style="763"/>
    <col min="15520" max="15520" customWidth="1" bestFit="1" width="3.0" style="763"/>
    <col min="15521" max="15521" customWidth="1" bestFit="1" width="3.0" style="763"/>
    <col min="15522" max="15522" customWidth="1" bestFit="1" width="3.0" style="763"/>
    <col min="15523" max="15523" customWidth="1" bestFit="1" width="3.0" style="763"/>
    <col min="15524" max="15524" customWidth="1" bestFit="1" width="3.0" style="763"/>
    <col min="15525" max="15525" customWidth="1" bestFit="1" width="3.0" style="763"/>
    <col min="15526" max="15526" customWidth="1" bestFit="1" width="3.0" style="763"/>
    <col min="15527" max="15527" customWidth="1" bestFit="1" width="3.0" style="763"/>
    <col min="15528" max="15528" customWidth="1" bestFit="1" width="3.0" style="763"/>
    <col min="15529" max="15529" customWidth="1" bestFit="1" width="3.0" style="763"/>
    <col min="15530" max="15530" customWidth="1" bestFit="1" width="3.0" style="763"/>
    <col min="15531" max="15531" customWidth="1" bestFit="1" width="3.0" style="763"/>
    <col min="15532" max="15532" customWidth="1" bestFit="1" width="3.0" style="763"/>
    <col min="15533" max="15533" customWidth="1" bestFit="1" width="3.0" style="763"/>
    <col min="15534" max="15534" customWidth="1" bestFit="1" width="3.0" style="763"/>
    <col min="15535" max="15535" customWidth="1" bestFit="1" width="3.0" style="763"/>
    <col min="15536" max="15536" customWidth="1" bestFit="1" width="3.0" style="763"/>
    <col min="15537" max="15537" customWidth="1" bestFit="1" width="3.0" style="763"/>
    <col min="15538" max="15538" customWidth="1" bestFit="1" width="3.0" style="763"/>
    <col min="15539" max="15539" customWidth="1" bestFit="1" width="3.0" style="763"/>
    <col min="15540" max="15540" customWidth="1" bestFit="1" width="3.0" style="763"/>
    <col min="15541" max="15541" customWidth="1" bestFit="1" width="3.0" style="763"/>
    <col min="15542" max="15542" customWidth="1" bestFit="1" width="3.0" style="763"/>
    <col min="15543" max="15543" customWidth="1" bestFit="1" width="3.0" style="763"/>
    <col min="15544" max="15544" customWidth="1" bestFit="1" width="3.0" style="763"/>
    <col min="15545" max="15545" customWidth="1" bestFit="1" width="3.0" style="763"/>
    <col min="15546" max="15546" customWidth="1" bestFit="1" width="3.0" style="763"/>
    <col min="15547" max="15547" customWidth="1" bestFit="1" width="3.0" style="763"/>
    <col min="15548" max="15548" customWidth="1" bestFit="1" width="3.0" style="763"/>
    <col min="15549" max="15549" customWidth="1" bestFit="1" width="3.0" style="763"/>
    <col min="15550" max="15550" customWidth="1" bestFit="1" width="3.0" style="763"/>
    <col min="15551" max="15551" customWidth="1" bestFit="1" width="3.0" style="763"/>
    <col min="15552" max="15552" customWidth="1" bestFit="1" width="3.0" style="763"/>
    <col min="15553" max="15553" customWidth="1" bestFit="1" width="3.0" style="763"/>
    <col min="15554" max="15554" customWidth="1" bestFit="1" width="3.0" style="763"/>
    <col min="15555" max="15555" customWidth="1" bestFit="1" width="3.0" style="763"/>
    <col min="15556" max="15556" customWidth="1" bestFit="1" width="3.0" style="763"/>
    <col min="15557" max="15557" customWidth="1" bestFit="1" width="3.0" style="763"/>
    <col min="15558" max="15558" customWidth="1" bestFit="1" width="3.0" style="763"/>
    <col min="15559" max="15559" customWidth="1" bestFit="1" width="3.0" style="763"/>
    <col min="15560" max="15560" customWidth="1" bestFit="1" width="3.0" style="763"/>
    <col min="15561" max="15561" customWidth="1" bestFit="1" width="3.0" style="763"/>
    <col min="15562" max="15562" customWidth="1" bestFit="1" width="3.0" style="763"/>
    <col min="15563" max="15563" customWidth="1" bestFit="1" width="3.0" style="763"/>
    <col min="15564" max="15564" customWidth="1" bestFit="1" width="3.0" style="763"/>
    <col min="15565" max="15565" customWidth="1" bestFit="1" width="3.0" style="763"/>
    <col min="15566" max="15566" customWidth="1" bestFit="1" width="3.0" style="763"/>
    <col min="15567" max="15567" customWidth="1" bestFit="1" width="3.0" style="763"/>
    <col min="15568" max="15568" customWidth="1" bestFit="1" width="3.0" style="763"/>
    <col min="15569" max="15569" customWidth="1" bestFit="1" width="3.0" style="763"/>
    <col min="15570" max="15570" customWidth="1" bestFit="1" width="3.0" style="763"/>
    <col min="15571" max="15571" customWidth="1" bestFit="1" width="3.0" style="763"/>
    <col min="15572" max="15572" customWidth="1" bestFit="1" width="3.0" style="763"/>
    <col min="15573" max="15573" customWidth="1" bestFit="1" width="3.0" style="763"/>
    <col min="15574" max="15574" customWidth="1" bestFit="1" width="3.0" style="763"/>
    <col min="15575" max="15575" customWidth="1" bestFit="1" width="3.0" style="763"/>
    <col min="15576" max="15576" customWidth="1" bestFit="1" width="3.0" style="763"/>
    <col min="15577" max="15577" customWidth="1" bestFit="1" width="3.0" style="763"/>
    <col min="15578" max="15578" customWidth="1" bestFit="1" width="3.0" style="763"/>
    <col min="15579" max="15579" customWidth="1" bestFit="1" width="3.0" style="763"/>
    <col min="15580" max="15580" customWidth="1" bestFit="1" width="3.0" style="763"/>
    <col min="15581" max="15581" customWidth="1" bestFit="1" width="3.0" style="763"/>
    <col min="15582" max="15582" customWidth="1" bestFit="1" width="3.0" style="763"/>
    <col min="15583" max="15583" customWidth="1" bestFit="1" width="3.0" style="763"/>
    <col min="15584" max="15584" customWidth="1" bestFit="1" width="3.0" style="763"/>
    <col min="15585" max="15585" customWidth="1" bestFit="1" width="3.0" style="763"/>
    <col min="15586" max="15586" customWidth="1" bestFit="1" width="3.0" style="763"/>
    <col min="15587" max="15587" customWidth="1" bestFit="1" width="3.0" style="763"/>
    <col min="15588" max="15588" customWidth="1" bestFit="1" width="3.0" style="763"/>
    <col min="15589" max="15589" customWidth="1" bestFit="1" width="3.0" style="763"/>
    <col min="15590" max="15590" customWidth="1" bestFit="1" width="3.0" style="763"/>
    <col min="15591" max="15591" customWidth="1" bestFit="1" width="3.0" style="763"/>
    <col min="15592" max="15592" customWidth="1" bestFit="1" width="3.0" style="763"/>
    <col min="15593" max="15593" customWidth="1" bestFit="1" width="3.0" style="763"/>
    <col min="15594" max="15594" customWidth="1" bestFit="1" width="3.0" style="763"/>
    <col min="15595" max="15595" customWidth="1" bestFit="1" width="3.0" style="763"/>
    <col min="15596" max="15596" customWidth="1" bestFit="1" width="3.0" style="763"/>
    <col min="15597" max="15597" customWidth="1" bestFit="1" width="3.0" style="763"/>
    <col min="15598" max="15598" customWidth="1" bestFit="1" width="3.0" style="763"/>
    <col min="15599" max="15599" customWidth="1" bestFit="1" width="3.0" style="763"/>
    <col min="15600" max="15600" customWidth="1" bestFit="1" width="3.0" style="763"/>
    <col min="15601" max="15601" customWidth="1" bestFit="1" width="3.0" style="763"/>
    <col min="15602" max="15602" customWidth="1" bestFit="1" width="3.0" style="763"/>
    <col min="15603" max="15603" customWidth="1" bestFit="1" width="3.0" style="763"/>
    <col min="15604" max="15604" customWidth="1" bestFit="1" width="3.0" style="763"/>
    <col min="15605" max="15605" customWidth="1" bestFit="1" width="3.0" style="763"/>
    <col min="15606" max="15606" customWidth="1" bestFit="1" width="3.0" style="763"/>
    <col min="15607" max="15607" customWidth="1" bestFit="1" width="3.0" style="763"/>
    <col min="15608" max="15608" customWidth="1" bestFit="1" width="3.0" style="763"/>
    <col min="15609" max="15609" customWidth="1" bestFit="1" width="3.0" style="763"/>
    <col min="15610" max="15610" customWidth="1" bestFit="1" width="3.0" style="763"/>
    <col min="15611" max="15611" customWidth="1" bestFit="1" width="3.0" style="763"/>
    <col min="15612" max="15612" customWidth="1" bestFit="1" width="3.0" style="763"/>
    <col min="15613" max="15613" customWidth="1" bestFit="1" width="3.0" style="763"/>
    <col min="15614" max="15614" customWidth="1" bestFit="1" width="3.0" style="763"/>
    <col min="15615" max="15615" customWidth="1" bestFit="1" width="3.0" style="763"/>
    <col min="15616" max="15616" customWidth="1" bestFit="1" width="3.0" style="763"/>
    <col min="15617" max="15617" customWidth="1" bestFit="1" width="3.0" style="763"/>
    <col min="15618" max="15618" customWidth="1" bestFit="1" width="3.0" style="763"/>
    <col min="15619" max="15619" customWidth="1" bestFit="1" width="3.0" style="763"/>
    <col min="15620" max="15620" customWidth="1" bestFit="1" width="3.0" style="763"/>
    <col min="15621" max="15621" customWidth="1" bestFit="1" width="3.0" style="763"/>
    <col min="15622" max="15622" customWidth="1" bestFit="1" width="3.0" style="763"/>
    <col min="15623" max="15623" customWidth="1" bestFit="1" width="3.0" style="763"/>
    <col min="15624" max="15624" customWidth="1" bestFit="1" width="3.0" style="763"/>
    <col min="15625" max="15625" customWidth="1" bestFit="1" width="3.0" style="763"/>
    <col min="15626" max="15626" customWidth="1" bestFit="1" width="3.0" style="763"/>
    <col min="15627" max="15627" customWidth="1" bestFit="1" width="3.0" style="763"/>
    <col min="15628" max="15628" customWidth="1" bestFit="1" width="3.0" style="763"/>
    <col min="15629" max="15629" customWidth="1" bestFit="1" width="3.0" style="763"/>
    <col min="15630" max="15630" customWidth="1" bestFit="1" width="3.0" style="763"/>
    <col min="15631" max="15631" customWidth="1" bestFit="1" width="3.0" style="763"/>
    <col min="15632" max="15632" customWidth="1" bestFit="1" width="3.0" style="763"/>
    <col min="15633" max="15633" customWidth="1" bestFit="1" width="3.0" style="763"/>
    <col min="15634" max="15634" customWidth="1" bestFit="1" width="3.0" style="763"/>
    <col min="15635" max="15635" customWidth="1" bestFit="1" width="3.0" style="763"/>
    <col min="15636" max="15636" customWidth="1" bestFit="1" width="3.0" style="763"/>
    <col min="15637" max="15637" customWidth="1" bestFit="1" width="3.0" style="763"/>
    <col min="15638" max="15638" customWidth="1" bestFit="1" width="3.0" style="763"/>
    <col min="15639" max="15639" customWidth="1" bestFit="1" width="3.0" style="763"/>
    <col min="15640" max="15640" customWidth="1" bestFit="1" width="3.0" style="763"/>
    <col min="15641" max="15641" customWidth="1" bestFit="1" width="3.0" style="763"/>
    <col min="15642" max="15642" customWidth="1" bestFit="1" width="3.0" style="763"/>
    <col min="15643" max="15643" customWidth="1" bestFit="1" width="3.0" style="763"/>
    <col min="15644" max="15644" customWidth="1" bestFit="1" width="3.0" style="763"/>
    <col min="15645" max="15645" customWidth="1" bestFit="1" width="3.0" style="763"/>
    <col min="15646" max="15646" customWidth="1" bestFit="1" width="3.0" style="763"/>
    <col min="15647" max="15647" customWidth="1" bestFit="1" width="3.0" style="763"/>
    <col min="15648" max="15648" customWidth="1" bestFit="1" width="3.0" style="763"/>
    <col min="15649" max="15649" customWidth="1" bestFit="1" width="3.0" style="763"/>
    <col min="15650" max="15650" customWidth="1" bestFit="1" width="3.0" style="763"/>
    <col min="15651" max="15651" customWidth="1" bestFit="1" width="3.0" style="763"/>
    <col min="15652" max="15652" customWidth="1" bestFit="1" width="3.0" style="763"/>
    <col min="15653" max="15653" customWidth="1" bestFit="1" width="3.0" style="763"/>
    <col min="15654" max="15654" customWidth="1" bestFit="1" width="3.0" style="763"/>
    <col min="15655" max="15655" customWidth="1" bestFit="1" width="3.0" style="763"/>
    <col min="15656" max="15656" customWidth="1" bestFit="1" width="3.0" style="763"/>
    <col min="15657" max="15657" customWidth="1" bestFit="1" width="3.0" style="763"/>
    <col min="15658" max="15658" customWidth="1" bestFit="1" width="3.0" style="763"/>
    <col min="15659" max="15659" customWidth="1" bestFit="1" width="3.0" style="763"/>
    <col min="15660" max="15660" customWidth="1" bestFit="1" width="3.0" style="763"/>
    <col min="15661" max="15661" customWidth="1" bestFit="1" width="3.0" style="763"/>
    <col min="15662" max="15662" customWidth="1" bestFit="1" width="3.0" style="763"/>
    <col min="15663" max="15663" customWidth="1" bestFit="1" width="3.0" style="763"/>
    <col min="15664" max="15664" customWidth="1" bestFit="1" width="3.0" style="763"/>
    <col min="15665" max="15665" customWidth="1" bestFit="1" width="3.0" style="763"/>
    <col min="15666" max="15666" customWidth="1" bestFit="1" width="3.0" style="763"/>
    <col min="15667" max="15667" customWidth="1" bestFit="1" width="3.0" style="763"/>
    <col min="15668" max="15668" customWidth="1" bestFit="1" width="3.0" style="763"/>
    <col min="15669" max="15669" customWidth="1" bestFit="1" width="3.0" style="763"/>
    <col min="15670" max="15670" customWidth="1" bestFit="1" width="3.0" style="763"/>
    <col min="15671" max="15671" customWidth="1" bestFit="1" width="3.0" style="763"/>
    <col min="15672" max="15672" customWidth="1" bestFit="1" width="3.0" style="763"/>
    <col min="15673" max="15673" customWidth="1" bestFit="1" width="3.0" style="763"/>
    <col min="15674" max="15674" customWidth="1" bestFit="1" width="3.0" style="763"/>
    <col min="15675" max="15675" customWidth="1" bestFit="1" width="3.0" style="763"/>
    <col min="15676" max="15676" customWidth="1" bestFit="1" width="3.0" style="763"/>
    <col min="15677" max="15677" customWidth="1" bestFit="1" width="3.0" style="763"/>
    <col min="15678" max="15678" customWidth="1" bestFit="1" width="3.0" style="763"/>
    <col min="15679" max="15679" customWidth="1" bestFit="1" width="3.0" style="763"/>
    <col min="15680" max="15680" customWidth="1" bestFit="1" width="3.0" style="763"/>
    <col min="15681" max="15681" customWidth="1" bestFit="1" width="3.0" style="763"/>
    <col min="15682" max="15682" customWidth="1" bestFit="1" width="3.0" style="763"/>
    <col min="15683" max="15683" customWidth="1" bestFit="1" width="3.0" style="763"/>
    <col min="15684" max="15684" customWidth="1" bestFit="1" width="3.0" style="763"/>
    <col min="15685" max="15685" customWidth="1" bestFit="1" width="3.0" style="763"/>
    <col min="15686" max="15686" customWidth="1" bestFit="1" width="3.0" style="763"/>
    <col min="15687" max="15687" customWidth="1" bestFit="1" width="3.0" style="763"/>
    <col min="15688" max="15688" customWidth="1" bestFit="1" width="3.0" style="763"/>
    <col min="15689" max="15689" customWidth="1" bestFit="1" width="3.0" style="763"/>
    <col min="15690" max="15690" customWidth="1" bestFit="1" width="3.0" style="763"/>
    <col min="15691" max="15691" customWidth="1" bestFit="1" width="3.0" style="763"/>
    <col min="15692" max="15692" customWidth="1" bestFit="1" width="3.0" style="763"/>
    <col min="15693" max="15693" customWidth="1" bestFit="1" width="3.0" style="763"/>
    <col min="15694" max="15694" customWidth="1" bestFit="1" width="3.0" style="763"/>
    <col min="15695" max="15695" customWidth="1" bestFit="1" width="3.0" style="763"/>
    <col min="15696" max="15696" customWidth="1" bestFit="1" width="3.0" style="763"/>
    <col min="15697" max="15697" customWidth="1" bestFit="1" width="3.0" style="763"/>
    <col min="15698" max="15698" customWidth="1" bestFit="1" width="3.0" style="763"/>
    <col min="15699" max="15699" customWidth="1" bestFit="1" width="3.0" style="763"/>
    <col min="15700" max="15700" customWidth="1" bestFit="1" width="3.0" style="763"/>
    <col min="15701" max="15701" customWidth="1" bestFit="1" width="3.0" style="763"/>
    <col min="15702" max="15702" customWidth="1" bestFit="1" width="3.0" style="763"/>
    <col min="15703" max="15703" customWidth="1" bestFit="1" width="3.0" style="763"/>
    <col min="15704" max="15704" customWidth="1" bestFit="1" width="3.0" style="763"/>
    <col min="15705" max="15705" customWidth="1" bestFit="1" width="3.0" style="763"/>
    <col min="15706" max="15706" customWidth="1" bestFit="1" width="3.0" style="763"/>
    <col min="15707" max="15707" customWidth="1" bestFit="1" width="3.0" style="763"/>
    <col min="15708" max="15708" customWidth="1" bestFit="1" width="3.0" style="763"/>
    <col min="15709" max="15709" customWidth="1" bestFit="1" width="3.0" style="763"/>
    <col min="15710" max="15710" customWidth="1" bestFit="1" width="3.0" style="763"/>
    <col min="15711" max="15711" customWidth="1" bestFit="1" width="3.0" style="763"/>
    <col min="15712" max="15712" customWidth="1" bestFit="1" width="3.0" style="763"/>
    <col min="15713" max="15713" customWidth="1" bestFit="1" width="3.0" style="763"/>
    <col min="15714" max="15714" customWidth="1" bestFit="1" width="3.0" style="763"/>
    <col min="15715" max="15715" customWidth="1" bestFit="1" width="3.0" style="763"/>
    <col min="15716" max="15716" customWidth="1" bestFit="1" width="3.0" style="763"/>
    <col min="15717" max="15717" customWidth="1" bestFit="1" width="3.0" style="763"/>
    <col min="15718" max="15718" customWidth="1" bestFit="1" width="3.0" style="763"/>
    <col min="15719" max="15719" customWidth="1" bestFit="1" width="3.0" style="763"/>
    <col min="15720" max="15720" customWidth="1" bestFit="1" width="3.0" style="763"/>
    <col min="15721" max="15721" customWidth="1" bestFit="1" width="3.0" style="763"/>
    <col min="15722" max="15722" customWidth="1" bestFit="1" width="3.0" style="763"/>
    <col min="15723" max="15723" customWidth="1" bestFit="1" width="3.0" style="763"/>
    <col min="15724" max="15724" customWidth="1" bestFit="1" width="3.0" style="763"/>
    <col min="15725" max="15725" customWidth="1" bestFit="1" width="3.0" style="763"/>
    <col min="15726" max="15726" customWidth="1" bestFit="1" width="3.0" style="763"/>
    <col min="15727" max="15727" customWidth="1" bestFit="1" width="3.0" style="763"/>
    <col min="15728" max="15728" customWidth="1" bestFit="1" width="3.0" style="763"/>
    <col min="15729" max="15729" customWidth="1" bestFit="1" width="3.0" style="763"/>
    <col min="15730" max="15730" customWidth="1" bestFit="1" width="3.0" style="763"/>
    <col min="15731" max="15731" customWidth="1" bestFit="1" width="3.0" style="763"/>
    <col min="15732" max="15732" customWidth="1" bestFit="1" width="3.0" style="763"/>
    <col min="15733" max="15733" customWidth="1" bestFit="1" width="3.0" style="763"/>
    <col min="15734" max="15734" customWidth="1" bestFit="1" width="3.0" style="763"/>
    <col min="15735" max="15735" customWidth="1" bestFit="1" width="3.0" style="763"/>
    <col min="15736" max="15736" customWidth="1" bestFit="1" width="3.0" style="763"/>
    <col min="15737" max="15737" customWidth="1" bestFit="1" width="3.0" style="763"/>
    <col min="15738" max="15738" customWidth="1" bestFit="1" width="3.0" style="763"/>
    <col min="15739" max="15739" customWidth="1" bestFit="1" width="3.0" style="763"/>
    <col min="15740" max="15740" customWidth="1" bestFit="1" width="3.0" style="763"/>
    <col min="15741" max="15741" customWidth="1" bestFit="1" width="3.0" style="763"/>
    <col min="15742" max="15742" customWidth="1" bestFit="1" width="3.0" style="763"/>
    <col min="15743" max="15743" customWidth="1" bestFit="1" width="3.0" style="763"/>
    <col min="15744" max="15744" customWidth="1" bestFit="1" width="3.0" style="763"/>
    <col min="15745" max="15745" customWidth="1" bestFit="1" width="3.0" style="763"/>
    <col min="15746" max="15746" customWidth="1" bestFit="1" width="3.0" style="763"/>
    <col min="15747" max="15747" customWidth="1" bestFit="1" width="3.0" style="763"/>
    <col min="15748" max="15748" customWidth="1" bestFit="1" width="3.0" style="763"/>
    <col min="15749" max="15749" customWidth="1" bestFit="1" width="3.0" style="763"/>
    <col min="15750" max="15750" customWidth="1" bestFit="1" width="3.0" style="763"/>
    <col min="15751" max="15751" customWidth="1" bestFit="1" width="3.0" style="763"/>
    <col min="15752" max="15752" customWidth="1" bestFit="1" width="3.0" style="763"/>
    <col min="15753" max="15753" customWidth="1" bestFit="1" width="3.0" style="763"/>
    <col min="15754" max="15754" customWidth="1" bestFit="1" width="3.0" style="763"/>
    <col min="15755" max="15755" customWidth="1" bestFit="1" width="3.0" style="763"/>
    <col min="15756" max="15756" customWidth="1" bestFit="1" width="3.0" style="763"/>
    <col min="15757" max="15757" customWidth="1" bestFit="1" width="3.0" style="763"/>
    <col min="15758" max="15758" customWidth="1" bestFit="1" width="3.0" style="763"/>
    <col min="15759" max="15759" customWidth="1" bestFit="1" width="3.0" style="763"/>
    <col min="15760" max="15760" customWidth="1" bestFit="1" width="3.0" style="763"/>
    <col min="15761" max="15761" customWidth="1" bestFit="1" width="3.0" style="763"/>
    <col min="15762" max="15762" customWidth="1" bestFit="1" width="3.0" style="763"/>
    <col min="15763" max="15763" customWidth="1" bestFit="1" width="3.0" style="763"/>
    <col min="15764" max="15764" customWidth="1" bestFit="1" width="3.0" style="763"/>
    <col min="15765" max="15765" customWidth="1" bestFit="1" width="3.0" style="763"/>
    <col min="15766" max="15766" customWidth="1" bestFit="1" width="3.0" style="763"/>
    <col min="15767" max="15767" customWidth="1" bestFit="1" width="3.0" style="763"/>
    <col min="15768" max="15768" customWidth="1" bestFit="1" width="3.0" style="763"/>
    <col min="15769" max="15769" customWidth="1" bestFit="1" width="3.0" style="763"/>
    <col min="15770" max="15770" customWidth="1" bestFit="1" width="3.0" style="763"/>
    <col min="15771" max="15771" customWidth="1" bestFit="1" width="3.0" style="763"/>
    <col min="15772" max="15772" customWidth="1" bestFit="1" width="3.0" style="763"/>
    <col min="15773" max="15773" customWidth="1" bestFit="1" width="3.0" style="763"/>
    <col min="15774" max="15774" customWidth="1" bestFit="1" width="3.0" style="763"/>
    <col min="15775" max="15775" customWidth="1" bestFit="1" width="3.0" style="763"/>
    <col min="15776" max="15776" customWidth="1" bestFit="1" width="3.0" style="763"/>
    <col min="15777" max="15777" customWidth="1" bestFit="1" width="3.0" style="763"/>
    <col min="15778" max="15778" customWidth="1" bestFit="1" width="3.0" style="763"/>
    <col min="15779" max="15779" customWidth="1" bestFit="1" width="3.0" style="763"/>
    <col min="15780" max="15780" customWidth="1" bestFit="1" width="3.0" style="763"/>
    <col min="15781" max="15781" customWidth="1" bestFit="1" width="3.0" style="763"/>
    <col min="15782" max="15782" customWidth="1" bestFit="1" width="3.0" style="763"/>
    <col min="15783" max="15783" customWidth="1" bestFit="1" width="3.0" style="763"/>
    <col min="15784" max="15784" customWidth="1" bestFit="1" width="3.0" style="763"/>
    <col min="15785" max="15785" customWidth="1" bestFit="1" width="3.0" style="763"/>
    <col min="15786" max="15786" customWidth="1" bestFit="1" width="3.0" style="763"/>
    <col min="15787" max="15787" customWidth="1" bestFit="1" width="3.0" style="763"/>
    <col min="15788" max="15788" customWidth="1" bestFit="1" width="3.0" style="763"/>
    <col min="15789" max="15789" customWidth="1" bestFit="1" width="3.0" style="763"/>
    <col min="15790" max="15790" customWidth="1" bestFit="1" width="3.0" style="763"/>
    <col min="15791" max="15791" customWidth="1" bestFit="1" width="3.0" style="763"/>
    <col min="15792" max="15792" customWidth="1" bestFit="1" width="3.0" style="763"/>
    <col min="15793" max="15793" customWidth="1" bestFit="1" width="3.0" style="763"/>
    <col min="15794" max="15794" customWidth="1" bestFit="1" width="3.0" style="763"/>
    <col min="15795" max="15795" customWidth="1" bestFit="1" width="3.0" style="763"/>
    <col min="15796" max="15796" customWidth="1" bestFit="1" width="3.0" style="763"/>
    <col min="15797" max="15797" customWidth="1" bestFit="1" width="3.0" style="763"/>
    <col min="15798" max="15798" customWidth="1" bestFit="1" width="3.0" style="763"/>
    <col min="15799" max="15799" customWidth="1" bestFit="1" width="3.0" style="763"/>
    <col min="15800" max="15800" customWidth="1" bestFit="1" width="3.0" style="763"/>
    <col min="15801" max="15801" customWidth="1" bestFit="1" width="3.0" style="763"/>
    <col min="15802" max="15802" customWidth="1" bestFit="1" width="3.0" style="763"/>
    <col min="15803" max="15803" customWidth="1" bestFit="1" width="3.0" style="763"/>
    <col min="15804" max="15804" customWidth="1" bestFit="1" width="3.0" style="763"/>
    <col min="15805" max="15805" customWidth="1" bestFit="1" width="3.0" style="763"/>
    <col min="15806" max="15806" customWidth="1" bestFit="1" width="3.0" style="763"/>
    <col min="15807" max="15807" customWidth="1" bestFit="1" width="3.0" style="763"/>
    <col min="15808" max="15808" customWidth="1" bestFit="1" width="3.0" style="763"/>
    <col min="15809" max="15809" customWidth="1" bestFit="1" width="3.0" style="763"/>
    <col min="15810" max="15810" customWidth="1" bestFit="1" width="3.0" style="763"/>
    <col min="15811" max="15811" customWidth="1" bestFit="1" width="3.0" style="763"/>
    <col min="15812" max="15812" customWidth="1" bestFit="1" width="3.0" style="763"/>
    <col min="15813" max="15813" customWidth="1" bestFit="1" width="3.0" style="763"/>
    <col min="15814" max="15814" customWidth="1" bestFit="1" width="3.0" style="763"/>
    <col min="15815" max="15815" customWidth="1" bestFit="1" width="3.0" style="763"/>
    <col min="15816" max="15816" customWidth="1" bestFit="1" width="3.0" style="763"/>
    <col min="15817" max="15817" customWidth="1" bestFit="1" width="3.0" style="763"/>
    <col min="15818" max="15818" customWidth="1" bestFit="1" width="3.0" style="763"/>
    <col min="15819" max="15819" customWidth="1" bestFit="1" width="3.0" style="763"/>
    <col min="15820" max="15820" customWidth="1" bestFit="1" width="3.0" style="763"/>
    <col min="15821" max="15821" customWidth="1" bestFit="1" width="3.0" style="763"/>
    <col min="15822" max="15822" customWidth="1" bestFit="1" width="3.0" style="763"/>
    <col min="15823" max="15823" customWidth="1" bestFit="1" width="3.0" style="763"/>
    <col min="15824" max="15824" customWidth="1" bestFit="1" width="3.0" style="763"/>
    <col min="15825" max="15825" customWidth="1" bestFit="1" width="3.0" style="763"/>
    <col min="15826" max="15826" customWidth="1" bestFit="1" width="3.0" style="763"/>
    <col min="15827" max="15827" customWidth="1" bestFit="1" width="3.0" style="763"/>
    <col min="15828" max="15828" customWidth="1" bestFit="1" width="3.0" style="763"/>
    <col min="15829" max="15829" customWidth="1" bestFit="1" width="3.0" style="763"/>
    <col min="15830" max="15830" customWidth="1" bestFit="1" width="3.0" style="763"/>
    <col min="15831" max="15831" customWidth="1" bestFit="1" width="3.0" style="763"/>
    <col min="15832" max="15832" customWidth="1" bestFit="1" width="3.0" style="763"/>
    <col min="15833" max="15833" customWidth="1" bestFit="1" width="3.0" style="763"/>
    <col min="15834" max="15834" customWidth="1" bestFit="1" width="3.0" style="763"/>
    <col min="15835" max="15835" customWidth="1" bestFit="1" width="3.0" style="763"/>
    <col min="15836" max="15836" customWidth="1" bestFit="1" width="3.0" style="763"/>
    <col min="15837" max="15837" customWidth="1" bestFit="1" width="3.0" style="763"/>
    <col min="15838" max="15838" customWidth="1" bestFit="1" width="3.0" style="763"/>
    <col min="15839" max="15839" customWidth="1" bestFit="1" width="3.0" style="763"/>
    <col min="15840" max="15840" customWidth="1" bestFit="1" width="3.0" style="763"/>
    <col min="15841" max="15841" customWidth="1" bestFit="1" width="3.0" style="763"/>
    <col min="15842" max="15842" customWidth="1" bestFit="1" width="3.0" style="763"/>
    <col min="15843" max="15843" customWidth="1" bestFit="1" width="3.0" style="763"/>
    <col min="15844" max="15844" customWidth="1" bestFit="1" width="3.0" style="763"/>
    <col min="15845" max="15845" customWidth="1" bestFit="1" width="3.0" style="763"/>
    <col min="15846" max="15846" customWidth="1" bestFit="1" width="3.0" style="763"/>
    <col min="15847" max="15847" customWidth="1" bestFit="1" width="3.0" style="763"/>
    <col min="15848" max="15848" customWidth="1" bestFit="1" width="3.0" style="763"/>
    <col min="15849" max="15849" customWidth="1" bestFit="1" width="3.0" style="763"/>
    <col min="15850" max="15850" customWidth="1" bestFit="1" width="3.0" style="763"/>
    <col min="15851" max="15851" customWidth="1" bestFit="1" width="3.0" style="763"/>
    <col min="15852" max="15852" customWidth="1" bestFit="1" width="3.0" style="763"/>
    <col min="15853" max="15853" customWidth="1" bestFit="1" width="3.0" style="763"/>
    <col min="15854" max="15854" customWidth="1" bestFit="1" width="3.0" style="763"/>
    <col min="15855" max="15855" customWidth="1" bestFit="1" width="3.0" style="763"/>
    <col min="15856" max="15856" customWidth="1" bestFit="1" width="3.0" style="763"/>
    <col min="15857" max="15857" customWidth="1" bestFit="1" width="3.0" style="763"/>
    <col min="15858" max="15858" customWidth="1" bestFit="1" width="3.0" style="763"/>
    <col min="15859" max="15859" customWidth="1" bestFit="1" width="3.0" style="763"/>
    <col min="15860" max="15860" customWidth="1" bestFit="1" width="3.0" style="763"/>
    <col min="15861" max="15861" customWidth="1" bestFit="1" width="3.0" style="763"/>
    <col min="15862" max="15862" customWidth="1" bestFit="1" width="3.0" style="763"/>
    <col min="15863" max="15863" customWidth="1" bestFit="1" width="3.0" style="763"/>
    <col min="15864" max="15864" customWidth="1" bestFit="1" width="3.0" style="763"/>
    <col min="15865" max="15865" customWidth="1" bestFit="1" width="3.0" style="763"/>
    <col min="15866" max="15866" customWidth="1" bestFit="1" width="3.0" style="763"/>
    <col min="15867" max="15867" customWidth="1" bestFit="1" width="3.0" style="763"/>
    <col min="15868" max="15868" customWidth="1" bestFit="1" width="3.0" style="763"/>
    <col min="15869" max="15869" customWidth="1" bestFit="1" width="3.0" style="763"/>
    <col min="15870" max="15870" customWidth="1" bestFit="1" width="3.0" style="763"/>
    <col min="15871" max="15871" customWidth="1" bestFit="1" width="3.0" style="763"/>
    <col min="15872" max="15872" customWidth="1" bestFit="1" width="3.0" style="763"/>
    <col min="15873" max="15873" customWidth="1" bestFit="1" width="3.0" style="763"/>
    <col min="15874" max="15874" customWidth="1" bestFit="1" width="3.0" style="763"/>
    <col min="15875" max="15875" customWidth="1" bestFit="1" width="3.0" style="763"/>
    <col min="15876" max="15876" customWidth="1" bestFit="1" width="3.0" style="763"/>
    <col min="15877" max="15877" customWidth="1" bestFit="1" width="3.0" style="763"/>
    <col min="15878" max="15878" customWidth="1" bestFit="1" width="3.0" style="763"/>
    <col min="15879" max="15879" customWidth="1" bestFit="1" width="3.0" style="763"/>
    <col min="15880" max="15880" customWidth="1" bestFit="1" width="3.0" style="763"/>
    <col min="15881" max="15881" customWidth="1" bestFit="1" width="3.0" style="763"/>
    <col min="15882" max="15882" customWidth="1" bestFit="1" width="3.0" style="763"/>
    <col min="15883" max="15883" customWidth="1" bestFit="1" width="3.0" style="763"/>
    <col min="15884" max="15884" customWidth="1" bestFit="1" width="3.0" style="763"/>
    <col min="15885" max="15885" customWidth="1" bestFit="1" width="3.0" style="763"/>
    <col min="15886" max="15886" customWidth="1" bestFit="1" width="3.0" style="763"/>
    <col min="15887" max="15887" customWidth="1" bestFit="1" width="3.0" style="763"/>
    <col min="15888" max="15888" customWidth="1" bestFit="1" width="3.0" style="763"/>
    <col min="15889" max="15889" customWidth="1" bestFit="1" width="3.0" style="763"/>
    <col min="15890" max="15890" customWidth="1" bestFit="1" width="3.0" style="763"/>
    <col min="15891" max="15891" customWidth="1" bestFit="1" width="3.0" style="763"/>
    <col min="15892" max="15892" customWidth="1" bestFit="1" width="3.0" style="763"/>
    <col min="15893" max="15893" customWidth="1" bestFit="1" width="3.0" style="763"/>
    <col min="15894" max="15894" customWidth="1" bestFit="1" width="3.0" style="763"/>
    <col min="15895" max="15895" customWidth="1" bestFit="1" width="3.0" style="763"/>
    <col min="15896" max="15896" customWidth="1" bestFit="1" width="3.0" style="763"/>
    <col min="15897" max="15897" customWidth="1" bestFit="1" width="3.0" style="763"/>
    <col min="15898" max="15898" customWidth="1" bestFit="1" width="3.0" style="763"/>
    <col min="15899" max="15899" customWidth="1" bestFit="1" width="3.0" style="763"/>
    <col min="15900" max="15900" customWidth="1" bestFit="1" width="3.0" style="763"/>
    <col min="15901" max="15901" customWidth="1" bestFit="1" width="3.0" style="763"/>
    <col min="15902" max="15902" customWidth="1" bestFit="1" width="3.0" style="763"/>
    <col min="15903" max="15903" customWidth="1" bestFit="1" width="3.0" style="763"/>
    <col min="15904" max="15904" customWidth="1" bestFit="1" width="3.0" style="763"/>
    <col min="15905" max="15905" customWidth="1" bestFit="1" width="3.0" style="763"/>
    <col min="15906" max="15906" customWidth="1" bestFit="1" width="3.0" style="763"/>
    <col min="15907" max="15907" customWidth="1" bestFit="1" width="3.0" style="763"/>
    <col min="15908" max="15908" customWidth="1" bestFit="1" width="3.0" style="763"/>
    <col min="15909" max="15909" customWidth="1" bestFit="1" width="3.0" style="763"/>
    <col min="15910" max="15910" customWidth="1" bestFit="1" width="3.0" style="763"/>
    <col min="15911" max="15911" customWidth="1" bestFit="1" width="3.0" style="763"/>
    <col min="15912" max="15912" customWidth="1" bestFit="1" width="3.0" style="763"/>
    <col min="15913" max="15913" customWidth="1" bestFit="1" width="3.0" style="763"/>
    <col min="15914" max="15914" customWidth="1" bestFit="1" width="3.0" style="763"/>
    <col min="15915" max="15915" customWidth="1" bestFit="1" width="3.0" style="763"/>
    <col min="15916" max="15916" customWidth="1" bestFit="1" width="3.0" style="763"/>
    <col min="15917" max="15917" customWidth="1" bestFit="1" width="3.0" style="763"/>
    <col min="15918" max="15918" customWidth="1" bestFit="1" width="3.0" style="763"/>
    <col min="15919" max="15919" customWidth="1" bestFit="1" width="3.0" style="763"/>
    <col min="15920" max="15920" customWidth="1" bestFit="1" width="3.0" style="763"/>
    <col min="15921" max="15921" customWidth="1" bestFit="1" width="3.0" style="763"/>
    <col min="15922" max="15922" customWidth="1" bestFit="1" width="3.0" style="763"/>
    <col min="15923" max="15923" customWidth="1" bestFit="1" width="3.0" style="763"/>
    <col min="15924" max="15924" customWidth="1" bestFit="1" width="3.0" style="763"/>
    <col min="15925" max="15925" customWidth="1" bestFit="1" width="3.0" style="763"/>
    <col min="15926" max="15926" customWidth="1" bestFit="1" width="3.0" style="763"/>
    <col min="15927" max="15927" customWidth="1" bestFit="1" width="3.0" style="763"/>
    <col min="15928" max="15928" customWidth="1" bestFit="1" width="3.0" style="763"/>
    <col min="15929" max="15929" customWidth="1" bestFit="1" width="3.0" style="763"/>
    <col min="15930" max="15930" customWidth="1" bestFit="1" width="3.0" style="763"/>
    <col min="15931" max="15931" customWidth="1" bestFit="1" width="3.0" style="763"/>
    <col min="15932" max="15932" customWidth="1" bestFit="1" width="3.0" style="763"/>
    <col min="15933" max="15933" customWidth="1" bestFit="1" width="3.0" style="763"/>
    <col min="15934" max="15934" customWidth="1" bestFit="1" width="3.0" style="763"/>
    <col min="15935" max="15935" customWidth="1" bestFit="1" width="3.0" style="763"/>
    <col min="15936" max="15936" customWidth="1" bestFit="1" width="3.0" style="763"/>
    <col min="15937" max="15937" customWidth="1" bestFit="1" width="3.0" style="763"/>
    <col min="15938" max="15938" customWidth="1" bestFit="1" width="3.0" style="763"/>
    <col min="15939" max="15939" customWidth="1" bestFit="1" width="3.0" style="763"/>
    <col min="15940" max="15940" customWidth="1" bestFit="1" width="3.0" style="763"/>
    <col min="15941" max="15941" customWidth="1" bestFit="1" width="3.0" style="763"/>
    <col min="15942" max="15942" customWidth="1" bestFit="1" width="3.0" style="763"/>
    <col min="15943" max="15943" customWidth="1" bestFit="1" width="3.0" style="763"/>
    <col min="15944" max="15944" customWidth="1" bestFit="1" width="3.0" style="763"/>
    <col min="15945" max="15945" customWidth="1" bestFit="1" width="3.0" style="763"/>
    <col min="15946" max="15946" customWidth="1" bestFit="1" width="3.0" style="763"/>
    <col min="15947" max="15947" customWidth="1" bestFit="1" width="3.0" style="763"/>
    <col min="15948" max="15948" customWidth="1" bestFit="1" width="3.0" style="763"/>
    <col min="15949" max="15949" customWidth="1" bestFit="1" width="3.0" style="763"/>
    <col min="15950" max="15950" customWidth="1" bestFit="1" width="3.0" style="763"/>
    <col min="15951" max="15951" customWidth="1" bestFit="1" width="3.0" style="763"/>
    <col min="15952" max="15952" customWidth="1" bestFit="1" width="3.0" style="763"/>
    <col min="15953" max="15953" customWidth="1" bestFit="1" width="3.0" style="763"/>
    <col min="15954" max="15954" customWidth="1" bestFit="1" width="3.0" style="763"/>
    <col min="15955" max="15955" customWidth="1" bestFit="1" width="3.0" style="763"/>
    <col min="15956" max="15956" customWidth="1" bestFit="1" width="3.0" style="763"/>
    <col min="15957" max="15957" customWidth="1" bestFit="1" width="3.0" style="763"/>
    <col min="15958" max="15958" customWidth="1" bestFit="1" width="3.0" style="763"/>
    <col min="15959" max="15959" customWidth="1" bestFit="1" width="3.0" style="763"/>
    <col min="15960" max="15960" customWidth="1" bestFit="1" width="3.0" style="763"/>
    <col min="15961" max="15961" customWidth="1" bestFit="1" width="3.0" style="763"/>
    <col min="15962" max="15962" customWidth="1" bestFit="1" width="3.0" style="763"/>
    <col min="15963" max="15963" customWidth="1" bestFit="1" width="3.0" style="763"/>
    <col min="15964" max="15964" customWidth="1" bestFit="1" width="3.0" style="763"/>
    <col min="15965" max="15965" customWidth="1" bestFit="1" width="3.0" style="763"/>
    <col min="15966" max="15966" customWidth="1" bestFit="1" width="3.0" style="763"/>
    <col min="15967" max="15967" customWidth="1" bestFit="1" width="3.0" style="763"/>
    <col min="15968" max="15968" customWidth="1" bestFit="1" width="3.0" style="763"/>
    <col min="15969" max="15969" customWidth="1" bestFit="1" width="3.0" style="763"/>
    <col min="15970" max="15970" customWidth="1" bestFit="1" width="3.0" style="763"/>
    <col min="15971" max="15971" customWidth="1" bestFit="1" width="3.0" style="763"/>
    <col min="15972" max="15972" customWidth="1" bestFit="1" width="3.0" style="763"/>
    <col min="15973" max="15973" customWidth="1" bestFit="1" width="3.0" style="763"/>
    <col min="15974" max="15974" customWidth="1" bestFit="1" width="3.0" style="763"/>
    <col min="15975" max="15975" customWidth="1" bestFit="1" width="3.0" style="763"/>
    <col min="15976" max="15976" customWidth="1" bestFit="1" width="3.0" style="763"/>
    <col min="15977" max="15977" customWidth="1" bestFit="1" width="3.0" style="763"/>
    <col min="15978" max="15978" customWidth="1" bestFit="1" width="3.0" style="763"/>
    <col min="15979" max="15979" customWidth="1" bestFit="1" width="3.0" style="763"/>
    <col min="15980" max="15980" customWidth="1" bestFit="1" width="3.0" style="763"/>
    <col min="15981" max="15981" customWidth="1" bestFit="1" width="3.0" style="763"/>
    <col min="15982" max="15982" customWidth="1" bestFit="1" width="3.0" style="763"/>
    <col min="15983" max="15983" customWidth="1" bestFit="1" width="3.0" style="763"/>
    <col min="15984" max="15984" customWidth="1" bestFit="1" width="3.0" style="763"/>
    <col min="15985" max="15985" customWidth="1" bestFit="1" width="3.0" style="763"/>
    <col min="15986" max="15986" customWidth="1" bestFit="1" width="3.0" style="763"/>
    <col min="15987" max="15987" customWidth="1" bestFit="1" width="3.0" style="763"/>
    <col min="15988" max="15988" customWidth="1" bestFit="1" width="3.0" style="763"/>
    <col min="15989" max="15989" customWidth="1" bestFit="1" width="3.0" style="763"/>
    <col min="15990" max="15990" customWidth="1" bestFit="1" width="3.0" style="763"/>
    <col min="15991" max="15991" customWidth="1" bestFit="1" width="3.0" style="763"/>
    <col min="15992" max="15992" customWidth="1" bestFit="1" width="3.0" style="763"/>
    <col min="15993" max="15993" customWidth="1" bestFit="1" width="3.0" style="763"/>
    <col min="15994" max="15994" customWidth="1" bestFit="1" width="3.0" style="763"/>
    <col min="15995" max="15995" customWidth="1" bestFit="1" width="3.0" style="763"/>
    <col min="15996" max="15996" customWidth="1" bestFit="1" width="3.0" style="763"/>
    <col min="15997" max="15997" customWidth="1" bestFit="1" width="3.0" style="763"/>
    <col min="15998" max="15998" customWidth="1" bestFit="1" width="3.0" style="763"/>
    <col min="15999" max="15999" customWidth="1" bestFit="1" width="3.0" style="763"/>
    <col min="16000" max="16000" customWidth="1" bestFit="1" width="3.0" style="763"/>
    <col min="16001" max="16001" customWidth="1" bestFit="1" width="3.0" style="763"/>
    <col min="16002" max="16002" customWidth="1" bestFit="1" width="3.0" style="763"/>
    <col min="16003" max="16003" customWidth="1" bestFit="1" width="3.0" style="763"/>
    <col min="16004" max="16004" customWidth="1" bestFit="1" width="3.0" style="763"/>
    <col min="16005" max="16005" customWidth="1" bestFit="1" width="3.0" style="763"/>
    <col min="16006" max="16006" customWidth="1" bestFit="1" width="3.0" style="763"/>
    <col min="16007" max="16007" customWidth="1" bestFit="1" width="3.0" style="763"/>
    <col min="16008" max="16008" customWidth="1" bestFit="1" width="3.0" style="763"/>
    <col min="16009" max="16009" customWidth="1" bestFit="1" width="3.0" style="763"/>
    <col min="16010" max="16010" customWidth="1" bestFit="1" width="3.0" style="763"/>
    <col min="16011" max="16011" customWidth="1" bestFit="1" width="3.0" style="763"/>
    <col min="16012" max="16012" customWidth="1" bestFit="1" width="3.0" style="763"/>
    <col min="16013" max="16013" customWidth="1" bestFit="1" width="3.0" style="763"/>
    <col min="16014" max="16014" customWidth="1" bestFit="1" width="3.0" style="763"/>
    <col min="16015" max="16015" customWidth="1" bestFit="1" width="3.0" style="763"/>
    <col min="16016" max="16016" customWidth="1" bestFit="1" width="3.0" style="763"/>
    <col min="16017" max="16017" customWidth="1" bestFit="1" width="3.0" style="763"/>
    <col min="16018" max="16018" customWidth="1" bestFit="1" width="3.0" style="763"/>
    <col min="16019" max="16019" customWidth="1" bestFit="1" width="3.0" style="763"/>
    <col min="16020" max="16020" customWidth="1" bestFit="1" width="3.0" style="763"/>
    <col min="16021" max="16021" customWidth="1" bestFit="1" width="3.0" style="763"/>
    <col min="16022" max="16022" customWidth="1" bestFit="1" width="3.0" style="763"/>
    <col min="16023" max="16023" customWidth="1" bestFit="1" width="3.0" style="763"/>
    <col min="16024" max="16024" customWidth="1" bestFit="1" width="3.0" style="763"/>
    <col min="16025" max="16025" customWidth="1" bestFit="1" width="3.0" style="763"/>
    <col min="16026" max="16026" customWidth="1" bestFit="1" width="3.0" style="763"/>
    <col min="16027" max="16027" customWidth="1" bestFit="1" width="3.0" style="763"/>
    <col min="16028" max="16028" customWidth="1" bestFit="1" width="3.0" style="763"/>
    <col min="16029" max="16029" customWidth="1" bestFit="1" width="3.0" style="763"/>
    <col min="16030" max="16030" customWidth="1" bestFit="1" width="3.0" style="763"/>
    <col min="16031" max="16031" customWidth="1" bestFit="1" width="3.0" style="763"/>
    <col min="16032" max="16032" customWidth="1" bestFit="1" width="3.0" style="763"/>
    <col min="16033" max="16033" customWidth="1" bestFit="1" width="3.0" style="763"/>
    <col min="16034" max="16034" customWidth="1" bestFit="1" width="3.0" style="763"/>
    <col min="16035" max="16035" customWidth="1" bestFit="1" width="3.0" style="763"/>
    <col min="16036" max="16036" customWidth="1" bestFit="1" width="3.0" style="763"/>
    <col min="16037" max="16037" customWidth="1" bestFit="1" width="3.0" style="763"/>
    <col min="16038" max="16038" customWidth="1" bestFit="1" width="3.0" style="763"/>
    <col min="16039" max="16039" customWidth="1" bestFit="1" width="3.0" style="763"/>
    <col min="16040" max="16040" customWidth="1" bestFit="1" width="3.0" style="763"/>
    <col min="16041" max="16041" customWidth="1" bestFit="1" width="3.0" style="763"/>
    <col min="16042" max="16042" customWidth="1" bestFit="1" width="3.0" style="763"/>
    <col min="16043" max="16043" customWidth="1" bestFit="1" width="3.0" style="763"/>
    <col min="16044" max="16044" customWidth="1" bestFit="1" width="3.0" style="763"/>
    <col min="16045" max="16045" customWidth="1" bestFit="1" width="3.0" style="763"/>
    <col min="16046" max="16046" customWidth="1" bestFit="1" width="3.0" style="763"/>
    <col min="16047" max="16047" customWidth="1" bestFit="1" width="3.0" style="763"/>
    <col min="16048" max="16048" customWidth="1" bestFit="1" width="3.0" style="763"/>
    <col min="16049" max="16049" customWidth="1" bestFit="1" width="3.0" style="763"/>
    <col min="16050" max="16050" customWidth="1" bestFit="1" width="3.0" style="763"/>
    <col min="16051" max="16051" customWidth="1" bestFit="1" width="3.0" style="763"/>
    <col min="16052" max="16052" customWidth="1" bestFit="1" width="3.0" style="763"/>
    <col min="16053" max="16053" customWidth="1" bestFit="1" width="3.0" style="763"/>
    <col min="16054" max="16054" customWidth="1" bestFit="1" width="3.0" style="763"/>
    <col min="16055" max="16055" customWidth="1" bestFit="1" width="3.0" style="763"/>
    <col min="16056" max="16056" customWidth="1" bestFit="1" width="3.0" style="763"/>
    <col min="16057" max="16057" customWidth="1" bestFit="1" width="3.0" style="763"/>
    <col min="16058" max="16058" customWidth="1" bestFit="1" width="3.0" style="763"/>
    <col min="16059" max="16059" customWidth="1" bestFit="1" width="3.0" style="763"/>
    <col min="16060" max="16060" customWidth="1" bestFit="1" width="3.0" style="763"/>
    <col min="16061" max="16061" customWidth="1" bestFit="1" width="3.0" style="763"/>
    <col min="16062" max="16062" customWidth="1" bestFit="1" width="3.0" style="763"/>
    <col min="16063" max="16063" customWidth="1" bestFit="1" width="3.0" style="763"/>
    <col min="16064" max="16064" customWidth="1" bestFit="1" width="3.0" style="763"/>
    <col min="16065" max="16065" customWidth="1" bestFit="1" width="3.0" style="763"/>
    <col min="16066" max="16066" customWidth="1" bestFit="1" width="3.0" style="763"/>
    <col min="16067" max="16067" customWidth="1" bestFit="1" width="3.0" style="763"/>
    <col min="16068" max="16068" customWidth="1" bestFit="1" width="3.0" style="763"/>
    <col min="16069" max="16069" customWidth="1" bestFit="1" width="3.0" style="763"/>
    <col min="16070" max="16070" customWidth="1" bestFit="1" width="3.0" style="763"/>
    <col min="16071" max="16071" customWidth="1" bestFit="1" width="3.0" style="763"/>
    <col min="16072" max="16072" customWidth="1" bestFit="1" width="3.0" style="763"/>
    <col min="16073" max="16073" customWidth="1" bestFit="1" width="3.0" style="763"/>
    <col min="16074" max="16074" customWidth="1" bestFit="1" width="3.0" style="763"/>
    <col min="16075" max="16075" customWidth="1" bestFit="1" width="3.0" style="763"/>
    <col min="16076" max="16076" customWidth="1" bestFit="1" width="3.0" style="763"/>
    <col min="16077" max="16077" customWidth="1" bestFit="1" width="3.0" style="763"/>
    <col min="16078" max="16078" customWidth="1" bestFit="1" width="3.0" style="763"/>
    <col min="16079" max="16079" customWidth="1" bestFit="1" width="3.0" style="763"/>
    <col min="16080" max="16080" customWidth="1" bestFit="1" width="3.0" style="763"/>
    <col min="16081" max="16081" customWidth="1" bestFit="1" width="3.0" style="763"/>
    <col min="16082" max="16082" customWidth="1" bestFit="1" width="3.0" style="763"/>
    <col min="16083" max="16083" customWidth="1" bestFit="1" width="3.0" style="763"/>
    <col min="16084" max="16084" customWidth="1" bestFit="1" width="3.0" style="763"/>
    <col min="16085" max="16085" customWidth="1" bestFit="1" width="3.0" style="763"/>
    <col min="16086" max="16086" customWidth="1" bestFit="1" width="3.0" style="763"/>
    <col min="16087" max="16087" customWidth="1" bestFit="1" width="3.0" style="763"/>
    <col min="16088" max="16088" customWidth="1" bestFit="1" width="3.0" style="763"/>
    <col min="16089" max="16089" customWidth="1" bestFit="1" width="3.0" style="763"/>
    <col min="16090" max="16090" customWidth="1" bestFit="1" width="3.0" style="763"/>
    <col min="16091" max="16091" customWidth="1" bestFit="1" width="3.0" style="763"/>
    <col min="16092" max="16092" customWidth="1" bestFit="1" width="3.0" style="763"/>
    <col min="16093" max="16093" customWidth="1" bestFit="1" width="3.0" style="763"/>
    <col min="16094" max="16094" customWidth="1" bestFit="1" width="3.0" style="763"/>
    <col min="16095" max="16095" customWidth="1" bestFit="1" width="3.0" style="763"/>
    <col min="16096" max="16096" customWidth="1" bestFit="1" width="3.0" style="763"/>
    <col min="16097" max="16097" customWidth="1" bestFit="1" width="3.0" style="763"/>
    <col min="16098" max="16098" customWidth="1" bestFit="1" width="3.0" style="763"/>
    <col min="16099" max="16099" customWidth="1" bestFit="1" width="3.0" style="763"/>
    <col min="16100" max="16100" customWidth="1" bestFit="1" width="3.0" style="763"/>
    <col min="16101" max="16101" customWidth="1" bestFit="1" width="3.0" style="763"/>
    <col min="16102" max="16102" customWidth="1" bestFit="1" width="3.0" style="763"/>
    <col min="16103" max="16103" customWidth="1" bestFit="1" width="3.0" style="763"/>
    <col min="16104" max="16104" customWidth="1" bestFit="1" width="3.0" style="763"/>
    <col min="16105" max="16105" customWidth="1" bestFit="1" width="3.0" style="763"/>
    <col min="16106" max="16106" customWidth="1" bestFit="1" width="3.0" style="763"/>
    <col min="16107" max="16107" customWidth="1" bestFit="1" width="3.0" style="763"/>
    <col min="16108" max="16108" customWidth="1" bestFit="1" width="3.0" style="763"/>
    <col min="16109" max="16109" customWidth="1" bestFit="1" width="3.0" style="763"/>
    <col min="16110" max="16110" customWidth="1" bestFit="1" width="3.0" style="763"/>
    <col min="16111" max="16111" customWidth="1" bestFit="1" width="3.0" style="763"/>
    <col min="16112" max="16112" customWidth="1" bestFit="1" width="3.0" style="763"/>
    <col min="16113" max="16113" customWidth="1" bestFit="1" width="3.0" style="763"/>
    <col min="16114" max="16114" customWidth="1" bestFit="1" width="3.0" style="763"/>
    <col min="16115" max="16115" customWidth="1" bestFit="1" width="3.0" style="763"/>
    <col min="16116" max="16116" customWidth="1" bestFit="1" width="3.0" style="763"/>
    <col min="16117" max="16117" customWidth="1" bestFit="1" width="3.0" style="763"/>
    <col min="16118" max="16118" customWidth="1" bestFit="1" width="3.0" style="763"/>
    <col min="16119" max="16119" customWidth="1" bestFit="1" width="3.0" style="763"/>
    <col min="16120" max="16120" customWidth="1" bestFit="1" width="3.0" style="763"/>
    <col min="16121" max="16121" customWidth="1" bestFit="1" width="3.0" style="763"/>
    <col min="16122" max="16122" customWidth="1" bestFit="1" width="3.0" style="763"/>
    <col min="16123" max="16123" customWidth="1" bestFit="1" width="3.0" style="763"/>
    <col min="16124" max="16124" customWidth="1" bestFit="1" width="3.0" style="763"/>
    <col min="16125" max="16125" customWidth="1" bestFit="1" width="3.0" style="763"/>
    <col min="16126" max="16126" customWidth="1" bestFit="1" width="3.0" style="763"/>
    <col min="16127" max="16127" customWidth="1" bestFit="1" width="3.0" style="763"/>
    <col min="16128" max="16128" customWidth="1" bestFit="1" width="3.0" style="763"/>
    <col min="16129" max="16129" customWidth="1" bestFit="1" width="3.0" style="763"/>
    <col min="16130" max="16130" customWidth="1" bestFit="1" width="3.0" style="763"/>
    <col min="16131" max="16131" customWidth="1" bestFit="1" width="3.0" style="763"/>
    <col min="16132" max="16132" customWidth="1" bestFit="1" width="3.0" style="763"/>
    <col min="16133" max="16133" customWidth="1" bestFit="1" width="3.0" style="763"/>
    <col min="16134" max="16134" customWidth="1" bestFit="1" width="3.0" style="763"/>
    <col min="16135" max="16135" customWidth="1" bestFit="1" width="3.0" style="763"/>
    <col min="16136" max="16136" customWidth="1" bestFit="1" width="3.0" style="763"/>
    <col min="16137" max="16137" customWidth="1" bestFit="1" width="3.0" style="763"/>
    <col min="16138" max="16138" customWidth="1" bestFit="1" width="3.0" style="763"/>
    <col min="16139" max="16139" customWidth="1" bestFit="1" width="3.0" style="763"/>
    <col min="16140" max="16140" customWidth="1" bestFit="1" width="3.0" style="763"/>
    <col min="16141" max="16141" customWidth="1" bestFit="1" width="3.0" style="763"/>
    <col min="16142" max="16142" customWidth="1" bestFit="1" width="3.0" style="763"/>
    <col min="16143" max="16143" customWidth="1" bestFit="1" width="3.0" style="763"/>
    <col min="16144" max="16144" customWidth="1" bestFit="1" width="3.0" style="763"/>
    <col min="16145" max="16145" customWidth="1" bestFit="1" width="3.0" style="763"/>
    <col min="16146" max="16146" customWidth="1" bestFit="1" width="3.0" style="763"/>
    <col min="16147" max="16147" customWidth="1" bestFit="1" width="3.0" style="763"/>
    <col min="16148" max="16148" customWidth="1" bestFit="1" width="3.0" style="763"/>
    <col min="16149" max="16149" customWidth="1" bestFit="1" width="3.0" style="763"/>
    <col min="16150" max="16150" customWidth="1" bestFit="1" width="3.0" style="763"/>
    <col min="16151" max="16151" customWidth="1" bestFit="1" width="3.0" style="763"/>
    <col min="16152" max="16152" customWidth="1" bestFit="1" width="3.0" style="763"/>
    <col min="16153" max="16153" customWidth="1" bestFit="1" width="3.0" style="763"/>
    <col min="16154" max="16154" customWidth="1" bestFit="1" width="3.0" style="763"/>
    <col min="16155" max="16155" customWidth="1" bestFit="1" width="3.0" style="763"/>
    <col min="16156" max="16156" customWidth="1" bestFit="1" width="3.0" style="763"/>
    <col min="16157" max="16157" customWidth="1" bestFit="1" width="3.0" style="763"/>
    <col min="16158" max="16158" customWidth="1" bestFit="1" width="3.0" style="763"/>
    <col min="16159" max="16159" customWidth="1" bestFit="1" width="3.0" style="763"/>
    <col min="16160" max="16160" customWidth="1" bestFit="1" width="3.0" style="763"/>
    <col min="16161" max="16161" customWidth="1" bestFit="1" width="3.0" style="763"/>
    <col min="16162" max="16162" customWidth="1" bestFit="1" width="3.0" style="763"/>
    <col min="16163" max="16163" customWidth="1" bestFit="1" width="3.0" style="763"/>
    <col min="16164" max="16164" customWidth="1" bestFit="1" width="3.0" style="763"/>
    <col min="16165" max="16165" customWidth="1" bestFit="1" width="3.0" style="763"/>
    <col min="16166" max="16166" customWidth="1" bestFit="1" width="3.0" style="763"/>
    <col min="16167" max="16167" customWidth="1" bestFit="1" width="3.0" style="763"/>
    <col min="16168" max="16168" customWidth="1" bestFit="1" width="3.0" style="763"/>
    <col min="16169" max="16169" customWidth="1" bestFit="1" width="3.0" style="763"/>
    <col min="16170" max="16170" customWidth="1" bestFit="1" width="3.0" style="763"/>
    <col min="16171" max="16171" customWidth="1" bestFit="1" width="3.0" style="763"/>
    <col min="16172" max="16172" customWidth="1" bestFit="1" width="3.0" style="763"/>
    <col min="16173" max="16173" customWidth="1" bestFit="1" width="3.0" style="763"/>
    <col min="16174" max="16174" customWidth="1" bestFit="1" width="3.0" style="763"/>
    <col min="16175" max="16175" customWidth="1" bestFit="1" width="3.0" style="763"/>
    <col min="16176" max="16176" customWidth="1" bestFit="1" width="3.0" style="763"/>
    <col min="16177" max="16177" customWidth="1" bestFit="1" width="3.0" style="763"/>
    <col min="16178" max="16178" customWidth="1" bestFit="1" width="3.0" style="763"/>
    <col min="16179" max="16179" customWidth="1" bestFit="1" width="3.0" style="763"/>
    <col min="16180" max="16180" customWidth="1" bestFit="1" width="3.0" style="763"/>
    <col min="16181" max="16181" customWidth="1" bestFit="1" width="3.0" style="763"/>
    <col min="16182" max="16182" customWidth="1" bestFit="1" width="3.0" style="763"/>
    <col min="16183" max="16183" customWidth="1" bestFit="1" width="3.0" style="763"/>
    <col min="16184" max="16184" customWidth="1" bestFit="1" width="3.0" style="763"/>
    <col min="16185" max="16185" customWidth="1" bestFit="1" width="3.0" style="763"/>
    <col min="16186" max="16186" customWidth="1" bestFit="1" width="3.0" style="763"/>
    <col min="16187" max="16187" customWidth="1" bestFit="1" width="3.0" style="763"/>
    <col min="16188" max="16188" customWidth="1" bestFit="1" width="3.0" style="763"/>
    <col min="16189" max="16189" customWidth="1" bestFit="1" width="3.0" style="763"/>
    <col min="16190" max="16190" customWidth="1" bestFit="1" width="3.0" style="763"/>
    <col min="16191" max="16191" customWidth="1" bestFit="1" width="3.0" style="763"/>
    <col min="16192" max="16192" customWidth="1" bestFit="1" width="3.0" style="763"/>
    <col min="16193" max="16193" customWidth="1" bestFit="1" width="3.0" style="763"/>
    <col min="16194" max="16194" customWidth="1" bestFit="1" width="3.0" style="763"/>
    <col min="16195" max="16195" customWidth="1" bestFit="1" width="3.0" style="763"/>
    <col min="16196" max="16196" customWidth="1" bestFit="1" width="3.0" style="763"/>
    <col min="16197" max="16197" customWidth="1" bestFit="1" width="3.0" style="763"/>
    <col min="16198" max="16198" customWidth="1" bestFit="1" width="3.0" style="763"/>
    <col min="16199" max="16199" customWidth="1" bestFit="1" width="3.0" style="763"/>
    <col min="16200" max="16200" customWidth="1" bestFit="1" width="3.0" style="763"/>
    <col min="16201" max="16201" customWidth="1" bestFit="1" width="3.0" style="763"/>
    <col min="16202" max="16202" customWidth="1" bestFit="1" width="3.0" style="763"/>
    <col min="16203" max="16203" customWidth="1" bestFit="1" width="3.0" style="763"/>
    <col min="16204" max="16204" customWidth="1" bestFit="1" width="3.0" style="763"/>
    <col min="16205" max="16205" customWidth="1" bestFit="1" width="3.0" style="763"/>
    <col min="16206" max="16206" customWidth="1" bestFit="1" width="3.0" style="763"/>
    <col min="16207" max="16207" customWidth="1" bestFit="1" width="3.0" style="763"/>
    <col min="16208" max="16208" customWidth="1" bestFit="1" width="3.0" style="763"/>
    <col min="16209" max="16209" customWidth="1" bestFit="1" width="3.0" style="763"/>
    <col min="16210" max="16210" customWidth="1" bestFit="1" width="3.0" style="763"/>
    <col min="16211" max="16211" customWidth="1" bestFit="1" width="3.0" style="763"/>
    <col min="16212" max="16212" customWidth="1" bestFit="1" width="3.0" style="763"/>
    <col min="16213" max="16213" customWidth="1" bestFit="1" width="3.0" style="763"/>
    <col min="16214" max="16214" customWidth="1" bestFit="1" width="3.0" style="763"/>
    <col min="16215" max="16215" customWidth="1" bestFit="1" width="3.0" style="763"/>
    <col min="16216" max="16216" customWidth="1" bestFit="1" width="3.0" style="763"/>
    <col min="16217" max="16217" customWidth="1" bestFit="1" width="3.0" style="763"/>
    <col min="16218" max="16218" customWidth="1" bestFit="1" width="3.0" style="763"/>
    <col min="16219" max="16219" customWidth="1" bestFit="1" width="3.0" style="763"/>
    <col min="16220" max="16220" customWidth="1" bestFit="1" width="3.0" style="763"/>
    <col min="16221" max="16221" customWidth="1" bestFit="1" width="3.0" style="763"/>
    <col min="16222" max="16222" customWidth="1" bestFit="1" width="3.0" style="763"/>
    <col min="16223" max="16223" customWidth="1" bestFit="1" width="3.0" style="763"/>
    <col min="16224" max="16224" customWidth="1" bestFit="1" width="3.0" style="763"/>
    <col min="16225" max="16225" customWidth="1" bestFit="1" width="3.0" style="763"/>
    <col min="16226" max="16226" customWidth="1" bestFit="1" width="3.0" style="763"/>
    <col min="16227" max="16227" customWidth="1" bestFit="1" width="3.0" style="763"/>
    <col min="16228" max="16228" customWidth="1" bestFit="1" width="3.0" style="763"/>
    <col min="16229" max="16229" customWidth="1" bestFit="1" width="3.0" style="763"/>
    <col min="16230" max="16230" customWidth="1" bestFit="1" width="3.0" style="763"/>
    <col min="16231" max="16231" customWidth="1" bestFit="1" width="3.0" style="763"/>
    <col min="16232" max="16232" customWidth="1" bestFit="1" width="3.0" style="763"/>
    <col min="16233" max="16233" customWidth="1" bestFit="1" width="3.0" style="763"/>
    <col min="16234" max="16234" customWidth="1" bestFit="1" width="3.0" style="763"/>
    <col min="16235" max="16235" customWidth="1" bestFit="1" width="3.0" style="763"/>
    <col min="16236" max="16236" customWidth="1" bestFit="1" width="3.0" style="763"/>
    <col min="16237" max="16237" customWidth="1" bestFit="1" width="3.0" style="763"/>
    <col min="16238" max="16238" customWidth="1" bestFit="1" width="3.0" style="763"/>
    <col min="16239" max="16239" customWidth="1" bestFit="1" width="3.0" style="763"/>
    <col min="16240" max="16240" customWidth="1" bestFit="1" width="3.0" style="763"/>
    <col min="16241" max="16241" customWidth="1" bestFit="1" width="3.0" style="763"/>
    <col min="16242" max="16242" customWidth="1" bestFit="1" width="3.0" style="763"/>
    <col min="16243" max="16243" customWidth="1" bestFit="1" width="3.0" style="763"/>
    <col min="16244" max="16244" customWidth="1" bestFit="1" width="3.0" style="763"/>
    <col min="16245" max="16245" customWidth="1" bestFit="1" width="3.0" style="763"/>
    <col min="16246" max="16246" customWidth="1" bestFit="1" width="3.0" style="763"/>
    <col min="16247" max="16247" customWidth="1" bestFit="1" width="3.0" style="763"/>
    <col min="16248" max="16248" customWidth="1" bestFit="1" width="3.0" style="763"/>
    <col min="16249" max="16249" customWidth="1" bestFit="1" width="3.0" style="763"/>
    <col min="16250" max="16250" customWidth="1" bestFit="1" width="3.0" style="763"/>
    <col min="16251" max="16251" customWidth="1" bestFit="1" width="3.0" style="763"/>
    <col min="16252" max="16252" customWidth="1" bestFit="1" width="3.0" style="763"/>
    <col min="16253" max="16253" customWidth="1" bestFit="1" width="3.0" style="763"/>
    <col min="16254" max="16254" customWidth="1" bestFit="1" width="3.0" style="763"/>
    <col min="16255" max="16255" customWidth="1" bestFit="1" width="3.0" style="763"/>
    <col min="16256" max="16256" customWidth="1" bestFit="1" width="3.0" style="763"/>
    <col min="16257" max="16257" customWidth="1" bestFit="1" width="3.0" style="763"/>
    <col min="16258" max="16258" customWidth="1" bestFit="1" width="3.0" style="763"/>
    <col min="16259" max="16259" customWidth="1" bestFit="1" width="3.0" style="763"/>
    <col min="16260" max="16260" customWidth="1" bestFit="1" width="3.0" style="763"/>
    <col min="16261" max="16261" customWidth="1" bestFit="1" width="3.0" style="763"/>
    <col min="16262" max="16262" customWidth="1" bestFit="1" width="3.0" style="763"/>
    <col min="16263" max="16263" customWidth="1" bestFit="1" width="3.0" style="763"/>
    <col min="16264" max="16264" customWidth="1" bestFit="1" width="3.0" style="763"/>
    <col min="16265" max="16265" customWidth="1" bestFit="1" width="3.0" style="763"/>
    <col min="16266" max="16266" customWidth="1" bestFit="1" width="3.0" style="763"/>
    <col min="16267" max="16267" customWidth="1" bestFit="1" width="3.0" style="763"/>
    <col min="16268" max="16268" customWidth="1" bestFit="1" width="3.0" style="763"/>
    <col min="16269" max="16269" customWidth="1" bestFit="1" width="3.0" style="763"/>
    <col min="16270" max="16270" customWidth="1" bestFit="1" width="3.0" style="763"/>
    <col min="16271" max="16271" customWidth="1" bestFit="1" width="3.0" style="763"/>
    <col min="16272" max="16272" customWidth="1" bestFit="1" width="3.0" style="763"/>
    <col min="16273" max="16273" customWidth="1" bestFit="1" width="3.0" style="763"/>
    <col min="16274" max="16274" customWidth="1" bestFit="1" width="3.0" style="763"/>
    <col min="16275" max="16275" customWidth="1" bestFit="1" width="3.0" style="763"/>
    <col min="16276" max="16276" customWidth="1" bestFit="1" width="3.0" style="763"/>
    <col min="16277" max="16277" customWidth="1" bestFit="1" width="3.0" style="763"/>
    <col min="16278" max="16278" customWidth="1" bestFit="1" width="3.0" style="763"/>
    <col min="16279" max="16279" customWidth="1" bestFit="1" width="3.0" style="763"/>
    <col min="16280" max="16280" customWidth="1" bestFit="1" width="3.0" style="763"/>
    <col min="16281" max="16281" customWidth="1" bestFit="1" width="3.0" style="763"/>
    <col min="16282" max="16282" customWidth="1" bestFit="1" width="3.0" style="763"/>
    <col min="16283" max="16283" customWidth="1" bestFit="1" width="3.0" style="763"/>
    <col min="16284" max="16284" customWidth="1" bestFit="1" width="3.0" style="763"/>
    <col min="16285" max="16285" customWidth="1" bestFit="1" width="3.0" style="763"/>
    <col min="16286" max="16286" customWidth="1" bestFit="1" width="3.0" style="763"/>
    <col min="16287" max="16287" customWidth="1" bestFit="1" width="3.0" style="763"/>
    <col min="16288" max="16288" customWidth="1" bestFit="1" width="3.0" style="763"/>
    <col min="16289" max="16289" customWidth="1" bestFit="1" width="3.0" style="763"/>
    <col min="16290" max="16290" customWidth="1" bestFit="1" width="3.0" style="763"/>
    <col min="16291" max="16291" customWidth="1" bestFit="1" width="3.0" style="763"/>
    <col min="16292" max="16292" customWidth="1" bestFit="1" width="3.0" style="763"/>
    <col min="16293" max="16293" customWidth="1" bestFit="1" width="3.0" style="763"/>
    <col min="16294" max="16294" customWidth="1" bestFit="1" width="3.0" style="763"/>
    <col min="16295" max="16295" customWidth="1" bestFit="1" width="3.0" style="763"/>
    <col min="16296" max="16296" customWidth="1" bestFit="1" width="3.0" style="763"/>
    <col min="16297" max="16297" customWidth="1" bestFit="1" width="3.0" style="763"/>
    <col min="16298" max="16298" customWidth="1" bestFit="1" width="3.0" style="763"/>
    <col min="16299" max="16299" customWidth="1" bestFit="1" width="3.0" style="763"/>
    <col min="16300" max="16300" customWidth="1" bestFit="1" width="3.0" style="763"/>
    <col min="16301" max="16301" customWidth="1" bestFit="1" width="3.0" style="763"/>
    <col min="16302" max="16302" customWidth="1" bestFit="1" width="3.0" style="763"/>
    <col min="16303" max="16303" customWidth="1" bestFit="1" width="3.0" style="763"/>
    <col min="16304" max="16304" customWidth="1" bestFit="1" width="3.0" style="763"/>
    <col min="16305" max="16305" customWidth="1" bestFit="1" width="3.0" style="763"/>
    <col min="16306" max="16306" customWidth="1" bestFit="1" width="3.0" style="763"/>
    <col min="16307" max="16307" customWidth="1" bestFit="1" width="3.0" style="763"/>
    <col min="16308" max="16308" customWidth="1" bestFit="1" width="3.0" style="763"/>
    <col min="16309" max="16309" customWidth="1" bestFit="1" width="3.0" style="763"/>
    <col min="16310" max="16310" customWidth="1" bestFit="1" width="3.0" style="763"/>
    <col min="16311" max="16311" customWidth="1" bestFit="1" width="3.0" style="763"/>
    <col min="16312" max="16312" customWidth="1" bestFit="1" width="3.0" style="763"/>
    <col min="16313" max="16313" customWidth="1" bestFit="1" width="3.0" style="763"/>
    <col min="16314" max="16314" customWidth="1" bestFit="1" width="3.0" style="763"/>
    <col min="16315" max="16315" customWidth="1" bestFit="1" width="3.0" style="763"/>
    <col min="16316" max="16316" customWidth="1" bestFit="1" width="3.0" style="763"/>
    <col min="16317" max="16317" customWidth="1" bestFit="1" width="3.0" style="763"/>
    <col min="16318" max="16318" customWidth="1" bestFit="1" width="3.0" style="763"/>
    <col min="16319" max="16319" customWidth="1" bestFit="1" width="3.0" style="763"/>
    <col min="16320" max="16320" customWidth="1" bestFit="1" width="3.0" style="763"/>
    <col min="16321" max="16321" customWidth="1" bestFit="1" width="3.0" style="763"/>
    <col min="16322" max="16322" customWidth="1" bestFit="1" width="3.0" style="763"/>
    <col min="16323" max="16323" customWidth="1" bestFit="1" width="3.0" style="763"/>
    <col min="16324" max="16324" customWidth="1" bestFit="1" width="3.0" style="763"/>
    <col min="16325" max="16325" customWidth="1" bestFit="1" width="3.0" style="763"/>
    <col min="16326" max="16326" customWidth="1" bestFit="1" width="3.0" style="763"/>
    <col min="16327" max="16327" customWidth="1" bestFit="1" width="3.0" style="763"/>
    <col min="16328" max="16328" customWidth="1" bestFit="1" width="3.0" style="763"/>
    <col min="16329" max="16329" customWidth="1" bestFit="1" width="3.0" style="763"/>
    <col min="16330" max="16330" customWidth="1" bestFit="1" width="3.0" style="763"/>
    <col min="16331" max="16331" customWidth="1" bestFit="1" width="3.0" style="763"/>
    <col min="16332" max="16332" customWidth="1" bestFit="1" width="3.0" style="763"/>
    <col min="16333" max="16333" customWidth="1" bestFit="1" width="3.0" style="763"/>
    <col min="16334" max="16334" customWidth="1" bestFit="1" width="3.0" style="763"/>
    <col min="16335" max="16335" customWidth="1" bestFit="1" width="3.0" style="763"/>
    <col min="16336" max="16336" customWidth="1" bestFit="1" width="3.0" style="763"/>
    <col min="16337" max="16337" customWidth="1" bestFit="1" width="3.0" style="763"/>
    <col min="16338" max="16338" customWidth="1" bestFit="1" width="3.0" style="763"/>
    <col min="16339" max="16339" customWidth="1" bestFit="1" width="3.0" style="763"/>
    <col min="16340" max="16340" customWidth="1" bestFit="1" width="3.0" style="763"/>
    <col min="16341" max="16341" customWidth="1" bestFit="1" width="3.0" style="763"/>
    <col min="16342" max="16342" customWidth="1" bestFit="1" width="3.0" style="763"/>
    <col min="16343" max="16343" customWidth="1" bestFit="1" width="3.0" style="763"/>
    <col min="16344" max="16344" customWidth="1" bestFit="1" width="3.0" style="763"/>
    <col min="16345" max="16345" customWidth="1" bestFit="1" width="3.0" style="763"/>
    <col min="16346" max="16346" customWidth="1" bestFit="1" width="3.0" style="763"/>
    <col min="16347" max="16347" customWidth="1" bestFit="1" width="3.0" style="763"/>
    <col min="16348" max="16348" customWidth="1" bestFit="1" width="3.0" style="763"/>
    <col min="16349" max="16349" customWidth="1" bestFit="1" width="3.0" style="763"/>
    <col min="16350" max="16350" customWidth="1" bestFit="1" width="3.0" style="763"/>
    <col min="16351" max="16351" customWidth="1" bestFit="1" width="3.0" style="763"/>
    <col min="16352" max="16352" customWidth="1" bestFit="1" width="3.0" style="763"/>
    <col min="16353" max="16353" customWidth="1" bestFit="1" width="3.0" style="763"/>
    <col min="16354" max="16354" customWidth="1" bestFit="1" width="3.0" style="763"/>
    <col min="16355" max="16355" customWidth="1" bestFit="1" width="3.0" style="763"/>
    <col min="16356" max="16356" customWidth="1" bestFit="1" width="3.0" style="763"/>
    <col min="16357" max="16357" customWidth="1" bestFit="1" width="3.0" style="763"/>
    <col min="16358" max="16358" customWidth="1" bestFit="1" width="3.0" style="763"/>
    <col min="16359" max="16359" customWidth="1" bestFit="1" width="3.0" style="763"/>
    <col min="16360" max="16360" customWidth="1" bestFit="1" width="3.0" style="763"/>
    <col min="16361" max="16361" customWidth="1" bestFit="1" width="3.0" style="763"/>
    <col min="16362" max="16362" customWidth="1" bestFit="1" width="3.0" style="763"/>
    <col min="16363" max="16363" customWidth="1" bestFit="1" width="3.0" style="763"/>
    <col min="16364" max="16364" customWidth="1" bestFit="1" width="3.0" style="763"/>
    <col min="16365" max="16365" customWidth="1" bestFit="1" width="3.0" style="763"/>
    <col min="16366" max="16366" customWidth="1" bestFit="1" width="3.0" style="763"/>
    <col min="16367" max="16367" customWidth="1" bestFit="1" width="3.0" style="763"/>
    <col min="16368" max="16368" customWidth="1" bestFit="1" width="3.0" style="763"/>
    <col min="16369" max="16369" customWidth="1" bestFit="1" width="3.0" style="763"/>
    <col min="16370" max="16370" customWidth="1" bestFit="1" width="3.0" style="763"/>
    <col min="16371" max="16371" customWidth="1" bestFit="1" width="3.0" style="763"/>
    <col min="16372" max="16372" customWidth="1" bestFit="1" width="3.0" style="763"/>
    <col min="16373" max="16373" customWidth="1" bestFit="1" width="3.0" style="763"/>
    <col min="16374" max="16374" customWidth="1" bestFit="1" width="3.0" style="763"/>
    <col min="16375" max="16375" customWidth="1" bestFit="1" width="3.0" style="763"/>
    <col min="16376" max="16376" customWidth="1" bestFit="1" width="3.0" style="763"/>
    <col min="16377" max="16377" customWidth="1" bestFit="1" width="3.0" style="763"/>
    <col min="16378" max="16378" customWidth="1" bestFit="1" width="3.0" style="763"/>
    <col min="16379" max="16379" customWidth="1" bestFit="1" width="3.0" style="763"/>
    <col min="16380" max="16380" customWidth="1" bestFit="1" width="3.0" style="763"/>
    <col min="16381" max="16381" customWidth="1" bestFit="1" width="3.0" style="763"/>
    <col min="16382" max="16382" customWidth="1" bestFit="1" width="3.0" style="763"/>
    <col min="16383" max="16383" customWidth="1" bestFit="1" width="3.0" style="763"/>
    <col min="16384" max="16384" customWidth="1" bestFit="1" width="3.0" style="763"/>
  </cols>
  <sheetData>
    <row r="1" spans="8:8">
      <c r="A1" s="763"/>
      <c r="B1" s="763"/>
      <c r="C1" s="763"/>
      <c r="D1" s="763"/>
      <c r="E1" s="763"/>
      <c r="F1" s="763"/>
      <c r="G1" s="763"/>
      <c r="H1" s="763"/>
      <c r="I1" s="763"/>
      <c r="J1" s="763"/>
      <c r="K1" s="763"/>
      <c r="L1" s="763"/>
      <c r="M1" s="763"/>
      <c r="N1" s="763"/>
      <c r="O1" s="763"/>
      <c r="P1" s="763"/>
      <c r="Q1" s="763"/>
      <c r="R1" s="763"/>
      <c r="S1" s="764"/>
      <c r="T1" s="764"/>
      <c r="U1" s="764"/>
      <c r="V1" s="764"/>
      <c r="W1" s="764"/>
      <c r="X1" s="764"/>
      <c r="Y1" s="764"/>
      <c r="Z1" s="764"/>
      <c r="AA1" s="764"/>
      <c r="AB1" s="764"/>
      <c r="AC1" s="764"/>
      <c r="AD1" s="764"/>
      <c r="AE1" s="764"/>
      <c r="AF1" s="764"/>
      <c r="AG1" s="764"/>
      <c r="AH1" s="764"/>
      <c r="AI1" s="764"/>
      <c r="AJ1" s="764"/>
      <c r="AK1" s="763"/>
      <c r="AL1" s="763"/>
      <c r="AM1" s="763"/>
      <c r="AN1" s="763"/>
      <c r="AO1" s="763"/>
      <c r="AP1" s="763"/>
      <c r="AQ1" s="763"/>
      <c r="AR1" s="763"/>
      <c r="AS1" s="763"/>
      <c r="AT1" s="763"/>
      <c r="AU1" s="763"/>
      <c r="AV1" s="763"/>
      <c r="AW1" s="763"/>
      <c r="AX1" s="763"/>
      <c r="AY1" s="763"/>
      <c r="AZ1" s="763"/>
      <c r="BA1" s="763"/>
      <c r="BB1" s="763"/>
      <c r="BC1" s="763"/>
      <c r="BD1" s="763"/>
      <c r="BE1" s="763"/>
      <c r="BF1" s="763"/>
      <c r="BG1" s="763"/>
      <c r="BH1" s="763"/>
      <c r="BI1" s="763"/>
    </row>
    <row r="2" spans="8:8">
      <c r="A2" s="763"/>
      <c r="B2" s="765" t="str">
        <f>人物卡!B2</f>
        <v>调查员信息</v>
      </c>
      <c r="C2" s="766"/>
      <c r="D2" s="766"/>
      <c r="E2" s="766"/>
      <c r="F2" s="766"/>
      <c r="G2" s="766"/>
      <c r="H2" s="766"/>
      <c r="I2" s="766"/>
      <c r="J2" s="766"/>
      <c r="K2" s="766"/>
      <c r="L2" s="766"/>
      <c r="M2" s="766"/>
      <c r="N2" s="766"/>
      <c r="O2" s="766"/>
      <c r="P2" s="766"/>
      <c r="Q2" s="767"/>
      <c r="R2" s="764"/>
      <c r="S2" s="768" t="str">
        <f>人物卡!S2</f>
        <v>年龄补正：</v>
      </c>
      <c r="T2" s="769"/>
      <c r="U2" s="769"/>
      <c r="V2" s="770" t="str">
        <f>人物卡!V2</f>
        <v>请和kp商议</v>
      </c>
      <c r="W2" s="770"/>
      <c r="X2" s="770"/>
      <c r="Y2" s="770"/>
      <c r="Z2" s="770"/>
      <c r="AA2" s="771" t="str">
        <f>人物卡!AA2</f>
        <v>属性</v>
      </c>
      <c r="AB2" s="771"/>
      <c r="AC2" s="772" t="str">
        <f>人物卡!AC2</f>
        <v>已用点数:</v>
      </c>
      <c r="AD2" s="772"/>
      <c r="AE2" s="772"/>
      <c r="AF2" s="772"/>
      <c r="AG2" s="769">
        <f>人物卡!AG2</f>
        <v>0.0</v>
      </c>
      <c r="AH2" s="769"/>
      <c r="AI2" s="769"/>
      <c r="AJ2" s="773"/>
      <c r="AK2" s="764"/>
      <c r="AL2" s="763"/>
      <c r="AM2" s="763"/>
      <c r="AN2" s="763"/>
      <c r="AO2" s="763"/>
      <c r="AP2" s="763"/>
      <c r="AQ2" s="763"/>
      <c r="AR2" s="763"/>
      <c r="AS2" s="763"/>
      <c r="AT2" s="763"/>
      <c r="AU2" s="763"/>
      <c r="AV2" s="763"/>
      <c r="AW2" s="763"/>
      <c r="AX2" s="763"/>
      <c r="AY2" s="763"/>
      <c r="AZ2" s="763"/>
      <c r="BA2" s="763"/>
      <c r="BB2" s="763"/>
      <c r="BC2" s="763"/>
      <c r="BD2" s="763"/>
      <c r="BE2" s="763"/>
      <c r="BF2" s="763"/>
      <c r="BG2" s="763"/>
      <c r="BH2" s="763"/>
      <c r="BI2" s="763"/>
    </row>
    <row r="3" spans="8:8">
      <c r="A3" s="763"/>
      <c r="B3" s="774" t="str">
        <f>人物卡!B3</f>
        <v>姓名</v>
      </c>
      <c r="C3" s="775"/>
      <c r="D3" s="775"/>
      <c r="E3" s="776" t="str">
        <f>IF(人物卡!E3="","",人物卡!E3)</f>
        <v/>
      </c>
      <c r="F3" s="776"/>
      <c r="G3" s="776"/>
      <c r="H3" s="776"/>
      <c r="I3" s="776"/>
      <c r="J3" s="776"/>
      <c r="K3" s="776"/>
      <c r="L3" s="776"/>
      <c r="M3" s="776"/>
      <c r="N3" s="776"/>
      <c r="O3" s="776"/>
      <c r="P3" s="776"/>
      <c r="Q3" s="777"/>
      <c r="R3" s="764"/>
      <c r="S3" s="778" t="s">
        <v>6225</v>
      </c>
      <c r="T3" s="778"/>
      <c r="U3" s="779">
        <f>人物卡!U3</f>
        <v>0.0</v>
      </c>
      <c r="V3" s="779"/>
      <c r="W3" s="780">
        <f>人物卡!W3</f>
        <v>0.0</v>
      </c>
      <c r="X3" s="780"/>
      <c r="Y3" s="781" t="s">
        <v>6228</v>
      </c>
      <c r="Z3" s="781"/>
      <c r="AA3" s="782">
        <f>人物卡!AA3</f>
        <v>0.0</v>
      </c>
      <c r="AB3" s="782"/>
      <c r="AC3" s="783">
        <f>人物卡!AC3</f>
        <v>0.0</v>
      </c>
      <c r="AD3" s="783"/>
      <c r="AE3" s="784" t="s">
        <v>6230</v>
      </c>
      <c r="AF3" s="784"/>
      <c r="AG3" s="779">
        <f>人物卡!AG3</f>
        <v>0.0</v>
      </c>
      <c r="AH3" s="779"/>
      <c r="AI3" s="780">
        <f>人物卡!AI3</f>
        <v>0.0</v>
      </c>
      <c r="AJ3" s="785"/>
      <c r="AK3" s="764"/>
      <c r="AL3" s="786" t="str">
        <f>IF(人物卡!AU3="","",人物卡!AU3)</f>
        <v/>
      </c>
      <c r="AM3" s="787"/>
      <c r="AN3" s="787"/>
      <c r="AO3" s="787"/>
      <c r="AP3" s="787"/>
      <c r="AQ3" s="787"/>
      <c r="AR3" s="787"/>
      <c r="AS3" s="787"/>
      <c r="AT3" s="788" t="str">
        <f>IF(人物卡!BC3="","",人物卡!BC3)</f>
        <v/>
      </c>
      <c r="AU3" s="788"/>
      <c r="AV3" s="788"/>
      <c r="AW3" s="788"/>
      <c r="AX3" s="788"/>
      <c r="AY3" s="788"/>
      <c r="AZ3" s="788"/>
      <c r="BA3" s="788"/>
      <c r="BB3" s="787" t="str">
        <f>IF(人物卡!BK3="","",人物卡!BK3)</f>
        <v/>
      </c>
      <c r="BC3" s="787"/>
      <c r="BD3" s="787"/>
      <c r="BE3" s="787"/>
      <c r="BF3" s="787"/>
      <c r="BG3" s="787"/>
      <c r="BH3" s="787"/>
      <c r="BI3" s="789"/>
    </row>
    <row r="4" spans="8:8">
      <c r="A4" s="763"/>
      <c r="B4" s="790" t="str">
        <f>人物卡!B4</f>
        <v>玩家</v>
      </c>
      <c r="C4" s="791"/>
      <c r="D4" s="791"/>
      <c r="E4" s="792" t="str">
        <f>IF(人物卡!E4="","",人物卡!E4)</f>
        <v/>
      </c>
      <c r="F4" s="792"/>
      <c r="G4" s="792"/>
      <c r="H4" s="792"/>
      <c r="I4" s="792"/>
      <c r="J4" s="791" t="str">
        <f>人物卡!J4</f>
        <v>时代</v>
      </c>
      <c r="K4" s="791"/>
      <c r="L4" s="791"/>
      <c r="M4" s="792" t="str">
        <f>人物卡!M4</f>
        <v>1920s</v>
      </c>
      <c r="N4" s="792"/>
      <c r="O4" s="792"/>
      <c r="P4" s="792"/>
      <c r="Q4" s="793"/>
      <c r="R4" s="764"/>
      <c r="S4" s="794" t="s">
        <v>303</v>
      </c>
      <c r="T4" s="794"/>
      <c r="U4" s="795"/>
      <c r="V4" s="795"/>
      <c r="W4" s="780">
        <f>人物卡!W4</f>
        <v>0.0</v>
      </c>
      <c r="X4" s="780"/>
      <c r="Y4" s="796" t="s">
        <v>304</v>
      </c>
      <c r="Z4" s="796"/>
      <c r="AA4" s="782"/>
      <c r="AB4" s="782"/>
      <c r="AC4" s="783">
        <f>人物卡!AC4</f>
        <v>0.0</v>
      </c>
      <c r="AD4" s="783"/>
      <c r="AE4" s="797" t="s">
        <v>305</v>
      </c>
      <c r="AF4" s="797"/>
      <c r="AG4" s="795"/>
      <c r="AH4" s="795"/>
      <c r="AI4" s="780">
        <f>人物卡!AI4</f>
        <v>0.0</v>
      </c>
      <c r="AJ4" s="785"/>
      <c r="AK4" s="764"/>
      <c r="AL4" s="798"/>
      <c r="AM4" s="799"/>
      <c r="AN4" s="799"/>
      <c r="AO4" s="799"/>
      <c r="AP4" s="799"/>
      <c r="AQ4" s="799"/>
      <c r="AR4" s="799"/>
      <c r="AS4" s="799"/>
      <c r="AT4" s="800"/>
      <c r="AU4" s="800"/>
      <c r="AV4" s="800"/>
      <c r="AW4" s="800"/>
      <c r="AX4" s="800"/>
      <c r="AY4" s="800"/>
      <c r="AZ4" s="800"/>
      <c r="BA4" s="800"/>
      <c r="BB4" s="799"/>
      <c r="BC4" s="799"/>
      <c r="BD4" s="799"/>
      <c r="BE4" s="799"/>
      <c r="BF4" s="799"/>
      <c r="BG4" s="799"/>
      <c r="BH4" s="799"/>
      <c r="BI4" s="801"/>
    </row>
    <row r="5" spans="8:8">
      <c r="A5" s="763"/>
      <c r="B5" s="774" t="str">
        <f>人物卡!B5</f>
        <v>职业</v>
      </c>
      <c r="C5" s="775"/>
      <c r="D5" s="775"/>
      <c r="E5" s="802" t="str">
        <f>IF(人物卡!E5="","",人物卡!E5)</f>
        <v/>
      </c>
      <c r="F5" s="802"/>
      <c r="G5" s="802"/>
      <c r="H5" s="802"/>
      <c r="I5" s="802"/>
      <c r="J5" s="775" t="str">
        <f>人物卡!J5</f>
        <v>职业序号</v>
      </c>
      <c r="K5" s="775"/>
      <c r="L5" s="775"/>
      <c r="M5" s="803">
        <f>人物卡!M5</f>
        <v>0.0</v>
      </c>
      <c r="N5" s="803"/>
      <c r="O5" s="803"/>
      <c r="P5" s="803"/>
      <c r="Q5" s="804"/>
      <c r="R5" s="764"/>
      <c r="S5" s="805" t="s">
        <v>6226</v>
      </c>
      <c r="T5" s="805"/>
      <c r="U5" s="782">
        <f>人物卡!U5</f>
        <v>0.0</v>
      </c>
      <c r="V5" s="782"/>
      <c r="W5" s="783">
        <f>人物卡!W5</f>
        <v>0.0</v>
      </c>
      <c r="X5" s="783"/>
      <c r="Y5" s="806" t="s">
        <v>6229</v>
      </c>
      <c r="Z5" s="806"/>
      <c r="AA5" s="779">
        <f>人物卡!AA5</f>
        <v>0.0</v>
      </c>
      <c r="AB5" s="779"/>
      <c r="AC5" s="780">
        <f>人物卡!AC5</f>
        <v>0.0</v>
      </c>
      <c r="AD5" s="780"/>
      <c r="AE5" s="807" t="s">
        <v>6231</v>
      </c>
      <c r="AF5" s="807"/>
      <c r="AG5" s="782">
        <f>人物卡!AG5</f>
        <v>0.0</v>
      </c>
      <c r="AH5" s="782"/>
      <c r="AI5" s="783">
        <f>人物卡!AI5</f>
        <v>0.0</v>
      </c>
      <c r="AJ5" s="808"/>
      <c r="AK5" s="764"/>
      <c r="AL5" s="809" t="str">
        <f>IF(人物卡!AU5="","",人物卡!AU5)</f>
        <v/>
      </c>
      <c r="AM5" s="800"/>
      <c r="AN5" s="800"/>
      <c r="AO5" s="800"/>
      <c r="AP5" s="800"/>
      <c r="AQ5" s="800"/>
      <c r="AR5" s="800"/>
      <c r="AS5" s="800"/>
      <c r="AT5" s="799" t="str">
        <f>IF(人物卡!BC5="","",人物卡!BC5)</f>
        <v/>
      </c>
      <c r="AU5" s="799"/>
      <c r="AV5" s="799"/>
      <c r="AW5" s="799"/>
      <c r="AX5" s="799"/>
      <c r="AY5" s="799"/>
      <c r="AZ5" s="799"/>
      <c r="BA5" s="799"/>
      <c r="BB5" s="800" t="str">
        <f>IF(人物卡!BK5="","",人物卡!BK5)</f>
        <v/>
      </c>
      <c r="BC5" s="800"/>
      <c r="BD5" s="800"/>
      <c r="BE5" s="800"/>
      <c r="BF5" s="800"/>
      <c r="BG5" s="800"/>
      <c r="BH5" s="800"/>
      <c r="BI5" s="810"/>
    </row>
    <row r="6" spans="8:8">
      <c r="A6" s="763"/>
      <c r="B6" s="790" t="str">
        <f>人物卡!B6</f>
        <v>年龄</v>
      </c>
      <c r="C6" s="791"/>
      <c r="D6" s="791"/>
      <c r="E6" s="792" t="str">
        <f>IF(人物卡!E6="","",人物卡!E6)</f>
        <v/>
      </c>
      <c r="F6" s="792"/>
      <c r="G6" s="792"/>
      <c r="H6" s="792"/>
      <c r="I6" s="792"/>
      <c r="J6" s="791" t="str">
        <f>人物卡!J6</f>
        <v>性别</v>
      </c>
      <c r="K6" s="791"/>
      <c r="L6" s="791"/>
      <c r="M6" s="792" t="str">
        <f>IF(人物卡!M6="","",人物卡!M6)</f>
        <v/>
      </c>
      <c r="N6" s="792"/>
      <c r="O6" s="792"/>
      <c r="P6" s="792"/>
      <c r="Q6" s="793"/>
      <c r="R6" s="764"/>
      <c r="S6" s="811" t="s">
        <v>307</v>
      </c>
      <c r="T6" s="811"/>
      <c r="U6" s="782"/>
      <c r="V6" s="782"/>
      <c r="W6" s="783">
        <f>人物卡!W6</f>
        <v>0.0</v>
      </c>
      <c r="X6" s="783"/>
      <c r="Y6" s="797" t="s">
        <v>308</v>
      </c>
      <c r="Z6" s="797"/>
      <c r="AA6" s="795"/>
      <c r="AB6" s="795"/>
      <c r="AC6" s="780">
        <f>人物卡!AC6</f>
        <v>0.0</v>
      </c>
      <c r="AD6" s="780"/>
      <c r="AE6" s="796" t="s">
        <v>6232</v>
      </c>
      <c r="AF6" s="796"/>
      <c r="AG6" s="782"/>
      <c r="AH6" s="782"/>
      <c r="AI6" s="783">
        <f>人物卡!AI6</f>
        <v>0.0</v>
      </c>
      <c r="AJ6" s="808"/>
      <c r="AK6" s="764"/>
      <c r="AL6" s="809"/>
      <c r="AM6" s="800"/>
      <c r="AN6" s="800"/>
      <c r="AO6" s="800"/>
      <c r="AP6" s="800"/>
      <c r="AQ6" s="800"/>
      <c r="AR6" s="800"/>
      <c r="AS6" s="800"/>
      <c r="AT6" s="799"/>
      <c r="AU6" s="799"/>
      <c r="AV6" s="799"/>
      <c r="AW6" s="799"/>
      <c r="AX6" s="799"/>
      <c r="AY6" s="799"/>
      <c r="AZ6" s="799"/>
      <c r="BA6" s="799"/>
      <c r="BB6" s="800"/>
      <c r="BC6" s="800"/>
      <c r="BD6" s="800"/>
      <c r="BE6" s="800"/>
      <c r="BF6" s="800"/>
      <c r="BG6" s="800"/>
      <c r="BH6" s="800"/>
      <c r="BI6" s="810"/>
    </row>
    <row r="7" spans="8:8">
      <c r="A7" s="763"/>
      <c r="B7" s="812" t="str">
        <f>人物卡!B7</f>
        <v>住地</v>
      </c>
      <c r="C7" s="813"/>
      <c r="D7" s="813"/>
      <c r="E7" s="814" t="str">
        <f>IF(人物卡!E7="","",人物卡!E7)</f>
        <v/>
      </c>
      <c r="F7" s="814"/>
      <c r="G7" s="814"/>
      <c r="H7" s="814"/>
      <c r="I7" s="814"/>
      <c r="J7" s="813" t="str">
        <f>人物卡!J7</f>
        <v>故乡</v>
      </c>
      <c r="K7" s="813"/>
      <c r="L7" s="813"/>
      <c r="M7" s="814" t="str">
        <f>IF(人物卡!M7="","",人物卡!M7)</f>
        <v>（应包含国籍）</v>
      </c>
      <c r="N7" s="814"/>
      <c r="O7" s="814"/>
      <c r="P7" s="814"/>
      <c r="Q7" s="815"/>
      <c r="R7" s="764"/>
      <c r="S7" s="816" t="s">
        <v>6227</v>
      </c>
      <c r="T7" s="816"/>
      <c r="U7" s="779">
        <f>人物卡!U7</f>
        <v>0.0</v>
      </c>
      <c r="V7" s="779"/>
      <c r="W7" s="780">
        <f>人物卡!W7</f>
        <v>0.0</v>
      </c>
      <c r="X7" s="780"/>
      <c r="Y7" s="807" t="s">
        <v>6223</v>
      </c>
      <c r="Z7" s="807"/>
      <c r="AA7" s="782">
        <f>人物卡!AA7</f>
        <v>0.0</v>
      </c>
      <c r="AB7" s="782"/>
      <c r="AC7" s="783">
        <f>人物卡!AC7</f>
        <v>0.0</v>
      </c>
      <c r="AD7" s="783"/>
      <c r="AE7" s="817" t="s">
        <v>6233</v>
      </c>
      <c r="AF7" s="817"/>
      <c r="AG7" s="818">
        <f>人物卡!AG7</f>
        <v>0.0</v>
      </c>
      <c r="AH7" s="819"/>
      <c r="AI7" s="820">
        <f>人物卡!AI7</f>
        <v>0.0</v>
      </c>
      <c r="AJ7" s="821"/>
      <c r="AK7" s="764"/>
      <c r="AL7" s="798" t="str">
        <f>IF(人物卡!AU7="","",人物卡!AU7)</f>
        <v/>
      </c>
      <c r="AM7" s="799"/>
      <c r="AN7" s="799"/>
      <c r="AO7" s="799"/>
      <c r="AP7" s="799"/>
      <c r="AQ7" s="799"/>
      <c r="AR7" s="799"/>
      <c r="AS7" s="799"/>
      <c r="AT7" s="800" t="str">
        <f>IF(人物卡!BC7="","",人物卡!BC7)</f>
        <v/>
      </c>
      <c r="AU7" s="800"/>
      <c r="AV7" s="800"/>
      <c r="AW7" s="800"/>
      <c r="AX7" s="800"/>
      <c r="AY7" s="800"/>
      <c r="AZ7" s="800"/>
      <c r="BA7" s="800"/>
      <c r="BB7" s="799" t="str">
        <f>IF(人物卡!BK7="","",人物卡!BK7)</f>
        <v/>
      </c>
      <c r="BC7" s="799"/>
      <c r="BD7" s="799"/>
      <c r="BE7" s="799"/>
      <c r="BF7" s="799"/>
      <c r="BG7" s="799"/>
      <c r="BH7" s="799"/>
      <c r="BI7" s="801"/>
    </row>
    <row r="8" spans="8:8">
      <c r="A8" s="763"/>
      <c r="B8" s="822" t="str">
        <f>人物卡!W61</f>
        <v>形象描述</v>
      </c>
      <c r="C8" s="823"/>
      <c r="D8" s="823"/>
      <c r="E8" s="823"/>
      <c r="F8" s="824" t="str">
        <f>IF(人物卡!AA61="","",人物卡!AA61)</f>
        <v/>
      </c>
      <c r="G8" s="824"/>
      <c r="H8" s="824"/>
      <c r="I8" s="824"/>
      <c r="J8" s="824"/>
      <c r="K8" s="824"/>
      <c r="L8" s="824"/>
      <c r="M8" s="824"/>
      <c r="N8" s="824"/>
      <c r="O8" s="824"/>
      <c r="P8" s="824"/>
      <c r="Q8" s="825"/>
      <c r="R8" s="764"/>
      <c r="S8" s="826" t="s">
        <v>310</v>
      </c>
      <c r="T8" s="826"/>
      <c r="U8" s="827"/>
      <c r="V8" s="827"/>
      <c r="W8" s="828">
        <f>人物卡!W8</f>
        <v>0.0</v>
      </c>
      <c r="X8" s="828"/>
      <c r="Y8" s="829" t="s">
        <v>6222</v>
      </c>
      <c r="Z8" s="829"/>
      <c r="AA8" s="830"/>
      <c r="AB8" s="830"/>
      <c r="AC8" s="831">
        <f>人物卡!AC8</f>
        <v>0.0</v>
      </c>
      <c r="AD8" s="831"/>
      <c r="AE8" s="832" t="s">
        <v>317</v>
      </c>
      <c r="AF8" s="832"/>
      <c r="AG8" s="833"/>
      <c r="AH8" s="834"/>
      <c r="AI8" s="835">
        <f>人物卡!AI8</f>
        <v>0.0</v>
      </c>
      <c r="AJ8" s="836"/>
      <c r="AK8" s="764"/>
      <c r="AL8" s="837"/>
      <c r="AM8" s="838"/>
      <c r="AN8" s="838"/>
      <c r="AO8" s="838"/>
      <c r="AP8" s="838"/>
      <c r="AQ8" s="838"/>
      <c r="AR8" s="838"/>
      <c r="AS8" s="838"/>
      <c r="AT8" s="839"/>
      <c r="AU8" s="839"/>
      <c r="AV8" s="839"/>
      <c r="AW8" s="839"/>
      <c r="AX8" s="839"/>
      <c r="AY8" s="839"/>
      <c r="AZ8" s="839"/>
      <c r="BA8" s="839"/>
      <c r="BB8" s="838"/>
      <c r="BC8" s="838"/>
      <c r="BD8" s="838"/>
      <c r="BE8" s="838"/>
      <c r="BF8" s="838"/>
      <c r="BG8" s="838"/>
      <c r="BH8" s="838"/>
      <c r="BI8" s="840"/>
    </row>
    <row r="9" spans="8:8" ht="20.3">
      <c r="A9" s="763"/>
      <c r="B9" s="841"/>
      <c r="C9" s="842"/>
      <c r="D9" s="842"/>
      <c r="E9" s="842"/>
      <c r="F9" s="843"/>
      <c r="G9" s="843"/>
      <c r="H9" s="843"/>
      <c r="I9" s="843"/>
      <c r="J9" s="843"/>
      <c r="K9" s="843"/>
      <c r="L9" s="843"/>
      <c r="M9" s="843"/>
      <c r="N9" s="843"/>
      <c r="O9" s="843"/>
      <c r="P9" s="843"/>
      <c r="Q9" s="844"/>
      <c r="R9" s="845"/>
      <c r="S9" s="764"/>
      <c r="T9" s="764"/>
      <c r="U9" s="764"/>
      <c r="V9" s="764"/>
      <c r="W9" s="764"/>
      <c r="X9" s="764"/>
      <c r="Y9" s="764"/>
      <c r="Z9" s="764"/>
      <c r="AA9" s="764"/>
      <c r="AB9" s="764"/>
      <c r="AC9" s="764"/>
      <c r="AD9" s="764"/>
      <c r="AE9" s="764"/>
      <c r="AF9" s="764"/>
      <c r="AG9" s="764"/>
      <c r="AH9" s="764"/>
      <c r="AI9" s="764"/>
      <c r="AJ9" s="764"/>
      <c r="AK9" s="845"/>
      <c r="AL9" s="845"/>
      <c r="AM9" s="845"/>
      <c r="AN9" s="845"/>
      <c r="AO9" s="845"/>
      <c r="AP9" s="845"/>
      <c r="AQ9" s="845"/>
      <c r="AR9" s="845"/>
      <c r="AS9" s="845"/>
      <c r="AT9" s="763"/>
      <c r="AU9" s="763"/>
      <c r="AV9" s="763"/>
      <c r="AW9" s="763"/>
      <c r="AX9" s="763"/>
      <c r="AY9" s="763"/>
      <c r="AZ9" s="763"/>
      <c r="BA9" s="763"/>
      <c r="BB9" s="763"/>
      <c r="BC9" s="763"/>
      <c r="BD9" s="763"/>
      <c r="BE9" s="763"/>
      <c r="BF9" s="763"/>
      <c r="BG9" s="763"/>
      <c r="BH9" s="763"/>
      <c r="BI9" s="763"/>
    </row>
    <row r="10" spans="8:8">
      <c r="A10" s="845"/>
      <c r="B10" s="846" t="s">
        <v>6180</v>
      </c>
      <c r="C10" s="847"/>
      <c r="D10" s="847"/>
      <c r="E10" s="848">
        <f>人物卡!E10</f>
        <v>0.0</v>
      </c>
      <c r="F10" s="848"/>
      <c r="G10" s="849">
        <f>人物卡!G10</f>
        <v>0.0</v>
      </c>
      <c r="H10" s="849"/>
      <c r="I10" s="850"/>
      <c r="J10" s="850"/>
      <c r="K10" s="851" t="s">
        <v>6181</v>
      </c>
      <c r="L10" s="852"/>
      <c r="M10" s="852"/>
      <c r="N10" s="853">
        <f>人物卡!N10</f>
        <v>0.0</v>
      </c>
      <c r="O10" s="853"/>
      <c r="P10" s="854">
        <f>人物卡!P10</f>
        <v>99.0</v>
      </c>
      <c r="Q10" s="854"/>
      <c r="R10" s="855"/>
      <c r="S10" s="855"/>
      <c r="T10" s="856" t="s">
        <v>6183</v>
      </c>
      <c r="U10" s="847"/>
      <c r="V10" s="847"/>
      <c r="W10" s="857">
        <f>人物卡!W10</f>
        <v>0.0</v>
      </c>
      <c r="X10" s="857"/>
      <c r="Y10" s="858">
        <f>人物卡!Y10</f>
        <v>0.0</v>
      </c>
      <c r="Z10" s="859"/>
      <c r="AA10" s="860" t="str">
        <f>人物卡!AA10</f>
        <v>每h恢复</v>
      </c>
      <c r="AB10" s="861"/>
      <c r="AC10" s="852" t="s">
        <v>6199</v>
      </c>
      <c r="AD10" s="852"/>
      <c r="AE10" s="852"/>
      <c r="AF10" s="862">
        <f>人物卡!AF10</f>
        <v>8.0</v>
      </c>
      <c r="AG10" s="862"/>
      <c r="AH10" s="862"/>
      <c r="AI10" s="863" t="str">
        <f>人物卡!AI10</f>
        <v>调整值</v>
      </c>
      <c r="AJ10" s="864"/>
      <c r="AK10" s="865" t="s">
        <v>6198</v>
      </c>
      <c r="AL10" s="866"/>
      <c r="AM10" s="866"/>
      <c r="AN10" s="867" t="str">
        <f>人物卡!AN10</f>
        <v>无</v>
      </c>
      <c r="AO10" s="868"/>
      <c r="AP10" s="869" t="str">
        <f>人物卡!AP10</f>
        <v>覆盖部位</v>
      </c>
      <c r="AQ10" s="869"/>
      <c r="AR10" s="869"/>
      <c r="AS10" s="870"/>
      <c r="AT10" s="845"/>
    </row>
    <row r="11" spans="8:8">
      <c r="A11" s="845"/>
      <c r="B11" s="871"/>
      <c r="C11" s="872"/>
      <c r="D11" s="872"/>
      <c r="E11" s="873"/>
      <c r="F11" s="873"/>
      <c r="G11" s="874"/>
      <c r="H11" s="874"/>
      <c r="I11" s="850"/>
      <c r="J11" s="850"/>
      <c r="K11" s="875"/>
      <c r="L11" s="876"/>
      <c r="M11" s="876"/>
      <c r="N11" s="877"/>
      <c r="O11" s="877"/>
      <c r="P11" s="878"/>
      <c r="Q11" s="878"/>
      <c r="R11" s="855"/>
      <c r="S11" s="855"/>
      <c r="T11" s="879"/>
      <c r="U11" s="872"/>
      <c r="V11" s="872"/>
      <c r="W11" s="880"/>
      <c r="X11" s="880"/>
      <c r="Y11" s="881"/>
      <c r="Z11" s="882"/>
      <c r="AA11" s="883">
        <f>人物卡!AA11</f>
        <v>1.0</v>
      </c>
      <c r="AB11" s="884"/>
      <c r="AC11" s="876"/>
      <c r="AD11" s="876"/>
      <c r="AE11" s="876"/>
      <c r="AF11" s="885"/>
      <c r="AG11" s="885"/>
      <c r="AH11" s="885"/>
      <c r="AI11" s="886">
        <f>人物卡!AI11</f>
        <v>0.0</v>
      </c>
      <c r="AJ11" s="887"/>
      <c r="AK11" s="888"/>
      <c r="AL11" s="889"/>
      <c r="AM11" s="889"/>
      <c r="AN11" s="890"/>
      <c r="AO11" s="891"/>
      <c r="AP11" s="890" t="str">
        <f>人物卡!AP11</f>
        <v>——</v>
      </c>
      <c r="AQ11" s="890"/>
      <c r="AR11" s="890"/>
      <c r="AS11" s="892"/>
      <c r="AT11" s="845"/>
    </row>
    <row r="12" spans="8:8">
      <c r="A12" s="845"/>
      <c r="B12" s="893" t="str">
        <f>人物卡!B12</f>
        <v>重伤值:</v>
      </c>
      <c r="C12" s="894"/>
      <c r="D12" s="895">
        <f>人物卡!D12</f>
        <v>0.0</v>
      </c>
      <c r="E12" s="896"/>
      <c r="F12" s="894" t="str">
        <f>人物卡!F12</f>
        <v>临时生命值：</v>
      </c>
      <c r="G12" s="894"/>
      <c r="H12" s="894"/>
      <c r="I12" s="895">
        <f>人物卡!I12</f>
        <v>0.0</v>
      </c>
      <c r="J12" s="896"/>
      <c r="K12" s="897" t="str">
        <f>人物卡!K12</f>
        <v>今日损失 :</v>
      </c>
      <c r="L12" s="898"/>
      <c r="M12" s="898"/>
      <c r="N12" s="899">
        <f>人物卡!N12</f>
        <v>0.0</v>
      </c>
      <c r="O12" s="899"/>
      <c r="P12" s="900" t="str">
        <f>人物卡!P12</f>
        <v>剩余：</v>
      </c>
      <c r="Q12" s="898"/>
      <c r="R12" s="899">
        <f>人物卡!R12</f>
        <v>0.0</v>
      </c>
      <c r="S12" s="901"/>
      <c r="T12" s="902" t="str">
        <f>人物卡!T12</f>
        <v>用过的魔法：</v>
      </c>
      <c r="U12" s="903"/>
      <c r="V12" s="903"/>
      <c r="W12" s="903"/>
      <c r="X12" s="904" t="str">
        <f>IF(人物卡!X12="","",人物卡!X12)</f>
        <v/>
      </c>
      <c r="Y12" s="904"/>
      <c r="Z12" s="904"/>
      <c r="AA12" s="904"/>
      <c r="AB12" s="905"/>
      <c r="AC12" s="906" t="str">
        <f>人物卡!AC12</f>
        <v>移动方式</v>
      </c>
      <c r="AD12" s="906"/>
      <c r="AE12" s="907" t="str">
        <f>人物卡!AE12</f>
        <v>步式</v>
      </c>
      <c r="AF12" s="907"/>
      <c r="AG12" s="906" t="str">
        <f>人物卡!AG12</f>
        <v>护甲减值</v>
      </c>
      <c r="AH12" s="906"/>
      <c r="AI12" s="907" t="str">
        <f>人物卡!AI12</f>
        <v>关</v>
      </c>
      <c r="AJ12" s="907"/>
      <c r="AK12" s="908" t="str">
        <f>人物卡!AK12</f>
        <v>护甲类型 :</v>
      </c>
      <c r="AL12" s="894"/>
      <c r="AM12" s="894"/>
      <c r="AN12" s="909" t="str">
        <f>人物卡!AN12</f>
        <v>请看【防具表】</v>
      </c>
      <c r="AO12" s="909"/>
      <c r="AP12" s="909"/>
      <c r="AQ12" s="909"/>
      <c r="AR12" s="909"/>
      <c r="AS12" s="910"/>
      <c r="AT12" s="845"/>
    </row>
    <row r="13" spans="8:8">
      <c r="A13" s="763"/>
      <c r="B13" s="911"/>
      <c r="C13" s="911"/>
      <c r="D13" s="911"/>
      <c r="E13" s="911"/>
      <c r="F13" s="911"/>
      <c r="G13" s="911"/>
      <c r="H13" s="911"/>
      <c r="I13" s="911"/>
      <c r="J13" s="911"/>
      <c r="K13" s="911"/>
      <c r="L13" s="911"/>
      <c r="M13" s="911"/>
      <c r="N13" s="911"/>
      <c r="O13" s="911"/>
      <c r="P13" s="911"/>
      <c r="Q13" s="911"/>
      <c r="R13" s="911"/>
      <c r="S13" s="911"/>
      <c r="T13" s="911"/>
      <c r="U13" s="911"/>
      <c r="V13" s="911"/>
      <c r="W13" s="911"/>
      <c r="X13" s="911"/>
      <c r="Y13" s="911"/>
      <c r="Z13" s="911"/>
      <c r="AA13" s="911"/>
      <c r="AB13" s="911"/>
      <c r="AC13" s="911"/>
      <c r="AD13" s="911"/>
      <c r="AE13" s="911"/>
      <c r="AF13" s="911"/>
      <c r="AG13" s="911"/>
      <c r="AH13" s="911"/>
      <c r="AI13" s="911"/>
      <c r="AJ13" s="911"/>
      <c r="AK13" s="911"/>
      <c r="AL13" s="911"/>
      <c r="AM13" s="911"/>
      <c r="AN13" s="912"/>
      <c r="AO13" s="912"/>
      <c r="AP13" s="913"/>
      <c r="AQ13" s="845"/>
      <c r="AR13" s="845"/>
      <c r="AS13" s="845"/>
      <c r="AT13" s="763"/>
    </row>
    <row r="14" spans="8:8">
      <c r="A14" s="845"/>
      <c r="B14" s="914" t="s">
        <v>6097</v>
      </c>
      <c r="C14" s="915"/>
      <c r="D14" s="915"/>
      <c r="E14" s="915"/>
      <c r="F14" s="916">
        <f>审卡后台!G40</f>
        <v>0.0</v>
      </c>
      <c r="G14" s="916"/>
      <c r="H14" s="916"/>
      <c r="I14" s="917" t="str">
        <f>审卡后台!I40</f>
        <v/>
      </c>
      <c r="J14" s="917"/>
      <c r="K14" s="917"/>
      <c r="L14" s="917"/>
      <c r="M14" s="917"/>
      <c r="N14" s="917"/>
      <c r="O14" s="917"/>
      <c r="P14" s="917"/>
      <c r="Q14" s="917"/>
      <c r="R14" s="917"/>
      <c r="S14" s="917"/>
      <c r="T14" s="917"/>
      <c r="U14" s="917"/>
      <c r="V14" s="917"/>
      <c r="W14" s="917"/>
      <c r="X14" s="917"/>
      <c r="Y14" s="917"/>
      <c r="Z14" s="917"/>
      <c r="AA14" s="917"/>
      <c r="AB14" s="917"/>
      <c r="AC14" s="917"/>
      <c r="AD14" s="917"/>
      <c r="AE14" s="917"/>
      <c r="AF14" s="917"/>
      <c r="AG14" s="917"/>
      <c r="AH14" s="917"/>
      <c r="AI14" s="917"/>
      <c r="AJ14" s="917"/>
      <c r="AK14" s="917"/>
      <c r="AL14" s="917"/>
      <c r="AM14" s="917"/>
      <c r="AN14" s="917"/>
      <c r="AO14" s="917"/>
      <c r="AP14" s="917"/>
      <c r="AQ14" s="917"/>
      <c r="AR14" s="917"/>
      <c r="AS14" s="918"/>
      <c r="AT14" s="845"/>
    </row>
    <row r="15" spans="8:8">
      <c r="A15" s="845"/>
      <c r="B15" s="919" t="s">
        <v>6102</v>
      </c>
      <c r="C15" s="920"/>
      <c r="D15" s="920"/>
      <c r="E15" s="920"/>
      <c r="F15" s="921">
        <f>审卡后台!T40</f>
        <v>0.0</v>
      </c>
      <c r="G15" s="921"/>
      <c r="H15" s="921"/>
      <c r="I15" s="922" t="str">
        <f>审卡后台!V40</f>
        <v/>
      </c>
      <c r="J15" s="922"/>
      <c r="K15" s="922"/>
      <c r="L15" s="922"/>
      <c r="M15" s="922"/>
      <c r="N15" s="922"/>
      <c r="O15" s="922"/>
      <c r="P15" s="922"/>
      <c r="Q15" s="922"/>
      <c r="R15" s="922"/>
      <c r="S15" s="922"/>
      <c r="T15" s="922"/>
      <c r="U15" s="922"/>
      <c r="V15" s="922"/>
      <c r="W15" s="922"/>
      <c r="X15" s="922"/>
      <c r="Y15" s="922"/>
      <c r="Z15" s="922"/>
      <c r="AA15" s="922"/>
      <c r="AB15" s="922"/>
      <c r="AC15" s="922"/>
      <c r="AD15" s="922"/>
      <c r="AE15" s="922"/>
      <c r="AF15" s="922"/>
      <c r="AG15" s="922"/>
      <c r="AH15" s="922"/>
      <c r="AI15" s="922"/>
      <c r="AJ15" s="922"/>
      <c r="AK15" s="922"/>
      <c r="AL15" s="922"/>
      <c r="AM15" s="922"/>
      <c r="AN15" s="922"/>
      <c r="AO15" s="922"/>
      <c r="AP15" s="922"/>
      <c r="AQ15" s="922"/>
      <c r="AR15" s="922"/>
      <c r="AS15" s="923"/>
      <c r="AT15" s="845"/>
    </row>
    <row r="16" spans="8:8">
      <c r="A16" s="845"/>
      <c r="B16" s="924" t="str">
        <f>IF(人物卡!M5=0,"本职技能（先选择职业）","["&amp;LOOKUP(人物卡!M5,职业列表!A2:A232,职业列表!B2:B232)&amp;"]的本职技能："&amp;LOOKUP(人物卡!M5,职业列表!A2:A232,职业列表!G2:G232))</f>
        <v>本职技能（先选择职业）</v>
      </c>
      <c r="C16" s="924"/>
      <c r="D16" s="924"/>
      <c r="E16" s="924"/>
      <c r="F16" s="924"/>
      <c r="G16" s="924"/>
      <c r="H16" s="924"/>
      <c r="I16" s="924"/>
      <c r="J16" s="924"/>
      <c r="K16" s="924"/>
      <c r="L16" s="924"/>
      <c r="M16" s="924"/>
      <c r="N16" s="924"/>
      <c r="O16" s="924"/>
      <c r="P16" s="924"/>
      <c r="Q16" s="924"/>
      <c r="R16" s="924"/>
      <c r="S16" s="924"/>
      <c r="T16" s="924"/>
      <c r="U16" s="924"/>
      <c r="V16" s="924"/>
      <c r="W16" s="924"/>
      <c r="X16" s="924"/>
      <c r="Y16" s="924"/>
      <c r="Z16" s="924"/>
      <c r="AA16" s="924"/>
      <c r="AB16" s="924"/>
      <c r="AC16" s="924"/>
      <c r="AD16" s="924"/>
      <c r="AE16" s="924"/>
      <c r="AF16" s="924"/>
      <c r="AG16" s="924"/>
      <c r="AH16" s="924"/>
      <c r="AI16" s="924"/>
      <c r="AJ16" s="924"/>
      <c r="AK16" s="924"/>
      <c r="AL16" s="924"/>
      <c r="AM16" s="924"/>
      <c r="AN16" s="924"/>
      <c r="AO16" s="924"/>
      <c r="AP16" s="924"/>
      <c r="AQ16" s="924"/>
      <c r="AR16" s="924"/>
      <c r="AS16" s="924"/>
      <c r="AT16" s="845"/>
    </row>
    <row r="17" spans="8:8">
      <c r="A17" s="845"/>
      <c r="B17" s="925" t="str">
        <f>IF(人物卡!M5=0,"职业信用范围（先选择职业）","职业信用范围："&amp;LOOKUP(人物卡!M5,职业列表!A2:A232,职业列表!D2:D232))</f>
        <v>职业信用范围（先选择职业）</v>
      </c>
      <c r="C17" s="925"/>
      <c r="D17" s="925"/>
      <c r="E17" s="925"/>
      <c r="F17" s="925"/>
      <c r="G17" s="925"/>
      <c r="H17" s="925"/>
      <c r="I17" s="925"/>
      <c r="J17" s="926" t="str">
        <f>IF(人物卡!M5=0,"剩余技能点（先选择职业）","本职属性："&amp;附表!J52&amp;"       ")&amp;IF(人物卡!M5=0,"",(("剩余职业点="&amp;附表!J53-SUM(人物卡!N16:O49,人物卡!AJ16:AK49))&amp;"     剩余兴趣点="&amp;人物卡!AA7+人物卡!AA7-SUM(人物卡!P16:Q49,人物卡!AL16:AM49)&amp;IF(人物卡!F113=附表!B26,"","     剩余经历包点="&amp;IF(ISNUMBER(附表!D34),附表!D34-SUM(人物卡!L16:M49,人物卡!AH16:AI49),附表!D34))))</f>
        <v>剩余技能点（先选择职业）</v>
      </c>
      <c r="K17" s="927"/>
      <c r="L17" s="927"/>
      <c r="M17" s="927"/>
      <c r="N17" s="927"/>
      <c r="O17" s="927"/>
      <c r="P17" s="928"/>
      <c r="Q17" s="928"/>
      <c r="R17" s="928"/>
      <c r="S17" s="928"/>
      <c r="T17" s="928"/>
      <c r="U17" s="928"/>
      <c r="V17" s="928"/>
      <c r="W17" s="928"/>
      <c r="X17" s="928"/>
      <c r="Y17" s="928"/>
      <c r="Z17" s="928"/>
      <c r="AA17" s="928"/>
      <c r="AB17" s="928"/>
      <c r="AC17" s="928"/>
      <c r="AD17" s="928"/>
      <c r="AE17" s="928"/>
      <c r="AF17" s="928"/>
      <c r="AG17" s="928"/>
      <c r="AH17" s="928"/>
      <c r="AI17" s="928"/>
      <c r="AJ17" s="928"/>
      <c r="AK17" s="928"/>
      <c r="AL17" s="928"/>
      <c r="AM17" s="928"/>
      <c r="AN17" s="928"/>
      <c r="AO17" s="928"/>
      <c r="AP17" s="928"/>
      <c r="AQ17" s="928"/>
      <c r="AR17" s="928"/>
      <c r="AS17" s="928"/>
      <c r="AT17" s="845"/>
    </row>
    <row r="18" spans="8:8">
      <c r="A18" s="845"/>
      <c r="B18" s="929" t="s">
        <v>6197</v>
      </c>
      <c r="C18" s="929"/>
      <c r="D18" s="929"/>
      <c r="E18" s="929"/>
      <c r="F18" s="929"/>
      <c r="G18" s="929"/>
      <c r="H18" s="929"/>
      <c r="I18" s="929"/>
      <c r="J18" s="930" t="s">
        <v>6111</v>
      </c>
      <c r="K18" s="931"/>
      <c r="L18" s="931"/>
      <c r="M18" s="932" t="str">
        <f>CONCATENATE("剩余:",人物卡!AU19)</f>
        <v>剩余:无</v>
      </c>
      <c r="N18" s="932"/>
      <c r="O18" s="933"/>
      <c r="P18" s="934" t="s">
        <v>6112</v>
      </c>
      <c r="Q18" s="915"/>
      <c r="R18" s="916" t="str">
        <f>人物卡!AP52</f>
        <v>0</v>
      </c>
      <c r="S18" s="916"/>
      <c r="T18" s="935"/>
      <c r="U18" s="930" t="s">
        <v>6114</v>
      </c>
      <c r="V18" s="931"/>
      <c r="W18" s="931"/>
      <c r="X18" s="931"/>
      <c r="Y18" s="931"/>
      <c r="Z18" s="936" t="str">
        <f>IF(人物卡!J113="","",人物卡!J113)</f>
        <v>SAN值减少        备注：</v>
      </c>
      <c r="AA18" s="936"/>
      <c r="AB18" s="936"/>
      <c r="AC18" s="936"/>
      <c r="AD18" s="936"/>
      <c r="AE18" s="936"/>
      <c r="AF18" s="936"/>
      <c r="AG18" s="936"/>
      <c r="AH18" s="936"/>
      <c r="AI18" s="936"/>
      <c r="AJ18" s="936"/>
      <c r="AK18" s="937"/>
      <c r="AT18" s="845"/>
    </row>
    <row r="19" spans="8:8" ht="18.7">
      <c r="A19" s="845"/>
      <c r="B19" s="938" t="str">
        <f>审卡后台!AI40</f>
        <v/>
      </c>
      <c r="C19" s="938"/>
      <c r="D19" s="938"/>
      <c r="E19" s="938"/>
      <c r="F19" s="938"/>
      <c r="G19" s="938"/>
      <c r="H19" s="939" t="str">
        <f>审卡后台!AK40</f>
        <v/>
      </c>
      <c r="I19" s="939"/>
      <c r="J19" s="940" t="str">
        <f>_xlfn.TEXTJOIN(CHAR(10),TRUE,人物卡!BA18:BI22)</f>
        <v/>
      </c>
      <c r="K19" s="941"/>
      <c r="L19" s="941"/>
      <c r="M19" s="942" t="str">
        <f>_xlfn.TEXTJOIN(CHAR(10),TRUE,人物卡!BJ18:BR22)</f>
        <v/>
      </c>
      <c r="N19" s="942"/>
      <c r="O19" s="943"/>
      <c r="P19" s="944"/>
      <c r="Q19" s="945"/>
      <c r="R19" s="946"/>
      <c r="S19" s="946"/>
      <c r="T19" s="947"/>
      <c r="U19" s="948" t="str">
        <f>IF(人物卡!F113="","",人物卡!F113)</f>
        <v>无</v>
      </c>
      <c r="V19" s="949"/>
      <c r="W19" s="949"/>
      <c r="X19" s="949"/>
      <c r="Y19" s="949"/>
      <c r="Z19" s="950"/>
      <c r="AA19" s="950"/>
      <c r="AB19" s="950"/>
      <c r="AC19" s="950"/>
      <c r="AD19" s="950"/>
      <c r="AE19" s="950"/>
      <c r="AF19" s="950"/>
      <c r="AG19" s="950"/>
      <c r="AH19" s="950"/>
      <c r="AI19" s="950"/>
      <c r="AJ19" s="950"/>
      <c r="AK19" s="951"/>
      <c r="AM19" s="952" t="str">
        <f>人物卡!AU43</f>
        <v>职业介绍</v>
      </c>
      <c r="AN19" s="953"/>
      <c r="AO19" s="953"/>
      <c r="AP19" s="953"/>
      <c r="AQ19" s="953"/>
      <c r="AR19" s="953"/>
      <c r="AS19" s="953"/>
      <c r="AT19" s="953"/>
      <c r="AU19" s="953"/>
      <c r="AV19" s="953"/>
      <c r="AW19" s="953"/>
      <c r="AX19" s="953"/>
      <c r="AY19" s="953"/>
      <c r="AZ19" s="953"/>
      <c r="BA19" s="953"/>
      <c r="BB19" s="953"/>
      <c r="BC19" s="953"/>
      <c r="BD19" s="953"/>
      <c r="BE19" s="953"/>
      <c r="BF19" s="953"/>
      <c r="BG19" s="953"/>
      <c r="BH19" s="954"/>
    </row>
    <row r="20" spans="8:8">
      <c r="A20" s="845"/>
      <c r="B20" s="938"/>
      <c r="C20" s="938"/>
      <c r="D20" s="938"/>
      <c r="E20" s="938"/>
      <c r="F20" s="938"/>
      <c r="G20" s="938"/>
      <c r="H20" s="939"/>
      <c r="I20" s="939"/>
      <c r="J20" s="940"/>
      <c r="K20" s="941"/>
      <c r="L20" s="941"/>
      <c r="M20" s="942"/>
      <c r="N20" s="942"/>
      <c r="O20" s="943"/>
      <c r="P20" s="955" t="s">
        <v>3653</v>
      </c>
      <c r="Q20" s="956"/>
      <c r="R20" s="946" t="str">
        <f>人物卡!AP55</f>
        <v>0</v>
      </c>
      <c r="S20" s="946"/>
      <c r="T20" s="947"/>
      <c r="U20" s="948"/>
      <c r="V20" s="949"/>
      <c r="W20" s="949"/>
      <c r="X20" s="949"/>
      <c r="Y20" s="949"/>
      <c r="Z20" s="950"/>
      <c r="AA20" s="950"/>
      <c r="AB20" s="950"/>
      <c r="AC20" s="950"/>
      <c r="AD20" s="950"/>
      <c r="AE20" s="950"/>
      <c r="AF20" s="950"/>
      <c r="AG20" s="950"/>
      <c r="AH20" s="950"/>
      <c r="AI20" s="950"/>
      <c r="AJ20" s="950"/>
      <c r="AK20" s="951"/>
      <c r="AM20" s="957" t="str">
        <f>IF(人物卡!AU44="","",人物卡!AU44)</f>
        <v> </v>
      </c>
      <c r="AN20" s="958"/>
      <c r="AO20" s="958"/>
      <c r="AP20" s="958"/>
      <c r="AQ20" s="958"/>
      <c r="AR20" s="958"/>
      <c r="AS20" s="958"/>
      <c r="AT20" s="958"/>
      <c r="AU20" s="958"/>
      <c r="AV20" s="958"/>
      <c r="AW20" s="958"/>
      <c r="AX20" s="958"/>
      <c r="AY20" s="958"/>
      <c r="AZ20" s="958"/>
      <c r="BA20" s="958"/>
      <c r="BB20" s="958"/>
      <c r="BC20" s="958"/>
      <c r="BD20" s="958"/>
      <c r="BE20" s="958"/>
      <c r="BF20" s="958"/>
      <c r="BG20" s="958"/>
      <c r="BH20" s="959"/>
    </row>
    <row r="21" spans="8:8">
      <c r="A21" s="845"/>
      <c r="B21" s="938"/>
      <c r="C21" s="938"/>
      <c r="D21" s="938"/>
      <c r="E21" s="938"/>
      <c r="F21" s="938"/>
      <c r="G21" s="938"/>
      <c r="H21" s="939"/>
      <c r="I21" s="939"/>
      <c r="J21" s="940"/>
      <c r="K21" s="941"/>
      <c r="L21" s="941"/>
      <c r="M21" s="942"/>
      <c r="N21" s="942"/>
      <c r="O21" s="943"/>
      <c r="P21" s="955"/>
      <c r="Q21" s="956"/>
      <c r="R21" s="946"/>
      <c r="S21" s="946"/>
      <c r="T21" s="947"/>
      <c r="U21" s="960"/>
      <c r="V21" s="961"/>
      <c r="W21" s="961"/>
      <c r="X21" s="961"/>
      <c r="Y21" s="961"/>
      <c r="Z21" s="962"/>
      <c r="AA21" s="962"/>
      <c r="AB21" s="962"/>
      <c r="AC21" s="962"/>
      <c r="AD21" s="962"/>
      <c r="AE21" s="962"/>
      <c r="AF21" s="962"/>
      <c r="AG21" s="962"/>
      <c r="AH21" s="962"/>
      <c r="AI21" s="962"/>
      <c r="AJ21" s="962"/>
      <c r="AK21" s="963"/>
      <c r="AM21" s="957"/>
      <c r="AN21" s="958"/>
      <c r="AO21" s="958"/>
      <c r="AP21" s="958"/>
      <c r="AQ21" s="958"/>
      <c r="AR21" s="958"/>
      <c r="AS21" s="958"/>
      <c r="AT21" s="958"/>
      <c r="AU21" s="958"/>
      <c r="AV21" s="958"/>
      <c r="AW21" s="958"/>
      <c r="AX21" s="958"/>
      <c r="AY21" s="958"/>
      <c r="AZ21" s="958"/>
      <c r="BA21" s="958"/>
      <c r="BB21" s="958"/>
      <c r="BC21" s="958"/>
      <c r="BD21" s="958"/>
      <c r="BE21" s="958"/>
      <c r="BF21" s="958"/>
      <c r="BG21" s="958"/>
      <c r="BH21" s="959"/>
    </row>
    <row r="22" spans="8:8">
      <c r="A22" s="845"/>
      <c r="B22" s="938"/>
      <c r="C22" s="938"/>
      <c r="D22" s="938"/>
      <c r="E22" s="938"/>
      <c r="F22" s="938"/>
      <c r="G22" s="938"/>
      <c r="H22" s="939"/>
      <c r="I22" s="939"/>
      <c r="J22" s="940"/>
      <c r="K22" s="941"/>
      <c r="L22" s="941"/>
      <c r="M22" s="942"/>
      <c r="N22" s="942"/>
      <c r="O22" s="943"/>
      <c r="P22" s="964" t="s">
        <v>6156</v>
      </c>
      <c r="Q22" s="945"/>
      <c r="R22" s="946">
        <f>人物卡!R27</f>
        <v>0.0</v>
      </c>
      <c r="S22" s="946"/>
      <c r="T22" s="947"/>
      <c r="U22" s="965" t="str">
        <f>IF(人物卡!B63="","",人物卡!B63)</f>
        <v>连贫穷都够不上的人才能够叫做身无分文。住所：大概只有睡大街。旅行：步行，扒车或逃票上火车轮船。</v>
      </c>
      <c r="V22" s="965"/>
      <c r="W22" s="965"/>
      <c r="X22" s="965"/>
      <c r="Y22" s="965"/>
      <c r="Z22" s="965"/>
      <c r="AA22" s="965"/>
      <c r="AB22" s="965"/>
      <c r="AC22" s="965"/>
      <c r="AD22" s="965"/>
      <c r="AE22" s="965"/>
      <c r="AF22" s="965"/>
      <c r="AG22" s="965"/>
      <c r="AH22" s="965"/>
      <c r="AI22" s="965"/>
      <c r="AJ22" s="965"/>
      <c r="AK22" s="965"/>
      <c r="AM22" s="957"/>
      <c r="AN22" s="958"/>
      <c r="AO22" s="958"/>
      <c r="AP22" s="958"/>
      <c r="AQ22" s="958"/>
      <c r="AR22" s="958"/>
      <c r="AS22" s="958"/>
      <c r="AT22" s="958"/>
      <c r="AU22" s="958"/>
      <c r="AV22" s="958"/>
      <c r="AW22" s="958"/>
      <c r="AX22" s="958"/>
      <c r="AY22" s="958"/>
      <c r="AZ22" s="958"/>
      <c r="BA22" s="958"/>
      <c r="BB22" s="958"/>
      <c r="BC22" s="958"/>
      <c r="BD22" s="958"/>
      <c r="BE22" s="958"/>
      <c r="BF22" s="958"/>
      <c r="BG22" s="958"/>
      <c r="BH22" s="959"/>
    </row>
    <row r="23" spans="8:8">
      <c r="A23" s="845"/>
      <c r="B23" s="938"/>
      <c r="C23" s="938"/>
      <c r="D23" s="938"/>
      <c r="E23" s="938"/>
      <c r="F23" s="938"/>
      <c r="G23" s="938"/>
      <c r="H23" s="939"/>
      <c r="I23" s="939"/>
      <c r="J23" s="940"/>
      <c r="K23" s="941"/>
      <c r="L23" s="941"/>
      <c r="M23" s="942"/>
      <c r="N23" s="942"/>
      <c r="O23" s="943"/>
      <c r="P23" s="944"/>
      <c r="Q23" s="945"/>
      <c r="R23" s="946"/>
      <c r="S23" s="946"/>
      <c r="T23" s="947"/>
      <c r="U23" s="965"/>
      <c r="V23" s="965"/>
      <c r="W23" s="965"/>
      <c r="X23" s="965"/>
      <c r="Y23" s="965"/>
      <c r="Z23" s="965"/>
      <c r="AA23" s="965"/>
      <c r="AB23" s="965"/>
      <c r="AC23" s="965"/>
      <c r="AD23" s="965"/>
      <c r="AE23" s="965"/>
      <c r="AF23" s="965"/>
      <c r="AG23" s="965"/>
      <c r="AH23" s="965"/>
      <c r="AI23" s="965"/>
      <c r="AJ23" s="965"/>
      <c r="AK23" s="965"/>
      <c r="AM23" s="957"/>
      <c r="AN23" s="958"/>
      <c r="AO23" s="958"/>
      <c r="AP23" s="958"/>
      <c r="AQ23" s="958"/>
      <c r="AR23" s="958"/>
      <c r="AS23" s="958"/>
      <c r="AT23" s="958"/>
      <c r="AU23" s="958"/>
      <c r="AV23" s="958"/>
      <c r="AW23" s="958"/>
      <c r="AX23" s="958"/>
      <c r="AY23" s="958"/>
      <c r="AZ23" s="958"/>
      <c r="BA23" s="958"/>
      <c r="BB23" s="958"/>
      <c r="BC23" s="958"/>
      <c r="BD23" s="958"/>
      <c r="BE23" s="958"/>
      <c r="BF23" s="958"/>
      <c r="BG23" s="958"/>
      <c r="BH23" s="959"/>
    </row>
    <row r="24" spans="8:8">
      <c r="A24" s="845"/>
      <c r="B24" s="938"/>
      <c r="C24" s="938"/>
      <c r="D24" s="938"/>
      <c r="E24" s="938"/>
      <c r="F24" s="938"/>
      <c r="G24" s="938"/>
      <c r="H24" s="939"/>
      <c r="I24" s="939"/>
      <c r="J24" s="940"/>
      <c r="K24" s="941"/>
      <c r="L24" s="941"/>
      <c r="M24" s="942"/>
      <c r="N24" s="942"/>
      <c r="O24" s="943"/>
      <c r="P24" s="966" t="s">
        <v>6143</v>
      </c>
      <c r="Q24" s="956"/>
      <c r="R24" s="946">
        <f>人物卡!R26</f>
        <v>0.0</v>
      </c>
      <c r="S24" s="946"/>
      <c r="T24" s="947"/>
      <c r="U24" s="965"/>
      <c r="V24" s="965"/>
      <c r="W24" s="965"/>
      <c r="X24" s="965"/>
      <c r="Y24" s="965"/>
      <c r="Z24" s="965"/>
      <c r="AA24" s="965"/>
      <c r="AB24" s="965"/>
      <c r="AC24" s="965"/>
      <c r="AD24" s="965"/>
      <c r="AE24" s="965"/>
      <c r="AF24" s="965"/>
      <c r="AG24" s="965"/>
      <c r="AH24" s="965"/>
      <c r="AI24" s="965"/>
      <c r="AJ24" s="965"/>
      <c r="AK24" s="965"/>
      <c r="AM24" s="957"/>
      <c r="AN24" s="958"/>
      <c r="AO24" s="958"/>
      <c r="AP24" s="958"/>
      <c r="AQ24" s="958"/>
      <c r="AR24" s="958"/>
      <c r="AS24" s="958"/>
      <c r="AT24" s="958"/>
      <c r="AU24" s="958"/>
      <c r="AV24" s="958"/>
      <c r="AW24" s="958"/>
      <c r="AX24" s="958"/>
      <c r="AY24" s="958"/>
      <c r="AZ24" s="958"/>
      <c r="BA24" s="958"/>
      <c r="BB24" s="958"/>
      <c r="BC24" s="958"/>
      <c r="BD24" s="958"/>
      <c r="BE24" s="958"/>
      <c r="BF24" s="958"/>
      <c r="BG24" s="958"/>
      <c r="BH24" s="959"/>
    </row>
    <row r="25" spans="8:8">
      <c r="A25" s="845"/>
      <c r="B25" s="938"/>
      <c r="C25" s="938"/>
      <c r="D25" s="938"/>
      <c r="E25" s="938"/>
      <c r="F25" s="938"/>
      <c r="G25" s="938"/>
      <c r="H25" s="939"/>
      <c r="I25" s="939"/>
      <c r="J25" s="967"/>
      <c r="K25" s="968"/>
      <c r="L25" s="968"/>
      <c r="M25" s="969"/>
      <c r="N25" s="969"/>
      <c r="O25" s="970"/>
      <c r="P25" s="971"/>
      <c r="Q25" s="920"/>
      <c r="R25" s="921"/>
      <c r="S25" s="921"/>
      <c r="T25" s="972"/>
      <c r="U25" s="973"/>
      <c r="V25" s="973"/>
      <c r="W25" s="973"/>
      <c r="X25" s="973"/>
      <c r="Y25" s="973"/>
      <c r="Z25" s="973"/>
      <c r="AA25" s="973"/>
      <c r="AB25" s="973"/>
      <c r="AC25" s="973"/>
      <c r="AD25" s="973"/>
      <c r="AE25" s="973"/>
      <c r="AF25" s="973"/>
      <c r="AG25" s="973"/>
      <c r="AH25" s="965"/>
      <c r="AI25" s="965"/>
      <c r="AJ25" s="965"/>
      <c r="AK25" s="965"/>
      <c r="AM25" s="957"/>
      <c r="AN25" s="958"/>
      <c r="AO25" s="958"/>
      <c r="AP25" s="958"/>
      <c r="AQ25" s="958"/>
      <c r="AR25" s="958"/>
      <c r="AS25" s="958"/>
      <c r="AT25" s="958"/>
      <c r="AU25" s="958"/>
      <c r="AV25" s="958"/>
      <c r="AW25" s="958"/>
      <c r="AX25" s="958"/>
      <c r="AY25" s="958"/>
      <c r="AZ25" s="958"/>
      <c r="BA25" s="958"/>
      <c r="BB25" s="958"/>
      <c r="BC25" s="958"/>
      <c r="BD25" s="958"/>
      <c r="BE25" s="958"/>
      <c r="BF25" s="958"/>
      <c r="BG25" s="958"/>
      <c r="BH25" s="959"/>
    </row>
    <row r="26" spans="8:8">
      <c r="A26" s="845"/>
      <c r="B26" s="938"/>
      <c r="C26" s="938"/>
      <c r="D26" s="938"/>
      <c r="E26" s="938"/>
      <c r="F26" s="938"/>
      <c r="G26" s="938"/>
      <c r="H26" s="939"/>
      <c r="I26" s="939"/>
      <c r="J26" s="974" t="s">
        <v>6200</v>
      </c>
      <c r="K26" s="975"/>
      <c r="L26" s="975"/>
      <c r="M26" s="975"/>
      <c r="N26" s="975"/>
      <c r="O26" s="975"/>
      <c r="P26" s="975"/>
      <c r="Q26" s="975"/>
      <c r="R26" s="975"/>
      <c r="S26" s="975"/>
      <c r="T26" s="975"/>
      <c r="U26" s="976"/>
      <c r="V26" s="977" t="s">
        <v>6203</v>
      </c>
      <c r="W26" s="978"/>
      <c r="X26" s="978"/>
      <c r="Y26" s="978"/>
      <c r="Z26" s="978"/>
      <c r="AA26" s="978"/>
      <c r="AB26" s="978"/>
      <c r="AC26" s="978"/>
      <c r="AD26" s="978"/>
      <c r="AE26" s="978"/>
      <c r="AF26" s="978"/>
      <c r="AG26" s="979"/>
      <c r="AJ26" s="845"/>
      <c r="AK26" s="845"/>
      <c r="AL26" s="845"/>
      <c r="AM26" s="957"/>
      <c r="AN26" s="958"/>
      <c r="AO26" s="958"/>
      <c r="AP26" s="958"/>
      <c r="AQ26" s="958"/>
      <c r="AR26" s="958"/>
      <c r="AS26" s="958"/>
      <c r="AT26" s="958"/>
      <c r="AU26" s="958"/>
      <c r="AV26" s="958"/>
      <c r="AW26" s="958"/>
      <c r="AX26" s="958"/>
      <c r="AY26" s="958"/>
      <c r="AZ26" s="958"/>
      <c r="BA26" s="958"/>
      <c r="BB26" s="958"/>
      <c r="BC26" s="958"/>
      <c r="BD26" s="958"/>
      <c r="BE26" s="958"/>
      <c r="BF26" s="958"/>
      <c r="BG26" s="958"/>
      <c r="BH26" s="959"/>
    </row>
    <row r="27" spans="8:8">
      <c r="A27" s="845"/>
      <c r="B27" s="938"/>
      <c r="C27" s="938"/>
      <c r="D27" s="938"/>
      <c r="E27" s="938"/>
      <c r="F27" s="938"/>
      <c r="G27" s="938"/>
      <c r="H27" s="939"/>
      <c r="I27" s="939"/>
      <c r="J27" s="980" t="str">
        <f>_xlfn.TEXTJOIN(CHAR(10),TRUE,审卡后台!W136:Y150,审卡后台!W135,审卡后台!O136:V150)</f>
        <v> </v>
      </c>
      <c r="K27" s="981"/>
      <c r="L27" s="981"/>
      <c r="M27" s="981"/>
      <c r="N27" s="981"/>
      <c r="O27" s="981"/>
      <c r="P27" s="981"/>
      <c r="Q27" s="981"/>
      <c r="R27" s="981"/>
      <c r="S27" s="981"/>
      <c r="T27" s="981"/>
      <c r="U27" s="982"/>
      <c r="V27" s="983" t="str">
        <f>_xlfn.TEXTJOIN(CHAR(10),TRUE,审卡后台!AM155:AO159)</f>
        <v/>
      </c>
      <c r="W27" s="984"/>
      <c r="X27" s="984"/>
      <c r="Y27" s="984"/>
      <c r="Z27" s="984"/>
      <c r="AA27" s="984"/>
      <c r="AB27" s="984"/>
      <c r="AC27" s="984"/>
      <c r="AD27" s="984"/>
      <c r="AE27" s="984"/>
      <c r="AF27" s="984"/>
      <c r="AG27" s="985"/>
      <c r="AI27" s="986" t="str">
        <f>IF(B107="🗣️","🌐",B107)</f>
        <v>🌐</v>
      </c>
      <c r="AJ27" s="986"/>
      <c r="AK27" s="986"/>
      <c r="AM27" s="957"/>
      <c r="AN27" s="958"/>
      <c r="AO27" s="958"/>
      <c r="AP27" s="958"/>
      <c r="AQ27" s="958"/>
      <c r="AR27" s="958"/>
      <c r="AS27" s="958"/>
      <c r="AT27" s="958"/>
      <c r="AU27" s="958"/>
      <c r="AV27" s="958"/>
      <c r="AW27" s="958"/>
      <c r="AX27" s="958"/>
      <c r="AY27" s="958"/>
      <c r="AZ27" s="958"/>
      <c r="BA27" s="958"/>
      <c r="BB27" s="958"/>
      <c r="BC27" s="958"/>
      <c r="BD27" s="958"/>
      <c r="BE27" s="958"/>
      <c r="BF27" s="958"/>
      <c r="BG27" s="958"/>
      <c r="BH27" s="959"/>
    </row>
    <row r="28" spans="8:8">
      <c r="A28" s="845"/>
      <c r="B28" s="938"/>
      <c r="C28" s="938"/>
      <c r="D28" s="938"/>
      <c r="E28" s="938"/>
      <c r="F28" s="938"/>
      <c r="G28" s="938"/>
      <c r="H28" s="939"/>
      <c r="I28" s="939"/>
      <c r="J28" s="980"/>
      <c r="K28" s="981"/>
      <c r="L28" s="981"/>
      <c r="M28" s="981"/>
      <c r="N28" s="981"/>
      <c r="O28" s="981"/>
      <c r="P28" s="981"/>
      <c r="Q28" s="981"/>
      <c r="R28" s="981"/>
      <c r="S28" s="981"/>
      <c r="T28" s="981"/>
      <c r="U28" s="982"/>
      <c r="V28" s="983"/>
      <c r="W28" s="984"/>
      <c r="X28" s="984"/>
      <c r="Y28" s="984"/>
      <c r="Z28" s="984"/>
      <c r="AA28" s="984"/>
      <c r="AB28" s="984"/>
      <c r="AC28" s="984"/>
      <c r="AD28" s="984"/>
      <c r="AE28" s="984"/>
      <c r="AF28" s="984"/>
      <c r="AG28" s="985"/>
      <c r="AI28" s="986"/>
      <c r="AJ28" s="986"/>
      <c r="AK28" s="986"/>
      <c r="AM28" s="957"/>
      <c r="AN28" s="958"/>
      <c r="AO28" s="958"/>
      <c r="AP28" s="958"/>
      <c r="AQ28" s="958"/>
      <c r="AR28" s="958"/>
      <c r="AS28" s="958"/>
      <c r="AT28" s="958"/>
      <c r="AU28" s="958"/>
      <c r="AV28" s="958"/>
      <c r="AW28" s="958"/>
      <c r="AX28" s="958"/>
      <c r="AY28" s="958"/>
      <c r="AZ28" s="958"/>
      <c r="BA28" s="958"/>
      <c r="BB28" s="958"/>
      <c r="BC28" s="958"/>
      <c r="BD28" s="958"/>
      <c r="BE28" s="958"/>
      <c r="BF28" s="958"/>
      <c r="BG28" s="958"/>
      <c r="BH28" s="959"/>
    </row>
    <row r="29" spans="8:8">
      <c r="A29" s="845"/>
      <c r="B29" s="938"/>
      <c r="C29" s="938"/>
      <c r="D29" s="938"/>
      <c r="E29" s="938"/>
      <c r="F29" s="938"/>
      <c r="G29" s="938"/>
      <c r="H29" s="939"/>
      <c r="I29" s="939"/>
      <c r="J29" s="980"/>
      <c r="K29" s="981"/>
      <c r="L29" s="981"/>
      <c r="M29" s="981"/>
      <c r="N29" s="981"/>
      <c r="O29" s="981"/>
      <c r="P29" s="981"/>
      <c r="Q29" s="981"/>
      <c r="R29" s="981"/>
      <c r="S29" s="981"/>
      <c r="T29" s="981"/>
      <c r="U29" s="982"/>
      <c r="V29" s="983"/>
      <c r="W29" s="984"/>
      <c r="X29" s="984"/>
      <c r="Y29" s="984"/>
      <c r="Z29" s="984"/>
      <c r="AA29" s="984"/>
      <c r="AB29" s="984"/>
      <c r="AC29" s="984"/>
      <c r="AD29" s="984"/>
      <c r="AE29" s="984"/>
      <c r="AF29" s="984"/>
      <c r="AG29" s="985"/>
      <c r="AI29" s="986"/>
      <c r="AJ29" s="986"/>
      <c r="AK29" s="986"/>
      <c r="AM29" s="987"/>
      <c r="AN29" s="988"/>
      <c r="AO29" s="988"/>
      <c r="AP29" s="988"/>
      <c r="AQ29" s="988"/>
      <c r="AR29" s="988"/>
      <c r="AS29" s="988"/>
      <c r="AT29" s="988"/>
      <c r="AU29" s="988"/>
      <c r="AV29" s="988"/>
      <c r="AW29" s="988"/>
      <c r="AX29" s="988"/>
      <c r="AY29" s="988"/>
      <c r="AZ29" s="988"/>
      <c r="BA29" s="988"/>
      <c r="BB29" s="988"/>
      <c r="BC29" s="988"/>
      <c r="BD29" s="988"/>
      <c r="BE29" s="988"/>
      <c r="BF29" s="988"/>
      <c r="BG29" s="988"/>
      <c r="BH29" s="989"/>
    </row>
    <row r="30" spans="8:8">
      <c r="A30" s="845"/>
      <c r="B30" s="938"/>
      <c r="C30" s="938"/>
      <c r="D30" s="938"/>
      <c r="E30" s="938"/>
      <c r="F30" s="938"/>
      <c r="G30" s="938"/>
      <c r="H30" s="939"/>
      <c r="I30" s="939"/>
      <c r="J30" s="980"/>
      <c r="K30" s="981"/>
      <c r="L30" s="981"/>
      <c r="M30" s="981"/>
      <c r="N30" s="981"/>
      <c r="O30" s="981"/>
      <c r="P30" s="981"/>
      <c r="Q30" s="981"/>
      <c r="R30" s="981"/>
      <c r="S30" s="981"/>
      <c r="T30" s="981"/>
      <c r="U30" s="982"/>
      <c r="V30" s="983"/>
      <c r="W30" s="984"/>
      <c r="X30" s="984"/>
      <c r="Y30" s="984"/>
      <c r="Z30" s="984"/>
      <c r="AA30" s="984"/>
      <c r="AB30" s="984"/>
      <c r="AC30" s="984"/>
      <c r="AD30" s="984"/>
      <c r="AE30" s="984"/>
      <c r="AF30" s="984"/>
      <c r="AG30" s="985"/>
      <c r="AT30" s="845"/>
      <c r="AU30" s="845"/>
      <c r="AV30" s="845"/>
      <c r="AW30" s="845"/>
      <c r="AX30" s="845"/>
      <c r="AY30" s="845"/>
      <c r="AZ30" s="845"/>
      <c r="BA30" s="845"/>
      <c r="BB30" s="845"/>
      <c r="BC30" s="845"/>
      <c r="BD30" s="845"/>
      <c r="BE30" s="845"/>
      <c r="BF30" s="845"/>
      <c r="BG30" s="845"/>
      <c r="BH30" s="845"/>
    </row>
    <row r="31" spans="8:8">
      <c r="A31" s="845"/>
      <c r="B31" s="938"/>
      <c r="C31" s="938"/>
      <c r="D31" s="938"/>
      <c r="E31" s="938"/>
      <c r="F31" s="938"/>
      <c r="G31" s="938"/>
      <c r="H31" s="939"/>
      <c r="I31" s="939"/>
      <c r="J31" s="980"/>
      <c r="K31" s="981"/>
      <c r="L31" s="981"/>
      <c r="M31" s="981"/>
      <c r="N31" s="981"/>
      <c r="O31" s="981"/>
      <c r="P31" s="981"/>
      <c r="Q31" s="981"/>
      <c r="R31" s="981"/>
      <c r="S31" s="981"/>
      <c r="T31" s="981"/>
      <c r="U31" s="982"/>
      <c r="V31" s="990"/>
      <c r="W31" s="991"/>
      <c r="X31" s="991"/>
      <c r="Y31" s="991"/>
      <c r="Z31" s="991"/>
      <c r="AA31" s="991"/>
      <c r="AB31" s="991"/>
      <c r="AC31" s="991"/>
      <c r="AD31" s="991"/>
      <c r="AE31" s="991"/>
      <c r="AF31" s="991"/>
      <c r="AG31" s="992"/>
      <c r="AI31" s="993" t="str">
        <f>人物卡!W61</f>
        <v>形象描述</v>
      </c>
      <c r="AJ31" s="994"/>
      <c r="AK31" s="994"/>
      <c r="AL31" s="994"/>
      <c r="AM31" s="995" t="str">
        <f>IF(人物卡!AA61="","",人物卡!AA61)</f>
        <v/>
      </c>
      <c r="AN31" s="995"/>
      <c r="AO31" s="995"/>
      <c r="AP31" s="995"/>
      <c r="AQ31" s="995"/>
      <c r="AR31" s="995"/>
      <c r="AS31" s="995"/>
      <c r="AT31" s="995"/>
      <c r="AU31" s="995"/>
      <c r="AV31" s="995"/>
      <c r="AW31" s="995"/>
      <c r="AX31" s="995"/>
      <c r="AY31" s="995"/>
      <c r="AZ31" s="995"/>
      <c r="BA31" s="995"/>
      <c r="BB31" s="995"/>
      <c r="BC31" s="995"/>
      <c r="BD31" s="996" t="str">
        <f>人物卡!AR61</f>
        <v>☐</v>
      </c>
      <c r="BE31" s="997"/>
      <c r="BF31" s="845"/>
      <c r="BG31" s="763"/>
      <c r="BH31" s="763"/>
    </row>
    <row r="32" spans="8:8">
      <c r="A32" s="845"/>
      <c r="B32" s="938"/>
      <c r="C32" s="938"/>
      <c r="D32" s="938"/>
      <c r="E32" s="938"/>
      <c r="F32" s="938"/>
      <c r="G32" s="938"/>
      <c r="H32" s="939"/>
      <c r="I32" s="939"/>
      <c r="J32" s="980"/>
      <c r="K32" s="981"/>
      <c r="L32" s="981"/>
      <c r="M32" s="981"/>
      <c r="N32" s="981"/>
      <c r="O32" s="981"/>
      <c r="P32" s="981"/>
      <c r="Q32" s="981"/>
      <c r="R32" s="981"/>
      <c r="S32" s="981"/>
      <c r="T32" s="981"/>
      <c r="U32" s="982"/>
      <c r="V32" s="974" t="s">
        <v>6205</v>
      </c>
      <c r="W32" s="975"/>
      <c r="X32" s="975"/>
      <c r="Y32" s="975"/>
      <c r="Z32" s="975"/>
      <c r="AA32" s="975"/>
      <c r="AB32" s="975"/>
      <c r="AC32" s="975"/>
      <c r="AD32" s="975"/>
      <c r="AE32" s="975"/>
      <c r="AF32" s="975"/>
      <c r="AG32" s="998"/>
      <c r="AI32" s="999"/>
      <c r="AJ32" s="1000"/>
      <c r="AK32" s="1000"/>
      <c r="AL32" s="1000"/>
      <c r="AM32" s="1001"/>
      <c r="AN32" s="1001"/>
      <c r="AO32" s="1001"/>
      <c r="AP32" s="1001"/>
      <c r="AQ32" s="1001"/>
      <c r="AR32" s="1001"/>
      <c r="AS32" s="1001"/>
      <c r="AT32" s="1001"/>
      <c r="AU32" s="1001"/>
      <c r="AV32" s="1001"/>
      <c r="AW32" s="1001"/>
      <c r="AX32" s="1001"/>
      <c r="AY32" s="1001"/>
      <c r="AZ32" s="1001"/>
      <c r="BA32" s="1001"/>
      <c r="BB32" s="1001"/>
      <c r="BC32" s="1001"/>
      <c r="BD32" s="1002"/>
      <c r="BE32" s="1003"/>
      <c r="BF32" s="845"/>
      <c r="BG32" s="763"/>
      <c r="BH32" s="763"/>
    </row>
    <row r="33" spans="8:8">
      <c r="A33" s="845"/>
      <c r="B33" s="938"/>
      <c r="C33" s="938"/>
      <c r="D33" s="938"/>
      <c r="E33" s="938"/>
      <c r="F33" s="938"/>
      <c r="G33" s="938"/>
      <c r="H33" s="939"/>
      <c r="I33" s="939"/>
      <c r="J33" s="980"/>
      <c r="K33" s="981"/>
      <c r="L33" s="981"/>
      <c r="M33" s="981"/>
      <c r="N33" s="981"/>
      <c r="O33" s="981"/>
      <c r="P33" s="981"/>
      <c r="Q33" s="981"/>
      <c r="R33" s="981"/>
      <c r="S33" s="981"/>
      <c r="T33" s="981"/>
      <c r="U33" s="982"/>
      <c r="V33" s="1004" t="str">
        <f>_xlfn.TEXTJOIN(CHAR(10),TRUE,人物卡!Y114:AB120)</f>
        <v/>
      </c>
      <c r="W33" s="982"/>
      <c r="X33" s="982"/>
      <c r="Y33" s="982"/>
      <c r="Z33" s="982"/>
      <c r="AA33" s="982"/>
      <c r="AB33" s="1005" t="str">
        <f>_xlfn.TEXTJOIN(CHAR(10),TRUE,人物卡!Y121:AB126)</f>
        <v/>
      </c>
      <c r="AC33" s="981"/>
      <c r="AD33" s="981"/>
      <c r="AE33" s="981"/>
      <c r="AF33" s="981"/>
      <c r="AG33" s="1006"/>
      <c r="AI33" s="1007" t="str">
        <f>人物卡!W63</f>
        <v>思想与信念</v>
      </c>
      <c r="AJ33" s="1008"/>
      <c r="AK33" s="1008"/>
      <c r="AL33" s="1008"/>
      <c r="AM33" s="1009" t="str">
        <f>IF(人物卡!AA63="","",人物卡!AA63)</f>
        <v/>
      </c>
      <c r="AN33" s="1009"/>
      <c r="AO33" s="1009"/>
      <c r="AP33" s="1009"/>
      <c r="AQ33" s="1009"/>
      <c r="AR33" s="1009"/>
      <c r="AS33" s="1009"/>
      <c r="AT33" s="1009"/>
      <c r="AU33" s="1009"/>
      <c r="AV33" s="1009"/>
      <c r="AW33" s="1009"/>
      <c r="AX33" s="1009"/>
      <c r="AY33" s="1009"/>
      <c r="AZ33" s="1009"/>
      <c r="BA33" s="1009"/>
      <c r="BB33" s="1009"/>
      <c r="BC33" s="1009"/>
      <c r="BD33" s="1010" t="str">
        <f>人物卡!AR63</f>
        <v>☐</v>
      </c>
      <c r="BE33" s="1011"/>
      <c r="BF33" s="845"/>
      <c r="BG33" s="763"/>
      <c r="BH33" s="763"/>
    </row>
    <row r="34" spans="8:8">
      <c r="A34" s="845"/>
      <c r="B34" s="938"/>
      <c r="C34" s="938"/>
      <c r="D34" s="938"/>
      <c r="E34" s="938"/>
      <c r="F34" s="938"/>
      <c r="G34" s="938"/>
      <c r="H34" s="939"/>
      <c r="I34" s="939"/>
      <c r="J34" s="980"/>
      <c r="K34" s="981"/>
      <c r="L34" s="981"/>
      <c r="M34" s="981"/>
      <c r="N34" s="981"/>
      <c r="O34" s="981"/>
      <c r="P34" s="981"/>
      <c r="Q34" s="981"/>
      <c r="R34" s="981"/>
      <c r="S34" s="981"/>
      <c r="T34" s="981"/>
      <c r="U34" s="982"/>
      <c r="V34" s="1004"/>
      <c r="W34" s="982"/>
      <c r="X34" s="982"/>
      <c r="Y34" s="982"/>
      <c r="Z34" s="982"/>
      <c r="AA34" s="982"/>
      <c r="AB34" s="1005"/>
      <c r="AC34" s="981"/>
      <c r="AD34" s="981"/>
      <c r="AE34" s="981"/>
      <c r="AF34" s="981"/>
      <c r="AG34" s="1006"/>
      <c r="AI34" s="1007"/>
      <c r="AJ34" s="1008"/>
      <c r="AK34" s="1008"/>
      <c r="AL34" s="1008"/>
      <c r="AM34" s="1009"/>
      <c r="AN34" s="1009"/>
      <c r="AO34" s="1009"/>
      <c r="AP34" s="1009"/>
      <c r="AQ34" s="1009"/>
      <c r="AR34" s="1009"/>
      <c r="AS34" s="1009"/>
      <c r="AT34" s="1009"/>
      <c r="AU34" s="1009"/>
      <c r="AV34" s="1009"/>
      <c r="AW34" s="1009"/>
      <c r="AX34" s="1009"/>
      <c r="AY34" s="1009"/>
      <c r="AZ34" s="1009"/>
      <c r="BA34" s="1009"/>
      <c r="BB34" s="1009"/>
      <c r="BC34" s="1009"/>
      <c r="BD34" s="1010"/>
      <c r="BE34" s="1011"/>
    </row>
    <row r="35" spans="8:8">
      <c r="A35" s="845"/>
      <c r="B35" s="938"/>
      <c r="C35" s="938"/>
      <c r="D35" s="938"/>
      <c r="E35" s="938"/>
      <c r="F35" s="938"/>
      <c r="G35" s="938"/>
      <c r="H35" s="939"/>
      <c r="I35" s="939"/>
      <c r="J35" s="980"/>
      <c r="K35" s="981"/>
      <c r="L35" s="981"/>
      <c r="M35" s="981"/>
      <c r="N35" s="981"/>
      <c r="O35" s="981"/>
      <c r="P35" s="981"/>
      <c r="Q35" s="981"/>
      <c r="R35" s="981"/>
      <c r="S35" s="981"/>
      <c r="T35" s="981"/>
      <c r="U35" s="982"/>
      <c r="V35" s="1004"/>
      <c r="W35" s="982"/>
      <c r="X35" s="982"/>
      <c r="Y35" s="982"/>
      <c r="Z35" s="982"/>
      <c r="AA35" s="982"/>
      <c r="AB35" s="1005"/>
      <c r="AC35" s="981"/>
      <c r="AD35" s="981"/>
      <c r="AE35" s="981"/>
      <c r="AF35" s="981"/>
      <c r="AG35" s="1006"/>
      <c r="AI35" s="1012" t="str">
        <f>人物卡!W65</f>
        <v>重要之人</v>
      </c>
      <c r="AJ35" s="1013"/>
      <c r="AK35" s="1013"/>
      <c r="AL35" s="1013"/>
      <c r="AM35" s="1001" t="str">
        <f>IF(人物卡!AA65="","",人物卡!AA65)</f>
        <v/>
      </c>
      <c r="AN35" s="1001"/>
      <c r="AO35" s="1001"/>
      <c r="AP35" s="1001"/>
      <c r="AQ35" s="1001"/>
      <c r="AR35" s="1001"/>
      <c r="AS35" s="1001"/>
      <c r="AT35" s="1001"/>
      <c r="AU35" s="1001"/>
      <c r="AV35" s="1001"/>
      <c r="AW35" s="1001"/>
      <c r="AX35" s="1001"/>
      <c r="AY35" s="1001"/>
      <c r="AZ35" s="1001"/>
      <c r="BA35" s="1001"/>
      <c r="BB35" s="1001"/>
      <c r="BC35" s="1001"/>
      <c r="BD35" s="1002" t="str">
        <f>人物卡!AR65</f>
        <v>☐</v>
      </c>
      <c r="BE35" s="1003"/>
    </row>
    <row r="36" spans="8:8">
      <c r="A36" s="845"/>
      <c r="B36" s="938"/>
      <c r="C36" s="938"/>
      <c r="D36" s="938"/>
      <c r="E36" s="938"/>
      <c r="F36" s="938"/>
      <c r="G36" s="938"/>
      <c r="H36" s="939"/>
      <c r="I36" s="939"/>
      <c r="J36" s="980"/>
      <c r="K36" s="981"/>
      <c r="L36" s="981"/>
      <c r="M36" s="981"/>
      <c r="N36" s="981"/>
      <c r="O36" s="981"/>
      <c r="P36" s="981"/>
      <c r="Q36" s="981"/>
      <c r="R36" s="981"/>
      <c r="S36" s="981"/>
      <c r="T36" s="981"/>
      <c r="U36" s="982"/>
      <c r="V36" s="1004"/>
      <c r="W36" s="982"/>
      <c r="X36" s="982"/>
      <c r="Y36" s="982"/>
      <c r="Z36" s="982"/>
      <c r="AA36" s="982"/>
      <c r="AB36" s="1005"/>
      <c r="AC36" s="981"/>
      <c r="AD36" s="981"/>
      <c r="AE36" s="981"/>
      <c r="AF36" s="981"/>
      <c r="AG36" s="1006"/>
      <c r="AI36" s="1012"/>
      <c r="AJ36" s="1013"/>
      <c r="AK36" s="1013"/>
      <c r="AL36" s="1013"/>
      <c r="AM36" s="1001"/>
      <c r="AN36" s="1001"/>
      <c r="AO36" s="1001"/>
      <c r="AP36" s="1001"/>
      <c r="AQ36" s="1001"/>
      <c r="AR36" s="1001"/>
      <c r="AS36" s="1001"/>
      <c r="AT36" s="1001"/>
      <c r="AU36" s="1001"/>
      <c r="AV36" s="1001"/>
      <c r="AW36" s="1001"/>
      <c r="AX36" s="1001"/>
      <c r="AY36" s="1001"/>
      <c r="AZ36" s="1001"/>
      <c r="BA36" s="1001"/>
      <c r="BB36" s="1001"/>
      <c r="BC36" s="1001"/>
      <c r="BD36" s="1002"/>
      <c r="BE36" s="1003"/>
    </row>
    <row r="37" spans="8:8">
      <c r="A37" s="845"/>
      <c r="B37" s="938"/>
      <c r="C37" s="938"/>
      <c r="D37" s="938"/>
      <c r="E37" s="938"/>
      <c r="F37" s="938"/>
      <c r="G37" s="938"/>
      <c r="H37" s="939"/>
      <c r="I37" s="939"/>
      <c r="J37" s="980"/>
      <c r="K37" s="981"/>
      <c r="L37" s="981"/>
      <c r="M37" s="981"/>
      <c r="N37" s="981"/>
      <c r="O37" s="981"/>
      <c r="P37" s="981"/>
      <c r="Q37" s="981"/>
      <c r="R37" s="981"/>
      <c r="S37" s="981"/>
      <c r="T37" s="981"/>
      <c r="U37" s="982"/>
      <c r="V37" s="1004"/>
      <c r="W37" s="982"/>
      <c r="X37" s="982"/>
      <c r="Y37" s="982"/>
      <c r="Z37" s="982"/>
      <c r="AA37" s="982"/>
      <c r="AB37" s="1005"/>
      <c r="AC37" s="981"/>
      <c r="AD37" s="981"/>
      <c r="AE37" s="981"/>
      <c r="AF37" s="981"/>
      <c r="AG37" s="1006"/>
      <c r="AI37" s="1014" t="str">
        <f>人物卡!W67</f>
        <v>意义非凡之地</v>
      </c>
      <c r="AJ37" s="1015"/>
      <c r="AK37" s="1015"/>
      <c r="AL37" s="1015"/>
      <c r="AM37" s="1009" t="str">
        <f>IF(人物卡!AA67="","",人物卡!AA67)</f>
        <v/>
      </c>
      <c r="AN37" s="1009"/>
      <c r="AO37" s="1009"/>
      <c r="AP37" s="1009"/>
      <c r="AQ37" s="1009"/>
      <c r="AR37" s="1009"/>
      <c r="AS37" s="1009"/>
      <c r="AT37" s="1009"/>
      <c r="AU37" s="1009"/>
      <c r="AV37" s="1009"/>
      <c r="AW37" s="1009"/>
      <c r="AX37" s="1009"/>
      <c r="AY37" s="1009"/>
      <c r="AZ37" s="1009"/>
      <c r="BA37" s="1009"/>
      <c r="BB37" s="1009"/>
      <c r="BC37" s="1009"/>
      <c r="BD37" s="1010" t="str">
        <f>人物卡!AR67</f>
        <v>☐</v>
      </c>
      <c r="BE37" s="1011"/>
    </row>
    <row r="38" spans="8:8">
      <c r="A38" s="845"/>
      <c r="B38" s="938"/>
      <c r="C38" s="938"/>
      <c r="D38" s="938"/>
      <c r="E38" s="938"/>
      <c r="F38" s="938"/>
      <c r="G38" s="938"/>
      <c r="H38" s="939"/>
      <c r="I38" s="939"/>
      <c r="J38" s="980"/>
      <c r="K38" s="981"/>
      <c r="L38" s="981"/>
      <c r="M38" s="981"/>
      <c r="N38" s="981"/>
      <c r="O38" s="981"/>
      <c r="P38" s="981"/>
      <c r="Q38" s="981"/>
      <c r="R38" s="981"/>
      <c r="S38" s="981"/>
      <c r="T38" s="981"/>
      <c r="U38" s="982"/>
      <c r="V38" s="1004"/>
      <c r="W38" s="982"/>
      <c r="X38" s="982"/>
      <c r="Y38" s="982"/>
      <c r="Z38" s="982"/>
      <c r="AA38" s="982"/>
      <c r="AB38" s="1005"/>
      <c r="AC38" s="981"/>
      <c r="AD38" s="981"/>
      <c r="AE38" s="981"/>
      <c r="AF38" s="981"/>
      <c r="AG38" s="1006"/>
      <c r="AI38" s="1014"/>
      <c r="AJ38" s="1015"/>
      <c r="AK38" s="1015"/>
      <c r="AL38" s="1015"/>
      <c r="AM38" s="1009"/>
      <c r="AN38" s="1009"/>
      <c r="AO38" s="1009"/>
      <c r="AP38" s="1009"/>
      <c r="AQ38" s="1009"/>
      <c r="AR38" s="1009"/>
      <c r="AS38" s="1009"/>
      <c r="AT38" s="1009"/>
      <c r="AU38" s="1009"/>
      <c r="AV38" s="1009"/>
      <c r="AW38" s="1009"/>
      <c r="AX38" s="1009"/>
      <c r="AY38" s="1009"/>
      <c r="AZ38" s="1009"/>
      <c r="BA38" s="1009"/>
      <c r="BB38" s="1009"/>
      <c r="BC38" s="1009"/>
      <c r="BD38" s="1010"/>
      <c r="BE38" s="1011"/>
    </row>
    <row r="39" spans="8:8">
      <c r="A39" s="845"/>
      <c r="B39" s="938"/>
      <c r="C39" s="938"/>
      <c r="D39" s="938"/>
      <c r="E39" s="938"/>
      <c r="F39" s="938"/>
      <c r="G39" s="938"/>
      <c r="H39" s="939"/>
      <c r="I39" s="939"/>
      <c r="J39" s="980"/>
      <c r="K39" s="981"/>
      <c r="L39" s="981"/>
      <c r="M39" s="981"/>
      <c r="N39" s="981"/>
      <c r="O39" s="981"/>
      <c r="P39" s="981"/>
      <c r="Q39" s="981"/>
      <c r="R39" s="981"/>
      <c r="S39" s="981"/>
      <c r="T39" s="981"/>
      <c r="U39" s="982"/>
      <c r="V39" s="1004"/>
      <c r="W39" s="982"/>
      <c r="X39" s="982"/>
      <c r="Y39" s="982"/>
      <c r="Z39" s="982"/>
      <c r="AA39" s="982"/>
      <c r="AB39" s="1005"/>
      <c r="AC39" s="981"/>
      <c r="AD39" s="981"/>
      <c r="AE39" s="981"/>
      <c r="AF39" s="981"/>
      <c r="AG39" s="1006"/>
      <c r="AI39" s="1012" t="str">
        <f>人物卡!W69</f>
        <v>宝贵之物</v>
      </c>
      <c r="AJ39" s="1013"/>
      <c r="AK39" s="1013"/>
      <c r="AL39" s="1013"/>
      <c r="AM39" s="1001" t="str">
        <f>IF(人物卡!AA69="","",人物卡!AA69)</f>
        <v/>
      </c>
      <c r="AN39" s="1001"/>
      <c r="AO39" s="1001"/>
      <c r="AP39" s="1001"/>
      <c r="AQ39" s="1001"/>
      <c r="AR39" s="1001"/>
      <c r="AS39" s="1001"/>
      <c r="AT39" s="1001"/>
      <c r="AU39" s="1001"/>
      <c r="AV39" s="1001"/>
      <c r="AW39" s="1001"/>
      <c r="AX39" s="1001"/>
      <c r="AY39" s="1001"/>
      <c r="AZ39" s="1001"/>
      <c r="BA39" s="1001"/>
      <c r="BB39" s="1001"/>
      <c r="BC39" s="1001"/>
      <c r="BD39" s="1002" t="str">
        <f>人物卡!AR69</f>
        <v>☐</v>
      </c>
      <c r="BE39" s="1003"/>
    </row>
    <row r="40" spans="8:8">
      <c r="A40" s="845"/>
      <c r="B40" s="938"/>
      <c r="C40" s="938"/>
      <c r="D40" s="938"/>
      <c r="E40" s="938"/>
      <c r="F40" s="938"/>
      <c r="G40" s="938"/>
      <c r="H40" s="939"/>
      <c r="I40" s="939"/>
      <c r="J40" s="980"/>
      <c r="K40" s="981"/>
      <c r="L40" s="981"/>
      <c r="M40" s="981"/>
      <c r="N40" s="981"/>
      <c r="O40" s="981"/>
      <c r="P40" s="981"/>
      <c r="Q40" s="981"/>
      <c r="R40" s="981"/>
      <c r="S40" s="981"/>
      <c r="T40" s="981"/>
      <c r="U40" s="982"/>
      <c r="V40" s="1016"/>
      <c r="W40" s="1017"/>
      <c r="X40" s="1017"/>
      <c r="Y40" s="1017"/>
      <c r="Z40" s="1017"/>
      <c r="AA40" s="1017"/>
      <c r="AB40" s="1018"/>
      <c r="AC40" s="1019"/>
      <c r="AD40" s="1019"/>
      <c r="AE40" s="1019"/>
      <c r="AF40" s="1019"/>
      <c r="AG40" s="1020"/>
      <c r="AI40" s="1012"/>
      <c r="AJ40" s="1013"/>
      <c r="AK40" s="1013"/>
      <c r="AL40" s="1013"/>
      <c r="AM40" s="1001"/>
      <c r="AN40" s="1001"/>
      <c r="AO40" s="1001"/>
      <c r="AP40" s="1001"/>
      <c r="AQ40" s="1001"/>
      <c r="AR40" s="1001"/>
      <c r="AS40" s="1001"/>
      <c r="AT40" s="1001"/>
      <c r="AU40" s="1001"/>
      <c r="AV40" s="1001"/>
      <c r="AW40" s="1001"/>
      <c r="AX40" s="1001"/>
      <c r="AY40" s="1001"/>
      <c r="AZ40" s="1001"/>
      <c r="BA40" s="1001"/>
      <c r="BB40" s="1001"/>
      <c r="BC40" s="1001"/>
      <c r="BD40" s="1002"/>
      <c r="BE40" s="1003"/>
    </row>
    <row r="41" spans="8:8">
      <c r="A41" s="845"/>
      <c r="B41" s="938"/>
      <c r="C41" s="938"/>
      <c r="D41" s="938"/>
      <c r="E41" s="938"/>
      <c r="F41" s="938"/>
      <c r="G41" s="938"/>
      <c r="H41" s="939"/>
      <c r="I41" s="939"/>
      <c r="J41" s="980"/>
      <c r="K41" s="981"/>
      <c r="L41" s="981"/>
      <c r="M41" s="981"/>
      <c r="N41" s="981"/>
      <c r="O41" s="981"/>
      <c r="P41" s="981"/>
      <c r="Q41" s="981"/>
      <c r="R41" s="981"/>
      <c r="S41" s="981"/>
      <c r="T41" s="981"/>
      <c r="U41" s="982"/>
      <c r="V41" s="977" t="s">
        <v>6206</v>
      </c>
      <c r="W41" s="978"/>
      <c r="X41" s="978"/>
      <c r="Y41" s="978"/>
      <c r="Z41" s="978"/>
      <c r="AA41" s="978"/>
      <c r="AB41" s="978"/>
      <c r="AC41" s="978"/>
      <c r="AD41" s="978"/>
      <c r="AE41" s="978"/>
      <c r="AF41" s="978"/>
      <c r="AG41" s="979"/>
      <c r="AI41" s="1007" t="str">
        <f>人物卡!W71</f>
        <v>特质</v>
      </c>
      <c r="AJ41" s="1008"/>
      <c r="AK41" s="1008"/>
      <c r="AL41" s="1008"/>
      <c r="AM41" s="1009" t="str">
        <f>IF(人物卡!AA71="","",人物卡!AA71)</f>
        <v/>
      </c>
      <c r="AN41" s="1009"/>
      <c r="AO41" s="1009"/>
      <c r="AP41" s="1009"/>
      <c r="AQ41" s="1009"/>
      <c r="AR41" s="1009"/>
      <c r="AS41" s="1009"/>
      <c r="AT41" s="1009"/>
      <c r="AU41" s="1009"/>
      <c r="AV41" s="1009"/>
      <c r="AW41" s="1009"/>
      <c r="AX41" s="1009"/>
      <c r="AY41" s="1009"/>
      <c r="AZ41" s="1009"/>
      <c r="BA41" s="1009"/>
      <c r="BB41" s="1009"/>
      <c r="BC41" s="1009"/>
      <c r="BD41" s="1010" t="str">
        <f>人物卡!AR71</f>
        <v>☐</v>
      </c>
      <c r="BE41" s="1011"/>
    </row>
    <row r="42" spans="8:8">
      <c r="A42" s="845"/>
      <c r="B42" s="938"/>
      <c r="C42" s="938"/>
      <c r="D42" s="938"/>
      <c r="E42" s="938"/>
      <c r="F42" s="938"/>
      <c r="G42" s="938"/>
      <c r="H42" s="939"/>
      <c r="I42" s="939"/>
      <c r="J42" s="980"/>
      <c r="K42" s="981"/>
      <c r="L42" s="981"/>
      <c r="M42" s="981"/>
      <c r="N42" s="981"/>
      <c r="O42" s="981"/>
      <c r="P42" s="981"/>
      <c r="Q42" s="981"/>
      <c r="R42" s="981"/>
      <c r="S42" s="981"/>
      <c r="T42" s="981"/>
      <c r="U42" s="982"/>
      <c r="V42" s="1021" t="str">
        <f>_xlfn.TEXTJOIN("、",TRUE,人物卡!W98:Z110)</f>
        <v/>
      </c>
      <c r="W42" s="1022"/>
      <c r="X42" s="1022"/>
      <c r="Y42" s="1022"/>
      <c r="Z42" s="1022"/>
      <c r="AA42" s="1022"/>
      <c r="AB42" s="1022"/>
      <c r="AC42" s="1022"/>
      <c r="AD42" s="1022"/>
      <c r="AE42" s="1022"/>
      <c r="AF42" s="1022"/>
      <c r="AG42" s="1023"/>
      <c r="AI42" s="1007"/>
      <c r="AJ42" s="1008"/>
      <c r="AK42" s="1008"/>
      <c r="AL42" s="1008"/>
      <c r="AM42" s="1009"/>
      <c r="AN42" s="1009"/>
      <c r="AO42" s="1009"/>
      <c r="AP42" s="1009"/>
      <c r="AQ42" s="1009"/>
      <c r="AR42" s="1009"/>
      <c r="AS42" s="1009"/>
      <c r="AT42" s="1009"/>
      <c r="AU42" s="1009"/>
      <c r="AV42" s="1009"/>
      <c r="AW42" s="1009"/>
      <c r="AX42" s="1009"/>
      <c r="AY42" s="1009"/>
      <c r="AZ42" s="1009"/>
      <c r="BA42" s="1009"/>
      <c r="BB42" s="1009"/>
      <c r="BC42" s="1009"/>
      <c r="BD42" s="1010"/>
      <c r="BE42" s="1011"/>
    </row>
    <row r="43" spans="8:8">
      <c r="A43" s="845"/>
      <c r="B43" s="938"/>
      <c r="C43" s="938"/>
      <c r="D43" s="938"/>
      <c r="E43" s="938"/>
      <c r="F43" s="938"/>
      <c r="G43" s="938"/>
      <c r="H43" s="939"/>
      <c r="I43" s="939"/>
      <c r="J43" s="980"/>
      <c r="K43" s="981"/>
      <c r="L43" s="981"/>
      <c r="M43" s="981"/>
      <c r="N43" s="981"/>
      <c r="O43" s="981"/>
      <c r="P43" s="981"/>
      <c r="Q43" s="981"/>
      <c r="R43" s="981"/>
      <c r="S43" s="981"/>
      <c r="T43" s="981"/>
      <c r="U43" s="982"/>
      <c r="V43" s="1021"/>
      <c r="W43" s="1022"/>
      <c r="X43" s="1022"/>
      <c r="Y43" s="1022"/>
      <c r="Z43" s="1022"/>
      <c r="AA43" s="1022"/>
      <c r="AB43" s="1022"/>
      <c r="AC43" s="1022"/>
      <c r="AD43" s="1022"/>
      <c r="AE43" s="1022"/>
      <c r="AF43" s="1022"/>
      <c r="AG43" s="1023"/>
      <c r="AI43" s="1012" t="str">
        <f>人物卡!W73</f>
        <v>伤口和疤痕</v>
      </c>
      <c r="AJ43" s="1013"/>
      <c r="AK43" s="1013"/>
      <c r="AL43" s="1013"/>
      <c r="AM43" s="1001" t="str">
        <f>IF(人物卡!AA73="","",人物卡!AA73)</f>
        <v/>
      </c>
      <c r="AN43" s="1001"/>
      <c r="AO43" s="1001"/>
      <c r="AP43" s="1001"/>
      <c r="AQ43" s="1001"/>
      <c r="AR43" s="1001"/>
      <c r="AS43" s="1001"/>
      <c r="AT43" s="1001"/>
      <c r="AU43" s="1001"/>
      <c r="AV43" s="1001"/>
      <c r="AW43" s="1001"/>
      <c r="AX43" s="1001"/>
      <c r="AY43" s="1001"/>
      <c r="AZ43" s="1001"/>
      <c r="BA43" s="1001"/>
      <c r="BB43" s="1001"/>
      <c r="BC43" s="1001"/>
      <c r="BD43" s="1002" t="str">
        <f>人物卡!AR73</f>
        <v>☐</v>
      </c>
      <c r="BE43" s="1003"/>
    </row>
    <row r="44" spans="8:8">
      <c r="A44" s="845"/>
      <c r="B44" s="938"/>
      <c r="C44" s="938"/>
      <c r="D44" s="938"/>
      <c r="E44" s="938"/>
      <c r="F44" s="938"/>
      <c r="G44" s="938"/>
      <c r="H44" s="939"/>
      <c r="I44" s="939"/>
      <c r="J44" s="980"/>
      <c r="K44" s="981"/>
      <c r="L44" s="981"/>
      <c r="M44" s="981"/>
      <c r="N44" s="981"/>
      <c r="O44" s="981"/>
      <c r="P44" s="981"/>
      <c r="Q44" s="981"/>
      <c r="R44" s="981"/>
      <c r="S44" s="981"/>
      <c r="T44" s="981"/>
      <c r="U44" s="982"/>
      <c r="V44" s="1021"/>
      <c r="W44" s="1022"/>
      <c r="X44" s="1022"/>
      <c r="Y44" s="1022"/>
      <c r="Z44" s="1022"/>
      <c r="AA44" s="1022"/>
      <c r="AB44" s="1022"/>
      <c r="AC44" s="1022"/>
      <c r="AD44" s="1022"/>
      <c r="AE44" s="1022"/>
      <c r="AF44" s="1022"/>
      <c r="AG44" s="1023"/>
      <c r="AI44" s="1012"/>
      <c r="AJ44" s="1013"/>
      <c r="AK44" s="1013"/>
      <c r="AL44" s="1013"/>
      <c r="AM44" s="1001"/>
      <c r="AN44" s="1001"/>
      <c r="AO44" s="1001"/>
      <c r="AP44" s="1001"/>
      <c r="AQ44" s="1001"/>
      <c r="AR44" s="1001"/>
      <c r="AS44" s="1001"/>
      <c r="AT44" s="1001"/>
      <c r="AU44" s="1001"/>
      <c r="AV44" s="1001"/>
      <c r="AW44" s="1001"/>
      <c r="AX44" s="1001"/>
      <c r="AY44" s="1001"/>
      <c r="AZ44" s="1001"/>
      <c r="BA44" s="1001"/>
      <c r="BB44" s="1001"/>
      <c r="BC44" s="1001"/>
      <c r="BD44" s="1002"/>
      <c r="BE44" s="1003"/>
    </row>
    <row r="45" spans="8:8">
      <c r="A45" s="845"/>
      <c r="B45" s="938"/>
      <c r="C45" s="938"/>
      <c r="D45" s="938"/>
      <c r="E45" s="938"/>
      <c r="F45" s="938"/>
      <c r="G45" s="938"/>
      <c r="H45" s="939"/>
      <c r="I45" s="939"/>
      <c r="J45" s="980"/>
      <c r="K45" s="981"/>
      <c r="L45" s="981"/>
      <c r="M45" s="981"/>
      <c r="N45" s="981"/>
      <c r="O45" s="981"/>
      <c r="P45" s="981"/>
      <c r="Q45" s="981"/>
      <c r="R45" s="981"/>
      <c r="S45" s="981"/>
      <c r="T45" s="981"/>
      <c r="U45" s="982"/>
      <c r="V45" s="1021"/>
      <c r="W45" s="1022"/>
      <c r="X45" s="1022"/>
      <c r="Y45" s="1022"/>
      <c r="Z45" s="1022"/>
      <c r="AA45" s="1022"/>
      <c r="AB45" s="1022"/>
      <c r="AC45" s="1022"/>
      <c r="AD45" s="1022"/>
      <c r="AE45" s="1022"/>
      <c r="AF45" s="1022"/>
      <c r="AG45" s="1023"/>
      <c r="AI45" s="1007" t="str">
        <f>人物卡!W75</f>
        <v>恐惧症和躁狂症</v>
      </c>
      <c r="AJ45" s="1008"/>
      <c r="AK45" s="1008"/>
      <c r="AL45" s="1008"/>
      <c r="AM45" s="1009" t="str">
        <f>IF(人物卡!AA75="","",人物卡!AA75)</f>
        <v/>
      </c>
      <c r="AN45" s="1009"/>
      <c r="AO45" s="1009"/>
      <c r="AP45" s="1009"/>
      <c r="AQ45" s="1009"/>
      <c r="AR45" s="1009"/>
      <c r="AS45" s="1009"/>
      <c r="AT45" s="1009"/>
      <c r="AU45" s="1009"/>
      <c r="AV45" s="1009"/>
      <c r="AW45" s="1009"/>
      <c r="AX45" s="1009"/>
      <c r="AY45" s="1009"/>
      <c r="AZ45" s="1009"/>
      <c r="BA45" s="1009"/>
      <c r="BB45" s="1009"/>
      <c r="BC45" s="1009"/>
      <c r="BD45" s="1010" t="str">
        <f>人物卡!AR75</f>
        <v>☐</v>
      </c>
      <c r="BE45" s="1011"/>
    </row>
    <row r="46" spans="8:8">
      <c r="A46" s="845"/>
      <c r="B46" s="938"/>
      <c r="C46" s="938"/>
      <c r="D46" s="938"/>
      <c r="E46" s="938"/>
      <c r="F46" s="938"/>
      <c r="G46" s="938"/>
      <c r="H46" s="939"/>
      <c r="I46" s="939"/>
      <c r="J46" s="980"/>
      <c r="K46" s="981"/>
      <c r="L46" s="981"/>
      <c r="M46" s="981"/>
      <c r="N46" s="981"/>
      <c r="O46" s="981"/>
      <c r="P46" s="981"/>
      <c r="Q46" s="981"/>
      <c r="R46" s="981"/>
      <c r="S46" s="981"/>
      <c r="T46" s="981"/>
      <c r="U46" s="982"/>
      <c r="V46" s="1021"/>
      <c r="W46" s="1022"/>
      <c r="X46" s="1022"/>
      <c r="Y46" s="1022"/>
      <c r="Z46" s="1022"/>
      <c r="AA46" s="1022"/>
      <c r="AB46" s="1022"/>
      <c r="AC46" s="1022"/>
      <c r="AD46" s="1022"/>
      <c r="AE46" s="1022"/>
      <c r="AF46" s="1022"/>
      <c r="AG46" s="1023"/>
      <c r="AI46" s="1024"/>
      <c r="AJ46" s="1025"/>
      <c r="AK46" s="1025"/>
      <c r="AL46" s="1025"/>
      <c r="AM46" s="1026"/>
      <c r="AN46" s="1026"/>
      <c r="AO46" s="1026"/>
      <c r="AP46" s="1026"/>
      <c r="AQ46" s="1026"/>
      <c r="AR46" s="1026"/>
      <c r="AS46" s="1026"/>
      <c r="AT46" s="1026"/>
      <c r="AU46" s="1026"/>
      <c r="AV46" s="1026"/>
      <c r="AW46" s="1026"/>
      <c r="AX46" s="1026"/>
      <c r="AY46" s="1026"/>
      <c r="AZ46" s="1026"/>
      <c r="BA46" s="1026"/>
      <c r="BB46" s="1026"/>
      <c r="BC46" s="1026"/>
      <c r="BD46" s="1027"/>
      <c r="BE46" s="1028"/>
    </row>
    <row r="47" spans="8:8">
      <c r="A47" s="845"/>
      <c r="B47" s="938"/>
      <c r="C47" s="938"/>
      <c r="D47" s="938"/>
      <c r="E47" s="938"/>
      <c r="F47" s="938"/>
      <c r="G47" s="938"/>
      <c r="H47" s="939"/>
      <c r="I47" s="939"/>
      <c r="J47" s="980"/>
      <c r="K47" s="981"/>
      <c r="L47" s="981"/>
      <c r="M47" s="981"/>
      <c r="N47" s="981"/>
      <c r="O47" s="981"/>
      <c r="P47" s="981"/>
      <c r="Q47" s="981"/>
      <c r="R47" s="981"/>
      <c r="S47" s="981"/>
      <c r="T47" s="981"/>
      <c r="U47" s="982"/>
      <c r="V47" s="1021"/>
      <c r="W47" s="1022"/>
      <c r="X47" s="1022"/>
      <c r="Y47" s="1022"/>
      <c r="Z47" s="1022"/>
      <c r="AA47" s="1022"/>
      <c r="AB47" s="1022"/>
      <c r="AC47" s="1022"/>
      <c r="AD47" s="1022"/>
      <c r="AE47" s="1022"/>
      <c r="AF47" s="1022"/>
      <c r="AG47" s="1023"/>
      <c r="AI47" s="1029" t="str">
        <f>IF(人物卡!W77="","",人物卡!W77)</f>
        <v>请务必在此填写背景故事！
使用Alt+Enter换行</v>
      </c>
      <c r="AJ47" s="1029"/>
      <c r="AK47" s="1029"/>
      <c r="AL47" s="1029"/>
      <c r="AM47" s="1029"/>
      <c r="AN47" s="1029"/>
      <c r="AO47" s="1029"/>
      <c r="AP47" s="1029"/>
      <c r="AQ47" s="1029"/>
      <c r="AR47" s="1029"/>
      <c r="AS47" s="1029"/>
      <c r="AT47" s="1029"/>
      <c r="AU47" s="1029"/>
      <c r="AV47" s="1029"/>
      <c r="AW47" s="1029"/>
      <c r="AX47" s="1029"/>
      <c r="AY47" s="1029"/>
      <c r="AZ47" s="1029"/>
      <c r="BA47" s="1029"/>
      <c r="BB47" s="1029"/>
      <c r="BC47" s="1029"/>
    </row>
    <row r="48" spans="8:8">
      <c r="A48" s="845"/>
      <c r="B48" s="938"/>
      <c r="C48" s="938"/>
      <c r="D48" s="938"/>
      <c r="E48" s="938"/>
      <c r="F48" s="938"/>
      <c r="G48" s="938"/>
      <c r="H48" s="939"/>
      <c r="I48" s="939"/>
      <c r="J48" s="980"/>
      <c r="K48" s="981"/>
      <c r="L48" s="981"/>
      <c r="M48" s="981"/>
      <c r="N48" s="981"/>
      <c r="O48" s="981"/>
      <c r="P48" s="981"/>
      <c r="Q48" s="981"/>
      <c r="R48" s="981"/>
      <c r="S48" s="981"/>
      <c r="T48" s="981"/>
      <c r="U48" s="982"/>
      <c r="V48" s="1021"/>
      <c r="W48" s="1022"/>
      <c r="X48" s="1022"/>
      <c r="Y48" s="1022"/>
      <c r="Z48" s="1022"/>
      <c r="AA48" s="1022"/>
      <c r="AB48" s="1022"/>
      <c r="AC48" s="1022"/>
      <c r="AD48" s="1022"/>
      <c r="AE48" s="1022"/>
      <c r="AF48" s="1022"/>
      <c r="AG48" s="1023"/>
      <c r="AI48" s="1030"/>
      <c r="AJ48" s="1030"/>
      <c r="AK48" s="1030"/>
      <c r="AL48" s="1030"/>
      <c r="AM48" s="1030"/>
      <c r="AN48" s="1030"/>
      <c r="AO48" s="1030"/>
      <c r="AP48" s="1030"/>
      <c r="AQ48" s="1030"/>
      <c r="AR48" s="1030"/>
      <c r="AS48" s="1030"/>
      <c r="AT48" s="1030"/>
      <c r="AU48" s="1030"/>
      <c r="AV48" s="1030"/>
      <c r="AW48" s="1030"/>
      <c r="AX48" s="1030"/>
      <c r="AY48" s="1030"/>
      <c r="AZ48" s="1030"/>
      <c r="BA48" s="1030"/>
      <c r="BB48" s="1030"/>
      <c r="BC48" s="1030"/>
    </row>
    <row r="49" spans="8:8">
      <c r="A49" s="845"/>
      <c r="B49" s="938"/>
      <c r="C49" s="938"/>
      <c r="D49" s="938"/>
      <c r="E49" s="938"/>
      <c r="F49" s="938"/>
      <c r="G49" s="938"/>
      <c r="H49" s="939"/>
      <c r="I49" s="939"/>
      <c r="J49" s="980"/>
      <c r="K49" s="981"/>
      <c r="L49" s="981"/>
      <c r="M49" s="981"/>
      <c r="N49" s="981"/>
      <c r="O49" s="981"/>
      <c r="P49" s="981"/>
      <c r="Q49" s="981"/>
      <c r="R49" s="981"/>
      <c r="S49" s="981"/>
      <c r="T49" s="981"/>
      <c r="U49" s="982"/>
      <c r="V49" s="1021"/>
      <c r="W49" s="1022"/>
      <c r="X49" s="1022"/>
      <c r="Y49" s="1022"/>
      <c r="Z49" s="1022"/>
      <c r="AA49" s="1022"/>
      <c r="AB49" s="1022"/>
      <c r="AC49" s="1022"/>
      <c r="AD49" s="1022"/>
      <c r="AE49" s="1022"/>
      <c r="AF49" s="1022"/>
      <c r="AG49" s="1023"/>
      <c r="AI49" s="1030"/>
      <c r="AJ49" s="1030"/>
      <c r="AK49" s="1030"/>
      <c r="AL49" s="1030"/>
      <c r="AM49" s="1030"/>
      <c r="AN49" s="1030"/>
      <c r="AO49" s="1030"/>
      <c r="AP49" s="1030"/>
      <c r="AQ49" s="1030"/>
      <c r="AR49" s="1030"/>
      <c r="AS49" s="1030"/>
      <c r="AT49" s="1030"/>
      <c r="AU49" s="1030"/>
      <c r="AV49" s="1030"/>
      <c r="AW49" s="1030"/>
      <c r="AX49" s="1030"/>
      <c r="AY49" s="1030"/>
      <c r="AZ49" s="1030"/>
      <c r="BA49" s="1030"/>
      <c r="BB49" s="1030"/>
      <c r="BC49" s="1030"/>
    </row>
    <row r="50" spans="8:8">
      <c r="A50" s="845"/>
      <c r="B50" s="938"/>
      <c r="C50" s="938"/>
      <c r="D50" s="938"/>
      <c r="E50" s="938"/>
      <c r="F50" s="938"/>
      <c r="G50" s="938"/>
      <c r="H50" s="939"/>
      <c r="I50" s="939"/>
      <c r="J50" s="1031"/>
      <c r="K50" s="1019"/>
      <c r="L50" s="1019"/>
      <c r="M50" s="1019"/>
      <c r="N50" s="1019"/>
      <c r="O50" s="1019"/>
      <c r="P50" s="1019"/>
      <c r="Q50" s="1019"/>
      <c r="R50" s="1019"/>
      <c r="S50" s="1019"/>
      <c r="T50" s="1019"/>
      <c r="U50" s="1017"/>
      <c r="V50" s="1032"/>
      <c r="W50" s="1033"/>
      <c r="X50" s="1033"/>
      <c r="Y50" s="1033"/>
      <c r="Z50" s="1033"/>
      <c r="AA50" s="1033"/>
      <c r="AB50" s="1033"/>
      <c r="AC50" s="1033"/>
      <c r="AD50" s="1033"/>
      <c r="AE50" s="1033"/>
      <c r="AF50" s="1033"/>
      <c r="AG50" s="1034"/>
      <c r="AI50" s="1030"/>
      <c r="AJ50" s="1030"/>
      <c r="AK50" s="1030"/>
      <c r="AL50" s="1030"/>
      <c r="AM50" s="1030"/>
      <c r="AN50" s="1030"/>
      <c r="AO50" s="1030"/>
      <c r="AP50" s="1030"/>
      <c r="AQ50" s="1030"/>
      <c r="AR50" s="1030"/>
      <c r="AS50" s="1030"/>
      <c r="AT50" s="1030"/>
      <c r="AU50" s="1030"/>
      <c r="AV50" s="1030"/>
      <c r="AW50" s="1030"/>
      <c r="AX50" s="1030"/>
      <c r="AY50" s="1030"/>
      <c r="AZ50" s="1030"/>
      <c r="BA50" s="1030"/>
      <c r="BB50" s="1030"/>
      <c r="BC50" s="1030"/>
    </row>
    <row r="51" spans="8:8">
      <c r="A51" s="845"/>
      <c r="B51" s="938"/>
      <c r="C51" s="938"/>
      <c r="D51" s="938"/>
      <c r="E51" s="938"/>
      <c r="F51" s="938"/>
      <c r="G51" s="938"/>
      <c r="H51" s="939"/>
      <c r="I51" s="939"/>
      <c r="J51" s="977" t="s">
        <v>6209</v>
      </c>
      <c r="K51" s="978"/>
      <c r="L51" s="978"/>
      <c r="M51" s="978"/>
      <c r="N51" s="978"/>
      <c r="O51" s="978"/>
      <c r="P51" s="978"/>
      <c r="Q51" s="978"/>
      <c r="R51" s="978"/>
      <c r="S51" s="978"/>
      <c r="T51" s="978"/>
      <c r="U51" s="1035"/>
      <c r="V51" s="974" t="s">
        <v>6210</v>
      </c>
      <c r="W51" s="975"/>
      <c r="X51" s="975"/>
      <c r="Y51" s="975"/>
      <c r="Z51" s="975"/>
      <c r="AA51" s="975"/>
      <c r="AB51" s="975"/>
      <c r="AC51" s="975"/>
      <c r="AD51" s="975"/>
      <c r="AE51" s="975"/>
      <c r="AF51" s="975"/>
      <c r="AG51" s="998"/>
      <c r="AI51" s="1030"/>
      <c r="AJ51" s="1030"/>
      <c r="AK51" s="1030"/>
      <c r="AL51" s="1030"/>
      <c r="AM51" s="1030"/>
      <c r="AN51" s="1030"/>
      <c r="AO51" s="1030"/>
      <c r="AP51" s="1030"/>
      <c r="AQ51" s="1030"/>
      <c r="AR51" s="1030"/>
      <c r="AS51" s="1030"/>
      <c r="AT51" s="1030"/>
      <c r="AU51" s="1030"/>
      <c r="AV51" s="1030"/>
      <c r="AW51" s="1030"/>
      <c r="AX51" s="1030"/>
      <c r="AY51" s="1030"/>
      <c r="AZ51" s="1030"/>
      <c r="BA51" s="1030"/>
      <c r="BB51" s="1030"/>
      <c r="BC51" s="1030"/>
    </row>
    <row r="52" spans="8:8">
      <c r="A52" s="845"/>
      <c r="B52" s="938"/>
      <c r="C52" s="938"/>
      <c r="D52" s="938"/>
      <c r="E52" s="938"/>
      <c r="F52" s="938"/>
      <c r="G52" s="938"/>
      <c r="H52" s="939"/>
      <c r="I52" s="939"/>
      <c r="J52" s="1021" t="str">
        <f>_xlfn.TEXTJOIN("、",TRUE,人物卡!B97:I112)</f>
        <v/>
      </c>
      <c r="K52" s="1022"/>
      <c r="L52" s="1022"/>
      <c r="M52" s="1022"/>
      <c r="N52" s="1022"/>
      <c r="O52" s="1022"/>
      <c r="P52" s="1022"/>
      <c r="Q52" s="1022"/>
      <c r="R52" s="1022"/>
      <c r="S52" s="1022"/>
      <c r="T52" s="1022"/>
      <c r="U52" s="1036"/>
      <c r="V52" s="1021" t="str">
        <f>_xlfn.TEXTJOIN("、",TRUE,人物卡!W130:Z144)</f>
        <v/>
      </c>
      <c r="W52" s="1022"/>
      <c r="X52" s="1022"/>
      <c r="Y52" s="1022"/>
      <c r="Z52" s="1022"/>
      <c r="AA52" s="1022"/>
      <c r="AB52" s="1022"/>
      <c r="AC52" s="1022"/>
      <c r="AD52" s="1022"/>
      <c r="AE52" s="1022"/>
      <c r="AF52" s="1022"/>
      <c r="AG52" s="1023"/>
      <c r="AI52" s="1030"/>
      <c r="AJ52" s="1030"/>
      <c r="AK52" s="1030"/>
      <c r="AL52" s="1030"/>
      <c r="AM52" s="1030"/>
      <c r="AN52" s="1030"/>
      <c r="AO52" s="1030"/>
      <c r="AP52" s="1030"/>
      <c r="AQ52" s="1030"/>
      <c r="AR52" s="1030"/>
      <c r="AS52" s="1030"/>
      <c r="AT52" s="1030"/>
      <c r="AU52" s="1030"/>
      <c r="AV52" s="1030"/>
      <c r="AW52" s="1030"/>
      <c r="AX52" s="1030"/>
      <c r="AY52" s="1030"/>
      <c r="AZ52" s="1030"/>
      <c r="BA52" s="1030"/>
      <c r="BB52" s="1030"/>
      <c r="BC52" s="1030"/>
    </row>
    <row r="53" spans="8:8">
      <c r="A53" s="845"/>
      <c r="B53" s="938"/>
      <c r="C53" s="938"/>
      <c r="D53" s="938"/>
      <c r="E53" s="938"/>
      <c r="F53" s="938"/>
      <c r="G53" s="938"/>
      <c r="H53" s="939"/>
      <c r="I53" s="939"/>
      <c r="J53" s="1021"/>
      <c r="K53" s="1022"/>
      <c r="L53" s="1022"/>
      <c r="M53" s="1022"/>
      <c r="N53" s="1022"/>
      <c r="O53" s="1022"/>
      <c r="P53" s="1022"/>
      <c r="Q53" s="1022"/>
      <c r="R53" s="1022"/>
      <c r="S53" s="1022"/>
      <c r="T53" s="1022"/>
      <c r="U53" s="1036"/>
      <c r="V53" s="1021"/>
      <c r="W53" s="1022"/>
      <c r="X53" s="1022"/>
      <c r="Y53" s="1022"/>
      <c r="Z53" s="1022"/>
      <c r="AA53" s="1022"/>
      <c r="AB53" s="1022"/>
      <c r="AC53" s="1022"/>
      <c r="AD53" s="1022"/>
      <c r="AE53" s="1022"/>
      <c r="AF53" s="1022"/>
      <c r="AG53" s="1023"/>
      <c r="AI53" s="1030"/>
      <c r="AJ53" s="1030"/>
      <c r="AK53" s="1030"/>
      <c r="AL53" s="1030"/>
      <c r="AM53" s="1030"/>
      <c r="AN53" s="1030"/>
      <c r="AO53" s="1030"/>
      <c r="AP53" s="1030"/>
      <c r="AQ53" s="1030"/>
      <c r="AR53" s="1030"/>
      <c r="AS53" s="1030"/>
      <c r="AT53" s="1030"/>
      <c r="AU53" s="1030"/>
      <c r="AV53" s="1030"/>
      <c r="AW53" s="1030"/>
      <c r="AX53" s="1030"/>
      <c r="AY53" s="1030"/>
      <c r="AZ53" s="1030"/>
      <c r="BA53" s="1030"/>
      <c r="BB53" s="1030"/>
      <c r="BC53" s="1030"/>
    </row>
    <row r="54" spans="8:8">
      <c r="A54" s="845"/>
      <c r="B54" s="938"/>
      <c r="C54" s="938"/>
      <c r="D54" s="938"/>
      <c r="E54" s="938"/>
      <c r="F54" s="938"/>
      <c r="G54" s="938"/>
      <c r="H54" s="939"/>
      <c r="I54" s="939"/>
      <c r="J54" s="1021"/>
      <c r="K54" s="1022"/>
      <c r="L54" s="1022"/>
      <c r="M54" s="1022"/>
      <c r="N54" s="1022"/>
      <c r="O54" s="1022"/>
      <c r="P54" s="1022"/>
      <c r="Q54" s="1022"/>
      <c r="R54" s="1022"/>
      <c r="S54" s="1022"/>
      <c r="T54" s="1022"/>
      <c r="U54" s="1036"/>
      <c r="V54" s="1021"/>
      <c r="W54" s="1022"/>
      <c r="X54" s="1022"/>
      <c r="Y54" s="1022"/>
      <c r="Z54" s="1022"/>
      <c r="AA54" s="1022"/>
      <c r="AB54" s="1022"/>
      <c r="AC54" s="1022"/>
      <c r="AD54" s="1022"/>
      <c r="AE54" s="1022"/>
      <c r="AF54" s="1022"/>
      <c r="AG54" s="1023"/>
      <c r="AI54" s="1030"/>
      <c r="AJ54" s="1030"/>
      <c r="AK54" s="1030"/>
      <c r="AL54" s="1030"/>
      <c r="AM54" s="1030"/>
      <c r="AN54" s="1030"/>
      <c r="AO54" s="1030"/>
      <c r="AP54" s="1030"/>
      <c r="AQ54" s="1030"/>
      <c r="AR54" s="1030"/>
      <c r="AS54" s="1030"/>
      <c r="AT54" s="1030"/>
      <c r="AU54" s="1030"/>
      <c r="AV54" s="1030"/>
      <c r="AW54" s="1030"/>
      <c r="AX54" s="1030"/>
      <c r="AY54" s="1030"/>
      <c r="AZ54" s="1030"/>
      <c r="BA54" s="1030"/>
      <c r="BB54" s="1030"/>
      <c r="BC54" s="1030"/>
    </row>
    <row r="55" spans="8:8">
      <c r="A55" s="845"/>
      <c r="B55" s="938"/>
      <c r="C55" s="938"/>
      <c r="D55" s="938"/>
      <c r="E55" s="938"/>
      <c r="F55" s="938"/>
      <c r="G55" s="938"/>
      <c r="H55" s="939"/>
      <c r="I55" s="939"/>
      <c r="J55" s="1021"/>
      <c r="K55" s="1022"/>
      <c r="L55" s="1022"/>
      <c r="M55" s="1022"/>
      <c r="N55" s="1022"/>
      <c r="O55" s="1022"/>
      <c r="P55" s="1022"/>
      <c r="Q55" s="1022"/>
      <c r="R55" s="1022"/>
      <c r="S55" s="1022"/>
      <c r="T55" s="1022"/>
      <c r="U55" s="1036"/>
      <c r="V55" s="1021"/>
      <c r="W55" s="1022"/>
      <c r="X55" s="1022"/>
      <c r="Y55" s="1022"/>
      <c r="Z55" s="1022"/>
      <c r="AA55" s="1022"/>
      <c r="AB55" s="1022"/>
      <c r="AC55" s="1022"/>
      <c r="AD55" s="1022"/>
      <c r="AE55" s="1022"/>
      <c r="AF55" s="1022"/>
      <c r="AG55" s="1023"/>
      <c r="AI55" s="1030"/>
      <c r="AJ55" s="1030"/>
      <c r="AK55" s="1030"/>
      <c r="AL55" s="1030"/>
      <c r="AM55" s="1030"/>
      <c r="AN55" s="1030"/>
      <c r="AO55" s="1030"/>
      <c r="AP55" s="1030"/>
      <c r="AQ55" s="1030"/>
      <c r="AR55" s="1030"/>
      <c r="AS55" s="1030"/>
      <c r="AT55" s="1030"/>
      <c r="AU55" s="1030"/>
      <c r="AV55" s="1030"/>
      <c r="AW55" s="1030"/>
      <c r="AX55" s="1030"/>
      <c r="AY55" s="1030"/>
      <c r="AZ55" s="1030"/>
      <c r="BA55" s="1030"/>
      <c r="BB55" s="1030"/>
      <c r="BC55" s="1030"/>
    </row>
    <row r="56" spans="8:8">
      <c r="A56" s="845"/>
      <c r="B56" s="938"/>
      <c r="C56" s="938"/>
      <c r="D56" s="938"/>
      <c r="E56" s="938"/>
      <c r="F56" s="938"/>
      <c r="G56" s="938"/>
      <c r="H56" s="939"/>
      <c r="I56" s="939"/>
      <c r="J56" s="1021"/>
      <c r="K56" s="1022"/>
      <c r="L56" s="1022"/>
      <c r="M56" s="1022"/>
      <c r="N56" s="1022"/>
      <c r="O56" s="1022"/>
      <c r="P56" s="1022"/>
      <c r="Q56" s="1022"/>
      <c r="R56" s="1022"/>
      <c r="S56" s="1022"/>
      <c r="T56" s="1022"/>
      <c r="U56" s="1036"/>
      <c r="V56" s="1021"/>
      <c r="W56" s="1022"/>
      <c r="X56" s="1022"/>
      <c r="Y56" s="1022"/>
      <c r="Z56" s="1022"/>
      <c r="AA56" s="1022"/>
      <c r="AB56" s="1022"/>
      <c r="AC56" s="1022"/>
      <c r="AD56" s="1022"/>
      <c r="AE56" s="1022"/>
      <c r="AF56" s="1022"/>
      <c r="AG56" s="1023"/>
      <c r="AI56" s="1030"/>
      <c r="AJ56" s="1030"/>
      <c r="AK56" s="1030"/>
      <c r="AL56" s="1030"/>
      <c r="AM56" s="1030"/>
      <c r="AN56" s="1030"/>
      <c r="AO56" s="1030"/>
      <c r="AP56" s="1030"/>
      <c r="AQ56" s="1030"/>
      <c r="AR56" s="1030"/>
      <c r="AS56" s="1030"/>
      <c r="AT56" s="1030"/>
      <c r="AU56" s="1030"/>
      <c r="AV56" s="1030"/>
      <c r="AW56" s="1030"/>
      <c r="AX56" s="1030"/>
      <c r="AY56" s="1030"/>
      <c r="AZ56" s="1030"/>
      <c r="BA56" s="1030"/>
      <c r="BB56" s="1030"/>
      <c r="BC56" s="1030"/>
    </row>
    <row r="57" spans="8:8">
      <c r="A57" s="845"/>
      <c r="B57" s="938"/>
      <c r="C57" s="938"/>
      <c r="D57" s="938"/>
      <c r="E57" s="938"/>
      <c r="F57" s="938"/>
      <c r="G57" s="938"/>
      <c r="H57" s="939"/>
      <c r="I57" s="939"/>
      <c r="J57" s="1021"/>
      <c r="K57" s="1022"/>
      <c r="L57" s="1022"/>
      <c r="M57" s="1022"/>
      <c r="N57" s="1022"/>
      <c r="O57" s="1022"/>
      <c r="P57" s="1022"/>
      <c r="Q57" s="1022"/>
      <c r="R57" s="1022"/>
      <c r="S57" s="1022"/>
      <c r="T57" s="1022"/>
      <c r="U57" s="1036"/>
      <c r="V57" s="1021"/>
      <c r="W57" s="1022"/>
      <c r="X57" s="1022"/>
      <c r="Y57" s="1022"/>
      <c r="Z57" s="1022"/>
      <c r="AA57" s="1022"/>
      <c r="AB57" s="1022"/>
      <c r="AC57" s="1022"/>
      <c r="AD57" s="1022"/>
      <c r="AE57" s="1022"/>
      <c r="AF57" s="1022"/>
      <c r="AG57" s="1023"/>
      <c r="AI57" s="1030"/>
      <c r="AJ57" s="1030"/>
      <c r="AK57" s="1030"/>
      <c r="AL57" s="1030"/>
      <c r="AM57" s="1030"/>
      <c r="AN57" s="1030"/>
      <c r="AO57" s="1030"/>
      <c r="AP57" s="1030"/>
      <c r="AQ57" s="1030"/>
      <c r="AR57" s="1030"/>
      <c r="AS57" s="1030"/>
      <c r="AT57" s="1030"/>
      <c r="AU57" s="1030"/>
      <c r="AV57" s="1030"/>
      <c r="AW57" s="1030"/>
      <c r="AX57" s="1030"/>
      <c r="AY57" s="1030"/>
      <c r="AZ57" s="1030"/>
      <c r="BA57" s="1030"/>
      <c r="BB57" s="1030"/>
      <c r="BC57" s="1030"/>
    </row>
    <row r="58" spans="8:8">
      <c r="A58" s="845"/>
      <c r="B58" s="938"/>
      <c r="C58" s="938"/>
      <c r="D58" s="938"/>
      <c r="E58" s="938"/>
      <c r="F58" s="938"/>
      <c r="G58" s="938"/>
      <c r="H58" s="939"/>
      <c r="I58" s="939"/>
      <c r="J58" s="1021"/>
      <c r="K58" s="1022"/>
      <c r="L58" s="1022"/>
      <c r="M58" s="1022"/>
      <c r="N58" s="1022"/>
      <c r="O58" s="1022"/>
      <c r="P58" s="1022"/>
      <c r="Q58" s="1022"/>
      <c r="R58" s="1022"/>
      <c r="S58" s="1022"/>
      <c r="T58" s="1022"/>
      <c r="U58" s="1036"/>
      <c r="V58" s="1021"/>
      <c r="W58" s="1022"/>
      <c r="X58" s="1022"/>
      <c r="Y58" s="1022"/>
      <c r="Z58" s="1022"/>
      <c r="AA58" s="1022"/>
      <c r="AB58" s="1022"/>
      <c r="AC58" s="1022"/>
      <c r="AD58" s="1022"/>
      <c r="AE58" s="1022"/>
      <c r="AF58" s="1022"/>
      <c r="AG58" s="1023"/>
      <c r="AI58" s="1030"/>
      <c r="AJ58" s="1030"/>
      <c r="AK58" s="1030"/>
      <c r="AL58" s="1030"/>
      <c r="AM58" s="1030"/>
      <c r="AN58" s="1030"/>
      <c r="AO58" s="1030"/>
      <c r="AP58" s="1030"/>
      <c r="AQ58" s="1030"/>
      <c r="AR58" s="1030"/>
      <c r="AS58" s="1030"/>
      <c r="AT58" s="1030"/>
      <c r="AU58" s="1030"/>
      <c r="AV58" s="1030"/>
      <c r="AW58" s="1030"/>
      <c r="AX58" s="1030"/>
      <c r="AY58" s="1030"/>
      <c r="AZ58" s="1030"/>
      <c r="BA58" s="1030"/>
      <c r="BB58" s="1030"/>
      <c r="BC58" s="1030"/>
    </row>
    <row r="59" spans="8:8">
      <c r="A59" s="845"/>
      <c r="B59" s="938"/>
      <c r="C59" s="938"/>
      <c r="D59" s="938"/>
      <c r="E59" s="938"/>
      <c r="F59" s="938"/>
      <c r="G59" s="938"/>
      <c r="H59" s="939"/>
      <c r="I59" s="939"/>
      <c r="J59" s="1021"/>
      <c r="K59" s="1022"/>
      <c r="L59" s="1022"/>
      <c r="M59" s="1022"/>
      <c r="N59" s="1022"/>
      <c r="O59" s="1022"/>
      <c r="P59" s="1022"/>
      <c r="Q59" s="1022"/>
      <c r="R59" s="1022"/>
      <c r="S59" s="1022"/>
      <c r="T59" s="1022"/>
      <c r="U59" s="1036"/>
      <c r="V59" s="1021"/>
      <c r="W59" s="1022"/>
      <c r="X59" s="1022"/>
      <c r="Y59" s="1022"/>
      <c r="Z59" s="1022"/>
      <c r="AA59" s="1022"/>
      <c r="AB59" s="1022"/>
      <c r="AC59" s="1022"/>
      <c r="AD59" s="1022"/>
      <c r="AE59" s="1022"/>
      <c r="AF59" s="1022"/>
      <c r="AG59" s="1023"/>
      <c r="AI59" s="1030"/>
      <c r="AJ59" s="1030"/>
      <c r="AK59" s="1030"/>
      <c r="AL59" s="1030"/>
      <c r="AM59" s="1030"/>
      <c r="AN59" s="1030"/>
      <c r="AO59" s="1030"/>
      <c r="AP59" s="1030"/>
      <c r="AQ59" s="1030"/>
      <c r="AR59" s="1030"/>
      <c r="AS59" s="1030"/>
      <c r="AT59" s="1030"/>
      <c r="AU59" s="1030"/>
      <c r="AV59" s="1030"/>
      <c r="AW59" s="1030"/>
      <c r="AX59" s="1030"/>
      <c r="AY59" s="1030"/>
      <c r="AZ59" s="1030"/>
      <c r="BA59" s="1030"/>
      <c r="BB59" s="1030"/>
      <c r="BC59" s="1030"/>
    </row>
    <row r="60" spans="8:8">
      <c r="A60" s="845"/>
      <c r="B60" s="938"/>
      <c r="C60" s="938"/>
      <c r="D60" s="938"/>
      <c r="E60" s="938"/>
      <c r="F60" s="938"/>
      <c r="G60" s="938"/>
      <c r="H60" s="939"/>
      <c r="I60" s="939"/>
      <c r="J60" s="1021"/>
      <c r="K60" s="1022"/>
      <c r="L60" s="1022"/>
      <c r="M60" s="1022"/>
      <c r="N60" s="1022"/>
      <c r="O60" s="1022"/>
      <c r="P60" s="1022"/>
      <c r="Q60" s="1022"/>
      <c r="R60" s="1022"/>
      <c r="S60" s="1022"/>
      <c r="T60" s="1022"/>
      <c r="U60" s="1036"/>
      <c r="V60" s="1021"/>
      <c r="W60" s="1022"/>
      <c r="X60" s="1022"/>
      <c r="Y60" s="1022"/>
      <c r="Z60" s="1022"/>
      <c r="AA60" s="1022"/>
      <c r="AB60" s="1022"/>
      <c r="AC60" s="1022"/>
      <c r="AD60" s="1022"/>
      <c r="AE60" s="1022"/>
      <c r="AF60" s="1022"/>
      <c r="AG60" s="1023"/>
      <c r="AI60" s="1030"/>
      <c r="AJ60" s="1030"/>
      <c r="AK60" s="1030"/>
      <c r="AL60" s="1030"/>
      <c r="AM60" s="1030"/>
      <c r="AN60" s="1030"/>
      <c r="AO60" s="1030"/>
      <c r="AP60" s="1030"/>
      <c r="AQ60" s="1030"/>
      <c r="AR60" s="1030"/>
      <c r="AS60" s="1030"/>
      <c r="AT60" s="1030"/>
      <c r="AU60" s="1030"/>
      <c r="AV60" s="1030"/>
      <c r="AW60" s="1030"/>
      <c r="AX60" s="1030"/>
      <c r="AY60" s="1030"/>
      <c r="AZ60" s="1030"/>
      <c r="BA60" s="1030"/>
      <c r="BB60" s="1030"/>
      <c r="BC60" s="1030"/>
    </row>
    <row r="61" spans="8:8">
      <c r="A61" s="845"/>
      <c r="B61" s="938"/>
      <c r="C61" s="938"/>
      <c r="D61" s="938"/>
      <c r="E61" s="938"/>
      <c r="F61" s="938"/>
      <c r="G61" s="938"/>
      <c r="H61" s="939"/>
      <c r="I61" s="939"/>
      <c r="J61" s="1037"/>
      <c r="K61" s="1038"/>
      <c r="L61" s="1038"/>
      <c r="M61" s="1038"/>
      <c r="N61" s="1038"/>
      <c r="O61" s="1038"/>
      <c r="P61" s="1038"/>
      <c r="Q61" s="1038"/>
      <c r="R61" s="1038"/>
      <c r="S61" s="1038"/>
      <c r="T61" s="1038"/>
      <c r="U61" s="1039"/>
      <c r="V61" s="1037"/>
      <c r="W61" s="1038"/>
      <c r="X61" s="1038"/>
      <c r="Y61" s="1038"/>
      <c r="Z61" s="1038"/>
      <c r="AA61" s="1038"/>
      <c r="AB61" s="1038"/>
      <c r="AC61" s="1038"/>
      <c r="AD61" s="1038"/>
      <c r="AE61" s="1038"/>
      <c r="AF61" s="1038"/>
      <c r="AG61" s="1040"/>
      <c r="AI61" s="1030"/>
      <c r="AJ61" s="1030"/>
      <c r="AK61" s="1030"/>
      <c r="AL61" s="1030"/>
      <c r="AM61" s="1030"/>
      <c r="AN61" s="1030"/>
      <c r="AO61" s="1030"/>
      <c r="AP61" s="1030"/>
      <c r="AQ61" s="1030"/>
      <c r="AR61" s="1030"/>
      <c r="AS61" s="1030"/>
      <c r="AT61" s="1030"/>
      <c r="AU61" s="1030"/>
      <c r="AV61" s="1030"/>
      <c r="AW61" s="1030"/>
      <c r="AX61" s="1030"/>
      <c r="AY61" s="1030"/>
      <c r="AZ61" s="1030"/>
      <c r="BA61" s="1030"/>
      <c r="BB61" s="1030"/>
      <c r="BC61" s="1030"/>
    </row>
    <row r="62" spans="8:8">
      <c r="A62" s="845"/>
      <c r="B62" s="938"/>
      <c r="C62" s="938"/>
      <c r="D62" s="938"/>
      <c r="E62" s="938"/>
      <c r="F62" s="938"/>
      <c r="G62" s="938"/>
      <c r="H62" s="939"/>
      <c r="I62" s="1041"/>
      <c r="AI62" s="1042"/>
      <c r="AJ62" s="1042"/>
      <c r="AK62" s="1042"/>
      <c r="AL62" s="1042"/>
      <c r="AM62" s="1042"/>
      <c r="AN62" s="1042"/>
      <c r="AO62" s="1042"/>
      <c r="AP62" s="1042"/>
      <c r="AQ62" s="1042"/>
      <c r="AR62" s="1042"/>
      <c r="AS62" s="1042"/>
      <c r="AT62" s="1030"/>
      <c r="AU62" s="1030"/>
      <c r="AV62" s="1030"/>
      <c r="AW62" s="1030"/>
      <c r="AX62" s="1030"/>
      <c r="AY62" s="1030"/>
      <c r="AZ62" s="1030"/>
      <c r="BA62" s="1030"/>
      <c r="BB62" s="1030"/>
      <c r="BC62" s="1030"/>
    </row>
    <row r="63" spans="8:8">
      <c r="A63" s="845"/>
      <c r="B63" s="938"/>
      <c r="C63" s="938"/>
      <c r="D63" s="938"/>
      <c r="E63" s="938"/>
      <c r="F63" s="938"/>
      <c r="G63" s="938"/>
      <c r="H63" s="939"/>
      <c r="I63" s="939"/>
      <c r="J63" s="1043" t="str">
        <f>人物卡!B51</f>
        <v>武器表</v>
      </c>
      <c r="K63" s="1044"/>
      <c r="L63" s="1044"/>
      <c r="M63" s="1044"/>
      <c r="N63" s="1044"/>
      <c r="O63" s="1044"/>
      <c r="P63" s="1044"/>
      <c r="Q63" s="1044"/>
      <c r="R63" s="1044"/>
      <c r="S63" s="1044"/>
      <c r="T63" s="1044"/>
      <c r="U63" s="1044"/>
      <c r="V63" s="1044"/>
      <c r="W63" s="1044"/>
      <c r="X63" s="1044"/>
      <c r="Y63" s="1044"/>
      <c r="Z63" s="1044"/>
      <c r="AA63" s="1044"/>
      <c r="AB63" s="1044"/>
      <c r="AC63" s="1044"/>
      <c r="AD63" s="1044"/>
      <c r="AE63" s="1044"/>
      <c r="AF63" s="1044"/>
      <c r="AG63" s="1044"/>
      <c r="AH63" s="1044"/>
      <c r="AI63" s="1044"/>
      <c r="AJ63" s="1044"/>
      <c r="AK63" s="1044"/>
      <c r="AL63" s="1044"/>
      <c r="AM63" s="1044"/>
      <c r="AN63" s="1044"/>
      <c r="AO63" s="1044"/>
      <c r="AP63" s="1044"/>
      <c r="AQ63" s="1044"/>
      <c r="AR63" s="1044"/>
      <c r="AS63" s="1045"/>
      <c r="AT63" s="845"/>
      <c r="AU63" s="845"/>
      <c r="AV63" s="845"/>
      <c r="AW63" s="845"/>
      <c r="AX63" s="845"/>
      <c r="AY63" s="845"/>
      <c r="AZ63" s="845"/>
      <c r="BA63" s="845"/>
      <c r="BB63" s="845"/>
    </row>
    <row r="64" spans="8:8">
      <c r="A64" s="845"/>
      <c r="B64" s="938"/>
      <c r="C64" s="938"/>
      <c r="D64" s="938"/>
      <c r="E64" s="938"/>
      <c r="F64" s="938"/>
      <c r="G64" s="938"/>
      <c r="H64" s="939"/>
      <c r="I64" s="939"/>
      <c r="J64" s="1046" t="str">
        <f>人物卡!B52</f>
        <v>武器名称</v>
      </c>
      <c r="K64" s="1047"/>
      <c r="L64" s="1047"/>
      <c r="M64" s="1047"/>
      <c r="N64" s="1047"/>
      <c r="O64" s="1047" t="str">
        <f>人物卡!G52</f>
        <v>类型</v>
      </c>
      <c r="P64" s="1047"/>
      <c r="Q64" s="1047"/>
      <c r="R64" s="1047"/>
      <c r="S64" s="1047"/>
      <c r="T64" s="1047"/>
      <c r="U64" s="1047" t="str">
        <f>人物卡!M52</f>
        <v>使用技能</v>
      </c>
      <c r="V64" s="1047"/>
      <c r="W64" s="1047"/>
      <c r="X64" s="1047"/>
      <c r="Y64" s="1047" t="str">
        <f>人物卡!Q52</f>
        <v>成功率</v>
      </c>
      <c r="Z64" s="1047"/>
      <c r="AA64" s="1047"/>
      <c r="AB64" s="1047"/>
      <c r="AC64" s="1047"/>
      <c r="AD64" s="1047"/>
      <c r="AE64" s="1047" t="str">
        <f>人物卡!W52</f>
        <v>伤害</v>
      </c>
      <c r="AF64" s="1047"/>
      <c r="AG64" s="1047"/>
      <c r="AH64" s="1047"/>
      <c r="AI64" s="1047" t="str">
        <f>人物卡!AA52</f>
        <v>基础射程</v>
      </c>
      <c r="AJ64" s="1047"/>
      <c r="AK64" s="1047" t="str">
        <f>人物卡!AC52</f>
        <v>贯穿</v>
      </c>
      <c r="AL64" s="1047"/>
      <c r="AM64" s="1047" t="str">
        <f>人物卡!AE52</f>
        <v>次数</v>
      </c>
      <c r="AN64" s="1047"/>
      <c r="AO64" s="1047" t="str">
        <f>人物卡!AG52</f>
        <v>装弹量</v>
      </c>
      <c r="AP64" s="1047"/>
      <c r="AQ64" s="1047"/>
      <c r="AR64" s="1047" t="str">
        <f>人物卡!AJ52</f>
        <v>故障值</v>
      </c>
      <c r="AS64" s="1048"/>
      <c r="AT64" s="845"/>
      <c r="AU64" s="763"/>
      <c r="AV64" s="763"/>
      <c r="AW64" s="763"/>
      <c r="AX64" s="763"/>
      <c r="AY64" s="763"/>
      <c r="AZ64" s="763"/>
      <c r="BA64" s="763"/>
      <c r="BB64" s="763"/>
    </row>
    <row r="65" spans="8:8">
      <c r="A65" s="845"/>
      <c r="B65" s="938"/>
      <c r="C65" s="938"/>
      <c r="D65" s="938"/>
      <c r="E65" s="938"/>
      <c r="F65" s="938"/>
      <c r="G65" s="938"/>
      <c r="H65" s="939"/>
      <c r="I65" s="939"/>
      <c r="J65" s="1049" t="str">
        <f>人物卡!B53</f>
        <v>无</v>
      </c>
      <c r="K65" s="1050"/>
      <c r="L65" s="1050"/>
      <c r="M65" s="1050"/>
      <c r="N65" s="1050"/>
      <c r="O65" s="1050" t="str">
        <f>人物卡!G53</f>
        <v>肉搏</v>
      </c>
      <c r="P65" s="1050"/>
      <c r="Q65" s="1050"/>
      <c r="R65" s="1050"/>
      <c r="S65" s="1050"/>
      <c r="T65" s="1050"/>
      <c r="U65" s="1050" t="str">
        <f>人物卡!M53</f>
        <v>斗殴</v>
      </c>
      <c r="V65" s="1050"/>
      <c r="W65" s="1050"/>
      <c r="X65" s="1050"/>
      <c r="Y65" s="1050">
        <f>人物卡!Q53</f>
        <v>25.0</v>
      </c>
      <c r="Z65" s="1050"/>
      <c r="AA65" s="1050">
        <f>人物卡!S53</f>
        <v>12.0</v>
      </c>
      <c r="AB65" s="1050"/>
      <c r="AC65" s="1050">
        <f>人物卡!U53</f>
        <v>5.0</v>
      </c>
      <c r="AD65" s="1050"/>
      <c r="AE65" s="1050" t="str">
        <f>人物卡!W53</f>
        <v>1D3+DB</v>
      </c>
      <c r="AF65" s="1050"/>
      <c r="AG65" s="1050"/>
      <c r="AH65" s="1050"/>
      <c r="AI65" s="1050" t="str">
        <f>人物卡!AA53</f>
        <v>——</v>
      </c>
      <c r="AJ65" s="1050"/>
      <c r="AK65" s="1050" t="str">
        <f>人物卡!AC53</f>
        <v>×</v>
      </c>
      <c r="AL65" s="1050"/>
      <c r="AM65" s="1050">
        <f>人物卡!AE53</f>
        <v>1.0</v>
      </c>
      <c r="AN65" s="1050"/>
      <c r="AO65" s="1050" t="str">
        <f>人物卡!AG53</f>
        <v>——</v>
      </c>
      <c r="AP65" s="1050"/>
      <c r="AQ65" s="1050"/>
      <c r="AR65" s="1050" t="str">
        <f>人物卡!AJ53</f>
        <v>——</v>
      </c>
      <c r="AS65" s="1051"/>
      <c r="AT65" s="845"/>
      <c r="AU65" s="763"/>
      <c r="AV65" s="763"/>
      <c r="AW65" s="763"/>
      <c r="AX65" s="763"/>
      <c r="AY65" s="763"/>
      <c r="AZ65" s="763"/>
      <c r="BA65" s="763"/>
      <c r="BB65" s="763"/>
    </row>
    <row r="66" spans="8:8">
      <c r="A66" s="845"/>
      <c r="B66" s="938"/>
      <c r="C66" s="938"/>
      <c r="D66" s="938"/>
      <c r="E66" s="938"/>
      <c r="F66" s="938"/>
      <c r="G66" s="938"/>
      <c r="H66" s="939"/>
      <c r="I66" s="939"/>
      <c r="J66" s="1052" t="str">
        <f>IF(人物卡!B54="","",人物卡!B54)</f>
        <v/>
      </c>
      <c r="K66" s="1053"/>
      <c r="L66" s="1053"/>
      <c r="M66" s="1053"/>
      <c r="N66" s="1053"/>
      <c r="O66" s="1053" t="str">
        <f>IF(人物卡!G54="","",人物卡!G54)</f>
        <v/>
      </c>
      <c r="P66" s="1053"/>
      <c r="Q66" s="1053"/>
      <c r="R66" s="1053"/>
      <c r="S66" s="1053"/>
      <c r="T66" s="1053"/>
      <c r="U66" s="1053" t="str">
        <f>IF(人物卡!M54="","",人物卡!M54)</f>
        <v>←请选择类型</v>
      </c>
      <c r="V66" s="1053"/>
      <c r="W66" s="1053"/>
      <c r="X66" s="1053"/>
      <c r="Y66" s="1053" t="str">
        <f>IF(人物卡!Q54="","",人物卡!Q54)</f>
        <v/>
      </c>
      <c r="Z66" s="1053"/>
      <c r="AA66" s="1053" t="str">
        <f>IF(人物卡!S54="","",人物卡!S54)</f>
        <v/>
      </c>
      <c r="AB66" s="1053"/>
      <c r="AC66" s="1053" t="str">
        <f>IF(人物卡!U54="","",人物卡!U54)</f>
        <v/>
      </c>
      <c r="AD66" s="1053"/>
      <c r="AE66" s="1053" t="str">
        <f>IF(人物卡!W54="","",人物卡!W54)</f>
        <v/>
      </c>
      <c r="AF66" s="1053"/>
      <c r="AG66" s="1053"/>
      <c r="AH66" s="1053"/>
      <c r="AI66" s="1053" t="str">
        <f>IF(人物卡!AA54="","",人物卡!AA54)</f>
        <v/>
      </c>
      <c r="AJ66" s="1053"/>
      <c r="AK66" s="1053" t="str">
        <f>IF(人物卡!AC54="","",人物卡!AC54)</f>
        <v/>
      </c>
      <c r="AL66" s="1053"/>
      <c r="AM66" s="1053" t="str">
        <f>IF(人物卡!AE54="","",人物卡!AE54)</f>
        <v/>
      </c>
      <c r="AN66" s="1053"/>
      <c r="AO66" s="1053" t="str">
        <f>IF(人物卡!AG54="","",人物卡!AG54)</f>
        <v/>
      </c>
      <c r="AP66" s="1053"/>
      <c r="AQ66" s="1053"/>
      <c r="AR66" s="1053" t="str">
        <f>IF(人物卡!AJ54="","",人物卡!AJ54)</f>
        <v/>
      </c>
      <c r="AS66" s="1054"/>
      <c r="AT66" s="845"/>
      <c r="AU66" s="763"/>
      <c r="AV66" s="763"/>
      <c r="AW66" s="763"/>
      <c r="AX66" s="763"/>
      <c r="AY66" s="763"/>
      <c r="AZ66" s="763"/>
      <c r="BA66" s="763"/>
      <c r="BB66" s="763"/>
    </row>
    <row r="67" spans="8:8">
      <c r="A67" s="845"/>
      <c r="B67" s="938"/>
      <c r="C67" s="938"/>
      <c r="D67" s="938"/>
      <c r="E67" s="938"/>
      <c r="F67" s="938"/>
      <c r="G67" s="938"/>
      <c r="H67" s="939"/>
      <c r="I67" s="939"/>
      <c r="J67" s="1049" t="str">
        <f>IF(人物卡!B55="","",人物卡!B55)</f>
        <v/>
      </c>
      <c r="K67" s="1050"/>
      <c r="L67" s="1050"/>
      <c r="M67" s="1050"/>
      <c r="N67" s="1050"/>
      <c r="O67" s="1050" t="str">
        <f>IF(人物卡!G55="","",人物卡!G55)</f>
        <v/>
      </c>
      <c r="P67" s="1050"/>
      <c r="Q67" s="1050"/>
      <c r="R67" s="1050"/>
      <c r="S67" s="1050"/>
      <c r="T67" s="1050"/>
      <c r="U67" s="1050" t="str">
        <f>IF(人物卡!M55="","",人物卡!M55)</f>
        <v/>
      </c>
      <c r="V67" s="1050"/>
      <c r="W67" s="1050"/>
      <c r="X67" s="1050"/>
      <c r="Y67" s="1050" t="str">
        <f>IF(人物卡!Q55="","",人物卡!Q55)</f>
        <v/>
      </c>
      <c r="Z67" s="1050"/>
      <c r="AA67" s="1050" t="str">
        <f>IF(人物卡!S55="","",人物卡!S55)</f>
        <v/>
      </c>
      <c r="AB67" s="1050"/>
      <c r="AC67" s="1050" t="str">
        <f>IF(人物卡!U55="","",人物卡!U55)</f>
        <v/>
      </c>
      <c r="AD67" s="1050"/>
      <c r="AE67" s="1050" t="str">
        <f>IF(人物卡!W55="","",人物卡!W55)</f>
        <v/>
      </c>
      <c r="AF67" s="1050"/>
      <c r="AG67" s="1050"/>
      <c r="AH67" s="1050"/>
      <c r="AI67" s="1050" t="str">
        <f>IF(人物卡!AA55="","",人物卡!AA55)</f>
        <v/>
      </c>
      <c r="AJ67" s="1050"/>
      <c r="AK67" s="1050" t="str">
        <f>IF(人物卡!AC55="","",人物卡!AC55)</f>
        <v/>
      </c>
      <c r="AL67" s="1050"/>
      <c r="AM67" s="1050" t="str">
        <f>IF(人物卡!AE55="","",人物卡!AE55)</f>
        <v/>
      </c>
      <c r="AN67" s="1050"/>
      <c r="AO67" s="1050" t="str">
        <f>IF(人物卡!AG55="","",人物卡!AG55)</f>
        <v/>
      </c>
      <c r="AP67" s="1050"/>
      <c r="AQ67" s="1050"/>
      <c r="AR67" s="1050" t="str">
        <f>IF(人物卡!AJ55="","",人物卡!AJ55)</f>
        <v/>
      </c>
      <c r="AS67" s="1051"/>
      <c r="AT67" s="845"/>
      <c r="AU67" s="763"/>
      <c r="AV67" s="763"/>
      <c r="AW67" s="763"/>
      <c r="AX67" s="763"/>
      <c r="AY67" s="763"/>
      <c r="AZ67" s="763"/>
      <c r="BA67" s="763"/>
      <c r="BB67" s="763"/>
    </row>
    <row r="68" spans="8:8">
      <c r="A68" s="845"/>
      <c r="B68" s="938"/>
      <c r="C68" s="938"/>
      <c r="D68" s="938"/>
      <c r="E68" s="938"/>
      <c r="F68" s="938"/>
      <c r="G68" s="938"/>
      <c r="H68" s="939"/>
      <c r="I68" s="939"/>
      <c r="J68" s="1052" t="str">
        <f>IF(人物卡!B56="","",人物卡!B56)</f>
        <v/>
      </c>
      <c r="K68" s="1053"/>
      <c r="L68" s="1053"/>
      <c r="M68" s="1053"/>
      <c r="N68" s="1053"/>
      <c r="O68" s="1053" t="str">
        <f>IF(人物卡!G56="","",人物卡!G56)</f>
        <v/>
      </c>
      <c r="P68" s="1053"/>
      <c r="Q68" s="1053"/>
      <c r="R68" s="1053"/>
      <c r="S68" s="1053"/>
      <c r="T68" s="1053"/>
      <c r="U68" s="1053" t="str">
        <f>IF(人物卡!M56="","",人物卡!M56)</f>
        <v/>
      </c>
      <c r="V68" s="1053"/>
      <c r="W68" s="1053"/>
      <c r="X68" s="1053"/>
      <c r="Y68" s="1053" t="str">
        <f>IF(人物卡!Q56="","",人物卡!Q56)</f>
        <v/>
      </c>
      <c r="Z68" s="1053"/>
      <c r="AA68" s="1053" t="str">
        <f>IF(人物卡!S56="","",人物卡!S56)</f>
        <v/>
      </c>
      <c r="AB68" s="1053"/>
      <c r="AC68" s="1053" t="str">
        <f>IF(人物卡!U56="","",人物卡!U56)</f>
        <v/>
      </c>
      <c r="AD68" s="1053"/>
      <c r="AE68" s="1053" t="str">
        <f>IF(人物卡!W56="","",人物卡!W56)</f>
        <v/>
      </c>
      <c r="AF68" s="1053"/>
      <c r="AG68" s="1053"/>
      <c r="AH68" s="1053"/>
      <c r="AI68" s="1053" t="str">
        <f>IF(人物卡!AA56="","",人物卡!AA56)</f>
        <v/>
      </c>
      <c r="AJ68" s="1053"/>
      <c r="AK68" s="1053" t="str">
        <f>IF(人物卡!AC56="","",人物卡!AC56)</f>
        <v/>
      </c>
      <c r="AL68" s="1053"/>
      <c r="AM68" s="1053" t="str">
        <f>IF(人物卡!AE56="","",人物卡!AE56)</f>
        <v/>
      </c>
      <c r="AN68" s="1053"/>
      <c r="AO68" s="1053" t="str">
        <f>IF(人物卡!AG56="","",人物卡!AG56)</f>
        <v/>
      </c>
      <c r="AP68" s="1053"/>
      <c r="AQ68" s="1053"/>
      <c r="AR68" s="1053" t="str">
        <f>IF(人物卡!AJ56="","",人物卡!AJ56)</f>
        <v/>
      </c>
      <c r="AS68" s="1054"/>
      <c r="AT68" s="845"/>
      <c r="AU68" s="763"/>
      <c r="AV68" s="763"/>
      <c r="AW68" s="763"/>
      <c r="AX68" s="763"/>
      <c r="AY68" s="763"/>
      <c r="AZ68" s="763"/>
      <c r="BA68" s="763"/>
      <c r="BB68" s="763"/>
    </row>
    <row r="69" spans="8:8">
      <c r="A69" s="845"/>
      <c r="B69" s="938"/>
      <c r="C69" s="938"/>
      <c r="D69" s="938"/>
      <c r="E69" s="938"/>
      <c r="F69" s="938"/>
      <c r="G69" s="938"/>
      <c r="H69" s="939"/>
      <c r="I69" s="939"/>
      <c r="J69" s="1049" t="str">
        <f>IF(人物卡!B57="","",人物卡!B57)</f>
        <v/>
      </c>
      <c r="K69" s="1050"/>
      <c r="L69" s="1050"/>
      <c r="M69" s="1050"/>
      <c r="N69" s="1050"/>
      <c r="O69" s="1050" t="str">
        <f>IF(人物卡!G57="","",人物卡!G57)</f>
        <v/>
      </c>
      <c r="P69" s="1050"/>
      <c r="Q69" s="1050"/>
      <c r="R69" s="1050"/>
      <c r="S69" s="1050"/>
      <c r="T69" s="1050"/>
      <c r="U69" s="1050" t="str">
        <f>IF(人物卡!M57="","",人物卡!M57)</f>
        <v/>
      </c>
      <c r="V69" s="1050"/>
      <c r="W69" s="1050"/>
      <c r="X69" s="1050"/>
      <c r="Y69" s="1050" t="str">
        <f>IF(人物卡!Q57="","",人物卡!Q57)</f>
        <v/>
      </c>
      <c r="Z69" s="1050"/>
      <c r="AA69" s="1050" t="str">
        <f>IF(人物卡!S57="","",人物卡!S57)</f>
        <v/>
      </c>
      <c r="AB69" s="1050"/>
      <c r="AC69" s="1050" t="str">
        <f>IF(人物卡!U57="","",人物卡!U57)</f>
        <v/>
      </c>
      <c r="AD69" s="1050"/>
      <c r="AE69" s="1050" t="str">
        <f>IF(人物卡!W57="","",人物卡!W57)</f>
        <v/>
      </c>
      <c r="AF69" s="1050"/>
      <c r="AG69" s="1050"/>
      <c r="AH69" s="1050"/>
      <c r="AI69" s="1050" t="str">
        <f>IF(人物卡!AA57="","",人物卡!AA57)</f>
        <v/>
      </c>
      <c r="AJ69" s="1050"/>
      <c r="AK69" s="1050" t="str">
        <f>IF(人物卡!AC57="","",人物卡!AC57)</f>
        <v/>
      </c>
      <c r="AL69" s="1050"/>
      <c r="AM69" s="1050" t="str">
        <f>IF(人物卡!AE57="","",人物卡!AE57)</f>
        <v/>
      </c>
      <c r="AN69" s="1050"/>
      <c r="AO69" s="1050" t="str">
        <f>IF(人物卡!AG57="","",人物卡!AG57)</f>
        <v/>
      </c>
      <c r="AP69" s="1050"/>
      <c r="AQ69" s="1050"/>
      <c r="AR69" s="1050" t="str">
        <f>IF(人物卡!AJ57="","",人物卡!AJ57)</f>
        <v/>
      </c>
      <c r="AS69" s="1051"/>
    </row>
    <row r="70" spans="8:8">
      <c r="A70" s="845"/>
      <c r="B70" s="1055"/>
      <c r="C70" s="1055"/>
      <c r="D70" s="1055"/>
      <c r="E70" s="1055"/>
      <c r="F70" s="1055"/>
      <c r="G70" s="1055"/>
      <c r="H70" s="1056"/>
      <c r="I70" s="1056"/>
      <c r="J70" s="1057" t="str">
        <f>IF(人物卡!B58="","",人物卡!B58)</f>
        <v/>
      </c>
      <c r="K70" s="1058"/>
      <c r="L70" s="1058"/>
      <c r="M70" s="1058"/>
      <c r="N70" s="1058"/>
      <c r="O70" s="1058" t="str">
        <f>IF(人物卡!G58="","",人物卡!G58)</f>
        <v/>
      </c>
      <c r="P70" s="1058"/>
      <c r="Q70" s="1058"/>
      <c r="R70" s="1058"/>
      <c r="S70" s="1058"/>
      <c r="T70" s="1058"/>
      <c r="U70" s="1058" t="str">
        <f>IF(人物卡!M58="","",人物卡!M58)</f>
        <v/>
      </c>
      <c r="V70" s="1058"/>
      <c r="W70" s="1058"/>
      <c r="X70" s="1058"/>
      <c r="Y70" s="1058" t="str">
        <f>IF(人物卡!Q58="","",人物卡!Q58)</f>
        <v/>
      </c>
      <c r="Z70" s="1058"/>
      <c r="AA70" s="1058" t="str">
        <f>IF(人物卡!S58="","",人物卡!S58)</f>
        <v/>
      </c>
      <c r="AB70" s="1058"/>
      <c r="AC70" s="1058" t="str">
        <f>IF(人物卡!U58="","",人物卡!U58)</f>
        <v/>
      </c>
      <c r="AD70" s="1058"/>
      <c r="AE70" s="1058" t="str">
        <f>IF(人物卡!W58="","",人物卡!W58)</f>
        <v/>
      </c>
      <c r="AF70" s="1058"/>
      <c r="AG70" s="1058"/>
      <c r="AH70" s="1058"/>
      <c r="AI70" s="1058" t="str">
        <f>IF(人物卡!AA58="","",人物卡!AA58)</f>
        <v/>
      </c>
      <c r="AJ70" s="1058"/>
      <c r="AK70" s="1058" t="str">
        <f>IF(人物卡!AC58="","",人物卡!AC58)</f>
        <v/>
      </c>
      <c r="AL70" s="1058"/>
      <c r="AM70" s="1058" t="str">
        <f>IF(人物卡!AE58="","",人物卡!AE58)</f>
        <v/>
      </c>
      <c r="AN70" s="1058"/>
      <c r="AO70" s="1058" t="str">
        <f>IF(人物卡!AG58="","",人物卡!AG58)</f>
        <v/>
      </c>
      <c r="AP70" s="1058"/>
      <c r="AQ70" s="1058"/>
      <c r="AR70" s="1058" t="str">
        <f>IF(人物卡!AJ58="","",人物卡!AJ58)</f>
        <v/>
      </c>
      <c r="AS70" s="1059"/>
    </row>
    <row r="71" spans="8:8">
      <c r="A71" s="845"/>
    </row>
    <row r="72" spans="8:8">
      <c r="A72" s="845"/>
      <c r="B72" s="1060" t="str">
        <f>人物卡!$B$14</f>
        <v>技能表</v>
      </c>
      <c r="C72" s="1060"/>
      <c r="D72" s="1060"/>
      <c r="E72" s="1060"/>
      <c r="F72" s="1060"/>
      <c r="G72" s="1060"/>
      <c r="H72" s="1060"/>
      <c r="I72" s="1060"/>
      <c r="J72" s="1060"/>
      <c r="K72" s="1060"/>
      <c r="L72" s="1060"/>
      <c r="M72" s="1060"/>
      <c r="N72" s="1060"/>
      <c r="O72" s="1060"/>
      <c r="P72" s="1060"/>
      <c r="Q72" s="1060"/>
      <c r="R72" s="1060"/>
      <c r="S72" s="1060"/>
      <c r="T72" s="1060"/>
      <c r="U72" s="1060"/>
      <c r="V72" s="1060"/>
      <c r="W72" s="1060"/>
      <c r="X72" s="1060"/>
      <c r="Y72" s="1060"/>
      <c r="Z72" s="1060"/>
      <c r="AA72" s="1060"/>
      <c r="AB72" s="1060"/>
      <c r="AC72" s="1060"/>
      <c r="AD72" s="1060"/>
      <c r="AE72" s="1060"/>
      <c r="AF72" s="1060"/>
      <c r="AG72" s="1060"/>
      <c r="AH72" s="1060"/>
      <c r="AI72" s="1060"/>
      <c r="AJ72" s="1060"/>
      <c r="AK72" s="1060"/>
      <c r="AM72" s="1061" t="s">
        <v>6238</v>
      </c>
      <c r="AN72" s="1062"/>
      <c r="AO72" s="1062"/>
      <c r="AP72" s="1062"/>
      <c r="AQ72" s="1062"/>
      <c r="AR72" s="1062"/>
      <c r="AS72" s="1062"/>
      <c r="AT72" s="1062"/>
      <c r="AU72" s="1062"/>
      <c r="AV72" s="1062"/>
      <c r="AW72" s="1062"/>
      <c r="AX72" s="1062"/>
      <c r="AY72" s="1062"/>
      <c r="AZ72" s="1062"/>
      <c r="BA72" s="1062"/>
      <c r="BB72" s="1062"/>
      <c r="BC72" s="1062"/>
    </row>
    <row r="73" spans="8:8">
      <c r="A73" s="845"/>
      <c r="B73" s="1063"/>
      <c r="C73" s="1064" t="s">
        <v>50</v>
      </c>
      <c r="D73" s="1064"/>
      <c r="E73" s="1064" t="s">
        <v>51</v>
      </c>
      <c r="F73" s="1064"/>
      <c r="G73" s="1064"/>
      <c r="H73" s="1064"/>
      <c r="I73" s="1064" t="s">
        <v>52</v>
      </c>
      <c r="J73" s="1064"/>
      <c r="K73" s="1064" t="s">
        <v>53</v>
      </c>
      <c r="L73" s="1064"/>
      <c r="M73" s="1064" t="s">
        <v>12</v>
      </c>
      <c r="N73" s="1064"/>
      <c r="O73" s="1064" t="s">
        <v>54</v>
      </c>
      <c r="P73" s="1064"/>
      <c r="Q73" s="1064" t="s">
        <v>160</v>
      </c>
      <c r="R73" s="1064"/>
      <c r="S73" s="1065"/>
      <c r="T73" s="1066"/>
      <c r="U73" s="1064" t="s">
        <v>50</v>
      </c>
      <c r="V73" s="1064"/>
      <c r="W73" s="1064" t="s">
        <v>51</v>
      </c>
      <c r="X73" s="1064"/>
      <c r="Y73" s="1064"/>
      <c r="Z73" s="1064"/>
      <c r="AA73" s="1064" t="s">
        <v>52</v>
      </c>
      <c r="AB73" s="1064"/>
      <c r="AC73" s="1064" t="s">
        <v>53</v>
      </c>
      <c r="AD73" s="1064"/>
      <c r="AE73" s="1064" t="s">
        <v>12</v>
      </c>
      <c r="AF73" s="1064"/>
      <c r="AG73" s="1064" t="s">
        <v>54</v>
      </c>
      <c r="AH73" s="1064"/>
      <c r="AI73" s="1064" t="s">
        <v>160</v>
      </c>
      <c r="AJ73" s="1064"/>
      <c r="AK73" s="1065"/>
      <c r="AM73" s="1062"/>
      <c r="AN73" s="1062"/>
      <c r="AO73" s="1062"/>
      <c r="AP73" s="1062"/>
      <c r="AQ73" s="1062"/>
      <c r="AR73" s="1062"/>
      <c r="AS73" s="1062"/>
      <c r="AT73" s="1062"/>
      <c r="AU73" s="1062"/>
      <c r="AV73" s="1062"/>
      <c r="AW73" s="1062"/>
      <c r="AX73" s="1062"/>
      <c r="AY73" s="1062"/>
      <c r="AZ73" s="1062"/>
      <c r="BA73" s="1062"/>
      <c r="BB73" s="1062"/>
      <c r="BC73" s="1062"/>
    </row>
    <row r="74" spans="8:8">
      <c r="A74" s="845"/>
      <c r="B74" s="1067" t="str">
        <f>人物卡!A16</f>
        <v>📒</v>
      </c>
      <c r="C74" s="1068">
        <f>人物卡!D16</f>
        <v>0.0</v>
      </c>
      <c r="D74" s="1068"/>
      <c r="E74" s="1068" t="str">
        <f>人物卡!F16</f>
        <v>会计</v>
      </c>
      <c r="F74" s="1068"/>
      <c r="G74" s="1068"/>
      <c r="H74" s="1068"/>
      <c r="I74" s="1069">
        <f>人物卡!J16</f>
        <v>5.0</v>
      </c>
      <c r="J74" s="1069"/>
      <c r="K74" s="1070">
        <f>人物卡!L16</f>
        <v>0.0</v>
      </c>
      <c r="L74" s="1070"/>
      <c r="M74" s="1071">
        <f>人物卡!N16</f>
        <v>0.0</v>
      </c>
      <c r="N74" s="1071"/>
      <c r="O74" s="1072">
        <f>人物卡!P16</f>
        <v>0.0</v>
      </c>
      <c r="P74" s="1072"/>
      <c r="Q74" s="1073">
        <f>人物卡!R16</f>
        <v>5.0</v>
      </c>
      <c r="R74" s="1073"/>
      <c r="S74" s="1074"/>
      <c r="T74" s="1075" t="str">
        <f>人物卡!AT16</f>
        <v>⚖️</v>
      </c>
      <c r="U74" s="1068">
        <f>人物卡!Z16</f>
        <v>0.0</v>
      </c>
      <c r="V74" s="1068"/>
      <c r="W74" s="1068" t="str">
        <f>人物卡!AB16</f>
        <v>法律</v>
      </c>
      <c r="X74" s="1068"/>
      <c r="Y74" s="1068"/>
      <c r="Z74" s="1068"/>
      <c r="AA74" s="1069">
        <f>人物卡!AF16</f>
        <v>5.0</v>
      </c>
      <c r="AB74" s="1069"/>
      <c r="AC74" s="1070">
        <f>人物卡!AH16</f>
        <v>0.0</v>
      </c>
      <c r="AD74" s="1070"/>
      <c r="AE74" s="1071">
        <f>人物卡!AJ16</f>
        <v>0.0</v>
      </c>
      <c r="AF74" s="1071"/>
      <c r="AG74" s="1072">
        <f>人物卡!AL16</f>
        <v>0.0</v>
      </c>
      <c r="AH74" s="1072"/>
      <c r="AI74" s="1073">
        <f>人物卡!AN16</f>
        <v>5.0</v>
      </c>
      <c r="AJ74" s="1073"/>
      <c r="AK74" s="1074"/>
      <c r="AM74" s="1062"/>
      <c r="AN74" s="1062"/>
      <c r="AO74" s="1062"/>
      <c r="AP74" s="1062"/>
      <c r="AQ74" s="1062"/>
      <c r="AR74" s="1062"/>
      <c r="AS74" s="1062"/>
      <c r="AT74" s="1062"/>
      <c r="AU74" s="1062"/>
      <c r="AV74" s="1062"/>
      <c r="AW74" s="1062"/>
      <c r="AX74" s="1062"/>
      <c r="AY74" s="1062"/>
      <c r="AZ74" s="1062"/>
      <c r="BA74" s="1062"/>
      <c r="BB74" s="1062"/>
      <c r="BC74" s="1062"/>
    </row>
    <row r="75" spans="8:8">
      <c r="A75" s="845"/>
      <c r="B75" s="1076" t="str">
        <f>人物卡!A17</f>
        <v>👨🏿‍🦲</v>
      </c>
      <c r="C75" s="1077">
        <f>人物卡!D17</f>
        <v>0.0</v>
      </c>
      <c r="D75" s="1077"/>
      <c r="E75" s="1077" t="str">
        <f>人物卡!F17</f>
        <v>人类学</v>
      </c>
      <c r="F75" s="1077"/>
      <c r="G75" s="1077"/>
      <c r="H75" s="1077"/>
      <c r="I75" s="1078">
        <f>人物卡!J17</f>
        <v>1.0</v>
      </c>
      <c r="J75" s="1078"/>
      <c r="K75" s="1079">
        <f>人物卡!L17</f>
        <v>0.0</v>
      </c>
      <c r="L75" s="1079"/>
      <c r="M75" s="1080">
        <f>人物卡!N17</f>
        <v>0.0</v>
      </c>
      <c r="N75" s="1080"/>
      <c r="O75" s="1081">
        <f>人物卡!P17</f>
        <v>0.0</v>
      </c>
      <c r="P75" s="1081"/>
      <c r="Q75" s="1082">
        <f>人物卡!R17</f>
        <v>1.0</v>
      </c>
      <c r="R75" s="1082"/>
      <c r="S75" s="1083"/>
      <c r="T75" s="1084" t="str">
        <f>人物卡!AT17</f>
        <v>📚</v>
      </c>
      <c r="U75" s="1077">
        <f>人物卡!Z17</f>
        <v>0.0</v>
      </c>
      <c r="V75" s="1077"/>
      <c r="W75" s="1077" t="str">
        <f>人物卡!AB17</f>
        <v>图书馆使用</v>
      </c>
      <c r="X75" s="1077"/>
      <c r="Y75" s="1077"/>
      <c r="Z75" s="1077"/>
      <c r="AA75" s="1078">
        <f>人物卡!AF17</f>
        <v>20.0</v>
      </c>
      <c r="AB75" s="1078"/>
      <c r="AC75" s="1079">
        <f>人物卡!AH17</f>
        <v>0.0</v>
      </c>
      <c r="AD75" s="1079"/>
      <c r="AE75" s="1080">
        <f>人物卡!AJ17</f>
        <v>0.0</v>
      </c>
      <c r="AF75" s="1080"/>
      <c r="AG75" s="1081">
        <f>人物卡!AL17</f>
        <v>0.0</v>
      </c>
      <c r="AH75" s="1081"/>
      <c r="AI75" s="1082">
        <f>人物卡!AN17</f>
        <v>20.0</v>
      </c>
      <c r="AJ75" s="1082"/>
      <c r="AK75" s="1083"/>
      <c r="AM75" s="1062"/>
      <c r="AN75" s="1062"/>
      <c r="AO75" s="1062"/>
      <c r="AP75" s="1062"/>
      <c r="AQ75" s="1062"/>
      <c r="AR75" s="1062"/>
      <c r="AS75" s="1062"/>
      <c r="AT75" s="1062"/>
      <c r="AU75" s="1062"/>
      <c r="AV75" s="1062"/>
      <c r="AW75" s="1062"/>
      <c r="AX75" s="1062"/>
      <c r="AY75" s="1062"/>
      <c r="AZ75" s="1062"/>
      <c r="BA75" s="1062"/>
      <c r="BB75" s="1062"/>
      <c r="BC75" s="1062"/>
    </row>
    <row r="76" spans="8:8">
      <c r="A76" s="845"/>
      <c r="B76" s="1067" t="str">
        <f>人物卡!A18</f>
        <v>💵</v>
      </c>
      <c r="C76" s="1068">
        <f>人物卡!D18</f>
        <v>0.0</v>
      </c>
      <c r="D76" s="1068"/>
      <c r="E76" s="1068" t="str">
        <f>人物卡!F18</f>
        <v>估价</v>
      </c>
      <c r="F76" s="1068"/>
      <c r="G76" s="1068"/>
      <c r="H76" s="1068"/>
      <c r="I76" s="1069">
        <f>人物卡!J18</f>
        <v>5.0</v>
      </c>
      <c r="J76" s="1069"/>
      <c r="K76" s="1070">
        <f>人物卡!L18</f>
        <v>0.0</v>
      </c>
      <c r="L76" s="1070"/>
      <c r="M76" s="1071">
        <f>人物卡!N18</f>
        <v>0.0</v>
      </c>
      <c r="N76" s="1071"/>
      <c r="O76" s="1072">
        <f>人物卡!P18</f>
        <v>0.0</v>
      </c>
      <c r="P76" s="1072"/>
      <c r="Q76" s="1073">
        <f>人物卡!R18</f>
        <v>5.0</v>
      </c>
      <c r="R76" s="1073"/>
      <c r="S76" s="1074"/>
      <c r="T76" s="1075" t="str">
        <f>人物卡!AT18</f>
        <v>👂</v>
      </c>
      <c r="U76" s="1068">
        <f>人物卡!Z18</f>
        <v>0.0</v>
      </c>
      <c r="V76" s="1068"/>
      <c r="W76" s="1068" t="str">
        <f>人物卡!AB18</f>
        <v>聆听</v>
      </c>
      <c r="X76" s="1068"/>
      <c r="Y76" s="1068"/>
      <c r="Z76" s="1068"/>
      <c r="AA76" s="1069">
        <f>人物卡!AF18</f>
        <v>20.0</v>
      </c>
      <c r="AB76" s="1069"/>
      <c r="AC76" s="1070">
        <f>人物卡!AH18</f>
        <v>0.0</v>
      </c>
      <c r="AD76" s="1070"/>
      <c r="AE76" s="1071">
        <f>人物卡!AJ18</f>
        <v>0.0</v>
      </c>
      <c r="AF76" s="1071"/>
      <c r="AG76" s="1072">
        <f>人物卡!AL18</f>
        <v>0.0</v>
      </c>
      <c r="AH76" s="1072"/>
      <c r="AI76" s="1073">
        <f>人物卡!AN18</f>
        <v>20.0</v>
      </c>
      <c r="AJ76" s="1073"/>
      <c r="AK76" s="1074"/>
      <c r="AM76" s="1062"/>
      <c r="AN76" s="1062"/>
      <c r="AO76" s="1062"/>
      <c r="AP76" s="1062"/>
      <c r="AQ76" s="1062"/>
      <c r="AR76" s="1062"/>
      <c r="AS76" s="1062"/>
      <c r="AT76" s="1062"/>
      <c r="AU76" s="1062"/>
      <c r="AV76" s="1062"/>
      <c r="AW76" s="1062"/>
      <c r="AX76" s="1062"/>
      <c r="AY76" s="1062"/>
      <c r="AZ76" s="1062"/>
      <c r="BA76" s="1062"/>
      <c r="BB76" s="1062"/>
      <c r="BC76" s="1062"/>
    </row>
    <row r="77" spans="8:8">
      <c r="A77" s="845"/>
      <c r="B77" s="1076" t="str">
        <f>人物卡!A19</f>
        <v>🗿</v>
      </c>
      <c r="C77" s="1077">
        <f>人物卡!D19</f>
        <v>0.0</v>
      </c>
      <c r="D77" s="1077"/>
      <c r="E77" s="1077" t="str">
        <f>人物卡!F19</f>
        <v>考古学</v>
      </c>
      <c r="F77" s="1077"/>
      <c r="G77" s="1077"/>
      <c r="H77" s="1077"/>
      <c r="I77" s="1078">
        <f>人物卡!J19</f>
        <v>1.0</v>
      </c>
      <c r="J77" s="1078"/>
      <c r="K77" s="1079">
        <f>人物卡!L19</f>
        <v>0.0</v>
      </c>
      <c r="L77" s="1079"/>
      <c r="M77" s="1080">
        <f>人物卡!N19</f>
        <v>0.0</v>
      </c>
      <c r="N77" s="1080"/>
      <c r="O77" s="1081">
        <f>人物卡!P19</f>
        <v>0.0</v>
      </c>
      <c r="P77" s="1081"/>
      <c r="Q77" s="1082">
        <f>人物卡!R19</f>
        <v>1.0</v>
      </c>
      <c r="R77" s="1082"/>
      <c r="S77" s="1083"/>
      <c r="T77" s="1084" t="str">
        <f>人物卡!AT19</f>
        <v>🔒</v>
      </c>
      <c r="U77" s="1077">
        <f>人物卡!Z19</f>
        <v>0.0</v>
      </c>
      <c r="V77" s="1077"/>
      <c r="W77" s="1077" t="str">
        <f>人物卡!AB19</f>
        <v>锁匠</v>
      </c>
      <c r="X77" s="1077"/>
      <c r="Y77" s="1077"/>
      <c r="Z77" s="1077"/>
      <c r="AA77" s="1078">
        <f>人物卡!AF19</f>
        <v>1.0</v>
      </c>
      <c r="AB77" s="1078"/>
      <c r="AC77" s="1079">
        <f>人物卡!AH19</f>
        <v>0.0</v>
      </c>
      <c r="AD77" s="1079"/>
      <c r="AE77" s="1080">
        <f>人物卡!AJ19</f>
        <v>0.0</v>
      </c>
      <c r="AF77" s="1080"/>
      <c r="AG77" s="1081">
        <f>人物卡!AL19</f>
        <v>0.0</v>
      </c>
      <c r="AH77" s="1081"/>
      <c r="AI77" s="1082">
        <f>人物卡!AN19</f>
        <v>1.0</v>
      </c>
      <c r="AJ77" s="1082"/>
      <c r="AK77" s="1083"/>
      <c r="AM77" s="1062"/>
      <c r="AN77" s="1062"/>
      <c r="AO77" s="1062"/>
      <c r="AP77" s="1062"/>
      <c r="AQ77" s="1062"/>
      <c r="AR77" s="1062"/>
      <c r="AS77" s="1062"/>
      <c r="AT77" s="1062"/>
      <c r="AU77" s="1062"/>
      <c r="AV77" s="1062"/>
      <c r="AW77" s="1062"/>
      <c r="AX77" s="1062"/>
      <c r="AY77" s="1062"/>
      <c r="AZ77" s="1062"/>
      <c r="BA77" s="1062"/>
      <c r="BB77" s="1062"/>
      <c r="BC77" s="1062"/>
    </row>
    <row r="78" spans="8:8">
      <c r="A78" s="845"/>
      <c r="B78" s="1067" t="str">
        <f>人物卡!A20</f>
        <v>🔅</v>
      </c>
      <c r="C78" s="1068">
        <f>人物卡!D20</f>
        <v>0.0</v>
      </c>
      <c r="D78" s="1068"/>
      <c r="E78" s="1068" t="str">
        <f>人物卡!F20</f>
        <v>技艺①</v>
      </c>
      <c r="F78" s="1068"/>
      <c r="G78" s="1068"/>
      <c r="H78" s="1068"/>
      <c r="I78" s="1069">
        <f>人物卡!J20</f>
        <v>5.0</v>
      </c>
      <c r="J78" s="1069"/>
      <c r="K78" s="1070">
        <f>人物卡!L20</f>
        <v>0.0</v>
      </c>
      <c r="L78" s="1070"/>
      <c r="M78" s="1071">
        <f>人物卡!N20</f>
        <v>0.0</v>
      </c>
      <c r="N78" s="1071"/>
      <c r="O78" s="1072">
        <f>人物卡!P20</f>
        <v>0.0</v>
      </c>
      <c r="P78" s="1072"/>
      <c r="Q78" s="1073">
        <f>人物卡!R20</f>
        <v>5.0</v>
      </c>
      <c r="R78" s="1073"/>
      <c r="S78" s="1074"/>
      <c r="T78" s="1075" t="str">
        <f>人物卡!AT20</f>
        <v>🛠️</v>
      </c>
      <c r="U78" s="1068">
        <f>人物卡!Z20</f>
        <v>0.0</v>
      </c>
      <c r="V78" s="1068"/>
      <c r="W78" s="1068" t="str">
        <f>人物卡!AB20</f>
        <v>机械维修</v>
      </c>
      <c r="X78" s="1068"/>
      <c r="Y78" s="1068"/>
      <c r="Z78" s="1068"/>
      <c r="AA78" s="1069">
        <f>人物卡!AF20</f>
        <v>10.0</v>
      </c>
      <c r="AB78" s="1069"/>
      <c r="AC78" s="1070">
        <f>人物卡!AH20</f>
        <v>0.0</v>
      </c>
      <c r="AD78" s="1070"/>
      <c r="AE78" s="1071">
        <f>人物卡!AJ20</f>
        <v>0.0</v>
      </c>
      <c r="AF78" s="1071"/>
      <c r="AG78" s="1072">
        <f>人物卡!AL20</f>
        <v>0.0</v>
      </c>
      <c r="AH78" s="1072"/>
      <c r="AI78" s="1073">
        <f>人物卡!AN20</f>
        <v>10.0</v>
      </c>
      <c r="AJ78" s="1073"/>
      <c r="AK78" s="1074"/>
      <c r="AM78" s="1062"/>
      <c r="AN78" s="1062"/>
      <c r="AO78" s="1062"/>
      <c r="AP78" s="1062"/>
      <c r="AQ78" s="1062"/>
      <c r="AR78" s="1062"/>
      <c r="AS78" s="1062"/>
      <c r="AT78" s="1062"/>
      <c r="AU78" s="1062"/>
      <c r="AV78" s="1062"/>
      <c r="AW78" s="1062"/>
      <c r="AX78" s="1062"/>
      <c r="AY78" s="1062"/>
      <c r="AZ78" s="1062"/>
      <c r="BA78" s="1062"/>
      <c r="BB78" s="1062"/>
      <c r="BC78" s="1062"/>
    </row>
    <row r="79" spans="8:8">
      <c r="A79" s="845"/>
      <c r="B79" s="1076" t="str">
        <f>人物卡!A21</f>
        <v>🔅</v>
      </c>
      <c r="C79" s="1077">
        <f>人物卡!D21</f>
        <v>0.0</v>
      </c>
      <c r="D79" s="1077"/>
      <c r="E79" s="1077" t="str">
        <f>人物卡!F21</f>
        <v>技艺②</v>
      </c>
      <c r="F79" s="1077"/>
      <c r="G79" s="1077"/>
      <c r="H79" s="1077"/>
      <c r="I79" s="1078">
        <f>人物卡!J21</f>
        <v>5.0</v>
      </c>
      <c r="J79" s="1078"/>
      <c r="K79" s="1079">
        <f>人物卡!L21</f>
        <v>0.0</v>
      </c>
      <c r="L79" s="1079"/>
      <c r="M79" s="1080">
        <f>人物卡!N21</f>
        <v>0.0</v>
      </c>
      <c r="N79" s="1080"/>
      <c r="O79" s="1081">
        <f>人物卡!P21</f>
        <v>0.0</v>
      </c>
      <c r="P79" s="1081"/>
      <c r="Q79" s="1082">
        <f>人物卡!R21</f>
        <v>5.0</v>
      </c>
      <c r="R79" s="1082"/>
      <c r="S79" s="1083"/>
      <c r="T79" s="1084" t="str">
        <f>人物卡!AT21</f>
        <v>💊</v>
      </c>
      <c r="U79" s="1077">
        <f>人物卡!Z21</f>
        <v>0.0</v>
      </c>
      <c r="V79" s="1077"/>
      <c r="W79" s="1077" t="str">
        <f>人物卡!AB21</f>
        <v>医学</v>
      </c>
      <c r="X79" s="1077"/>
      <c r="Y79" s="1077"/>
      <c r="Z79" s="1077"/>
      <c r="AA79" s="1078">
        <f>人物卡!AF21</f>
        <v>1.0</v>
      </c>
      <c r="AB79" s="1078"/>
      <c r="AC79" s="1079">
        <f>人物卡!AH21</f>
        <v>0.0</v>
      </c>
      <c r="AD79" s="1079"/>
      <c r="AE79" s="1080">
        <f>人物卡!AJ21</f>
        <v>0.0</v>
      </c>
      <c r="AF79" s="1080"/>
      <c r="AG79" s="1081">
        <f>人物卡!AL21</f>
        <v>0.0</v>
      </c>
      <c r="AH79" s="1081"/>
      <c r="AI79" s="1082">
        <f>人物卡!AN21</f>
        <v>1.0</v>
      </c>
      <c r="AJ79" s="1082"/>
      <c r="AK79" s="1083"/>
      <c r="AM79" s="1062"/>
      <c r="AN79" s="1062"/>
      <c r="AO79" s="1062"/>
      <c r="AP79" s="1062"/>
      <c r="AQ79" s="1062"/>
      <c r="AR79" s="1062"/>
      <c r="AS79" s="1062"/>
      <c r="AT79" s="1062"/>
      <c r="AU79" s="1062"/>
      <c r="AV79" s="1062"/>
      <c r="AW79" s="1062"/>
      <c r="AX79" s="1062"/>
      <c r="AY79" s="1062"/>
      <c r="AZ79" s="1062"/>
      <c r="BA79" s="1062"/>
      <c r="BB79" s="1062"/>
      <c r="BC79" s="1062"/>
    </row>
    <row r="80" spans="8:8">
      <c r="A80" s="845"/>
      <c r="B80" s="1067" t="str">
        <f>人物卡!A22</f>
        <v>🔅</v>
      </c>
      <c r="C80" s="1068">
        <f>人物卡!D22</f>
        <v>0.0</v>
      </c>
      <c r="D80" s="1068"/>
      <c r="E80" s="1068" t="str">
        <f>人物卡!F22</f>
        <v>技艺③</v>
      </c>
      <c r="F80" s="1068"/>
      <c r="G80" s="1068"/>
      <c r="H80" s="1068"/>
      <c r="I80" s="1069">
        <f>人物卡!J22</f>
        <v>5.0</v>
      </c>
      <c r="J80" s="1069"/>
      <c r="K80" s="1070">
        <f>人物卡!L22</f>
        <v>0.0</v>
      </c>
      <c r="L80" s="1070"/>
      <c r="M80" s="1071">
        <f>人物卡!N22</f>
        <v>0.0</v>
      </c>
      <c r="N80" s="1071"/>
      <c r="O80" s="1072">
        <f>人物卡!P22</f>
        <v>0.0</v>
      </c>
      <c r="P80" s="1072"/>
      <c r="Q80" s="1073">
        <f>人物卡!R22</f>
        <v>5.0</v>
      </c>
      <c r="R80" s="1073"/>
      <c r="S80" s="1074"/>
      <c r="T80" s="1075" t="str">
        <f>人物卡!AT22</f>
        <v>🔬</v>
      </c>
      <c r="U80" s="1068">
        <f>人物卡!Z22</f>
        <v>0.0</v>
      </c>
      <c r="V80" s="1068"/>
      <c r="W80" s="1068" t="str">
        <f>人物卡!AB22</f>
        <v>博物学</v>
      </c>
      <c r="X80" s="1068"/>
      <c r="Y80" s="1068"/>
      <c r="Z80" s="1068"/>
      <c r="AA80" s="1069">
        <f>人物卡!AF22</f>
        <v>10.0</v>
      </c>
      <c r="AB80" s="1069"/>
      <c r="AC80" s="1070">
        <f>人物卡!AH22</f>
        <v>0.0</v>
      </c>
      <c r="AD80" s="1070"/>
      <c r="AE80" s="1071">
        <f>人物卡!AJ22</f>
        <v>0.0</v>
      </c>
      <c r="AF80" s="1071"/>
      <c r="AG80" s="1072">
        <f>人物卡!AL22</f>
        <v>0.0</v>
      </c>
      <c r="AH80" s="1072"/>
      <c r="AI80" s="1073">
        <f>人物卡!AN22</f>
        <v>10.0</v>
      </c>
      <c r="AJ80" s="1073"/>
      <c r="AK80" s="1074"/>
      <c r="AM80" s="1062"/>
      <c r="AN80" s="1062"/>
      <c r="AO80" s="1062"/>
      <c r="AP80" s="1062"/>
      <c r="AQ80" s="1062"/>
      <c r="AR80" s="1062"/>
      <c r="AS80" s="1062"/>
      <c r="AT80" s="1062"/>
      <c r="AU80" s="1062"/>
      <c r="AV80" s="1062"/>
      <c r="AW80" s="1062"/>
      <c r="AX80" s="1062"/>
      <c r="AY80" s="1062"/>
      <c r="AZ80" s="1062"/>
      <c r="BA80" s="1062"/>
      <c r="BB80" s="1062"/>
      <c r="BC80" s="1062"/>
    </row>
    <row r="81" spans="8:8">
      <c r="A81" s="845"/>
      <c r="B81" s="1076" t="str">
        <f>人物卡!A23</f>
        <v>😍</v>
      </c>
      <c r="C81" s="1077">
        <f>人物卡!D23</f>
        <v>0.0</v>
      </c>
      <c r="D81" s="1077"/>
      <c r="E81" s="1077" t="str">
        <f>人物卡!F23</f>
        <v>取悦</v>
      </c>
      <c r="F81" s="1077"/>
      <c r="G81" s="1077"/>
      <c r="H81" s="1077"/>
      <c r="I81" s="1078">
        <f>人物卡!J23</f>
        <v>15.0</v>
      </c>
      <c r="J81" s="1078"/>
      <c r="K81" s="1079">
        <f>人物卡!L23</f>
        <v>0.0</v>
      </c>
      <c r="L81" s="1079"/>
      <c r="M81" s="1080">
        <f>人物卡!N23</f>
        <v>0.0</v>
      </c>
      <c r="N81" s="1080"/>
      <c r="O81" s="1081">
        <f>人物卡!P23</f>
        <v>0.0</v>
      </c>
      <c r="P81" s="1081"/>
      <c r="Q81" s="1082">
        <f>人物卡!R23</f>
        <v>15.0</v>
      </c>
      <c r="R81" s="1082"/>
      <c r="S81" s="1083"/>
      <c r="T81" s="1084" t="str">
        <f>人物卡!AT23</f>
        <v>🧭</v>
      </c>
      <c r="U81" s="1077">
        <f>人物卡!Z23</f>
        <v>0.0</v>
      </c>
      <c r="V81" s="1077"/>
      <c r="W81" s="1077" t="str">
        <f>人物卡!AB23</f>
        <v>导航</v>
      </c>
      <c r="X81" s="1077"/>
      <c r="Y81" s="1077"/>
      <c r="Z81" s="1077"/>
      <c r="AA81" s="1078">
        <f>人物卡!AF23</f>
        <v>10.0</v>
      </c>
      <c r="AB81" s="1078"/>
      <c r="AC81" s="1079">
        <f>人物卡!AH23</f>
        <v>0.0</v>
      </c>
      <c r="AD81" s="1079"/>
      <c r="AE81" s="1080">
        <f>人物卡!AJ23</f>
        <v>0.0</v>
      </c>
      <c r="AF81" s="1080"/>
      <c r="AG81" s="1081">
        <f>人物卡!AL23</f>
        <v>0.0</v>
      </c>
      <c r="AH81" s="1081"/>
      <c r="AI81" s="1082">
        <f>人物卡!AN23</f>
        <v>10.0</v>
      </c>
      <c r="AJ81" s="1082"/>
      <c r="AK81" s="1083"/>
      <c r="AM81" s="1062"/>
      <c r="AN81" s="1062"/>
      <c r="AO81" s="1062"/>
      <c r="AP81" s="1062"/>
      <c r="AQ81" s="1062"/>
      <c r="AR81" s="1062"/>
      <c r="AS81" s="1062"/>
      <c r="AT81" s="1062"/>
      <c r="AU81" s="1062"/>
      <c r="AV81" s="1062"/>
      <c r="AW81" s="1062"/>
      <c r="AX81" s="1062"/>
      <c r="AY81" s="1062"/>
      <c r="AZ81" s="1062"/>
      <c r="BA81" s="1062"/>
      <c r="BB81" s="1062"/>
      <c r="BC81" s="1062"/>
    </row>
    <row r="82" spans="8:8">
      <c r="A82" s="845"/>
      <c r="B82" s="1067" t="str">
        <f>人物卡!A24</f>
        <v>🧗‍♂️</v>
      </c>
      <c r="C82" s="1068">
        <f>人物卡!D24</f>
        <v>0.0</v>
      </c>
      <c r="D82" s="1068"/>
      <c r="E82" s="1068" t="str">
        <f>人物卡!F24</f>
        <v>攀爬</v>
      </c>
      <c r="F82" s="1068"/>
      <c r="G82" s="1068"/>
      <c r="H82" s="1068"/>
      <c r="I82" s="1069">
        <f>人物卡!J24</f>
        <v>20.0</v>
      </c>
      <c r="J82" s="1069"/>
      <c r="K82" s="1070">
        <f>人物卡!L24</f>
        <v>0.0</v>
      </c>
      <c r="L82" s="1070"/>
      <c r="M82" s="1071">
        <f>人物卡!N24</f>
        <v>0.0</v>
      </c>
      <c r="N82" s="1071"/>
      <c r="O82" s="1072">
        <f>人物卡!P24</f>
        <v>0.0</v>
      </c>
      <c r="P82" s="1072"/>
      <c r="Q82" s="1073">
        <f>人物卡!R24</f>
        <v>20.0</v>
      </c>
      <c r="R82" s="1073"/>
      <c r="S82" s="1074"/>
      <c r="T82" s="1075" t="str">
        <f>人物卡!AT24</f>
        <v>🔮</v>
      </c>
      <c r="U82" s="1068">
        <f>人物卡!Z24</f>
        <v>0.0</v>
      </c>
      <c r="V82" s="1068"/>
      <c r="W82" s="1068" t="str">
        <f>人物卡!AB24</f>
        <v>神秘学</v>
      </c>
      <c r="X82" s="1068"/>
      <c r="Y82" s="1068"/>
      <c r="Z82" s="1068"/>
      <c r="AA82" s="1069">
        <f>人物卡!AF24</f>
        <v>5.0</v>
      </c>
      <c r="AB82" s="1069"/>
      <c r="AC82" s="1070">
        <f>人物卡!AH24</f>
        <v>0.0</v>
      </c>
      <c r="AD82" s="1070"/>
      <c r="AE82" s="1071">
        <f>人物卡!AJ24</f>
        <v>0.0</v>
      </c>
      <c r="AF82" s="1071"/>
      <c r="AG82" s="1072">
        <f>人物卡!AL24</f>
        <v>0.0</v>
      </c>
      <c r="AH82" s="1072"/>
      <c r="AI82" s="1073">
        <f>人物卡!AN24</f>
        <v>5.0</v>
      </c>
      <c r="AJ82" s="1073"/>
      <c r="AK82" s="1074"/>
      <c r="AM82" s="1062"/>
      <c r="AN82" s="1062"/>
      <c r="AO82" s="1062"/>
      <c r="AP82" s="1062"/>
      <c r="AQ82" s="1062"/>
      <c r="AR82" s="1062"/>
      <c r="AS82" s="1062"/>
      <c r="AT82" s="1062"/>
      <c r="AU82" s="1062"/>
      <c r="AV82" s="1062"/>
      <c r="AW82" s="1062"/>
      <c r="AX82" s="1062"/>
      <c r="AY82" s="1062"/>
      <c r="AZ82" s="1062"/>
      <c r="BA82" s="1062"/>
      <c r="BB82" s="1062"/>
      <c r="BC82" s="1062"/>
    </row>
    <row r="83" spans="8:8">
      <c r="A83" s="845"/>
      <c r="B83" s="1076" t="str">
        <f>人物卡!A25</f>
        <v>💻</v>
      </c>
      <c r="C83" s="1077">
        <f>人物卡!D25</f>
        <v>0.0</v>
      </c>
      <c r="D83" s="1077"/>
      <c r="E83" s="1077" t="str">
        <f>人物卡!F25</f>
        <v>计算机使用 Ω</v>
      </c>
      <c r="F83" s="1077"/>
      <c r="G83" s="1077"/>
      <c r="H83" s="1077"/>
      <c r="I83" s="1078">
        <f>人物卡!J25</f>
        <v>5.0</v>
      </c>
      <c r="J83" s="1078"/>
      <c r="K83" s="1079">
        <f>人物卡!L25</f>
        <v>0.0</v>
      </c>
      <c r="L83" s="1079"/>
      <c r="M83" s="1080">
        <f>人物卡!N25</f>
        <v>0.0</v>
      </c>
      <c r="N83" s="1080"/>
      <c r="O83" s="1081">
        <f>人物卡!P25</f>
        <v>0.0</v>
      </c>
      <c r="P83" s="1081"/>
      <c r="Q83" s="1082">
        <f>人物卡!R25</f>
        <v>5.0</v>
      </c>
      <c r="R83" s="1082"/>
      <c r="S83" s="1083"/>
      <c r="T83" s="1084" t="str">
        <f>人物卡!AT25</f>
        <v>🚜</v>
      </c>
      <c r="U83" s="1077">
        <f>人物卡!Z25</f>
        <v>0.0</v>
      </c>
      <c r="V83" s="1077"/>
      <c r="W83" s="1077" t="str">
        <f>人物卡!AB25</f>
        <v>操作重型机械</v>
      </c>
      <c r="X83" s="1077"/>
      <c r="Y83" s="1077"/>
      <c r="Z83" s="1077"/>
      <c r="AA83" s="1078">
        <f>人物卡!AF25</f>
        <v>1.0</v>
      </c>
      <c r="AB83" s="1078"/>
      <c r="AC83" s="1079">
        <f>人物卡!AH25</f>
        <v>0.0</v>
      </c>
      <c r="AD83" s="1079"/>
      <c r="AE83" s="1080">
        <f>人物卡!AJ25</f>
        <v>0.0</v>
      </c>
      <c r="AF83" s="1080"/>
      <c r="AG83" s="1081">
        <f>人物卡!AL25</f>
        <v>0.0</v>
      </c>
      <c r="AH83" s="1081"/>
      <c r="AI83" s="1082">
        <f>人物卡!AN25</f>
        <v>1.0</v>
      </c>
      <c r="AJ83" s="1082"/>
      <c r="AK83" s="1083"/>
      <c r="AM83" s="1062"/>
      <c r="AN83" s="1062"/>
      <c r="AO83" s="1062"/>
      <c r="AP83" s="1062"/>
      <c r="AQ83" s="1062"/>
      <c r="AR83" s="1062"/>
      <c r="AS83" s="1062"/>
      <c r="AT83" s="1062"/>
      <c r="AU83" s="1062"/>
      <c r="AV83" s="1062"/>
      <c r="AW83" s="1062"/>
      <c r="AX83" s="1062"/>
      <c r="AY83" s="1062"/>
      <c r="AZ83" s="1062"/>
      <c r="BA83" s="1062"/>
      <c r="BB83" s="1062"/>
      <c r="BC83" s="1062"/>
    </row>
    <row r="84" spans="8:8">
      <c r="A84" s="845"/>
      <c r="B84" s="1067" t="str">
        <f>人物卡!A26</f>
        <v>💳</v>
      </c>
      <c r="C84" s="1085" t="str">
        <f>人物卡!D26</f>
        <v>★</v>
      </c>
      <c r="D84" s="1085"/>
      <c r="E84" s="1068" t="str">
        <f>人物卡!F26</f>
        <v>信用评级</v>
      </c>
      <c r="F84" s="1068"/>
      <c r="G84" s="1068"/>
      <c r="H84" s="1068"/>
      <c r="I84" s="1069">
        <f>人物卡!J26</f>
        <v>0.0</v>
      </c>
      <c r="J84" s="1069"/>
      <c r="K84" s="1070">
        <f>人物卡!L26</f>
        <v>0.0</v>
      </c>
      <c r="L84" s="1070"/>
      <c r="M84" s="1071">
        <f>人物卡!N26</f>
        <v>0.0</v>
      </c>
      <c r="N84" s="1071"/>
      <c r="O84" s="1072">
        <f>人物卡!P26</f>
        <v>0.0</v>
      </c>
      <c r="P84" s="1072"/>
      <c r="Q84" s="1073">
        <f>人物卡!R26</f>
        <v>0.0</v>
      </c>
      <c r="R84" s="1073"/>
      <c r="S84" s="1074"/>
      <c r="T84" s="1075" t="str">
        <f>人物卡!AT26</f>
        <v>🤓</v>
      </c>
      <c r="U84" s="1068">
        <f>人物卡!Z26</f>
        <v>0.0</v>
      </c>
      <c r="V84" s="1068"/>
      <c r="W84" s="1086" t="str">
        <f>人物卡!AB26</f>
        <v>说服</v>
      </c>
      <c r="X84" s="1086"/>
      <c r="Y84" s="1086"/>
      <c r="Z84" s="1086"/>
      <c r="AA84" s="1069">
        <f>人物卡!AF26</f>
        <v>10.0</v>
      </c>
      <c r="AB84" s="1069"/>
      <c r="AC84" s="1070">
        <f>人物卡!AH26</f>
        <v>0.0</v>
      </c>
      <c r="AD84" s="1070"/>
      <c r="AE84" s="1071">
        <f>人物卡!AJ26</f>
        <v>0.0</v>
      </c>
      <c r="AF84" s="1071"/>
      <c r="AG84" s="1072">
        <f>人物卡!AL26</f>
        <v>0.0</v>
      </c>
      <c r="AH84" s="1072"/>
      <c r="AI84" s="1073">
        <f>人物卡!AN26</f>
        <v>10.0</v>
      </c>
      <c r="AJ84" s="1073"/>
      <c r="AK84" s="1074"/>
      <c r="AM84" s="1062"/>
      <c r="AN84" s="1062"/>
      <c r="AO84" s="1062"/>
      <c r="AP84" s="1062"/>
      <c r="AQ84" s="1062"/>
      <c r="AR84" s="1062"/>
      <c r="AS84" s="1062"/>
      <c r="AT84" s="1062"/>
      <c r="AU84" s="1062"/>
      <c r="AV84" s="1062"/>
      <c r="AW84" s="1062"/>
      <c r="AX84" s="1062"/>
      <c r="AY84" s="1062"/>
      <c r="AZ84" s="1062"/>
      <c r="BA84" s="1062"/>
      <c r="BB84" s="1062"/>
      <c r="BC84" s="1062"/>
    </row>
    <row r="85" spans="8:8">
      <c r="A85" s="845"/>
      <c r="B85" s="1076" t="str">
        <f>人物卡!A27</f>
        <v>🐙</v>
      </c>
      <c r="C85" s="1077">
        <f>人物卡!D27</f>
        <v>0.0</v>
      </c>
      <c r="D85" s="1077"/>
      <c r="E85" s="1077" t="str">
        <f>人物卡!F27</f>
        <v>克苏鲁神话</v>
      </c>
      <c r="F85" s="1077"/>
      <c r="G85" s="1077"/>
      <c r="H85" s="1077"/>
      <c r="I85" s="1078">
        <f>人物卡!J27</f>
        <v>0.0</v>
      </c>
      <c r="J85" s="1078"/>
      <c r="K85" s="1087">
        <f>人物卡!L27</f>
        <v>0.0</v>
      </c>
      <c r="L85" s="1087"/>
      <c r="M85" s="1087" t="str">
        <f>人物卡!N27</f>
        <v>——</v>
      </c>
      <c r="N85" s="1087"/>
      <c r="O85" s="1087" t="str">
        <f>人物卡!P27</f>
        <v>——</v>
      </c>
      <c r="P85" s="1087"/>
      <c r="Q85" s="1082">
        <f>人物卡!R27</f>
        <v>0.0</v>
      </c>
      <c r="R85" s="1082"/>
      <c r="S85" s="1083"/>
      <c r="T85" s="1084" t="str">
        <f>人物卡!AT27</f>
        <v>⛴️</v>
      </c>
      <c r="U85" s="1077">
        <f>人物卡!Z27</f>
        <v>0.0</v>
      </c>
      <c r="V85" s="1088"/>
      <c r="W85" s="1088" t="str">
        <f>人物卡!AB27</f>
        <v>驾驶：</v>
      </c>
      <c r="X85" s="1089"/>
      <c r="Y85" s="1089">
        <f>人物卡!AD27</f>
        <v>0.0</v>
      </c>
      <c r="Z85" s="1084"/>
      <c r="AA85" s="1090">
        <f>人物卡!AF27</f>
        <v>1.0</v>
      </c>
      <c r="AB85" s="1078"/>
      <c r="AC85" s="1079">
        <f>人物卡!AH27</f>
        <v>0.0</v>
      </c>
      <c r="AD85" s="1079"/>
      <c r="AE85" s="1080">
        <f>人物卡!AJ27</f>
        <v>0.0</v>
      </c>
      <c r="AF85" s="1080"/>
      <c r="AG85" s="1081">
        <f>人物卡!AL27</f>
        <v>0.0</v>
      </c>
      <c r="AH85" s="1081"/>
      <c r="AI85" s="1082">
        <f>人物卡!AN27</f>
        <v>1.0</v>
      </c>
      <c r="AJ85" s="1082"/>
      <c r="AK85" s="1083"/>
      <c r="AM85" s="1062"/>
      <c r="AN85" s="1062"/>
      <c r="AO85" s="1062"/>
      <c r="AP85" s="1062"/>
      <c r="AQ85" s="1062"/>
      <c r="AR85" s="1062"/>
      <c r="AS85" s="1062"/>
      <c r="AT85" s="1062"/>
      <c r="AU85" s="1062"/>
      <c r="AV85" s="1062"/>
      <c r="AW85" s="1062"/>
      <c r="AX85" s="1062"/>
      <c r="AY85" s="1062"/>
      <c r="AZ85" s="1062"/>
      <c r="BA85" s="1062"/>
      <c r="BB85" s="1062"/>
      <c r="BC85" s="1062"/>
    </row>
    <row r="86" spans="8:8">
      <c r="A86" s="845"/>
      <c r="B86" s="1067" t="str">
        <f>人物卡!A28</f>
        <v>👩‍🎤</v>
      </c>
      <c r="C86" s="1068">
        <f>人物卡!D28</f>
        <v>0.0</v>
      </c>
      <c r="D86" s="1068"/>
      <c r="E86" s="1068" t="str">
        <f>人物卡!F28</f>
        <v>乔装</v>
      </c>
      <c r="F86" s="1068"/>
      <c r="G86" s="1068"/>
      <c r="H86" s="1068"/>
      <c r="I86" s="1069">
        <f>人物卡!J28</f>
        <v>5.0</v>
      </c>
      <c r="J86" s="1069"/>
      <c r="K86" s="1070">
        <f>人物卡!L28</f>
        <v>0.0</v>
      </c>
      <c r="L86" s="1070"/>
      <c r="M86" s="1071">
        <f>人物卡!N28</f>
        <v>0.0</v>
      </c>
      <c r="N86" s="1071"/>
      <c r="O86" s="1072">
        <f>人物卡!P28</f>
        <v>0.0</v>
      </c>
      <c r="P86" s="1072"/>
      <c r="Q86" s="1073">
        <f>人物卡!R28</f>
        <v>5.0</v>
      </c>
      <c r="R86" s="1073"/>
      <c r="S86" s="1074"/>
      <c r="T86" s="1075" t="str">
        <f>人物卡!AT28</f>
        <v>💡</v>
      </c>
      <c r="U86" s="1068">
        <f>人物卡!Z28</f>
        <v>0.0</v>
      </c>
      <c r="V86" s="1068"/>
      <c r="W86" s="1091" t="str">
        <f>人物卡!AB28</f>
        <v>精神分析</v>
      </c>
      <c r="X86" s="1091"/>
      <c r="Y86" s="1091"/>
      <c r="Z86" s="1091"/>
      <c r="AA86" s="1069">
        <f>人物卡!AF28</f>
        <v>1.0</v>
      </c>
      <c r="AB86" s="1069"/>
      <c r="AC86" s="1070">
        <f>人物卡!AH28</f>
        <v>0.0</v>
      </c>
      <c r="AD86" s="1070"/>
      <c r="AE86" s="1071">
        <f>人物卡!AJ28</f>
        <v>0.0</v>
      </c>
      <c r="AF86" s="1071"/>
      <c r="AG86" s="1072">
        <f>人物卡!AL28</f>
        <v>0.0</v>
      </c>
      <c r="AH86" s="1072"/>
      <c r="AI86" s="1073">
        <f>人物卡!AN28</f>
        <v>1.0</v>
      </c>
      <c r="AJ86" s="1073"/>
      <c r="AK86" s="1074"/>
      <c r="AM86" s="1062"/>
      <c r="AN86" s="1062"/>
      <c r="AO86" s="1062"/>
      <c r="AP86" s="1062"/>
      <c r="AQ86" s="1062"/>
      <c r="AR86" s="1062"/>
      <c r="AS86" s="1062"/>
      <c r="AT86" s="1062"/>
      <c r="AU86" s="1062"/>
      <c r="AV86" s="1062"/>
      <c r="AW86" s="1062"/>
      <c r="AX86" s="1062"/>
      <c r="AY86" s="1062"/>
      <c r="AZ86" s="1062"/>
      <c r="BA86" s="1062"/>
      <c r="BB86" s="1062"/>
      <c r="BC86" s="1062"/>
    </row>
    <row r="87" spans="8:8">
      <c r="A87" s="845"/>
      <c r="B87" s="1076" t="str">
        <f>人物卡!A29</f>
        <v>💨</v>
      </c>
      <c r="C87" s="1077">
        <f>人物卡!D29</f>
        <v>0.0</v>
      </c>
      <c r="D87" s="1077"/>
      <c r="E87" s="1077" t="str">
        <f>人物卡!F29</f>
        <v>闪避</v>
      </c>
      <c r="F87" s="1077"/>
      <c r="G87" s="1077"/>
      <c r="H87" s="1077"/>
      <c r="I87" s="1078">
        <f>人物卡!J29</f>
        <v>0.0</v>
      </c>
      <c r="J87" s="1078"/>
      <c r="K87" s="1079">
        <f>人物卡!L29</f>
        <v>0.0</v>
      </c>
      <c r="L87" s="1079"/>
      <c r="M87" s="1080">
        <f>人物卡!N29</f>
        <v>0.0</v>
      </c>
      <c r="N87" s="1080"/>
      <c r="O87" s="1081">
        <f>人物卡!P29</f>
        <v>0.0</v>
      </c>
      <c r="P87" s="1081"/>
      <c r="Q87" s="1082">
        <f>人物卡!R29</f>
        <v>0.0</v>
      </c>
      <c r="R87" s="1082"/>
      <c r="S87" s="1083"/>
      <c r="T87" s="1084" t="str">
        <f>人物卡!AT29</f>
        <v>💓</v>
      </c>
      <c r="U87" s="1077">
        <f>人物卡!Z29</f>
        <v>0.0</v>
      </c>
      <c r="V87" s="1077"/>
      <c r="W87" s="1077" t="str">
        <f>人物卡!AB29</f>
        <v>心理学</v>
      </c>
      <c r="X87" s="1077"/>
      <c r="Y87" s="1077"/>
      <c r="Z87" s="1077"/>
      <c r="AA87" s="1078">
        <f>人物卡!AF29</f>
        <v>10.0</v>
      </c>
      <c r="AB87" s="1078"/>
      <c r="AC87" s="1079">
        <f>人物卡!AH29</f>
        <v>0.0</v>
      </c>
      <c r="AD87" s="1079"/>
      <c r="AE87" s="1080">
        <f>人物卡!AJ29</f>
        <v>0.0</v>
      </c>
      <c r="AF87" s="1080"/>
      <c r="AG87" s="1081">
        <f>人物卡!AL29</f>
        <v>0.0</v>
      </c>
      <c r="AH87" s="1081"/>
      <c r="AI87" s="1082">
        <f>人物卡!AN29</f>
        <v>10.0</v>
      </c>
      <c r="AJ87" s="1082"/>
      <c r="AK87" s="1083"/>
      <c r="AM87" s="1062"/>
      <c r="AN87" s="1062"/>
      <c r="AO87" s="1062"/>
      <c r="AP87" s="1062"/>
      <c r="AQ87" s="1062"/>
      <c r="AR87" s="1062"/>
      <c r="AS87" s="1062"/>
      <c r="AT87" s="1062"/>
      <c r="AU87" s="1062"/>
      <c r="AV87" s="1062"/>
      <c r="AW87" s="1062"/>
      <c r="AX87" s="1062"/>
      <c r="AY87" s="1062"/>
      <c r="AZ87" s="1062"/>
      <c r="BA87" s="1062"/>
      <c r="BB87" s="1062"/>
      <c r="BC87" s="1062"/>
    </row>
    <row r="88" spans="8:8">
      <c r="A88" s="845"/>
      <c r="B88" s="1067" t="str">
        <f>人物卡!A30</f>
        <v>🚙</v>
      </c>
      <c r="C88" s="1068">
        <f>人物卡!D30</f>
        <v>0.0</v>
      </c>
      <c r="D88" s="1068"/>
      <c r="E88" s="1068" t="str">
        <f>人物卡!F30</f>
        <v>汽车驾驶</v>
      </c>
      <c r="F88" s="1068"/>
      <c r="G88" s="1068"/>
      <c r="H88" s="1068"/>
      <c r="I88" s="1069">
        <f>人物卡!J30</f>
        <v>20.0</v>
      </c>
      <c r="J88" s="1069"/>
      <c r="K88" s="1070">
        <f>人物卡!L30</f>
        <v>0.0</v>
      </c>
      <c r="L88" s="1070"/>
      <c r="M88" s="1071">
        <f>人物卡!N30</f>
        <v>0.0</v>
      </c>
      <c r="N88" s="1071"/>
      <c r="O88" s="1072">
        <f>人物卡!P30</f>
        <v>0.0</v>
      </c>
      <c r="P88" s="1072"/>
      <c r="Q88" s="1073">
        <f>人物卡!R30</f>
        <v>20.0</v>
      </c>
      <c r="R88" s="1073"/>
      <c r="S88" s="1074"/>
      <c r="T88" s="1075" t="str">
        <f>人物卡!AT30</f>
        <v>🐴</v>
      </c>
      <c r="U88" s="1068">
        <f>人物卡!Z30</f>
        <v>0.0</v>
      </c>
      <c r="V88" s="1068"/>
      <c r="W88" s="1086" t="str">
        <f>人物卡!AB30</f>
        <v>骑术</v>
      </c>
      <c r="X88" s="1086"/>
      <c r="Y88" s="1086"/>
      <c r="Z88" s="1086"/>
      <c r="AA88" s="1069">
        <f>人物卡!AF30</f>
        <v>5.0</v>
      </c>
      <c r="AB88" s="1069"/>
      <c r="AC88" s="1070">
        <f>人物卡!AH30</f>
        <v>0.0</v>
      </c>
      <c r="AD88" s="1070"/>
      <c r="AE88" s="1071">
        <f>人物卡!AJ30</f>
        <v>0.0</v>
      </c>
      <c r="AF88" s="1071"/>
      <c r="AG88" s="1072">
        <f>人物卡!AL30</f>
        <v>0.0</v>
      </c>
      <c r="AH88" s="1072"/>
      <c r="AI88" s="1073">
        <f>人物卡!AN30</f>
        <v>5.0</v>
      </c>
      <c r="AJ88" s="1073"/>
      <c r="AK88" s="1074"/>
      <c r="AM88" s="1062"/>
      <c r="AN88" s="1062"/>
      <c r="AO88" s="1062"/>
      <c r="AP88" s="1062"/>
      <c r="AQ88" s="1062"/>
      <c r="AR88" s="1062"/>
      <c r="AS88" s="1062"/>
      <c r="AT88" s="1062"/>
      <c r="AU88" s="1062"/>
      <c r="AV88" s="1062"/>
      <c r="AW88" s="1062"/>
      <c r="AX88" s="1062"/>
      <c r="AY88" s="1062"/>
      <c r="AZ88" s="1062"/>
      <c r="BA88" s="1062"/>
      <c r="BB88" s="1062"/>
      <c r="BC88" s="1062"/>
    </row>
    <row r="89" spans="8:8">
      <c r="A89" s="845"/>
      <c r="B89" s="1076" t="str">
        <f>人物卡!A31</f>
        <v>⚒️</v>
      </c>
      <c r="C89" s="1077">
        <f>人物卡!D31</f>
        <v>0.0</v>
      </c>
      <c r="D89" s="1077"/>
      <c r="E89" s="1077" t="str">
        <f>人物卡!F31</f>
        <v>电气维修</v>
      </c>
      <c r="F89" s="1077"/>
      <c r="G89" s="1077"/>
      <c r="H89" s="1077"/>
      <c r="I89" s="1078">
        <f>人物卡!J31</f>
        <v>10.0</v>
      </c>
      <c r="J89" s="1078"/>
      <c r="K89" s="1079">
        <f>人物卡!L31</f>
        <v>0.0</v>
      </c>
      <c r="L89" s="1079"/>
      <c r="M89" s="1080">
        <f>人物卡!N31</f>
        <v>0.0</v>
      </c>
      <c r="N89" s="1080"/>
      <c r="O89" s="1081">
        <f>人物卡!P31</f>
        <v>0.0</v>
      </c>
      <c r="P89" s="1081"/>
      <c r="Q89" s="1082">
        <f>人物卡!R31</f>
        <v>10.0</v>
      </c>
      <c r="R89" s="1082"/>
      <c r="S89" s="1083"/>
      <c r="T89" s="1084" t="str">
        <f>人物卡!AT31</f>
        <v>🔅</v>
      </c>
      <c r="U89" s="1077">
        <f>人物卡!Z31</f>
        <v>0.0</v>
      </c>
      <c r="V89" s="1088"/>
      <c r="W89" s="1092" t="str">
        <f>人物卡!AB31</f>
        <v>科学①</v>
      </c>
      <c r="X89" s="1093"/>
      <c r="Y89" s="1093">
        <f>人物卡!AD31</f>
        <v>0.0</v>
      </c>
      <c r="Z89" s="1094"/>
      <c r="AA89" s="1090">
        <f>人物卡!AF31</f>
        <v>1.0</v>
      </c>
      <c r="AB89" s="1078"/>
      <c r="AC89" s="1079">
        <f>人物卡!AH31</f>
        <v>0.0</v>
      </c>
      <c r="AD89" s="1079"/>
      <c r="AE89" s="1080">
        <f>人物卡!AJ31</f>
        <v>0.0</v>
      </c>
      <c r="AF89" s="1080"/>
      <c r="AG89" s="1081">
        <f>人物卡!AL31</f>
        <v>0.0</v>
      </c>
      <c r="AH89" s="1081"/>
      <c r="AI89" s="1082">
        <f>人物卡!AN31</f>
        <v>1.0</v>
      </c>
      <c r="AJ89" s="1082"/>
      <c r="AK89" s="1083"/>
      <c r="AM89" s="1062"/>
      <c r="AN89" s="1062"/>
      <c r="AO89" s="1062"/>
      <c r="AP89" s="1062"/>
      <c r="AQ89" s="1062"/>
      <c r="AR89" s="1062"/>
      <c r="AS89" s="1062"/>
      <c r="AT89" s="1062"/>
      <c r="AU89" s="1062"/>
      <c r="AV89" s="1062"/>
      <c r="AW89" s="1062"/>
      <c r="AX89" s="1062"/>
      <c r="AY89" s="1062"/>
      <c r="AZ89" s="1062"/>
      <c r="BA89" s="1062"/>
      <c r="BB89" s="1062"/>
      <c r="BC89" s="1062"/>
    </row>
    <row r="90" spans="8:8">
      <c r="A90" s="845"/>
      <c r="B90" s="1067" t="str">
        <f>人物卡!A32</f>
        <v>⚡</v>
      </c>
      <c r="C90" s="1068">
        <f>人物卡!D32</f>
        <v>0.0</v>
      </c>
      <c r="D90" s="1068"/>
      <c r="E90" s="1068" t="str">
        <f>人物卡!F32</f>
        <v>电子学 Ω</v>
      </c>
      <c r="F90" s="1068"/>
      <c r="G90" s="1068"/>
      <c r="H90" s="1068"/>
      <c r="I90" s="1069">
        <f>人物卡!J32</f>
        <v>1.0</v>
      </c>
      <c r="J90" s="1069"/>
      <c r="K90" s="1070">
        <f>人物卡!L32</f>
        <v>0.0</v>
      </c>
      <c r="L90" s="1070"/>
      <c r="M90" s="1071">
        <f>人物卡!N32</f>
        <v>0.0</v>
      </c>
      <c r="N90" s="1071"/>
      <c r="O90" s="1072">
        <f>人物卡!P32</f>
        <v>0.0</v>
      </c>
      <c r="P90" s="1072"/>
      <c r="Q90" s="1073">
        <f>人物卡!R32</f>
        <v>1.0</v>
      </c>
      <c r="R90" s="1073"/>
      <c r="S90" s="1074"/>
      <c r="T90" s="1075" t="str">
        <f>人物卡!AT32</f>
        <v>🔅</v>
      </c>
      <c r="U90" s="1068">
        <f>人物卡!Z32</f>
        <v>0.0</v>
      </c>
      <c r="V90" s="1095"/>
      <c r="W90" s="1096" t="str">
        <f>人物卡!AB32</f>
        <v>科学②</v>
      </c>
      <c r="X90" s="1097"/>
      <c r="Y90" s="1097">
        <f>人物卡!AD32</f>
        <v>0.0</v>
      </c>
      <c r="Z90" s="1098"/>
      <c r="AA90" s="1099">
        <f>人物卡!AF32</f>
        <v>1.0</v>
      </c>
      <c r="AB90" s="1069"/>
      <c r="AC90" s="1070">
        <f>人物卡!AH32</f>
        <v>0.0</v>
      </c>
      <c r="AD90" s="1070"/>
      <c r="AE90" s="1071">
        <f>人物卡!AJ32</f>
        <v>0.0</v>
      </c>
      <c r="AF90" s="1071"/>
      <c r="AG90" s="1072">
        <f>人物卡!AL32</f>
        <v>0.0</v>
      </c>
      <c r="AH90" s="1072"/>
      <c r="AI90" s="1073">
        <f>人物卡!AN32</f>
        <v>1.0</v>
      </c>
      <c r="AJ90" s="1073"/>
      <c r="AK90" s="1074"/>
      <c r="AM90" s="1062"/>
      <c r="AN90" s="1062"/>
      <c r="AO90" s="1062"/>
      <c r="AP90" s="1062"/>
      <c r="AQ90" s="1062"/>
      <c r="AR90" s="1062"/>
      <c r="AS90" s="1062"/>
      <c r="AT90" s="1062"/>
      <c r="AU90" s="1062"/>
      <c r="AV90" s="1062"/>
      <c r="AW90" s="1062"/>
      <c r="AX90" s="1062"/>
      <c r="AY90" s="1062"/>
      <c r="AZ90" s="1062"/>
      <c r="BA90" s="1062"/>
      <c r="BB90" s="1062"/>
      <c r="BC90" s="1062"/>
    </row>
    <row r="91" spans="8:8">
      <c r="A91" s="845"/>
      <c r="B91" s="1076" t="str">
        <f>人物卡!A33</f>
        <v>🤥</v>
      </c>
      <c r="C91" s="1077">
        <f>人物卡!D33</f>
        <v>0.0</v>
      </c>
      <c r="D91" s="1077"/>
      <c r="E91" s="1100" t="str">
        <f>人物卡!F33</f>
        <v>话术</v>
      </c>
      <c r="F91" s="1100"/>
      <c r="G91" s="1100"/>
      <c r="H91" s="1100"/>
      <c r="I91" s="1078">
        <f>人物卡!J33</f>
        <v>5.0</v>
      </c>
      <c r="J91" s="1078"/>
      <c r="K91" s="1079">
        <f>人物卡!L33</f>
        <v>0.0</v>
      </c>
      <c r="L91" s="1079"/>
      <c r="M91" s="1080">
        <f>人物卡!N33</f>
        <v>0.0</v>
      </c>
      <c r="N91" s="1080"/>
      <c r="O91" s="1081">
        <f>人物卡!P33</f>
        <v>0.0</v>
      </c>
      <c r="P91" s="1081"/>
      <c r="Q91" s="1082">
        <f>人物卡!R33</f>
        <v>5.0</v>
      </c>
      <c r="R91" s="1082"/>
      <c r="S91" s="1083"/>
      <c r="T91" s="1084" t="str">
        <f>人物卡!AT33</f>
        <v>🔅</v>
      </c>
      <c r="U91" s="1077">
        <f>人物卡!Z33</f>
        <v>0.0</v>
      </c>
      <c r="V91" s="1088"/>
      <c r="W91" s="1088" t="str">
        <f>人物卡!AB33</f>
        <v>科学③</v>
      </c>
      <c r="X91" s="1089"/>
      <c r="Y91" s="1089">
        <f>人物卡!AD33</f>
        <v>0.0</v>
      </c>
      <c r="Z91" s="1084"/>
      <c r="AA91" s="1090">
        <f>人物卡!AF33</f>
        <v>1.0</v>
      </c>
      <c r="AB91" s="1078"/>
      <c r="AC91" s="1079">
        <f>人物卡!AH33</f>
        <v>0.0</v>
      </c>
      <c r="AD91" s="1079"/>
      <c r="AE91" s="1080">
        <f>人物卡!AJ33</f>
        <v>0.0</v>
      </c>
      <c r="AF91" s="1080"/>
      <c r="AG91" s="1081">
        <f>人物卡!AL33</f>
        <v>0.0</v>
      </c>
      <c r="AH91" s="1081"/>
      <c r="AI91" s="1082">
        <f>人物卡!AN33</f>
        <v>1.0</v>
      </c>
      <c r="AJ91" s="1082"/>
      <c r="AK91" s="1083"/>
      <c r="AM91" s="1062"/>
      <c r="AN91" s="1062"/>
      <c r="AO91" s="1062"/>
      <c r="AP91" s="1062"/>
      <c r="AQ91" s="1062"/>
      <c r="AR91" s="1062"/>
      <c r="AS91" s="1062"/>
      <c r="AT91" s="1062"/>
      <c r="AU91" s="1062"/>
      <c r="AV91" s="1062"/>
      <c r="AW91" s="1062"/>
      <c r="AX91" s="1062"/>
      <c r="AY91" s="1062"/>
      <c r="AZ91" s="1062"/>
      <c r="BA91" s="1062"/>
      <c r="BB91" s="1062"/>
      <c r="BC91" s="1062"/>
    </row>
    <row r="92" spans="8:8">
      <c r="A92" s="845"/>
      <c r="B92" s="1067" t="str">
        <f>人物卡!A34</f>
        <v>🥊</v>
      </c>
      <c r="C92" s="1068">
        <f>人物卡!D34</f>
        <v>0.0</v>
      </c>
      <c r="D92" s="1095"/>
      <c r="E92" s="1096" t="str">
        <f>人物卡!F34</f>
        <v>格斗：</v>
      </c>
      <c r="F92" s="1097"/>
      <c r="G92" s="1097" t="str">
        <f>人物卡!H34</f>
        <v>斗殴</v>
      </c>
      <c r="H92" s="1098"/>
      <c r="I92" s="1099">
        <f>人物卡!J34</f>
        <v>25.0</v>
      </c>
      <c r="J92" s="1069"/>
      <c r="K92" s="1070">
        <f>人物卡!L34</f>
        <v>0.0</v>
      </c>
      <c r="L92" s="1070"/>
      <c r="M92" s="1071">
        <f>人物卡!N34</f>
        <v>0.0</v>
      </c>
      <c r="N92" s="1071"/>
      <c r="O92" s="1072">
        <f>人物卡!P34</f>
        <v>0.0</v>
      </c>
      <c r="P92" s="1072"/>
      <c r="Q92" s="1073">
        <f>人物卡!R34</f>
        <v>25.0</v>
      </c>
      <c r="R92" s="1073"/>
      <c r="S92" s="1074"/>
      <c r="T92" s="1075" t="str">
        <f>人物卡!AT34</f>
        <v>👋</v>
      </c>
      <c r="U92" s="1068">
        <f>人物卡!Z34</f>
        <v>0.0</v>
      </c>
      <c r="V92" s="1068"/>
      <c r="W92" s="1091" t="str">
        <f>人物卡!AB34</f>
        <v>妙手</v>
      </c>
      <c r="X92" s="1091"/>
      <c r="Y92" s="1091"/>
      <c r="Z92" s="1091"/>
      <c r="AA92" s="1069">
        <f>人物卡!AF34</f>
        <v>10.0</v>
      </c>
      <c r="AB92" s="1069"/>
      <c r="AC92" s="1070">
        <f>人物卡!AH34</f>
        <v>0.0</v>
      </c>
      <c r="AD92" s="1070"/>
      <c r="AE92" s="1071">
        <f>人物卡!AJ34</f>
        <v>0.0</v>
      </c>
      <c r="AF92" s="1071"/>
      <c r="AG92" s="1072">
        <f>人物卡!AL34</f>
        <v>0.0</v>
      </c>
      <c r="AH92" s="1072"/>
      <c r="AI92" s="1073">
        <f>人物卡!AN34</f>
        <v>10.0</v>
      </c>
      <c r="AJ92" s="1073"/>
      <c r="AK92" s="1074"/>
      <c r="AM92" s="1062"/>
      <c r="AN92" s="1062"/>
      <c r="AO92" s="1062"/>
      <c r="AP92" s="1062"/>
      <c r="AQ92" s="1062"/>
      <c r="AR92" s="1062"/>
      <c r="AS92" s="1062"/>
      <c r="AT92" s="1062"/>
      <c r="AU92" s="1062"/>
      <c r="AV92" s="1062"/>
      <c r="AW92" s="1062"/>
      <c r="AX92" s="1062"/>
      <c r="AY92" s="1062"/>
      <c r="AZ92" s="1062"/>
      <c r="BA92" s="1062"/>
      <c r="BB92" s="1062"/>
      <c r="BC92" s="1062"/>
    </row>
    <row r="93" spans="8:8">
      <c r="A93" s="845"/>
      <c r="B93" s="1076" t="str">
        <f>人物卡!A35</f>
        <v>🔅</v>
      </c>
      <c r="C93" s="1077">
        <f>人物卡!D35</f>
        <v>0.0</v>
      </c>
      <c r="D93" s="1088"/>
      <c r="E93" s="1092" t="str">
        <f>人物卡!F35</f>
        <v>格斗①</v>
      </c>
      <c r="F93" s="1093"/>
      <c r="G93" s="1093">
        <f>人物卡!H35</f>
        <v>0.0</v>
      </c>
      <c r="H93" s="1094"/>
      <c r="I93" s="1090">
        <f>人物卡!J35</f>
        <v>0.0</v>
      </c>
      <c r="J93" s="1078"/>
      <c r="K93" s="1079">
        <f>人物卡!L35</f>
        <v>0.0</v>
      </c>
      <c r="L93" s="1079"/>
      <c r="M93" s="1080">
        <f>人物卡!N35</f>
        <v>0.0</v>
      </c>
      <c r="N93" s="1080"/>
      <c r="O93" s="1081">
        <f>人物卡!P35</f>
        <v>0.0</v>
      </c>
      <c r="P93" s="1081"/>
      <c r="Q93" s="1082">
        <f>人物卡!R35</f>
        <v>0.0</v>
      </c>
      <c r="R93" s="1082"/>
      <c r="S93" s="1083"/>
      <c r="T93" s="1084" t="str">
        <f>人物卡!AT35</f>
        <v>👀</v>
      </c>
      <c r="U93" s="1077">
        <f>人物卡!Z35</f>
        <v>0.0</v>
      </c>
      <c r="V93" s="1077"/>
      <c r="W93" s="1077" t="str">
        <f>人物卡!AB35</f>
        <v>侦查</v>
      </c>
      <c r="X93" s="1077"/>
      <c r="Y93" s="1077"/>
      <c r="Z93" s="1077"/>
      <c r="AA93" s="1078">
        <f>人物卡!AF35</f>
        <v>25.0</v>
      </c>
      <c r="AB93" s="1078"/>
      <c r="AC93" s="1079">
        <f>人物卡!AH35</f>
        <v>0.0</v>
      </c>
      <c r="AD93" s="1079"/>
      <c r="AE93" s="1080">
        <f>人物卡!AJ35</f>
        <v>0.0</v>
      </c>
      <c r="AF93" s="1080"/>
      <c r="AG93" s="1081">
        <f>人物卡!AL35</f>
        <v>0.0</v>
      </c>
      <c r="AH93" s="1081"/>
      <c r="AI93" s="1082">
        <f>人物卡!AN35</f>
        <v>25.0</v>
      </c>
      <c r="AJ93" s="1082"/>
      <c r="AK93" s="1083"/>
      <c r="AM93" s="1062"/>
      <c r="AN93" s="1062"/>
      <c r="AO93" s="1062"/>
      <c r="AP93" s="1062"/>
      <c r="AQ93" s="1062"/>
      <c r="AR93" s="1062"/>
      <c r="AS93" s="1062"/>
      <c r="AT93" s="1062"/>
      <c r="AU93" s="1062"/>
      <c r="AV93" s="1062"/>
      <c r="AW93" s="1062"/>
      <c r="AX93" s="1062"/>
      <c r="AY93" s="1062"/>
      <c r="AZ93" s="1062"/>
      <c r="BA93" s="1062"/>
      <c r="BB93" s="1062"/>
      <c r="BC93" s="1062"/>
    </row>
    <row r="94" spans="8:8">
      <c r="A94" s="845"/>
      <c r="B94" s="1067" t="str">
        <f>人物卡!A36</f>
        <v>🔅</v>
      </c>
      <c r="C94" s="1068">
        <f>人物卡!D36</f>
        <v>0.0</v>
      </c>
      <c r="D94" s="1095"/>
      <c r="E94" s="1096" t="str">
        <f>人物卡!F36</f>
        <v>格斗②</v>
      </c>
      <c r="F94" s="1097"/>
      <c r="G94" s="1097">
        <f>人物卡!H36</f>
        <v>0.0</v>
      </c>
      <c r="H94" s="1098"/>
      <c r="I94" s="1099">
        <f>人物卡!J36</f>
        <v>0.0</v>
      </c>
      <c r="J94" s="1069"/>
      <c r="K94" s="1070">
        <f>人物卡!L36</f>
        <v>0.0</v>
      </c>
      <c r="L94" s="1070"/>
      <c r="M94" s="1071">
        <f>人物卡!N36</f>
        <v>0.0</v>
      </c>
      <c r="N94" s="1071"/>
      <c r="O94" s="1072">
        <f>人物卡!P36</f>
        <v>0.0</v>
      </c>
      <c r="P94" s="1072"/>
      <c r="Q94" s="1073">
        <f>人物卡!R36</f>
        <v>0.0</v>
      </c>
      <c r="R94" s="1073"/>
      <c r="S94" s="1074"/>
      <c r="T94" s="1075" t="str">
        <f>人物卡!AT36</f>
        <v>👣</v>
      </c>
      <c r="U94" s="1068">
        <f>人物卡!Z36</f>
        <v>0.0</v>
      </c>
      <c r="V94" s="1068"/>
      <c r="W94" s="1086" t="str">
        <f>人物卡!AB36</f>
        <v>潜行</v>
      </c>
      <c r="X94" s="1086"/>
      <c r="Y94" s="1086"/>
      <c r="Z94" s="1086"/>
      <c r="AA94" s="1069">
        <f>人物卡!AF36</f>
        <v>20.0</v>
      </c>
      <c r="AB94" s="1069"/>
      <c r="AC94" s="1070">
        <f>人物卡!AH36</f>
        <v>0.0</v>
      </c>
      <c r="AD94" s="1070"/>
      <c r="AE94" s="1071">
        <f>人物卡!AJ36</f>
        <v>0.0</v>
      </c>
      <c r="AF94" s="1071"/>
      <c r="AG94" s="1072">
        <f>人物卡!AL36</f>
        <v>0.0</v>
      </c>
      <c r="AH94" s="1072"/>
      <c r="AI94" s="1073">
        <f>人物卡!AN36</f>
        <v>20.0</v>
      </c>
      <c r="AJ94" s="1073"/>
      <c r="AK94" s="1074"/>
      <c r="AM94" s="1062"/>
      <c r="AN94" s="1062"/>
      <c r="AO94" s="1062"/>
      <c r="AP94" s="1062"/>
      <c r="AQ94" s="1062"/>
      <c r="AR94" s="1062"/>
      <c r="AS94" s="1062"/>
      <c r="AT94" s="1062"/>
      <c r="AU94" s="1062"/>
      <c r="AV94" s="1062"/>
      <c r="AW94" s="1062"/>
      <c r="AX94" s="1062"/>
      <c r="AY94" s="1062"/>
      <c r="AZ94" s="1062"/>
      <c r="BA94" s="1062"/>
      <c r="BB94" s="1062"/>
      <c r="BC94" s="1062"/>
    </row>
    <row r="95" spans="8:8">
      <c r="A95" s="845"/>
      <c r="B95" s="1076" t="str">
        <f>人物卡!A37</f>
        <v>🔅</v>
      </c>
      <c r="C95" s="1077">
        <f>人物卡!D37</f>
        <v>0.0</v>
      </c>
      <c r="D95" s="1088"/>
      <c r="E95" s="1092" t="str">
        <f>人物卡!F37</f>
        <v>格斗③</v>
      </c>
      <c r="F95" s="1093"/>
      <c r="G95" s="1093">
        <f>人物卡!H37</f>
        <v>0.0</v>
      </c>
      <c r="H95" s="1094"/>
      <c r="I95" s="1090">
        <f>人物卡!J37</f>
        <v>0.0</v>
      </c>
      <c r="J95" s="1078"/>
      <c r="K95" s="1079">
        <f>人物卡!L37</f>
        <v>0.0</v>
      </c>
      <c r="L95" s="1079"/>
      <c r="M95" s="1080">
        <f>人物卡!N37</f>
        <v>0.0</v>
      </c>
      <c r="N95" s="1080"/>
      <c r="O95" s="1081">
        <f>人物卡!P37</f>
        <v>0.0</v>
      </c>
      <c r="P95" s="1081"/>
      <c r="Q95" s="1082">
        <f>人物卡!R37</f>
        <v>0.0</v>
      </c>
      <c r="R95" s="1082"/>
      <c r="S95" s="1083"/>
      <c r="T95" s="1084" t="str">
        <f>人物卡!AT37</f>
        <v>⛺</v>
      </c>
      <c r="U95" s="1077">
        <f>人物卡!Z37</f>
        <v>0.0</v>
      </c>
      <c r="V95" s="1088"/>
      <c r="W95" s="1088" t="str">
        <f>人物卡!AB37</f>
        <v>生存：</v>
      </c>
      <c r="X95" s="1089"/>
      <c r="Y95" s="1089">
        <f>人物卡!AD37</f>
        <v>0.0</v>
      </c>
      <c r="Z95" s="1084"/>
      <c r="AA95" s="1090">
        <f>人物卡!AF37</f>
        <v>10.0</v>
      </c>
      <c r="AB95" s="1078"/>
      <c r="AC95" s="1079">
        <f>人物卡!AH37</f>
        <v>0.0</v>
      </c>
      <c r="AD95" s="1079"/>
      <c r="AE95" s="1080">
        <f>人物卡!AJ37</f>
        <v>0.0</v>
      </c>
      <c r="AF95" s="1080"/>
      <c r="AG95" s="1081">
        <f>人物卡!AL37</f>
        <v>0.0</v>
      </c>
      <c r="AH95" s="1081"/>
      <c r="AI95" s="1082">
        <f>人物卡!AN37</f>
        <v>10.0</v>
      </c>
      <c r="AJ95" s="1082"/>
      <c r="AK95" s="1083"/>
      <c r="AM95" s="1062"/>
      <c r="AN95" s="1062"/>
      <c r="AO95" s="1062"/>
      <c r="AP95" s="1062"/>
      <c r="AQ95" s="1062"/>
      <c r="AR95" s="1062"/>
      <c r="AS95" s="1062"/>
      <c r="AT95" s="1062"/>
      <c r="AU95" s="1062"/>
      <c r="AV95" s="1062"/>
      <c r="AW95" s="1062"/>
      <c r="AX95" s="1062"/>
      <c r="AY95" s="1062"/>
      <c r="AZ95" s="1062"/>
      <c r="BA95" s="1062"/>
      <c r="BB95" s="1062"/>
      <c r="BC95" s="1062"/>
    </row>
    <row r="96" spans="8:8">
      <c r="A96" s="845"/>
      <c r="B96" s="1067" t="str">
        <f>人物卡!A38</f>
        <v>🎯</v>
      </c>
      <c r="C96" s="1068">
        <f>人物卡!D38</f>
        <v>0.0</v>
      </c>
      <c r="D96" s="1095"/>
      <c r="E96" s="1096" t="str">
        <f>人物卡!F38</f>
        <v>射击：</v>
      </c>
      <c r="F96" s="1097"/>
      <c r="G96" s="1097" t="str">
        <f>人物卡!H38</f>
        <v>手枪</v>
      </c>
      <c r="H96" s="1098"/>
      <c r="I96" s="1099">
        <f>人物卡!J38</f>
        <v>20.0</v>
      </c>
      <c r="J96" s="1069"/>
      <c r="K96" s="1070">
        <f>人物卡!L38</f>
        <v>0.0</v>
      </c>
      <c r="L96" s="1070"/>
      <c r="M96" s="1071">
        <f>人物卡!N38</f>
        <v>0.0</v>
      </c>
      <c r="N96" s="1071"/>
      <c r="O96" s="1072">
        <f>人物卡!P38</f>
        <v>0.0</v>
      </c>
      <c r="P96" s="1072"/>
      <c r="Q96" s="1073">
        <f>人物卡!R38</f>
        <v>20.0</v>
      </c>
      <c r="R96" s="1073"/>
      <c r="S96" s="1074"/>
      <c r="T96" s="1075" t="str">
        <f>人物卡!AT38</f>
        <v>🏊‍♂️</v>
      </c>
      <c r="U96" s="1068">
        <f>人物卡!Z38</f>
        <v>0.0</v>
      </c>
      <c r="V96" s="1068"/>
      <c r="W96" s="1091" t="str">
        <f>人物卡!AB38</f>
        <v>游泳</v>
      </c>
      <c r="X96" s="1091"/>
      <c r="Y96" s="1091"/>
      <c r="Z96" s="1091"/>
      <c r="AA96" s="1069">
        <f>人物卡!AF38</f>
        <v>20.0</v>
      </c>
      <c r="AB96" s="1069"/>
      <c r="AC96" s="1070">
        <f>人物卡!AH38</f>
        <v>0.0</v>
      </c>
      <c r="AD96" s="1070"/>
      <c r="AE96" s="1071">
        <f>人物卡!AJ38</f>
        <v>0.0</v>
      </c>
      <c r="AF96" s="1071"/>
      <c r="AG96" s="1072">
        <f>人物卡!AL38</f>
        <v>0.0</v>
      </c>
      <c r="AH96" s="1072"/>
      <c r="AI96" s="1073">
        <f>人物卡!AN38</f>
        <v>20.0</v>
      </c>
      <c r="AJ96" s="1073"/>
      <c r="AK96" s="1074"/>
      <c r="AM96" s="1062"/>
      <c r="AN96" s="1062"/>
      <c r="AO96" s="1062"/>
      <c r="AP96" s="1062"/>
      <c r="AQ96" s="1062"/>
      <c r="AR96" s="1062"/>
      <c r="AS96" s="1062"/>
      <c r="AT96" s="1062"/>
      <c r="AU96" s="1062"/>
      <c r="AV96" s="1062"/>
      <c r="AW96" s="1062"/>
      <c r="AX96" s="1062"/>
      <c r="AY96" s="1062"/>
      <c r="AZ96" s="1062"/>
      <c r="BA96" s="1062"/>
      <c r="BB96" s="1062"/>
      <c r="BC96" s="1062"/>
    </row>
    <row r="97" spans="8:8">
      <c r="A97" s="845"/>
      <c r="B97" s="1076" t="str">
        <f>人物卡!A39</f>
        <v>🎯</v>
      </c>
      <c r="C97" s="1077">
        <f>人物卡!D39</f>
        <v>0.0</v>
      </c>
      <c r="D97" s="1088"/>
      <c r="E97" s="1092" t="str">
        <f>人物卡!F39</f>
        <v>射击①</v>
      </c>
      <c r="F97" s="1093"/>
      <c r="G97" s="1093">
        <f>人物卡!H39</f>
        <v>0.0</v>
      </c>
      <c r="H97" s="1094"/>
      <c r="I97" s="1090">
        <f>人物卡!J39</f>
        <v>0.0</v>
      </c>
      <c r="J97" s="1078"/>
      <c r="K97" s="1079">
        <f>人物卡!L39</f>
        <v>0.0</v>
      </c>
      <c r="L97" s="1079"/>
      <c r="M97" s="1080">
        <f>人物卡!N39</f>
        <v>0.0</v>
      </c>
      <c r="N97" s="1080"/>
      <c r="O97" s="1081">
        <f>人物卡!P39</f>
        <v>0.0</v>
      </c>
      <c r="P97" s="1081"/>
      <c r="Q97" s="1082">
        <f>人物卡!R39</f>
        <v>0.0</v>
      </c>
      <c r="R97" s="1082"/>
      <c r="S97" s="1083"/>
      <c r="T97" s="1084" t="str">
        <f>人物卡!AT39</f>
        <v>🏀</v>
      </c>
      <c r="U97" s="1077">
        <f>人物卡!Z39</f>
        <v>0.0</v>
      </c>
      <c r="V97" s="1077"/>
      <c r="W97" s="1077" t="str">
        <f>人物卡!AB39</f>
        <v>投掷</v>
      </c>
      <c r="X97" s="1077"/>
      <c r="Y97" s="1077"/>
      <c r="Z97" s="1077"/>
      <c r="AA97" s="1078">
        <f>人物卡!AF39</f>
        <v>20.0</v>
      </c>
      <c r="AB97" s="1078"/>
      <c r="AC97" s="1079">
        <f>人物卡!AH39</f>
        <v>0.0</v>
      </c>
      <c r="AD97" s="1079"/>
      <c r="AE97" s="1080">
        <f>人物卡!AJ39</f>
        <v>0.0</v>
      </c>
      <c r="AF97" s="1080"/>
      <c r="AG97" s="1081">
        <f>人物卡!AL39</f>
        <v>0.0</v>
      </c>
      <c r="AH97" s="1081"/>
      <c r="AI97" s="1082">
        <f>人物卡!AN39</f>
        <v>20.0</v>
      </c>
      <c r="AJ97" s="1082"/>
      <c r="AK97" s="1083"/>
      <c r="AM97" s="1062"/>
      <c r="AN97" s="1062"/>
      <c r="AO97" s="1062"/>
      <c r="AP97" s="1062"/>
      <c r="AQ97" s="1062"/>
      <c r="AR97" s="1062"/>
      <c r="AS97" s="1062"/>
      <c r="AT97" s="1062"/>
      <c r="AU97" s="1062"/>
      <c r="AV97" s="1062"/>
      <c r="AW97" s="1062"/>
      <c r="AX97" s="1062"/>
      <c r="AY97" s="1062"/>
      <c r="AZ97" s="1062"/>
      <c r="BA97" s="1062"/>
      <c r="BB97" s="1062"/>
      <c r="BC97" s="1062"/>
    </row>
    <row r="98" spans="8:8">
      <c r="A98" s="845"/>
      <c r="B98" s="1067" t="str">
        <f>人物卡!A40</f>
        <v>🎯</v>
      </c>
      <c r="C98" s="1068">
        <f>人物卡!D40</f>
        <v>0.0</v>
      </c>
      <c r="D98" s="1095"/>
      <c r="E98" s="1096" t="str">
        <f>人物卡!F40</f>
        <v>射击②</v>
      </c>
      <c r="F98" s="1097"/>
      <c r="G98" s="1097">
        <f>人物卡!H40</f>
        <v>0.0</v>
      </c>
      <c r="H98" s="1098"/>
      <c r="I98" s="1099">
        <f>人物卡!J40</f>
        <v>0.0</v>
      </c>
      <c r="J98" s="1069"/>
      <c r="K98" s="1070">
        <f>人物卡!L40</f>
        <v>0.0</v>
      </c>
      <c r="L98" s="1070"/>
      <c r="M98" s="1071">
        <f>人物卡!N40</f>
        <v>0.0</v>
      </c>
      <c r="N98" s="1071"/>
      <c r="O98" s="1072">
        <f>人物卡!P40</f>
        <v>0.0</v>
      </c>
      <c r="P98" s="1072"/>
      <c r="Q98" s="1073">
        <f>人物卡!R40</f>
        <v>0.0</v>
      </c>
      <c r="R98" s="1073"/>
      <c r="S98" s="1074"/>
      <c r="T98" s="1075" t="str">
        <f>人物卡!AT40</f>
        <v>🐾</v>
      </c>
      <c r="U98" s="1068">
        <f>人物卡!Z40</f>
        <v>0.0</v>
      </c>
      <c r="V98" s="1068"/>
      <c r="W98" s="1068" t="str">
        <f>人物卡!AB40</f>
        <v>追踪</v>
      </c>
      <c r="X98" s="1068"/>
      <c r="Y98" s="1068"/>
      <c r="Z98" s="1068"/>
      <c r="AA98" s="1069">
        <f>人物卡!AF40</f>
        <v>10.0</v>
      </c>
      <c r="AB98" s="1069"/>
      <c r="AC98" s="1070">
        <f>人物卡!AH40</f>
        <v>0.0</v>
      </c>
      <c r="AD98" s="1070"/>
      <c r="AE98" s="1071">
        <f>人物卡!AJ40</f>
        <v>0.0</v>
      </c>
      <c r="AF98" s="1071"/>
      <c r="AG98" s="1072">
        <f>人物卡!AL40</f>
        <v>0.0</v>
      </c>
      <c r="AH98" s="1072"/>
      <c r="AI98" s="1073">
        <f>人物卡!AN40</f>
        <v>10.0</v>
      </c>
      <c r="AJ98" s="1073"/>
      <c r="AK98" s="1074"/>
      <c r="AM98" s="1062"/>
      <c r="AN98" s="1062"/>
      <c r="AO98" s="1062"/>
      <c r="AP98" s="1062"/>
      <c r="AQ98" s="1062"/>
      <c r="AR98" s="1062"/>
      <c r="AS98" s="1062"/>
      <c r="AT98" s="1062"/>
      <c r="AU98" s="1062"/>
      <c r="AV98" s="1062"/>
      <c r="AW98" s="1062"/>
      <c r="AX98" s="1062"/>
      <c r="AY98" s="1062"/>
      <c r="AZ98" s="1062"/>
      <c r="BA98" s="1062"/>
      <c r="BB98" s="1062"/>
      <c r="BC98" s="1062"/>
    </row>
    <row r="99" spans="8:8">
      <c r="A99" s="845"/>
      <c r="B99" s="1076" t="str">
        <f>人物卡!A41</f>
        <v>🎯</v>
      </c>
      <c r="C99" s="1077">
        <f>人物卡!D41</f>
        <v>0.0</v>
      </c>
      <c r="D99" s="1088"/>
      <c r="E99" s="1088" t="str">
        <f>人物卡!F41</f>
        <v>射击③</v>
      </c>
      <c r="F99" s="1089"/>
      <c r="G99" s="1089">
        <f>人物卡!H41</f>
        <v>0.0</v>
      </c>
      <c r="H99" s="1084"/>
      <c r="I99" s="1090">
        <f>人物卡!J41</f>
        <v>0.0</v>
      </c>
      <c r="J99" s="1078"/>
      <c r="K99" s="1079">
        <f>人物卡!L41</f>
        <v>0.0</v>
      </c>
      <c r="L99" s="1079"/>
      <c r="M99" s="1080">
        <f>人物卡!N41</f>
        <v>0.0</v>
      </c>
      <c r="N99" s="1080"/>
      <c r="O99" s="1081">
        <f>人物卡!P41</f>
        <v>0.0</v>
      </c>
      <c r="P99" s="1081"/>
      <c r="Q99" s="1082">
        <f>人物卡!R41</f>
        <v>0.0</v>
      </c>
      <c r="R99" s="1082"/>
      <c r="S99" s="1083"/>
      <c r="T99" s="1084" t="str">
        <f>人物卡!AT41</f>
        <v>🐶</v>
      </c>
      <c r="U99" s="1077">
        <f>人物卡!Z41</f>
        <v>0.0</v>
      </c>
      <c r="V99" s="1077"/>
      <c r="W99" s="1077" t="str">
        <f>人物卡!AB41</f>
        <v>动物驯养</v>
      </c>
      <c r="X99" s="1077"/>
      <c r="Y99" s="1077"/>
      <c r="Z99" s="1077"/>
      <c r="AA99" s="1078">
        <f>人物卡!AF41</f>
        <v>5.0</v>
      </c>
      <c r="AB99" s="1078"/>
      <c r="AC99" s="1079">
        <f>人物卡!AH41</f>
        <v>0.0</v>
      </c>
      <c r="AD99" s="1079"/>
      <c r="AE99" s="1080">
        <f>人物卡!AJ41</f>
        <v>0.0</v>
      </c>
      <c r="AF99" s="1080"/>
      <c r="AG99" s="1081">
        <f>人物卡!AL41</f>
        <v>0.0</v>
      </c>
      <c r="AH99" s="1081"/>
      <c r="AI99" s="1082">
        <f>人物卡!AN41</f>
        <v>5.0</v>
      </c>
      <c r="AJ99" s="1082"/>
      <c r="AK99" s="1083"/>
      <c r="AM99" s="1062"/>
      <c r="AN99" s="1062"/>
      <c r="AO99" s="1062"/>
      <c r="AP99" s="1062"/>
      <c r="AQ99" s="1062"/>
      <c r="AR99" s="1062"/>
      <c r="AS99" s="1062"/>
      <c r="AT99" s="1062"/>
      <c r="AU99" s="1062"/>
      <c r="AV99" s="1062"/>
      <c r="AW99" s="1062"/>
      <c r="AX99" s="1062"/>
      <c r="AY99" s="1062"/>
      <c r="AZ99" s="1062"/>
      <c r="BA99" s="1062"/>
      <c r="BB99" s="1062"/>
      <c r="BC99" s="1062"/>
    </row>
    <row r="100" spans="8:8">
      <c r="A100" s="845"/>
      <c r="B100" s="1067" t="str">
        <f>人物卡!A42</f>
        <v>💉</v>
      </c>
      <c r="C100" s="1068">
        <f>人物卡!D42</f>
        <v>0.0</v>
      </c>
      <c r="D100" s="1068"/>
      <c r="E100" s="1091" t="str">
        <f>人物卡!F42</f>
        <v>急救</v>
      </c>
      <c r="F100" s="1091"/>
      <c r="G100" s="1091"/>
      <c r="H100" s="1091"/>
      <c r="I100" s="1069">
        <f>人物卡!J42</f>
        <v>30.0</v>
      </c>
      <c r="J100" s="1069"/>
      <c r="K100" s="1070">
        <f>人物卡!L42</f>
        <v>0.0</v>
      </c>
      <c r="L100" s="1070"/>
      <c r="M100" s="1071">
        <f>人物卡!N42</f>
        <v>0.0</v>
      </c>
      <c r="N100" s="1071"/>
      <c r="O100" s="1072">
        <f>人物卡!P42</f>
        <v>0.0</v>
      </c>
      <c r="P100" s="1072"/>
      <c r="Q100" s="1073">
        <f>人物卡!R42</f>
        <v>30.0</v>
      </c>
      <c r="R100" s="1073"/>
      <c r="S100" s="1074"/>
      <c r="T100" s="1075" t="str">
        <f>人物卡!AT42</f>
        <v>🐠</v>
      </c>
      <c r="U100" s="1068">
        <f>人物卡!Z42</f>
        <v>0.0</v>
      </c>
      <c r="V100" s="1068"/>
      <c r="W100" s="1068" t="str">
        <f>人物卡!AB42</f>
        <v>潜水</v>
      </c>
      <c r="X100" s="1068"/>
      <c r="Y100" s="1068"/>
      <c r="Z100" s="1068"/>
      <c r="AA100" s="1069">
        <f>人物卡!AF42</f>
        <v>1.0</v>
      </c>
      <c r="AB100" s="1069"/>
      <c r="AC100" s="1070">
        <f>人物卡!AH42</f>
        <v>0.0</v>
      </c>
      <c r="AD100" s="1070"/>
      <c r="AE100" s="1071">
        <f>人物卡!AJ42</f>
        <v>0.0</v>
      </c>
      <c r="AF100" s="1071"/>
      <c r="AG100" s="1072">
        <f>人物卡!AL42</f>
        <v>0.0</v>
      </c>
      <c r="AH100" s="1072"/>
      <c r="AI100" s="1073">
        <f>人物卡!AN42</f>
        <v>1.0</v>
      </c>
      <c r="AJ100" s="1073"/>
      <c r="AK100" s="1074"/>
      <c r="AM100" s="1062"/>
      <c r="AN100" s="1062"/>
      <c r="AO100" s="1062"/>
      <c r="AP100" s="1062"/>
      <c r="AQ100" s="1062"/>
      <c r="AR100" s="1062"/>
      <c r="AS100" s="1062"/>
      <c r="AT100" s="1062"/>
      <c r="AU100" s="1062"/>
      <c r="AV100" s="1062"/>
      <c r="AW100" s="1062"/>
      <c r="AX100" s="1062"/>
      <c r="AY100" s="1062"/>
      <c r="AZ100" s="1062"/>
      <c r="BA100" s="1062"/>
      <c r="BB100" s="1062"/>
      <c r="BC100" s="1062"/>
    </row>
    <row r="101" spans="8:8">
      <c r="A101" s="845"/>
      <c r="B101" s="1076" t="str">
        <f>人物卡!A43</f>
        <v>⏳</v>
      </c>
      <c r="C101" s="1077">
        <f>人物卡!D43</f>
        <v>0.0</v>
      </c>
      <c r="D101" s="1077"/>
      <c r="E101" s="1077" t="str">
        <f>人物卡!F43</f>
        <v>历史</v>
      </c>
      <c r="F101" s="1077"/>
      <c r="G101" s="1077"/>
      <c r="H101" s="1077"/>
      <c r="I101" s="1078">
        <f>人物卡!J43</f>
        <v>5.0</v>
      </c>
      <c r="J101" s="1078"/>
      <c r="K101" s="1079">
        <f>人物卡!L43</f>
        <v>0.0</v>
      </c>
      <c r="L101" s="1079"/>
      <c r="M101" s="1080">
        <f>人物卡!N43</f>
        <v>0.0</v>
      </c>
      <c r="N101" s="1080"/>
      <c r="O101" s="1081">
        <f>人物卡!P43</f>
        <v>0.0</v>
      </c>
      <c r="P101" s="1081"/>
      <c r="Q101" s="1082">
        <f>人物卡!R43</f>
        <v>5.0</v>
      </c>
      <c r="R101" s="1082"/>
      <c r="S101" s="1083"/>
      <c r="T101" s="1084" t="str">
        <f>人物卡!AT43</f>
        <v>💣</v>
      </c>
      <c r="U101" s="1077">
        <f>人物卡!Z43</f>
        <v>0.0</v>
      </c>
      <c r="V101" s="1077"/>
      <c r="W101" s="1077" t="str">
        <f>人物卡!AB43</f>
        <v>爆破</v>
      </c>
      <c r="X101" s="1077"/>
      <c r="Y101" s="1077"/>
      <c r="Z101" s="1077"/>
      <c r="AA101" s="1078">
        <f>人物卡!AF43</f>
        <v>1.0</v>
      </c>
      <c r="AB101" s="1078"/>
      <c r="AC101" s="1079">
        <f>人物卡!AH43</f>
        <v>0.0</v>
      </c>
      <c r="AD101" s="1079"/>
      <c r="AE101" s="1080">
        <f>人物卡!AJ43</f>
        <v>0.0</v>
      </c>
      <c r="AF101" s="1080"/>
      <c r="AG101" s="1081">
        <f>人物卡!AL43</f>
        <v>0.0</v>
      </c>
      <c r="AH101" s="1081"/>
      <c r="AI101" s="1082">
        <f>人物卡!AN43</f>
        <v>1.0</v>
      </c>
      <c r="AJ101" s="1082"/>
      <c r="AK101" s="1083"/>
      <c r="AM101" s="1062"/>
      <c r="AN101" s="1062"/>
      <c r="AO101" s="1062"/>
      <c r="AP101" s="1062"/>
      <c r="AQ101" s="1062"/>
      <c r="AR101" s="1062"/>
      <c r="AS101" s="1062"/>
      <c r="AT101" s="1062"/>
      <c r="AU101" s="1062"/>
      <c r="AV101" s="1062"/>
      <c r="AW101" s="1062"/>
      <c r="AX101" s="1062"/>
      <c r="AY101" s="1062"/>
      <c r="AZ101" s="1062"/>
      <c r="BA101" s="1062"/>
      <c r="BB101" s="1062"/>
      <c r="BC101" s="1062"/>
    </row>
    <row r="102" spans="8:8">
      <c r="A102" s="845"/>
      <c r="B102" s="1067" t="str">
        <f>人物卡!A44</f>
        <v>😱</v>
      </c>
      <c r="C102" s="1068">
        <f>人物卡!D44</f>
        <v>0.0</v>
      </c>
      <c r="D102" s="1068"/>
      <c r="E102" s="1068" t="str">
        <f>人物卡!F44</f>
        <v>恐吓</v>
      </c>
      <c r="F102" s="1068"/>
      <c r="G102" s="1068"/>
      <c r="H102" s="1068"/>
      <c r="I102" s="1069">
        <f>人物卡!J44</f>
        <v>15.0</v>
      </c>
      <c r="J102" s="1069"/>
      <c r="K102" s="1070">
        <f>人物卡!L44</f>
        <v>0.0</v>
      </c>
      <c r="L102" s="1070"/>
      <c r="M102" s="1071">
        <f>人物卡!N44</f>
        <v>0.0</v>
      </c>
      <c r="N102" s="1071"/>
      <c r="O102" s="1072">
        <f>人物卡!P44</f>
        <v>0.0</v>
      </c>
      <c r="P102" s="1072"/>
      <c r="Q102" s="1073">
        <f>人物卡!R44</f>
        <v>15.0</v>
      </c>
      <c r="R102" s="1073"/>
      <c r="S102" s="1074"/>
      <c r="T102" s="1075" t="str">
        <f>人物卡!AT44</f>
        <v>👄</v>
      </c>
      <c r="U102" s="1068">
        <f>人物卡!Z44</f>
        <v>0.0</v>
      </c>
      <c r="V102" s="1068"/>
      <c r="W102" s="1068" t="str">
        <f>人物卡!AB44</f>
        <v>读唇</v>
      </c>
      <c r="X102" s="1068"/>
      <c r="Y102" s="1068"/>
      <c r="Z102" s="1068"/>
      <c r="AA102" s="1069">
        <f>人物卡!AF44</f>
        <v>1.0</v>
      </c>
      <c r="AB102" s="1069"/>
      <c r="AC102" s="1070">
        <f>人物卡!AH44</f>
        <v>0.0</v>
      </c>
      <c r="AD102" s="1070"/>
      <c r="AE102" s="1071">
        <f>人物卡!AJ44</f>
        <v>0.0</v>
      </c>
      <c r="AF102" s="1071"/>
      <c r="AG102" s="1072">
        <f>人物卡!AL44</f>
        <v>0.0</v>
      </c>
      <c r="AH102" s="1072"/>
      <c r="AI102" s="1073">
        <f>人物卡!AN44</f>
        <v>1.0</v>
      </c>
      <c r="AJ102" s="1073"/>
      <c r="AK102" s="1074"/>
      <c r="AM102" s="1062"/>
      <c r="AN102" s="1062"/>
      <c r="AO102" s="1062"/>
      <c r="AP102" s="1062"/>
      <c r="AQ102" s="1062"/>
      <c r="AR102" s="1062"/>
      <c r="AS102" s="1062"/>
      <c r="AT102" s="1062"/>
      <c r="AU102" s="1062"/>
      <c r="AV102" s="1062"/>
      <c r="AW102" s="1062"/>
      <c r="AX102" s="1062"/>
      <c r="AY102" s="1062"/>
      <c r="AZ102" s="1062"/>
      <c r="BA102" s="1062"/>
      <c r="BB102" s="1062"/>
      <c r="BC102" s="1062"/>
    </row>
    <row r="103" spans="8:8">
      <c r="A103" s="845"/>
      <c r="B103" s="1076" t="str">
        <f>人物卡!A45</f>
        <v>🐸</v>
      </c>
      <c r="C103" s="1077">
        <f>人物卡!D45</f>
        <v>0.0</v>
      </c>
      <c r="D103" s="1077"/>
      <c r="E103" s="1100" t="str">
        <f>人物卡!F45</f>
        <v>跳跃</v>
      </c>
      <c r="F103" s="1100"/>
      <c r="G103" s="1100"/>
      <c r="H103" s="1100"/>
      <c r="I103" s="1078">
        <f>人物卡!J45</f>
        <v>20.0</v>
      </c>
      <c r="J103" s="1078"/>
      <c r="K103" s="1079">
        <f>人物卡!L45</f>
        <v>0.0</v>
      </c>
      <c r="L103" s="1079"/>
      <c r="M103" s="1080">
        <f>人物卡!N45</f>
        <v>0.0</v>
      </c>
      <c r="N103" s="1080"/>
      <c r="O103" s="1081">
        <f>人物卡!P45</f>
        <v>0.0</v>
      </c>
      <c r="P103" s="1081"/>
      <c r="Q103" s="1082">
        <f>人物卡!R45</f>
        <v>20.0</v>
      </c>
      <c r="R103" s="1082"/>
      <c r="S103" s="1083"/>
      <c r="T103" s="1084" t="str">
        <f>人物卡!AT45</f>
        <v>💤</v>
      </c>
      <c r="U103" s="1077">
        <f>人物卡!Z45</f>
        <v>0.0</v>
      </c>
      <c r="V103" s="1077"/>
      <c r="W103" s="1077" t="str">
        <f>人物卡!AB45</f>
        <v>催眠</v>
      </c>
      <c r="X103" s="1077"/>
      <c r="Y103" s="1077"/>
      <c r="Z103" s="1077"/>
      <c r="AA103" s="1078">
        <f>人物卡!AF45</f>
        <v>1.0</v>
      </c>
      <c r="AB103" s="1078"/>
      <c r="AC103" s="1079">
        <f>人物卡!AH45</f>
        <v>0.0</v>
      </c>
      <c r="AD103" s="1079"/>
      <c r="AE103" s="1080">
        <f>人物卡!AJ45</f>
        <v>0.0</v>
      </c>
      <c r="AF103" s="1080"/>
      <c r="AG103" s="1081">
        <f>人物卡!AL45</f>
        <v>0.0</v>
      </c>
      <c r="AH103" s="1081"/>
      <c r="AI103" s="1082">
        <f>人物卡!AN45</f>
        <v>1.0</v>
      </c>
      <c r="AJ103" s="1082"/>
      <c r="AK103" s="1083"/>
      <c r="AM103" s="1062"/>
      <c r="AN103" s="1062"/>
      <c r="AO103" s="1062"/>
      <c r="AP103" s="1062"/>
      <c r="AQ103" s="1062"/>
      <c r="AR103" s="1062"/>
      <c r="AS103" s="1062"/>
      <c r="AT103" s="1062"/>
      <c r="AU103" s="1062"/>
      <c r="AV103" s="1062"/>
      <c r="AW103" s="1062"/>
      <c r="AX103" s="1062"/>
      <c r="AY103" s="1062"/>
      <c r="AZ103" s="1062"/>
      <c r="BA103" s="1062"/>
      <c r="BB103" s="1062"/>
      <c r="BC103" s="1062"/>
    </row>
    <row r="104" spans="8:8">
      <c r="A104" s="845"/>
      <c r="B104" s="1067" t="str">
        <f>人物卡!A46</f>
        <v>🔅</v>
      </c>
      <c r="C104" s="1068">
        <f>人物卡!D46</f>
        <v>0.0</v>
      </c>
      <c r="D104" s="1095"/>
      <c r="E104" s="1095" t="str">
        <f>人物卡!F46</f>
        <v>外语①</v>
      </c>
      <c r="F104" s="1101"/>
      <c r="G104" s="1101">
        <f>人物卡!H46</f>
        <v>0.0</v>
      </c>
      <c r="H104" s="1075"/>
      <c r="I104" s="1099">
        <f>人物卡!J46</f>
        <v>1.0</v>
      </c>
      <c r="J104" s="1069"/>
      <c r="K104" s="1070">
        <f>人物卡!L46</f>
        <v>0.0</v>
      </c>
      <c r="L104" s="1070"/>
      <c r="M104" s="1071">
        <f>人物卡!N46</f>
        <v>0.0</v>
      </c>
      <c r="N104" s="1071"/>
      <c r="O104" s="1072">
        <f>人物卡!P46</f>
        <v>0.0</v>
      </c>
      <c r="P104" s="1072"/>
      <c r="Q104" s="1073">
        <f>人物卡!R46</f>
        <v>1.0</v>
      </c>
      <c r="R104" s="1073"/>
      <c r="S104" s="1074"/>
      <c r="T104" s="1075" t="str">
        <f>人物卡!AT46</f>
        <v>☄️</v>
      </c>
      <c r="U104" s="1068">
        <f>人物卡!Z46</f>
        <v>0.0</v>
      </c>
      <c r="V104" s="1068"/>
      <c r="W104" s="1086" t="str">
        <f>人物卡!AB46</f>
        <v>炮术</v>
      </c>
      <c r="X104" s="1086"/>
      <c r="Y104" s="1086"/>
      <c r="Z104" s="1086"/>
      <c r="AA104" s="1069">
        <f>人物卡!AF46</f>
        <v>1.0</v>
      </c>
      <c r="AB104" s="1069"/>
      <c r="AC104" s="1070">
        <f>人物卡!AH46</f>
        <v>0.0</v>
      </c>
      <c r="AD104" s="1070"/>
      <c r="AE104" s="1071">
        <f>人物卡!AJ46</f>
        <v>0.0</v>
      </c>
      <c r="AF104" s="1071"/>
      <c r="AG104" s="1072">
        <f>人物卡!AL46</f>
        <v>0.0</v>
      </c>
      <c r="AH104" s="1072"/>
      <c r="AI104" s="1073">
        <f>人物卡!AN46</f>
        <v>1.0</v>
      </c>
      <c r="AJ104" s="1073"/>
      <c r="AK104" s="1074"/>
      <c r="AM104" s="1062"/>
      <c r="AN104" s="1062"/>
      <c r="AO104" s="1062"/>
      <c r="AP104" s="1062"/>
      <c r="AQ104" s="1062"/>
      <c r="AR104" s="1062"/>
      <c r="AS104" s="1062"/>
      <c r="AT104" s="1062"/>
      <c r="AU104" s="1062"/>
      <c r="AV104" s="1062"/>
      <c r="AW104" s="1062"/>
      <c r="AX104" s="1062"/>
      <c r="AY104" s="1062"/>
      <c r="AZ104" s="1062"/>
      <c r="BA104" s="1062"/>
      <c r="BB104" s="1062"/>
      <c r="BC104" s="1062"/>
    </row>
    <row r="105" spans="8:8">
      <c r="A105" s="845"/>
      <c r="B105" s="1076" t="str">
        <f>人物卡!A47</f>
        <v>🔅</v>
      </c>
      <c r="C105" s="1077">
        <f>人物卡!D47</f>
        <v>0.0</v>
      </c>
      <c r="D105" s="1088"/>
      <c r="E105" s="1102" t="str">
        <f>人物卡!F47</f>
        <v>外语②</v>
      </c>
      <c r="F105" s="1103"/>
      <c r="G105" s="1103">
        <f>人物卡!H47</f>
        <v>0.0</v>
      </c>
      <c r="H105" s="1104"/>
      <c r="I105" s="1090">
        <f>人物卡!J47</f>
        <v>1.0</v>
      </c>
      <c r="J105" s="1078"/>
      <c r="K105" s="1079">
        <f>人物卡!L47</f>
        <v>0.0</v>
      </c>
      <c r="L105" s="1079"/>
      <c r="M105" s="1080">
        <f>人物卡!N47</f>
        <v>0.0</v>
      </c>
      <c r="N105" s="1080"/>
      <c r="O105" s="1081">
        <f>人物卡!P47</f>
        <v>0.0</v>
      </c>
      <c r="P105" s="1081"/>
      <c r="Q105" s="1082">
        <f>人物卡!R47</f>
        <v>1.0</v>
      </c>
      <c r="R105" s="1082"/>
      <c r="S105" s="1083"/>
      <c r="T105" s="1084" t="str">
        <f>人物卡!AT47</f>
        <v>👽</v>
      </c>
      <c r="U105" s="1077">
        <f>人物卡!Z47</f>
        <v>0.0</v>
      </c>
      <c r="V105" s="1088"/>
      <c r="W105" s="1088" t="str">
        <f>人物卡!AB47</f>
        <v>学识：</v>
      </c>
      <c r="X105" s="1089"/>
      <c r="Y105" s="1089">
        <f>人物卡!AD47</f>
        <v>0.0</v>
      </c>
      <c r="Z105" s="1084"/>
      <c r="AA105" s="1090">
        <f>人物卡!AF47</f>
        <v>1.0</v>
      </c>
      <c r="AB105" s="1078"/>
      <c r="AC105" s="1079">
        <f>人物卡!AH47</f>
        <v>0.0</v>
      </c>
      <c r="AD105" s="1079"/>
      <c r="AE105" s="1080">
        <f>人物卡!AJ47</f>
        <v>0.0</v>
      </c>
      <c r="AF105" s="1080"/>
      <c r="AG105" s="1081">
        <f>人物卡!AL47</f>
        <v>0.0</v>
      </c>
      <c r="AH105" s="1081"/>
      <c r="AI105" s="1082">
        <f>人物卡!AN47</f>
        <v>1.0</v>
      </c>
      <c r="AJ105" s="1082"/>
      <c r="AK105" s="1083"/>
      <c r="AM105" s="1062"/>
      <c r="AN105" s="1062"/>
      <c r="AO105" s="1062"/>
      <c r="AP105" s="1062"/>
      <c r="AQ105" s="1062"/>
      <c r="AR105" s="1062"/>
      <c r="AS105" s="1062"/>
      <c r="AT105" s="1062"/>
      <c r="AU105" s="1062"/>
      <c r="AV105" s="1062"/>
      <c r="AW105" s="1062"/>
      <c r="AX105" s="1062"/>
      <c r="AY105" s="1062"/>
      <c r="AZ105" s="1062"/>
      <c r="BA105" s="1062"/>
      <c r="BB105" s="1062"/>
      <c r="BC105" s="1062"/>
    </row>
    <row r="106" spans="8:8">
      <c r="A106" s="845"/>
      <c r="B106" s="1067" t="str">
        <f>人物卡!A48</f>
        <v>🔅</v>
      </c>
      <c r="C106" s="1068">
        <f>人物卡!D48</f>
        <v>0.0</v>
      </c>
      <c r="D106" s="1095"/>
      <c r="E106" s="1095" t="str">
        <f>人物卡!F48</f>
        <v>外语③</v>
      </c>
      <c r="F106" s="1101"/>
      <c r="G106" s="1101">
        <f>人物卡!H48</f>
        <v>0.0</v>
      </c>
      <c r="H106" s="1075"/>
      <c r="I106" s="1099">
        <f>人物卡!J48</f>
        <v>1.0</v>
      </c>
      <c r="J106" s="1069"/>
      <c r="K106" s="1070">
        <f>人物卡!L48</f>
        <v>0.0</v>
      </c>
      <c r="L106" s="1070"/>
      <c r="M106" s="1071">
        <f>人物卡!N48</f>
        <v>0.0</v>
      </c>
      <c r="N106" s="1071"/>
      <c r="O106" s="1072">
        <f>人物卡!P48</f>
        <v>0.0</v>
      </c>
      <c r="P106" s="1072"/>
      <c r="Q106" s="1073">
        <f>人物卡!R48</f>
        <v>1.0</v>
      </c>
      <c r="R106" s="1073"/>
      <c r="S106" s="1074"/>
      <c r="T106" s="1075" t="str">
        <f>人物卡!AT48</f>
        <v>❓</v>
      </c>
      <c r="U106" s="1068">
        <f>人物卡!Z48</f>
        <v>0.0</v>
      </c>
      <c r="V106" s="1068"/>
      <c r="W106" s="1091" t="str">
        <f>人物卡!AB48</f>
        <v>自定义技能</v>
      </c>
      <c r="X106" s="1091"/>
      <c r="Y106" s="1091"/>
      <c r="Z106" s="1091"/>
      <c r="AA106" s="1068">
        <f>人物卡!AF48</f>
        <v>0.0</v>
      </c>
      <c r="AB106" s="1068"/>
      <c r="AC106" s="1070">
        <f>人物卡!AH48</f>
        <v>0.0</v>
      </c>
      <c r="AD106" s="1070"/>
      <c r="AE106" s="1071">
        <f>人物卡!AJ48</f>
        <v>0.0</v>
      </c>
      <c r="AF106" s="1071"/>
      <c r="AG106" s="1072">
        <f>人物卡!AL48</f>
        <v>0.0</v>
      </c>
      <c r="AH106" s="1072"/>
      <c r="AI106" s="1073">
        <f>人物卡!AN48</f>
        <v>0.0</v>
      </c>
      <c r="AJ106" s="1073"/>
      <c r="AK106" s="1074"/>
      <c r="AM106" s="1062"/>
      <c r="AN106" s="1062"/>
      <c r="AO106" s="1062"/>
      <c r="AP106" s="1062"/>
      <c r="AQ106" s="1062"/>
      <c r="AR106" s="1062"/>
      <c r="AS106" s="1062"/>
      <c r="AT106" s="1062"/>
      <c r="AU106" s="1062"/>
      <c r="AV106" s="1062"/>
      <c r="AW106" s="1062"/>
      <c r="AX106" s="1062"/>
      <c r="AY106" s="1062"/>
      <c r="AZ106" s="1062"/>
      <c r="BA106" s="1062"/>
      <c r="BB106" s="1062"/>
      <c r="BC106" s="1062"/>
    </row>
    <row r="107" spans="8:8">
      <c r="A107" s="763"/>
      <c r="B107" s="1105" t="str">
        <f>人物卡!A49</f>
        <v>🗣️</v>
      </c>
      <c r="C107" s="1106">
        <f>人物卡!D49</f>
        <v>0.0</v>
      </c>
      <c r="D107" s="1107"/>
      <c r="E107" s="1108" t="str">
        <f>人物卡!F49</f>
        <v>母语</v>
      </c>
      <c r="F107" s="1109"/>
      <c r="G107" s="1109">
        <f>人物卡!H49</f>
        <v>0.0</v>
      </c>
      <c r="H107" s="1110"/>
      <c r="I107" s="1111">
        <f>人物卡!J49</f>
        <v>0.0</v>
      </c>
      <c r="J107" s="1112"/>
      <c r="K107" s="1113">
        <f>人物卡!L49</f>
        <v>0.0</v>
      </c>
      <c r="L107" s="1113"/>
      <c r="M107" s="1114">
        <f>人物卡!N49</f>
        <v>0.0</v>
      </c>
      <c r="N107" s="1114"/>
      <c r="O107" s="1115">
        <f>人物卡!P49</f>
        <v>0.0</v>
      </c>
      <c r="P107" s="1115"/>
      <c r="Q107" s="1116">
        <f>人物卡!R49</f>
        <v>0.0</v>
      </c>
      <c r="R107" s="1116"/>
      <c r="S107" s="1117"/>
      <c r="T107" s="1118">
        <f>人物卡!AT49</f>
        <v>0.0</v>
      </c>
      <c r="U107" s="1106" t="str">
        <f>人物卡!Z49</f>
        <v/>
      </c>
      <c r="V107" s="1106"/>
      <c r="W107" s="1106">
        <f>人物卡!AB49</f>
        <v>0.0</v>
      </c>
      <c r="X107" s="1106"/>
      <c r="Y107" s="1106"/>
      <c r="Z107" s="1106"/>
      <c r="AA107" s="1106">
        <f>人物卡!AF49</f>
        <v>0.0</v>
      </c>
      <c r="AB107" s="1106"/>
      <c r="AC107" s="1113">
        <f>人物卡!AH49</f>
        <v>0.0</v>
      </c>
      <c r="AD107" s="1113"/>
      <c r="AE107" s="1114">
        <f>人物卡!AJ49</f>
        <v>0.0</v>
      </c>
      <c r="AF107" s="1114"/>
      <c r="AG107" s="1115">
        <f>人物卡!AL49</f>
        <v>0.0</v>
      </c>
      <c r="AH107" s="1115"/>
      <c r="AI107" s="1119">
        <f>人物卡!AN49</f>
        <v>0.0</v>
      </c>
      <c r="AJ107" s="1119"/>
      <c r="AK107" s="1120"/>
      <c r="AL107" s="845"/>
      <c r="AM107" s="1062"/>
      <c r="AN107" s="1062"/>
      <c r="AO107" s="1062"/>
      <c r="AP107" s="1062"/>
      <c r="AQ107" s="1062"/>
      <c r="AR107" s="1062"/>
      <c r="AS107" s="1062"/>
      <c r="AT107" s="1062"/>
      <c r="AU107" s="1062"/>
      <c r="AV107" s="1062"/>
      <c r="AW107" s="1062"/>
      <c r="AX107" s="1062"/>
      <c r="AY107" s="1062"/>
      <c r="AZ107" s="1062"/>
      <c r="BA107" s="1062"/>
      <c r="BB107" s="1062"/>
      <c r="BC107" s="1062"/>
      <c r="BD107" s="845"/>
      <c r="BE107" s="763"/>
    </row>
    <row r="108" spans="8:8">
      <c r="A108" s="763"/>
      <c r="B108" s="763"/>
      <c r="C108" s="763"/>
      <c r="D108" s="763"/>
      <c r="E108" s="763"/>
      <c r="F108" s="763"/>
      <c r="G108" s="763"/>
      <c r="H108" s="763"/>
      <c r="I108" s="763"/>
      <c r="J108" s="763"/>
      <c r="K108" s="763"/>
      <c r="L108" s="763"/>
      <c r="M108" s="763"/>
      <c r="N108" s="763"/>
      <c r="O108" s="763"/>
      <c r="P108" s="763"/>
      <c r="Q108" s="763"/>
      <c r="R108" s="763"/>
      <c r="S108" s="763"/>
      <c r="T108" s="763"/>
      <c r="U108" s="763"/>
      <c r="V108" s="763"/>
      <c r="W108" s="763"/>
      <c r="X108" s="763"/>
      <c r="Y108" s="763"/>
      <c r="Z108" s="763"/>
      <c r="AA108" s="763"/>
      <c r="AB108" s="763"/>
      <c r="AC108" s="763"/>
      <c r="AD108" s="763"/>
      <c r="AE108" s="763"/>
      <c r="AF108" s="763"/>
      <c r="AG108" s="763"/>
      <c r="AH108" s="763"/>
      <c r="AI108" s="763"/>
      <c r="AJ108" s="763"/>
      <c r="AK108" s="763"/>
      <c r="AL108" s="763"/>
      <c r="AM108" s="845"/>
      <c r="AN108" s="845"/>
      <c r="AO108" s="845"/>
      <c r="AP108" s="845"/>
      <c r="AQ108" s="845"/>
      <c r="AR108" s="845"/>
      <c r="AS108" s="845"/>
      <c r="AT108" s="845"/>
      <c r="AU108" s="845"/>
      <c r="AV108" s="845"/>
      <c r="AW108" s="845"/>
      <c r="AX108" s="845"/>
      <c r="AY108" s="845"/>
      <c r="AZ108" s="845"/>
      <c r="BA108" s="845"/>
      <c r="BB108" s="845"/>
      <c r="BC108" s="845"/>
      <c r="BD108" s="763"/>
      <c r="BE108" s="763"/>
    </row>
    <row r="109" spans="8:8">
      <c r="A109" s="763"/>
      <c r="B109" s="763"/>
      <c r="C109" s="763"/>
      <c r="D109" s="763"/>
      <c r="E109" s="763"/>
      <c r="F109" s="763"/>
      <c r="G109" s="763"/>
      <c r="H109" s="763"/>
      <c r="I109" s="763"/>
      <c r="J109" s="763"/>
      <c r="K109" s="763"/>
      <c r="L109" s="763"/>
      <c r="M109" s="763"/>
      <c r="N109" s="763"/>
      <c r="O109" s="763"/>
      <c r="P109" s="763"/>
      <c r="Q109" s="763"/>
      <c r="R109" s="763"/>
      <c r="S109" s="763"/>
      <c r="T109" s="763"/>
      <c r="U109" s="763"/>
      <c r="V109" s="763"/>
      <c r="W109" s="763"/>
      <c r="X109" s="763"/>
      <c r="Y109" s="763"/>
      <c r="Z109" s="763"/>
      <c r="AA109" s="763"/>
      <c r="AB109" s="763"/>
      <c r="AC109" s="763"/>
      <c r="AD109" s="763"/>
      <c r="AE109" s="763"/>
      <c r="AF109" s="763"/>
      <c r="AG109" s="763"/>
      <c r="AH109" s="763"/>
      <c r="AI109" s="763"/>
      <c r="AJ109" s="763"/>
      <c r="AK109" s="763"/>
      <c r="AL109" s="763"/>
      <c r="AM109" s="763"/>
      <c r="AN109" s="763"/>
      <c r="AO109" s="763"/>
      <c r="AP109" s="763"/>
      <c r="AQ109" s="763"/>
      <c r="AR109" s="763"/>
      <c r="AS109" s="763"/>
      <c r="AT109" s="763"/>
      <c r="AU109" s="763"/>
      <c r="AV109" s="763"/>
      <c r="AW109" s="763"/>
      <c r="AX109" s="763"/>
      <c r="AY109" s="763"/>
      <c r="AZ109" s="763"/>
      <c r="BA109" s="763"/>
      <c r="BB109" s="763"/>
      <c r="BC109" s="763"/>
      <c r="BD109" s="763"/>
      <c r="BE109" s="763"/>
    </row>
    <row r="110" spans="8:8">
      <c r="A110" s="763"/>
      <c r="B110" s="763"/>
      <c r="C110" s="763"/>
      <c r="D110" s="763"/>
      <c r="E110" s="763"/>
      <c r="F110" s="763"/>
      <c r="G110" s="763"/>
      <c r="H110" s="763"/>
      <c r="I110" s="763"/>
      <c r="J110" s="763"/>
      <c r="K110" s="763"/>
      <c r="L110" s="763"/>
      <c r="M110" s="763"/>
      <c r="N110" s="763"/>
      <c r="O110" s="763"/>
      <c r="P110" s="763"/>
      <c r="Q110" s="763"/>
      <c r="R110" s="763"/>
      <c r="S110" s="763"/>
      <c r="T110" s="763"/>
      <c r="U110" s="763"/>
      <c r="V110" s="763"/>
      <c r="W110" s="763"/>
      <c r="X110" s="763"/>
      <c r="Y110" s="763"/>
      <c r="Z110" s="763"/>
      <c r="AA110" s="763"/>
      <c r="AB110" s="763"/>
      <c r="AC110" s="763"/>
      <c r="AD110" s="763"/>
      <c r="AE110" s="763"/>
      <c r="AF110" s="763"/>
      <c r="AG110" s="763"/>
      <c r="AH110" s="763"/>
      <c r="AI110" s="763"/>
      <c r="AJ110" s="763"/>
      <c r="AK110" s="763"/>
      <c r="AL110" s="763"/>
      <c r="AM110" s="763"/>
      <c r="AN110" s="763"/>
      <c r="AO110" s="763"/>
      <c r="AP110" s="763"/>
      <c r="AQ110" s="763"/>
      <c r="AR110" s="763"/>
      <c r="AS110" s="763"/>
      <c r="AT110" s="763"/>
      <c r="AU110" s="763"/>
      <c r="AV110" s="763"/>
      <c r="AW110" s="763"/>
      <c r="AX110" s="763"/>
      <c r="AY110" s="763"/>
      <c r="AZ110" s="763"/>
      <c r="BA110" s="763"/>
      <c r="BB110" s="763"/>
      <c r="BC110" s="763"/>
      <c r="BD110" s="763"/>
      <c r="BE110" s="763"/>
    </row>
    <row r="111" spans="8:8">
      <c r="A111" s="763"/>
      <c r="B111" s="763"/>
      <c r="C111" s="763"/>
      <c r="D111" s="763"/>
      <c r="E111" s="763"/>
      <c r="F111" s="763"/>
      <c r="G111" s="763"/>
      <c r="H111" s="763"/>
      <c r="I111" s="763"/>
      <c r="J111" s="763"/>
      <c r="K111" s="763"/>
      <c r="L111" s="763"/>
      <c r="M111" s="763"/>
      <c r="N111" s="763"/>
      <c r="O111" s="763"/>
      <c r="P111" s="763"/>
      <c r="Q111" s="763"/>
      <c r="R111" s="763"/>
      <c r="S111" s="763"/>
      <c r="T111" s="763"/>
      <c r="U111" s="763"/>
      <c r="V111" s="763"/>
      <c r="W111" s="763"/>
      <c r="X111" s="763"/>
      <c r="Y111" s="763"/>
      <c r="Z111" s="763"/>
      <c r="AA111" s="763"/>
      <c r="AB111" s="763"/>
      <c r="AC111" s="763"/>
      <c r="AD111" s="763"/>
      <c r="AE111" s="763"/>
      <c r="AF111" s="763"/>
      <c r="AG111" s="763"/>
      <c r="AH111" s="763"/>
      <c r="AI111" s="763"/>
      <c r="AJ111" s="763"/>
      <c r="AK111" s="763"/>
      <c r="AL111" s="763"/>
      <c r="AM111" s="763"/>
      <c r="AN111" s="763"/>
      <c r="AO111" s="763"/>
      <c r="AP111" s="763"/>
      <c r="AQ111" s="763"/>
      <c r="AR111" s="763"/>
      <c r="AS111" s="763"/>
      <c r="AT111" s="763"/>
      <c r="AU111" s="763"/>
      <c r="AV111" s="763"/>
      <c r="AW111" s="763"/>
      <c r="AX111" s="763"/>
      <c r="AY111" s="763"/>
      <c r="AZ111" s="763"/>
      <c r="BA111" s="763"/>
      <c r="BB111" s="763"/>
      <c r="BC111" s="763"/>
      <c r="BD111" s="763"/>
      <c r="BE111" s="763"/>
    </row>
    <row r="112" spans="8:8">
      <c r="A112" s="763"/>
      <c r="B112" s="763"/>
      <c r="C112" s="763"/>
      <c r="D112" s="763"/>
      <c r="E112" s="763"/>
      <c r="F112" s="763"/>
      <c r="G112" s="763"/>
      <c r="H112" s="763"/>
      <c r="I112" s="763"/>
      <c r="J112" s="763"/>
      <c r="K112" s="763"/>
      <c r="L112" s="763"/>
      <c r="M112" s="763"/>
      <c r="N112" s="763"/>
      <c r="O112" s="763"/>
      <c r="P112" s="763"/>
      <c r="Q112" s="763"/>
      <c r="R112" s="763"/>
      <c r="S112" s="763"/>
      <c r="T112" s="763"/>
      <c r="U112" s="763"/>
      <c r="V112" s="763"/>
      <c r="W112" s="763"/>
      <c r="X112" s="763"/>
      <c r="Y112" s="763"/>
      <c r="Z112" s="763"/>
      <c r="AA112" s="763"/>
      <c r="AB112" s="763"/>
      <c r="AC112" s="763"/>
      <c r="AD112" s="763"/>
      <c r="AE112" s="763"/>
      <c r="AF112" s="763"/>
      <c r="AG112" s="763"/>
      <c r="AH112" s="763"/>
      <c r="AI112" s="763"/>
      <c r="AJ112" s="763"/>
      <c r="AK112" s="763"/>
      <c r="AL112" s="763"/>
      <c r="AM112" s="763"/>
      <c r="AN112" s="763"/>
      <c r="AO112" s="763"/>
      <c r="AP112" s="763"/>
      <c r="AQ112" s="763"/>
      <c r="AR112" s="763"/>
      <c r="AS112" s="763"/>
      <c r="AT112" s="763"/>
      <c r="AU112" s="763"/>
      <c r="AV112" s="763"/>
      <c r="AW112" s="763"/>
      <c r="AX112" s="763"/>
      <c r="AY112" s="763"/>
      <c r="AZ112" s="763"/>
      <c r="BA112" s="763"/>
      <c r="BB112" s="763"/>
      <c r="BC112" s="763"/>
      <c r="BD112" s="763"/>
      <c r="BE112" s="763"/>
      <c r="BF112" s="763"/>
      <c r="BG112" s="763"/>
      <c r="BH112" s="763"/>
      <c r="BI112" s="763"/>
    </row>
    <row r="113" spans="8:8">
      <c r="A113" s="763"/>
      <c r="B113" s="763"/>
      <c r="C113" s="763"/>
      <c r="D113" s="763"/>
      <c r="E113" s="763"/>
      <c r="F113" s="763"/>
      <c r="G113" s="763"/>
      <c r="H113" s="763"/>
      <c r="I113" s="763"/>
      <c r="J113" s="763"/>
      <c r="K113" s="763"/>
      <c r="L113" s="763"/>
      <c r="M113" s="763"/>
      <c r="N113" s="763"/>
      <c r="O113" s="763"/>
      <c r="P113" s="763"/>
      <c r="Q113" s="763"/>
      <c r="R113" s="763"/>
      <c r="S113" s="763"/>
      <c r="T113" s="763"/>
      <c r="U113" s="763"/>
      <c r="V113" s="763"/>
      <c r="W113" s="763"/>
      <c r="X113" s="763"/>
      <c r="Y113" s="763"/>
      <c r="Z113" s="763"/>
      <c r="AA113" s="763"/>
      <c r="AB113" s="763"/>
      <c r="AC113" s="763"/>
      <c r="AD113" s="763"/>
      <c r="AE113" s="763"/>
      <c r="AF113" s="763"/>
      <c r="AG113" s="763"/>
      <c r="AH113" s="763"/>
      <c r="AI113" s="763"/>
      <c r="AJ113" s="763"/>
      <c r="AK113" s="763"/>
      <c r="AL113" s="763"/>
      <c r="AM113" s="763"/>
      <c r="AN113" s="763"/>
      <c r="AO113" s="763"/>
      <c r="AP113" s="763"/>
      <c r="AQ113" s="763"/>
      <c r="AR113" s="763"/>
      <c r="AS113" s="763"/>
      <c r="AT113" s="763"/>
      <c r="AU113" s="763"/>
      <c r="AV113" s="763"/>
      <c r="AW113" s="763"/>
      <c r="AX113" s="763"/>
      <c r="AY113" s="763"/>
      <c r="AZ113" s="763"/>
      <c r="BA113" s="763"/>
      <c r="BB113" s="763"/>
      <c r="BC113" s="763"/>
      <c r="BD113" s="763"/>
      <c r="BE113" s="763"/>
      <c r="BF113" s="763"/>
      <c r="BG113" s="763"/>
      <c r="BH113" s="763"/>
      <c r="BI113" s="763"/>
    </row>
    <row r="114" spans="8:8">
      <c r="A114" s="763"/>
      <c r="B114" s="763"/>
      <c r="C114" s="763"/>
      <c r="D114" s="763"/>
      <c r="E114" s="763"/>
      <c r="F114" s="763"/>
      <c r="G114" s="763"/>
      <c r="H114" s="763"/>
      <c r="I114" s="763"/>
      <c r="J114" s="763"/>
      <c r="K114" s="763"/>
      <c r="L114" s="763"/>
      <c r="M114" s="763"/>
      <c r="N114" s="763"/>
      <c r="O114" s="763"/>
      <c r="P114" s="763"/>
      <c r="Q114" s="763"/>
      <c r="R114" s="763"/>
      <c r="S114" s="763"/>
      <c r="T114" s="763"/>
      <c r="U114" s="763"/>
      <c r="V114" s="763"/>
      <c r="W114" s="763"/>
      <c r="X114" s="763"/>
      <c r="Y114" s="763"/>
      <c r="Z114" s="763"/>
      <c r="AA114" s="763"/>
      <c r="AB114" s="763"/>
      <c r="AC114" s="763"/>
      <c r="AD114" s="763"/>
      <c r="AE114" s="763"/>
      <c r="AF114" s="763"/>
      <c r="AG114" s="763"/>
      <c r="AH114" s="763"/>
      <c r="AI114" s="763"/>
      <c r="AJ114" s="763"/>
      <c r="AK114" s="763"/>
      <c r="AL114" s="763"/>
      <c r="AM114" s="763"/>
      <c r="AN114" s="763"/>
      <c r="AO114" s="763"/>
      <c r="AP114" s="763"/>
      <c r="AQ114" s="763"/>
      <c r="AR114" s="763"/>
      <c r="AS114" s="763"/>
      <c r="AT114" s="763"/>
      <c r="AU114" s="763"/>
      <c r="AV114" s="763"/>
      <c r="AW114" s="763"/>
      <c r="AX114" s="763"/>
      <c r="AY114" s="763"/>
      <c r="AZ114" s="763"/>
      <c r="BA114" s="763"/>
      <c r="BB114" s="763"/>
      <c r="BC114" s="763"/>
      <c r="BD114" s="763"/>
      <c r="BE114" s="763"/>
      <c r="BF114" s="763"/>
      <c r="BG114" s="763"/>
      <c r="BH114" s="763"/>
      <c r="BI114" s="763"/>
    </row>
    <row r="115" spans="8:8">
      <c r="A115" s="763"/>
      <c r="B115" s="763"/>
      <c r="C115" s="763"/>
      <c r="D115" s="763"/>
      <c r="E115" s="763"/>
      <c r="F115" s="763"/>
      <c r="G115" s="763"/>
      <c r="H115" s="763"/>
      <c r="I115" s="763"/>
      <c r="J115" s="763"/>
      <c r="K115" s="763"/>
      <c r="L115" s="763"/>
      <c r="M115" s="763"/>
      <c r="N115" s="763"/>
      <c r="O115" s="763"/>
      <c r="P115" s="763"/>
      <c r="Q115" s="763"/>
      <c r="R115" s="763"/>
      <c r="S115" s="763"/>
      <c r="T115" s="763"/>
      <c r="U115" s="763"/>
      <c r="V115" s="763"/>
      <c r="W115" s="763"/>
      <c r="X115" s="763"/>
      <c r="Y115" s="763"/>
      <c r="Z115" s="763"/>
      <c r="AA115" s="763"/>
      <c r="AB115" s="763"/>
      <c r="AC115" s="763"/>
      <c r="AD115" s="763"/>
      <c r="AE115" s="763"/>
      <c r="AF115" s="763"/>
      <c r="AG115" s="763"/>
      <c r="AH115" s="763"/>
      <c r="AI115" s="763"/>
      <c r="AJ115" s="763"/>
      <c r="AK115" s="763"/>
      <c r="AL115" s="763"/>
      <c r="AM115" s="763"/>
      <c r="AN115" s="763"/>
      <c r="AO115" s="763"/>
      <c r="AP115" s="763"/>
      <c r="AQ115" s="763"/>
      <c r="AR115" s="763"/>
      <c r="AS115" s="763"/>
      <c r="AT115" s="763"/>
      <c r="AU115" s="763"/>
      <c r="AV115" s="763"/>
      <c r="AW115" s="763"/>
      <c r="AX115" s="763"/>
      <c r="AY115" s="763"/>
      <c r="AZ115" s="763"/>
      <c r="BA115" s="763"/>
      <c r="BB115" s="763"/>
      <c r="BC115" s="763"/>
      <c r="BD115" s="763"/>
      <c r="BE115" s="763"/>
      <c r="BF115" s="763"/>
      <c r="BG115" s="763"/>
      <c r="BH115" s="763"/>
      <c r="BI115" s="763"/>
    </row>
    <row r="116" spans="8:8">
      <c r="A116" s="763"/>
      <c r="B116" s="763"/>
      <c r="C116" s="763"/>
      <c r="D116" s="763"/>
      <c r="E116" s="763"/>
      <c r="F116" s="763"/>
      <c r="G116" s="763"/>
      <c r="H116" s="763"/>
      <c r="I116" s="763"/>
      <c r="J116" s="763"/>
      <c r="K116" s="763"/>
      <c r="L116" s="763"/>
      <c r="M116" s="763"/>
      <c r="N116" s="763"/>
      <c r="O116" s="763"/>
      <c r="P116" s="763"/>
      <c r="Q116" s="763"/>
      <c r="R116" s="763"/>
      <c r="S116" s="763"/>
      <c r="T116" s="763"/>
      <c r="U116" s="763"/>
      <c r="V116" s="763"/>
      <c r="W116" s="763"/>
      <c r="X116" s="763"/>
      <c r="Y116" s="763"/>
      <c r="Z116" s="763"/>
      <c r="AA116" s="763"/>
      <c r="AB116" s="763"/>
      <c r="AC116" s="763"/>
      <c r="AD116" s="763"/>
      <c r="AE116" s="763"/>
      <c r="AF116" s="763"/>
      <c r="AG116" s="763"/>
      <c r="AH116" s="763"/>
      <c r="AI116" s="763"/>
      <c r="AJ116" s="763"/>
      <c r="AK116" s="763"/>
      <c r="AL116" s="763"/>
      <c r="AM116" s="763"/>
      <c r="AN116" s="763"/>
      <c r="AO116" s="763"/>
      <c r="AP116" s="763"/>
      <c r="AQ116" s="763"/>
      <c r="AR116" s="763"/>
      <c r="AS116" s="763"/>
      <c r="AT116" s="763"/>
      <c r="AU116" s="763"/>
      <c r="AV116" s="763"/>
      <c r="AW116" s="763"/>
      <c r="AX116" s="763"/>
      <c r="AY116" s="763"/>
      <c r="AZ116" s="763"/>
      <c r="BA116" s="763"/>
      <c r="BB116" s="763"/>
      <c r="BC116" s="763"/>
      <c r="BD116" s="763"/>
      <c r="BE116" s="763"/>
      <c r="BF116" s="763"/>
      <c r="BG116" s="763"/>
      <c r="BH116" s="763"/>
      <c r="BI116" s="763"/>
    </row>
    <row r="117" spans="8:8">
      <c r="A117" s="763"/>
      <c r="B117" s="763"/>
      <c r="C117" s="763"/>
      <c r="D117" s="763"/>
      <c r="E117" s="763"/>
      <c r="F117" s="763"/>
      <c r="G117" s="763"/>
      <c r="H117" s="763"/>
      <c r="I117" s="763"/>
      <c r="J117" s="763"/>
      <c r="K117" s="763"/>
      <c r="L117" s="763"/>
      <c r="M117" s="763"/>
      <c r="N117" s="763"/>
      <c r="O117" s="763"/>
      <c r="P117" s="763"/>
      <c r="Q117" s="763"/>
      <c r="R117" s="763"/>
      <c r="S117" s="763"/>
      <c r="T117" s="763"/>
      <c r="U117" s="763"/>
      <c r="V117" s="763"/>
      <c r="W117" s="763"/>
      <c r="X117" s="763"/>
      <c r="Y117" s="763"/>
      <c r="Z117" s="763"/>
      <c r="AA117" s="763"/>
      <c r="AB117" s="763"/>
      <c r="AC117" s="763"/>
      <c r="AD117" s="763"/>
      <c r="AE117" s="763"/>
      <c r="AF117" s="763"/>
      <c r="AG117" s="763"/>
      <c r="AH117" s="763"/>
      <c r="AI117" s="763"/>
      <c r="AJ117" s="763"/>
      <c r="AK117" s="763"/>
      <c r="AL117" s="763"/>
      <c r="AM117" s="763"/>
      <c r="AN117" s="763"/>
      <c r="AO117" s="763"/>
      <c r="AP117" s="763"/>
      <c r="AQ117" s="763"/>
      <c r="AR117" s="763"/>
      <c r="AS117" s="763"/>
      <c r="AT117" s="763"/>
      <c r="AU117" s="763"/>
      <c r="AV117" s="763"/>
      <c r="AW117" s="763"/>
      <c r="AX117" s="763"/>
      <c r="AY117" s="763"/>
      <c r="AZ117" s="763"/>
      <c r="BA117" s="763"/>
      <c r="BB117" s="763"/>
      <c r="BC117" s="763"/>
      <c r="BD117" s="763"/>
      <c r="BE117" s="763"/>
      <c r="BF117" s="763"/>
      <c r="BG117" s="763"/>
      <c r="BH117" s="763"/>
      <c r="BI117" s="763"/>
    </row>
    <row r="118" spans="8:8">
      <c r="A118" s="763"/>
      <c r="B118" s="763"/>
      <c r="C118" s="763"/>
      <c r="D118" s="763"/>
      <c r="E118" s="763"/>
      <c r="F118" s="763"/>
      <c r="G118" s="763"/>
      <c r="H118" s="763"/>
      <c r="I118" s="763"/>
      <c r="J118" s="763"/>
      <c r="K118" s="763"/>
      <c r="L118" s="763"/>
      <c r="M118" s="763"/>
      <c r="N118" s="763"/>
      <c r="O118" s="763"/>
      <c r="P118" s="763"/>
      <c r="Q118" s="763"/>
      <c r="R118" s="763"/>
      <c r="S118" s="763"/>
      <c r="T118" s="763"/>
      <c r="U118" s="763"/>
      <c r="V118" s="763"/>
      <c r="W118" s="763"/>
      <c r="X118" s="763"/>
      <c r="Y118" s="763"/>
      <c r="Z118" s="763"/>
      <c r="AA118" s="763"/>
      <c r="AB118" s="763"/>
      <c r="AC118" s="763"/>
      <c r="AD118" s="763"/>
      <c r="AE118" s="763"/>
      <c r="AF118" s="763"/>
      <c r="AG118" s="763"/>
      <c r="AH118" s="763"/>
      <c r="AI118" s="763"/>
      <c r="AJ118" s="763"/>
      <c r="AK118" s="763"/>
      <c r="AL118" s="763"/>
      <c r="AM118" s="763"/>
      <c r="AN118" s="763"/>
      <c r="AO118" s="763"/>
      <c r="AP118" s="763"/>
      <c r="AQ118" s="763"/>
      <c r="AR118" s="763"/>
      <c r="AS118" s="763"/>
      <c r="AT118" s="763"/>
      <c r="AU118" s="763"/>
      <c r="AV118" s="763"/>
      <c r="AW118" s="763"/>
      <c r="AX118" s="763"/>
      <c r="AY118" s="763"/>
      <c r="AZ118" s="763"/>
      <c r="BA118" s="763"/>
      <c r="BB118" s="763"/>
      <c r="BC118" s="763"/>
      <c r="BD118" s="763"/>
      <c r="BE118" s="763"/>
      <c r="BF118" s="763"/>
      <c r="BG118" s="763"/>
      <c r="BH118" s="763"/>
      <c r="BI118" s="763"/>
    </row>
    <row r="119" spans="8:8">
      <c r="A119" s="763"/>
      <c r="B119" s="763"/>
      <c r="C119" s="763"/>
      <c r="D119" s="763"/>
      <c r="E119" s="763"/>
      <c r="F119" s="763"/>
      <c r="G119" s="763"/>
      <c r="H119" s="763"/>
      <c r="I119" s="763"/>
      <c r="J119" s="763"/>
      <c r="K119" s="763"/>
      <c r="L119" s="763"/>
      <c r="M119" s="763"/>
      <c r="N119" s="763"/>
      <c r="O119" s="763"/>
      <c r="P119" s="763"/>
      <c r="Q119" s="763"/>
      <c r="R119" s="763"/>
      <c r="S119" s="763"/>
      <c r="T119" s="763"/>
      <c r="U119" s="763"/>
      <c r="V119" s="763"/>
      <c r="W119" s="763"/>
      <c r="X119" s="763"/>
      <c r="Y119" s="763"/>
      <c r="Z119" s="763"/>
      <c r="AA119" s="763"/>
      <c r="AB119" s="763"/>
      <c r="AC119" s="763"/>
      <c r="AD119" s="763"/>
      <c r="AE119" s="763"/>
      <c r="AF119" s="763"/>
      <c r="AG119" s="763"/>
      <c r="AH119" s="763"/>
      <c r="AI119" s="763"/>
      <c r="AJ119" s="763"/>
      <c r="AK119" s="763"/>
      <c r="AL119" s="763"/>
      <c r="AM119" s="763"/>
      <c r="AN119" s="763"/>
      <c r="AO119" s="763"/>
      <c r="AP119" s="763"/>
      <c r="AQ119" s="763"/>
      <c r="AR119" s="763"/>
      <c r="AS119" s="763"/>
      <c r="AT119" s="763"/>
      <c r="AU119" s="763"/>
      <c r="AV119" s="763"/>
      <c r="AW119" s="763"/>
      <c r="AX119" s="763"/>
      <c r="AY119" s="763"/>
      <c r="AZ119" s="763"/>
      <c r="BA119" s="763"/>
      <c r="BB119" s="763"/>
      <c r="BC119" s="763"/>
      <c r="BD119" s="763"/>
      <c r="BE119" s="763"/>
      <c r="BF119" s="763"/>
      <c r="BG119" s="763"/>
      <c r="BH119" s="763"/>
      <c r="BI119" s="763"/>
    </row>
    <row r="120" spans="8:8">
      <c r="A120" s="763"/>
      <c r="B120" s="763"/>
      <c r="C120" s="763"/>
      <c r="D120" s="763"/>
      <c r="E120" s="763"/>
      <c r="F120" s="763"/>
      <c r="G120" s="763"/>
      <c r="H120" s="763"/>
      <c r="I120" s="763"/>
      <c r="J120" s="763"/>
      <c r="K120" s="763"/>
      <c r="L120" s="763"/>
      <c r="M120" s="763"/>
      <c r="N120" s="763"/>
      <c r="O120" s="763"/>
      <c r="P120" s="763"/>
      <c r="Q120" s="763"/>
      <c r="R120" s="763"/>
      <c r="S120" s="763"/>
      <c r="T120" s="763"/>
      <c r="U120" s="763"/>
      <c r="V120" s="763"/>
      <c r="W120" s="763"/>
      <c r="X120" s="763"/>
      <c r="Y120" s="763"/>
      <c r="Z120" s="763"/>
      <c r="AA120" s="763"/>
      <c r="AB120" s="763"/>
      <c r="AC120" s="763"/>
      <c r="AD120" s="763"/>
      <c r="AE120" s="763"/>
      <c r="AF120" s="763"/>
      <c r="AG120" s="763"/>
      <c r="AH120" s="763"/>
      <c r="AI120" s="763"/>
      <c r="AJ120" s="763"/>
      <c r="AK120" s="763"/>
      <c r="AL120" s="763"/>
      <c r="AM120" s="763"/>
      <c r="AN120" s="763"/>
      <c r="AO120" s="763"/>
      <c r="AP120" s="763"/>
      <c r="AQ120" s="763"/>
      <c r="AR120" s="763"/>
      <c r="AS120" s="763"/>
      <c r="AT120" s="763"/>
      <c r="AU120" s="763"/>
      <c r="AV120" s="763"/>
      <c r="AW120" s="763"/>
      <c r="AX120" s="763"/>
      <c r="AY120" s="763"/>
      <c r="AZ120" s="763"/>
      <c r="BA120" s="763"/>
      <c r="BB120" s="763"/>
      <c r="BC120" s="763"/>
      <c r="BD120" s="763"/>
      <c r="BE120" s="763"/>
      <c r="BF120" s="763"/>
      <c r="BG120" s="763"/>
      <c r="BH120" s="763"/>
      <c r="BI120" s="763"/>
    </row>
    <row r="121" spans="8:8">
      <c r="A121" s="763"/>
      <c r="B121" s="763"/>
      <c r="C121" s="763"/>
      <c r="D121" s="763"/>
      <c r="E121" s="763"/>
      <c r="F121" s="763"/>
      <c r="G121" s="763"/>
      <c r="H121" s="763"/>
      <c r="I121" s="763"/>
      <c r="J121" s="763"/>
      <c r="K121" s="763"/>
      <c r="L121" s="763"/>
      <c r="M121" s="763"/>
      <c r="N121" s="763"/>
      <c r="O121" s="763"/>
      <c r="P121" s="763"/>
      <c r="Q121" s="763"/>
      <c r="R121" s="763"/>
      <c r="S121" s="763"/>
      <c r="T121" s="763"/>
      <c r="U121" s="763"/>
      <c r="V121" s="763"/>
      <c r="W121" s="763"/>
      <c r="X121" s="763"/>
      <c r="Y121" s="763"/>
      <c r="Z121" s="763"/>
      <c r="AA121" s="763"/>
      <c r="AB121" s="763"/>
      <c r="AC121" s="763"/>
      <c r="AD121" s="763"/>
      <c r="AE121" s="763"/>
      <c r="AF121" s="763"/>
      <c r="AG121" s="763"/>
      <c r="AH121" s="763"/>
      <c r="AI121" s="763"/>
      <c r="AJ121" s="763"/>
      <c r="AK121" s="763"/>
      <c r="AL121" s="763"/>
      <c r="AM121" s="763"/>
      <c r="AN121" s="763"/>
      <c r="AO121" s="763"/>
      <c r="AP121" s="763"/>
      <c r="AQ121" s="763"/>
      <c r="AR121" s="763"/>
      <c r="AS121" s="763"/>
      <c r="AT121" s="763"/>
      <c r="AU121" s="763"/>
      <c r="AV121" s="763"/>
      <c r="AW121" s="763"/>
      <c r="AX121" s="763"/>
      <c r="AY121" s="763"/>
      <c r="AZ121" s="763"/>
      <c r="BA121" s="763"/>
      <c r="BB121" s="763"/>
      <c r="BC121" s="763"/>
      <c r="BD121" s="763"/>
      <c r="BE121" s="763"/>
      <c r="BF121" s="763"/>
      <c r="BG121" s="763"/>
      <c r="BH121" s="763"/>
      <c r="BI121" s="763"/>
    </row>
    <row r="122" spans="8:8">
      <c r="A122" s="763"/>
      <c r="B122" s="763"/>
      <c r="C122" s="763"/>
      <c r="D122" s="763"/>
      <c r="E122" s="763"/>
      <c r="F122" s="763"/>
      <c r="G122" s="763"/>
      <c r="H122" s="763"/>
      <c r="I122" s="763"/>
      <c r="J122" s="763"/>
      <c r="K122" s="763"/>
      <c r="L122" s="763"/>
      <c r="M122" s="763"/>
      <c r="N122" s="763"/>
      <c r="O122" s="763"/>
      <c r="P122" s="763"/>
      <c r="Q122" s="763"/>
      <c r="R122" s="763"/>
      <c r="S122" s="763"/>
      <c r="T122" s="763"/>
      <c r="U122" s="763"/>
      <c r="V122" s="763"/>
      <c r="W122" s="763"/>
      <c r="X122" s="763"/>
      <c r="Y122" s="763"/>
      <c r="Z122" s="763"/>
      <c r="AA122" s="763"/>
      <c r="AB122" s="763"/>
      <c r="AC122" s="763"/>
      <c r="AD122" s="763"/>
      <c r="AE122" s="763"/>
      <c r="AF122" s="763"/>
      <c r="AG122" s="763"/>
      <c r="AH122" s="763"/>
      <c r="AI122" s="763"/>
      <c r="AJ122" s="763"/>
      <c r="AK122" s="763"/>
      <c r="AL122" s="763"/>
      <c r="AM122" s="763"/>
      <c r="AN122" s="763"/>
      <c r="AO122" s="763"/>
      <c r="AP122" s="763"/>
      <c r="AQ122" s="763"/>
      <c r="AR122" s="763"/>
      <c r="AS122" s="763"/>
      <c r="AT122" s="763"/>
      <c r="AU122" s="763"/>
      <c r="AV122" s="763"/>
      <c r="AW122" s="763"/>
      <c r="AX122" s="763"/>
      <c r="AY122" s="763"/>
      <c r="AZ122" s="763"/>
      <c r="BA122" s="763"/>
      <c r="BB122" s="763"/>
      <c r="BC122" s="763"/>
      <c r="BD122" s="763"/>
      <c r="BE122" s="763"/>
      <c r="BF122" s="763"/>
      <c r="BG122" s="763"/>
      <c r="BH122" s="763"/>
      <c r="BI122" s="763"/>
    </row>
    <row r="123" spans="8:8">
      <c r="A123" s="763"/>
      <c r="B123" s="763"/>
      <c r="C123" s="763"/>
      <c r="D123" s="763"/>
      <c r="E123" s="763"/>
      <c r="F123" s="763"/>
      <c r="G123" s="763"/>
      <c r="H123" s="763"/>
      <c r="I123" s="763"/>
      <c r="J123" s="763"/>
      <c r="K123" s="763"/>
      <c r="L123" s="763"/>
      <c r="M123" s="763"/>
      <c r="N123" s="763"/>
      <c r="O123" s="763"/>
      <c r="P123" s="763"/>
      <c r="Q123" s="763"/>
      <c r="R123" s="763"/>
      <c r="S123" s="763"/>
      <c r="T123" s="763"/>
      <c r="U123" s="763"/>
      <c r="V123" s="763"/>
      <c r="W123" s="763"/>
      <c r="X123" s="763"/>
      <c r="Y123" s="763"/>
      <c r="Z123" s="763"/>
      <c r="AA123" s="763"/>
      <c r="AB123" s="763"/>
      <c r="AC123" s="763"/>
      <c r="AD123" s="763"/>
      <c r="AE123" s="763"/>
      <c r="AF123" s="763"/>
      <c r="AG123" s="763"/>
      <c r="AH123" s="763"/>
      <c r="AI123" s="763"/>
      <c r="AJ123" s="763"/>
      <c r="AK123" s="763"/>
      <c r="AL123" s="763"/>
      <c r="AM123" s="763"/>
      <c r="AN123" s="763"/>
      <c r="AO123" s="763"/>
      <c r="AP123" s="763"/>
      <c r="AQ123" s="763"/>
      <c r="AR123" s="763"/>
      <c r="AS123" s="763"/>
      <c r="AT123" s="763"/>
      <c r="AU123" s="763"/>
      <c r="AV123" s="763"/>
      <c r="AW123" s="763"/>
      <c r="AX123" s="763"/>
      <c r="AY123" s="763"/>
      <c r="AZ123" s="763"/>
      <c r="BA123" s="763"/>
      <c r="BB123" s="763"/>
      <c r="BC123" s="763"/>
      <c r="BD123" s="763"/>
      <c r="BE123" s="763"/>
      <c r="BF123" s="763"/>
      <c r="BG123" s="763"/>
      <c r="BH123" s="763"/>
      <c r="BI123" s="763"/>
    </row>
    <row r="124" spans="8:8">
      <c r="A124" s="763"/>
      <c r="B124" s="763"/>
      <c r="C124" s="763"/>
      <c r="D124" s="763"/>
      <c r="E124" s="763"/>
      <c r="F124" s="763"/>
      <c r="G124" s="763"/>
      <c r="H124" s="763"/>
      <c r="I124" s="763"/>
      <c r="J124" s="763"/>
      <c r="K124" s="763"/>
      <c r="L124" s="763"/>
      <c r="M124" s="763"/>
      <c r="N124" s="763"/>
      <c r="O124" s="763"/>
      <c r="P124" s="763"/>
      <c r="Q124" s="763"/>
      <c r="R124" s="763"/>
      <c r="S124" s="763"/>
      <c r="T124" s="763"/>
      <c r="U124" s="763"/>
      <c r="V124" s="763"/>
      <c r="W124" s="763"/>
      <c r="X124" s="763"/>
      <c r="Y124" s="763"/>
      <c r="Z124" s="763"/>
      <c r="AA124" s="763"/>
      <c r="AB124" s="763"/>
      <c r="AC124" s="763"/>
      <c r="AD124" s="763"/>
      <c r="AE124" s="763"/>
      <c r="AF124" s="763"/>
      <c r="AG124" s="763"/>
      <c r="AH124" s="763"/>
      <c r="AI124" s="763"/>
      <c r="AJ124" s="763"/>
      <c r="AK124" s="763"/>
      <c r="AL124" s="763"/>
      <c r="AM124" s="763"/>
      <c r="AN124" s="763"/>
      <c r="AO124" s="763"/>
      <c r="AP124" s="763"/>
      <c r="AQ124" s="763"/>
      <c r="AR124" s="763"/>
      <c r="AS124" s="763"/>
      <c r="AT124" s="763"/>
      <c r="AU124" s="763"/>
      <c r="AV124" s="763"/>
      <c r="AW124" s="763"/>
      <c r="AX124" s="763"/>
      <c r="AY124" s="763"/>
      <c r="AZ124" s="763"/>
      <c r="BA124" s="763"/>
      <c r="BB124" s="763"/>
      <c r="BC124" s="763"/>
      <c r="BD124" s="763"/>
      <c r="BE124" s="763"/>
      <c r="BF124" s="763"/>
      <c r="BG124" s="763"/>
      <c r="BH124" s="763"/>
      <c r="BI124" s="763"/>
    </row>
    <row r="125" spans="8:8">
      <c r="A125" s="763"/>
      <c r="B125" s="763"/>
      <c r="C125" s="763"/>
      <c r="D125" s="763"/>
      <c r="E125" s="763"/>
      <c r="F125" s="763"/>
      <c r="G125" s="763"/>
      <c r="H125" s="763"/>
      <c r="I125" s="763"/>
      <c r="J125" s="763"/>
      <c r="K125" s="763"/>
      <c r="L125" s="763"/>
      <c r="M125" s="763"/>
      <c r="N125" s="763"/>
      <c r="O125" s="763"/>
      <c r="P125" s="763"/>
      <c r="Q125" s="763"/>
      <c r="R125" s="763"/>
      <c r="S125" s="763"/>
      <c r="T125" s="763"/>
      <c r="U125" s="763"/>
      <c r="V125" s="763"/>
      <c r="W125" s="763"/>
      <c r="X125" s="763"/>
      <c r="Y125" s="763"/>
      <c r="Z125" s="763"/>
      <c r="AA125" s="763"/>
      <c r="AB125" s="763"/>
      <c r="AC125" s="763"/>
      <c r="AD125" s="763"/>
      <c r="AE125" s="763"/>
      <c r="AF125" s="763"/>
      <c r="AG125" s="763"/>
      <c r="AH125" s="763"/>
      <c r="AI125" s="763"/>
      <c r="AJ125" s="763"/>
      <c r="AK125" s="763"/>
      <c r="AL125" s="763"/>
      <c r="AM125" s="763"/>
      <c r="AN125" s="763"/>
      <c r="AO125" s="763"/>
      <c r="AP125" s="763"/>
      <c r="AQ125" s="763"/>
      <c r="AR125" s="763"/>
      <c r="AS125" s="763"/>
      <c r="AT125" s="763"/>
      <c r="AU125" s="763"/>
      <c r="AV125" s="763"/>
      <c r="AW125" s="763"/>
      <c r="AX125" s="763"/>
      <c r="AY125" s="763"/>
      <c r="AZ125" s="763"/>
      <c r="BA125" s="763"/>
      <c r="BB125" s="763"/>
      <c r="BC125" s="763"/>
      <c r="BD125" s="763"/>
      <c r="BE125" s="763"/>
      <c r="BF125" s="763"/>
      <c r="BG125" s="763"/>
      <c r="BH125" s="763"/>
      <c r="BI125" s="763"/>
    </row>
    <row r="126" spans="8:8">
      <c r="A126" s="763"/>
      <c r="B126" s="763"/>
      <c r="C126" s="763"/>
      <c r="D126" s="763"/>
      <c r="E126" s="763"/>
      <c r="F126" s="763"/>
      <c r="G126" s="763"/>
      <c r="H126" s="763"/>
      <c r="I126" s="763"/>
      <c r="J126" s="763"/>
      <c r="K126" s="763"/>
      <c r="L126" s="763"/>
      <c r="M126" s="763"/>
      <c r="N126" s="763"/>
      <c r="O126" s="763"/>
      <c r="P126" s="763"/>
      <c r="Q126" s="763"/>
      <c r="R126" s="763"/>
      <c r="S126" s="763"/>
      <c r="T126" s="763"/>
      <c r="U126" s="763"/>
      <c r="V126" s="763"/>
      <c r="W126" s="763"/>
      <c r="X126" s="763"/>
      <c r="Y126" s="763"/>
      <c r="Z126" s="763"/>
      <c r="AA126" s="763"/>
      <c r="AB126" s="763"/>
      <c r="AC126" s="763"/>
      <c r="AD126" s="763"/>
      <c r="AE126" s="763"/>
      <c r="AF126" s="763"/>
      <c r="AG126" s="763"/>
      <c r="AH126" s="763"/>
      <c r="AI126" s="763"/>
      <c r="AJ126" s="763"/>
      <c r="AK126" s="763"/>
      <c r="AL126" s="763"/>
      <c r="AM126" s="763"/>
      <c r="AN126" s="763"/>
      <c r="AO126" s="763"/>
      <c r="AP126" s="763"/>
      <c r="AQ126" s="763"/>
      <c r="AR126" s="763"/>
      <c r="AS126" s="763"/>
      <c r="AT126" s="763"/>
      <c r="AU126" s="763"/>
      <c r="AV126" s="763"/>
      <c r="AW126" s="763"/>
      <c r="AX126" s="763"/>
      <c r="AY126" s="763"/>
      <c r="AZ126" s="763"/>
      <c r="BA126" s="763"/>
      <c r="BB126" s="763"/>
      <c r="BC126" s="763"/>
      <c r="BD126" s="763"/>
      <c r="BE126" s="763"/>
      <c r="BF126" s="763"/>
      <c r="BG126" s="763"/>
      <c r="BH126" s="763"/>
      <c r="BI126" s="763"/>
    </row>
    <row r="127" spans="8:8">
      <c r="A127" s="763"/>
      <c r="AT127" s="763"/>
      <c r="AU127" s="763"/>
      <c r="AV127" s="763"/>
      <c r="AW127" s="763"/>
      <c r="AX127" s="763"/>
      <c r="AY127" s="763"/>
      <c r="AZ127" s="763"/>
      <c r="BA127" s="763"/>
      <c r="BB127" s="763"/>
      <c r="BC127" s="763"/>
      <c r="BD127" s="763"/>
      <c r="BE127" s="763"/>
      <c r="BF127" s="763"/>
      <c r="BG127" s="763"/>
      <c r="BH127" s="763"/>
      <c r="BI127" s="763"/>
    </row>
    <row r="128" spans="8:8" ht="20.95">
      <c r="A128" s="763"/>
      <c r="AT128" s="763"/>
      <c r="AU128" s="763"/>
      <c r="AV128" s="763"/>
      <c r="AW128" s="763"/>
      <c r="AX128" s="763"/>
      <c r="AY128" s="763"/>
      <c r="AZ128" s="763"/>
      <c r="BA128" s="763"/>
      <c r="BB128" s="763"/>
      <c r="BC128" s="763"/>
      <c r="BD128" s="763"/>
      <c r="BE128" s="763"/>
      <c r="BF128" s="763"/>
      <c r="BG128" s="763"/>
      <c r="BH128" s="763"/>
      <c r="BI128" s="763"/>
    </row>
    <row r="129" spans="8:8">
      <c r="A129" s="763"/>
      <c r="AT129" s="763"/>
      <c r="AU129" s="763"/>
      <c r="AV129" s="763"/>
      <c r="AW129" s="763"/>
      <c r="AX129" s="763"/>
      <c r="AY129" s="763"/>
      <c r="AZ129" s="763"/>
      <c r="BA129" s="763"/>
      <c r="BB129" s="763"/>
      <c r="BC129" s="763"/>
      <c r="BD129" s="763"/>
      <c r="BE129" s="763"/>
      <c r="BF129" s="763"/>
      <c r="BG129" s="763"/>
      <c r="BH129" s="763"/>
      <c r="BI129" s="763"/>
    </row>
    <row r="130" spans="8:8" ht="20.95">
      <c r="A130" s="763"/>
      <c r="AT130" s="763"/>
      <c r="AU130" s="763"/>
      <c r="AV130" s="763"/>
      <c r="AW130" s="763"/>
      <c r="AX130" s="763"/>
      <c r="AY130" s="763"/>
      <c r="AZ130" s="763"/>
      <c r="BA130" s="763"/>
      <c r="BB130" s="763"/>
      <c r="BC130" s="763"/>
      <c r="BD130" s="763"/>
      <c r="BE130" s="763"/>
      <c r="BF130" s="763"/>
      <c r="BG130" s="763"/>
      <c r="BH130" s="763"/>
      <c r="BI130" s="763"/>
    </row>
    <row r="131" spans="8:8">
      <c r="A131" s="763"/>
      <c r="AT131" s="763"/>
      <c r="AU131" s="763"/>
      <c r="AV131" s="763"/>
      <c r="AW131" s="763"/>
      <c r="AX131" s="763"/>
      <c r="AY131" s="763"/>
      <c r="AZ131" s="763"/>
      <c r="BA131" s="763"/>
      <c r="BB131" s="763"/>
      <c r="BC131" s="763"/>
      <c r="BD131" s="763"/>
      <c r="BE131" s="763"/>
      <c r="BF131" s="763"/>
      <c r="BG131" s="763"/>
      <c r="BH131" s="763"/>
      <c r="BI131" s="763"/>
    </row>
    <row r="132" spans="8:8" ht="20.95">
      <c r="A132" s="763"/>
      <c r="AT132" s="763"/>
      <c r="AU132" s="763"/>
      <c r="AV132" s="763"/>
      <c r="AW132" s="763"/>
      <c r="AX132" s="763"/>
      <c r="AY132" s="763"/>
      <c r="AZ132" s="763"/>
      <c r="BA132" s="763"/>
      <c r="BB132" s="763"/>
      <c r="BC132" s="763"/>
      <c r="BD132" s="763"/>
      <c r="BE132" s="763"/>
      <c r="BF132" s="763"/>
      <c r="BG132" s="763"/>
      <c r="BH132" s="763"/>
      <c r="BI132" s="763"/>
    </row>
    <row r="133" spans="8:8">
      <c r="A133" s="763"/>
      <c r="AT133" s="763"/>
      <c r="AU133" s="763"/>
      <c r="AV133" s="763"/>
      <c r="AW133" s="763"/>
      <c r="AX133" s="763"/>
      <c r="AY133" s="763"/>
      <c r="AZ133" s="763"/>
      <c r="BA133" s="763"/>
      <c r="BB133" s="763"/>
      <c r="BC133" s="763"/>
      <c r="BD133" s="763"/>
      <c r="BE133" s="763"/>
      <c r="BF133" s="763"/>
      <c r="BG133" s="763"/>
      <c r="BH133" s="763"/>
      <c r="BI133" s="763"/>
    </row>
    <row r="134" spans="8:8" ht="20.95">
      <c r="A134" s="763"/>
      <c r="AT134" s="763"/>
      <c r="AU134" s="763"/>
      <c r="AV134" s="763"/>
      <c r="AW134" s="763"/>
      <c r="AX134" s="763"/>
      <c r="AY134" s="763"/>
      <c r="AZ134" s="763"/>
      <c r="BA134" s="763"/>
      <c r="BB134" s="763"/>
      <c r="BC134" s="763"/>
      <c r="BD134" s="763"/>
      <c r="BE134" s="763"/>
      <c r="BF134" s="763"/>
      <c r="BG134" s="763"/>
      <c r="BH134" s="763"/>
      <c r="BI134" s="763"/>
    </row>
    <row r="135" spans="8:8">
      <c r="A135" s="763"/>
      <c r="AT135" s="763"/>
      <c r="AU135" s="763"/>
      <c r="AV135" s="763"/>
      <c r="AW135" s="763"/>
      <c r="AX135" s="763"/>
      <c r="AY135" s="763"/>
      <c r="AZ135" s="763"/>
      <c r="BA135" s="763"/>
      <c r="BB135" s="763"/>
      <c r="BC135" s="763"/>
      <c r="BD135" s="763"/>
      <c r="BE135" s="763"/>
      <c r="BF135" s="763"/>
      <c r="BG135" s="763"/>
      <c r="BH135" s="763"/>
      <c r="BI135" s="763"/>
    </row>
    <row r="136" spans="8:8" ht="20.95">
      <c r="A136" s="763"/>
      <c r="AT136" s="763"/>
      <c r="AU136" s="763"/>
      <c r="AV136" s="763"/>
      <c r="AW136" s="763"/>
      <c r="AX136" s="763"/>
      <c r="AY136" s="763"/>
      <c r="AZ136" s="763"/>
      <c r="BA136" s="763"/>
      <c r="BB136" s="763"/>
      <c r="BC136" s="763"/>
      <c r="BD136" s="763"/>
      <c r="BE136" s="763"/>
      <c r="BF136" s="763"/>
      <c r="BG136" s="763"/>
      <c r="BH136" s="763"/>
      <c r="BI136" s="763"/>
    </row>
    <row r="137" spans="8:8">
      <c r="A137" s="763"/>
      <c r="AT137" s="763"/>
      <c r="AU137" s="763"/>
      <c r="AV137" s="763"/>
      <c r="AW137" s="763"/>
      <c r="AX137" s="763"/>
      <c r="AY137" s="763"/>
      <c r="AZ137" s="763"/>
      <c r="BA137" s="763"/>
      <c r="BB137" s="763"/>
      <c r="BC137" s="763"/>
      <c r="BD137" s="763"/>
      <c r="BE137" s="763"/>
      <c r="BF137" s="763"/>
      <c r="BG137" s="763"/>
      <c r="BH137" s="763"/>
      <c r="BI137" s="763"/>
    </row>
    <row r="138" spans="8:8" ht="20.95">
      <c r="A138" s="763"/>
      <c r="AT138" s="763"/>
      <c r="AU138" s="763"/>
      <c r="AV138" s="763"/>
      <c r="AW138" s="763"/>
      <c r="AX138" s="763"/>
      <c r="AY138" s="763"/>
      <c r="AZ138" s="763"/>
      <c r="BA138" s="763"/>
      <c r="BB138" s="763"/>
      <c r="BC138" s="763"/>
      <c r="BD138" s="763"/>
      <c r="BE138" s="763"/>
      <c r="BF138" s="763"/>
      <c r="BG138" s="763"/>
      <c r="BH138" s="763"/>
      <c r="BI138" s="763"/>
    </row>
    <row r="139" spans="8:8">
      <c r="A139" s="763"/>
      <c r="AT139" s="763"/>
      <c r="AU139" s="763"/>
      <c r="AV139" s="763"/>
      <c r="AW139" s="763"/>
      <c r="AX139" s="763"/>
      <c r="AY139" s="763"/>
      <c r="AZ139" s="763"/>
      <c r="BA139" s="763"/>
      <c r="BB139" s="763"/>
      <c r="BC139" s="763"/>
      <c r="BD139" s="763"/>
      <c r="BE139" s="763"/>
      <c r="BF139" s="763"/>
      <c r="BG139" s="763"/>
      <c r="BH139" s="763"/>
      <c r="BI139" s="763"/>
    </row>
    <row r="140" spans="8:8" ht="20.95">
      <c r="A140" s="763"/>
      <c r="AT140" s="763"/>
      <c r="AU140" s="763"/>
      <c r="AV140" s="763"/>
      <c r="AW140" s="763"/>
      <c r="AX140" s="763"/>
      <c r="AY140" s="763"/>
      <c r="AZ140" s="763"/>
      <c r="BA140" s="763"/>
      <c r="BB140" s="763"/>
      <c r="BC140" s="763"/>
      <c r="BD140" s="763"/>
      <c r="BE140" s="763"/>
      <c r="BF140" s="763"/>
      <c r="BG140" s="763"/>
      <c r="BH140" s="763"/>
      <c r="BI140" s="763"/>
    </row>
    <row r="141" spans="8:8">
      <c r="A141" s="763"/>
      <c r="AT141" s="763"/>
      <c r="AU141" s="763"/>
      <c r="AV141" s="763"/>
      <c r="AW141" s="763"/>
      <c r="AX141" s="763"/>
      <c r="AY141" s="763"/>
      <c r="AZ141" s="763"/>
      <c r="BA141" s="763"/>
      <c r="BB141" s="763"/>
      <c r="BC141" s="763"/>
      <c r="BD141" s="763"/>
      <c r="BE141" s="763"/>
      <c r="BF141" s="763"/>
      <c r="BG141" s="763"/>
      <c r="BH141" s="763"/>
      <c r="BI141" s="763"/>
    </row>
    <row r="142" spans="8:8" ht="20.95">
      <c r="A142" s="763"/>
      <c r="AT142" s="763"/>
      <c r="AU142" s="763"/>
      <c r="AV142" s="763"/>
      <c r="AW142" s="763"/>
      <c r="AX142" s="763"/>
      <c r="AY142" s="763"/>
      <c r="AZ142" s="763"/>
      <c r="BA142" s="763"/>
      <c r="BB142" s="763"/>
      <c r="BC142" s="763"/>
      <c r="BD142" s="763"/>
      <c r="BE142" s="763"/>
      <c r="BF142" s="763"/>
      <c r="BG142" s="763"/>
      <c r="BH142" s="763"/>
      <c r="BI142" s="763"/>
    </row>
    <row r="143" spans="8:8" ht="20.95">
      <c r="A143" s="763"/>
    </row>
    <row r="144" spans="8:8" ht="20.95">
      <c r="A144" s="763"/>
    </row>
    <row r="145" spans="8:8" ht="20.95">
      <c r="A145" s="763"/>
    </row>
    <row r="146" spans="8:8" ht="20.95">
      <c r="A146" s="763"/>
    </row>
    <row r="147" spans="8:8" ht="20.95">
      <c r="A147" s="763"/>
    </row>
    <row r="148" spans="8:8" ht="20.95">
      <c r="A148" s="763"/>
    </row>
    <row r="149" spans="8:8" ht="20.95">
      <c r="A149" s="763"/>
    </row>
    <row r="150" spans="8:8" ht="20.95">
      <c r="A150" s="763"/>
    </row>
    <row r="151" spans="8:8" ht="20.95">
      <c r="A151" s="763"/>
    </row>
    <row r="152" spans="8:8" ht="20.95">
      <c r="A152" s="763"/>
    </row>
    <row r="153" spans="8:8" ht="20.95">
      <c r="A153" s="763"/>
    </row>
    <row r="154" spans="8:8" ht="20.95">
      <c r="A154" s="763"/>
    </row>
    <row r="155" spans="8:8" ht="20.95">
      <c r="A155" s="763"/>
    </row>
    <row r="156" spans="8:8" ht="20.95">
      <c r="A156" s="763"/>
    </row>
    <row r="157" spans="8:8" ht="20.95">
      <c r="A157" s="763"/>
    </row>
    <row r="158" spans="8:8" ht="20.95">
      <c r="A158" s="763"/>
    </row>
    <row r="159" spans="8:8" ht="20.95">
      <c r="A159" s="763"/>
    </row>
    <row r="160" spans="8:8" ht="20.95">
      <c r="A160" s="763"/>
    </row>
    <row r="161" spans="8:8" ht="20.95">
      <c r="A161" s="763"/>
      <c r="B161" s="763"/>
      <c r="C161" s="763"/>
      <c r="D161" s="763"/>
      <c r="E161" s="763"/>
      <c r="F161" s="763"/>
      <c r="G161" s="763"/>
      <c r="H161" s="763"/>
      <c r="I161" s="763"/>
      <c r="J161" s="763"/>
      <c r="K161" s="763"/>
      <c r="L161" s="763"/>
      <c r="M161" s="763"/>
      <c r="N161" s="763"/>
      <c r="O161" s="763"/>
      <c r="P161" s="763"/>
      <c r="Q161" s="763"/>
      <c r="R161" s="763"/>
      <c r="S161" s="763"/>
      <c r="T161" s="763"/>
      <c r="U161" s="763"/>
      <c r="V161" s="763"/>
      <c r="W161" s="763"/>
      <c r="X161" s="763"/>
      <c r="Y161" s="763"/>
      <c r="Z161" s="763"/>
      <c r="AA161" s="763"/>
      <c r="AB161" s="763"/>
      <c r="AC161" s="763"/>
      <c r="AD161" s="763"/>
      <c r="AE161" s="763"/>
      <c r="AF161" s="763"/>
      <c r="AG161" s="763"/>
      <c r="AH161" s="763"/>
      <c r="AI161" s="763"/>
      <c r="AJ161" s="763"/>
      <c r="AK161" s="763"/>
      <c r="AL161" s="763"/>
      <c r="AM161" s="763"/>
      <c r="AN161" s="763"/>
      <c r="AO161" s="763"/>
      <c r="AP161" s="763"/>
      <c r="AQ161" s="763"/>
      <c r="AR161" s="763"/>
      <c r="AS161" s="763"/>
    </row>
    <row r="162" spans="8:8" ht="20.95">
      <c r="A162" s="763"/>
      <c r="AL162" s="763"/>
      <c r="AM162" s="763"/>
      <c r="AN162" s="763"/>
      <c r="AO162" s="763"/>
      <c r="AP162" s="763"/>
      <c r="AQ162" s="763"/>
      <c r="AR162" s="763"/>
      <c r="AS162" s="763"/>
    </row>
    <row r="163" spans="8:8" ht="20.95">
      <c r="A163" s="763"/>
      <c r="AL163" s="763"/>
      <c r="AM163" s="763"/>
      <c r="AN163" s="763"/>
      <c r="AO163" s="763"/>
      <c r="AP163" s="763"/>
      <c r="AQ163" s="763"/>
      <c r="AR163" s="763"/>
      <c r="AS163" s="763"/>
    </row>
    <row r="164" spans="8:8" ht="20.95">
      <c r="A164" s="763"/>
      <c r="AL164" s="763"/>
      <c r="AM164" s="763"/>
      <c r="AN164" s="763"/>
      <c r="AO164" s="763"/>
      <c r="AP164" s="763"/>
      <c r="AQ164" s="763"/>
      <c r="AR164" s="763"/>
      <c r="AS164" s="763"/>
    </row>
    <row r="165" spans="8:8" ht="20.95">
      <c r="A165" s="763"/>
      <c r="AL165" s="763"/>
      <c r="AM165" s="763"/>
      <c r="AN165" s="763"/>
      <c r="AO165" s="763"/>
      <c r="AP165" s="763"/>
      <c r="AQ165" s="763"/>
      <c r="AR165" s="763"/>
      <c r="AS165" s="763"/>
    </row>
    <row r="166" spans="8:8" ht="20.95">
      <c r="A166" s="763"/>
      <c r="AL166" s="763"/>
      <c r="AM166" s="763"/>
      <c r="AN166" s="763"/>
      <c r="AO166" s="763"/>
      <c r="AP166" s="763"/>
      <c r="AQ166" s="763"/>
      <c r="AR166" s="763"/>
      <c r="AS166" s="763"/>
    </row>
    <row r="167" spans="8:8" ht="20.95">
      <c r="A167" s="763"/>
      <c r="AL167" s="763"/>
      <c r="AM167" s="763"/>
      <c r="AN167" s="763"/>
      <c r="AO167" s="763"/>
      <c r="AP167" s="763"/>
      <c r="AQ167" s="763"/>
      <c r="AR167" s="763"/>
      <c r="AS167" s="763"/>
    </row>
    <row r="168" spans="8:8" ht="20.95">
      <c r="A168" s="763"/>
      <c r="AL168" s="763"/>
      <c r="AM168" s="763"/>
      <c r="AN168" s="763"/>
      <c r="AO168" s="763"/>
      <c r="AP168" s="763"/>
      <c r="AQ168" s="763"/>
      <c r="AR168" s="763"/>
      <c r="AS168" s="763"/>
    </row>
    <row r="169" spans="8:8" ht="20.95">
      <c r="A169" s="763"/>
      <c r="AL169" s="763"/>
      <c r="AM169" s="763"/>
      <c r="AN169" s="763"/>
      <c r="AO169" s="763"/>
      <c r="AP169" s="763"/>
      <c r="AQ169" s="763"/>
      <c r="AR169" s="763"/>
      <c r="AS169" s="763"/>
    </row>
    <row r="170" spans="8:8" ht="20.95">
      <c r="A170" s="763"/>
      <c r="B170" s="845"/>
      <c r="C170" s="845"/>
      <c r="D170" s="845"/>
      <c r="E170" s="845"/>
      <c r="F170" s="845"/>
      <c r="G170" s="845"/>
      <c r="H170" s="845"/>
      <c r="I170" s="845"/>
      <c r="J170" s="845"/>
      <c r="K170" s="845"/>
      <c r="L170" s="845"/>
      <c r="M170" s="845"/>
      <c r="N170" s="845"/>
      <c r="O170" s="845"/>
      <c r="P170" s="845"/>
      <c r="Q170" s="845"/>
      <c r="R170" s="845"/>
      <c r="S170" s="845"/>
      <c r="T170" s="845"/>
      <c r="U170" s="845"/>
      <c r="V170" s="845"/>
      <c r="W170" s="845"/>
      <c r="X170" s="845"/>
      <c r="Y170" s="845"/>
      <c r="Z170" s="845"/>
      <c r="AA170" s="845"/>
      <c r="AB170" s="845"/>
      <c r="AC170" s="845"/>
      <c r="AD170" s="845"/>
      <c r="AE170" s="845"/>
      <c r="AF170" s="845"/>
      <c r="AG170" s="845"/>
      <c r="AH170" s="845"/>
      <c r="AI170" s="845"/>
      <c r="AJ170" s="845"/>
      <c r="AK170" s="845"/>
      <c r="AL170" s="763"/>
      <c r="AM170" s="763"/>
      <c r="AN170" s="763"/>
      <c r="AO170" s="763"/>
      <c r="AP170" s="763"/>
      <c r="AQ170" s="763"/>
      <c r="AR170" s="763"/>
      <c r="AS170" s="763"/>
    </row>
    <row r="171" spans="8:8" ht="23.8">
      <c r="A171" s="763"/>
      <c r="AL171" s="1121"/>
      <c r="AM171" s="1121"/>
      <c r="AN171" s="1121"/>
      <c r="AO171" s="1121"/>
      <c r="AP171" s="1121"/>
      <c r="AQ171" s="1121"/>
      <c r="AR171" s="1121"/>
      <c r="AS171" s="1121"/>
    </row>
    <row r="172" spans="8:8" ht="23.8">
      <c r="A172" s="763"/>
      <c r="AL172" s="1121"/>
      <c r="AM172" s="1121"/>
      <c r="AN172" s="1121"/>
      <c r="AO172" s="1121"/>
      <c r="AP172" s="1121"/>
      <c r="AQ172" s="1121"/>
      <c r="AR172" s="1121"/>
      <c r="AS172" s="1121"/>
    </row>
    <row r="173" spans="8:8" ht="23.8">
      <c r="A173" s="763"/>
      <c r="AL173" s="1121"/>
      <c r="AM173" s="1121"/>
      <c r="AN173" s="1121"/>
      <c r="AO173" s="1121"/>
      <c r="AP173" s="1121"/>
      <c r="AQ173" s="1121"/>
      <c r="AR173" s="1121"/>
      <c r="AS173" s="1121"/>
    </row>
    <row r="174" spans="8:8" ht="23.8">
      <c r="A174" s="763"/>
      <c r="AL174" s="1121"/>
      <c r="AM174" s="1121"/>
      <c r="AN174" s="1121"/>
      <c r="AO174" s="1121"/>
      <c r="AP174" s="1121"/>
      <c r="AQ174" s="1121"/>
      <c r="AR174" s="1121"/>
      <c r="AS174" s="1121"/>
    </row>
    <row r="175" spans="8:8" ht="23.8">
      <c r="A175" s="763"/>
      <c r="AL175" s="1121"/>
      <c r="AM175" s="1121"/>
      <c r="AN175" s="1121"/>
      <c r="AO175" s="1121"/>
      <c r="AP175" s="1121"/>
      <c r="AQ175" s="1121"/>
      <c r="AR175" s="1121"/>
      <c r="AS175" s="1121"/>
    </row>
    <row r="176" spans="8:8" ht="23.8">
      <c r="A176" s="763"/>
      <c r="AL176" s="1121"/>
      <c r="AM176" s="1121"/>
      <c r="AN176" s="1121"/>
      <c r="AO176" s="1121"/>
      <c r="AP176" s="1121"/>
      <c r="AQ176" s="1121"/>
      <c r="AR176" s="1121"/>
      <c r="AS176" s="1121"/>
    </row>
    <row r="177" spans="8:8" ht="23.8">
      <c r="A177" s="763"/>
      <c r="AL177" s="1121"/>
      <c r="AM177" s="1121"/>
      <c r="AN177" s="1121"/>
      <c r="AO177" s="1121"/>
      <c r="AP177" s="1121"/>
      <c r="AQ177" s="1121"/>
      <c r="AR177" s="1121"/>
      <c r="AS177" s="1121"/>
    </row>
    <row r="178" spans="8:8" ht="23.8">
      <c r="A178" s="763"/>
      <c r="AL178" s="1121"/>
      <c r="AM178" s="1121"/>
      <c r="AN178" s="1121"/>
      <c r="AO178" s="1121"/>
      <c r="AP178" s="1121"/>
      <c r="AQ178" s="1121"/>
      <c r="AR178" s="1121"/>
      <c r="AS178" s="1121"/>
    </row>
    <row r="179" spans="8:8" ht="23.8">
      <c r="A179" s="763"/>
      <c r="AL179" s="1121"/>
      <c r="AM179" s="1121"/>
      <c r="AN179" s="1121"/>
      <c r="AO179" s="1121"/>
      <c r="AP179" s="1121"/>
      <c r="AQ179" s="1121"/>
      <c r="AR179" s="1121"/>
      <c r="AS179" s="1121"/>
    </row>
    <row r="180" spans="8:8" ht="23.8">
      <c r="A180" s="763"/>
      <c r="AL180" s="1121"/>
      <c r="AM180" s="1121"/>
      <c r="AN180" s="1121"/>
      <c r="AO180" s="1121"/>
      <c r="AP180" s="1121"/>
      <c r="AQ180" s="1121"/>
      <c r="AR180" s="1121"/>
      <c r="AS180" s="1121"/>
    </row>
    <row r="181" spans="8:8" ht="23.8">
      <c r="A181" s="763"/>
      <c r="AL181" s="1121"/>
      <c r="AM181" s="1121"/>
      <c r="AN181" s="1121"/>
      <c r="AO181" s="1121"/>
      <c r="AP181" s="1121"/>
      <c r="AQ181" s="1121"/>
      <c r="AR181" s="1121"/>
      <c r="AS181" s="1121"/>
    </row>
    <row r="182" spans="8:8" ht="23.8">
      <c r="A182" s="763"/>
      <c r="AL182" s="1121"/>
      <c r="AM182" s="1121"/>
      <c r="AN182" s="1121"/>
      <c r="AO182" s="1121"/>
      <c r="AP182" s="1121"/>
      <c r="AQ182" s="1121"/>
      <c r="AR182" s="1121"/>
      <c r="AS182" s="1121"/>
    </row>
    <row r="183" spans="8:8" ht="23.8">
      <c r="A183" s="763"/>
      <c r="AL183" s="1121"/>
      <c r="AM183" s="1121"/>
      <c r="AN183" s="1121"/>
      <c r="AO183" s="1121"/>
      <c r="AP183" s="1121"/>
      <c r="AQ183" s="1121"/>
      <c r="AR183" s="1121"/>
      <c r="AS183" s="1121"/>
    </row>
    <row r="184" spans="8:8" ht="23.8">
      <c r="A184" s="763"/>
      <c r="AL184" s="1121"/>
      <c r="AM184" s="1121"/>
      <c r="AN184" s="1121"/>
      <c r="AO184" s="1121"/>
      <c r="AP184" s="1121"/>
      <c r="AQ184" s="1121"/>
      <c r="AR184" s="1121"/>
      <c r="AS184" s="1121"/>
    </row>
    <row r="185" spans="8:8" ht="23.8">
      <c r="A185" s="763"/>
      <c r="AL185" s="1121"/>
      <c r="AM185" s="1121"/>
      <c r="AN185" s="1121"/>
      <c r="AO185" s="1121"/>
      <c r="AP185" s="1121"/>
      <c r="AQ185" s="1121"/>
      <c r="AR185" s="1121"/>
      <c r="AS185" s="1121"/>
    </row>
    <row r="186" spans="8:8" ht="23.8">
      <c r="A186" s="763"/>
      <c r="AL186" s="1121"/>
      <c r="AM186" s="1121"/>
      <c r="AN186" s="1121"/>
      <c r="AO186" s="1121"/>
      <c r="AP186" s="1121"/>
      <c r="AQ186" s="1121"/>
      <c r="AR186" s="1121"/>
      <c r="AS186" s="1121"/>
    </row>
    <row r="187" spans="8:8" ht="23.8">
      <c r="A187" s="763"/>
      <c r="AL187" s="1121"/>
      <c r="AM187" s="1121"/>
      <c r="AN187" s="1121"/>
      <c r="AO187" s="1121"/>
      <c r="AP187" s="1121"/>
      <c r="AQ187" s="1121"/>
      <c r="AR187" s="1121"/>
      <c r="AS187" s="1121"/>
    </row>
    <row r="188" spans="8:8" ht="23.8">
      <c r="A188" s="763"/>
      <c r="AL188" s="1121"/>
      <c r="AM188" s="1121"/>
      <c r="AN188" s="1121"/>
      <c r="AO188" s="1121"/>
      <c r="AP188" s="1121"/>
      <c r="AQ188" s="1121"/>
      <c r="AR188" s="1121"/>
      <c r="AS188" s="1121"/>
    </row>
    <row r="189" spans="8:8" ht="23.8">
      <c r="A189" s="763"/>
      <c r="AL189" s="1121"/>
      <c r="AM189" s="1121"/>
      <c r="AN189" s="1121"/>
      <c r="AO189" s="1121"/>
      <c r="AP189" s="1121"/>
      <c r="AQ189" s="1121"/>
      <c r="AR189" s="1121"/>
      <c r="AS189" s="1121"/>
    </row>
    <row r="190" spans="8:8" ht="23.8">
      <c r="A190" s="763"/>
      <c r="AL190" s="1121"/>
      <c r="AM190" s="1121"/>
      <c r="AN190" s="1121"/>
      <c r="AO190" s="1121"/>
      <c r="AP190" s="1121"/>
      <c r="AQ190" s="1121"/>
      <c r="AR190" s="1121"/>
      <c r="AS190" s="1121"/>
    </row>
    <row r="191" spans="8:8" ht="23.8">
      <c r="A191" s="763"/>
      <c r="AL191" s="1121"/>
      <c r="AM191" s="1121"/>
      <c r="AN191" s="1121"/>
      <c r="AO191" s="1121"/>
      <c r="AP191" s="1121"/>
      <c r="AQ191" s="1121"/>
      <c r="AR191" s="1121"/>
      <c r="AS191" s="1121"/>
    </row>
    <row r="192" spans="8:8" ht="23.8">
      <c r="A192" s="763"/>
      <c r="AL192" s="1121"/>
      <c r="AM192" s="1121"/>
      <c r="AN192" s="1121"/>
      <c r="AO192" s="1121"/>
      <c r="AP192" s="1121"/>
      <c r="AQ192" s="1121"/>
      <c r="AR192" s="1121"/>
      <c r="AS192" s="1121"/>
    </row>
    <row r="193" spans="8:8" ht="23.8">
      <c r="A193" s="763"/>
      <c r="AL193" s="1121"/>
      <c r="AM193" s="1121"/>
      <c r="AN193" s="1121"/>
      <c r="AO193" s="1121"/>
      <c r="AP193" s="1121"/>
      <c r="AQ193" s="1121"/>
      <c r="AR193" s="1121"/>
      <c r="AS193" s="1121"/>
    </row>
    <row r="194" spans="8:8" ht="23.8">
      <c r="A194" s="763"/>
      <c r="AL194" s="1121"/>
      <c r="AM194" s="1121"/>
      <c r="AN194" s="1121"/>
      <c r="AO194" s="1121"/>
      <c r="AP194" s="1121"/>
      <c r="AQ194" s="1121"/>
      <c r="AR194" s="1121"/>
      <c r="AS194" s="1121"/>
    </row>
    <row r="195" spans="8:8" ht="23.8">
      <c r="A195" s="763"/>
      <c r="AL195" s="1121"/>
      <c r="AM195" s="1121"/>
      <c r="AN195" s="1121"/>
      <c r="AO195" s="1121"/>
      <c r="AP195" s="1121"/>
      <c r="AQ195" s="1121"/>
      <c r="AR195" s="1121"/>
      <c r="AS195" s="1121"/>
    </row>
    <row r="196" spans="8:8" ht="23.8">
      <c r="A196" s="763"/>
      <c r="AL196" s="1121"/>
      <c r="AM196" s="1121"/>
      <c r="AN196" s="1121"/>
      <c r="AO196" s="1121"/>
      <c r="AP196" s="1121"/>
      <c r="AQ196" s="1121"/>
      <c r="AR196" s="1121"/>
      <c r="AS196" s="1121"/>
    </row>
    <row r="197" spans="8:8" ht="23.8">
      <c r="A197" s="763"/>
      <c r="AL197" s="1121"/>
      <c r="AM197" s="1121"/>
      <c r="AN197" s="1121"/>
      <c r="AO197" s="1121"/>
      <c r="AP197" s="1121"/>
      <c r="AQ197" s="1121"/>
      <c r="AR197" s="1121"/>
      <c r="AS197" s="1121"/>
    </row>
    <row r="198" spans="8:8" ht="23.8">
      <c r="A198" s="763"/>
      <c r="AL198" s="1121"/>
      <c r="AM198" s="1121"/>
      <c r="AN198" s="1121"/>
      <c r="AO198" s="1121"/>
      <c r="AP198" s="1121"/>
      <c r="AQ198" s="1121"/>
      <c r="AR198" s="1121"/>
      <c r="AS198" s="1121"/>
    </row>
    <row r="199" spans="8:8" ht="23.8">
      <c r="A199" s="763"/>
      <c r="AL199" s="1121"/>
      <c r="AM199" s="1121"/>
      <c r="AN199" s="1121"/>
      <c r="AO199" s="1121"/>
      <c r="AP199" s="1121"/>
      <c r="AQ199" s="1121"/>
      <c r="AR199" s="1121"/>
      <c r="AS199" s="1121"/>
    </row>
    <row r="200" spans="8:8" ht="23.8">
      <c r="A200" s="763"/>
      <c r="AL200" s="1121"/>
      <c r="AM200" s="1121"/>
      <c r="AN200" s="1121"/>
      <c r="AO200" s="1121"/>
      <c r="AP200" s="1121"/>
      <c r="AQ200" s="1121"/>
      <c r="AR200" s="1121"/>
      <c r="AS200" s="1121"/>
    </row>
    <row r="201" spans="8:8" ht="23.8">
      <c r="A201" s="763"/>
      <c r="AL201" s="1121"/>
      <c r="AM201" s="1121"/>
      <c r="AN201" s="1121"/>
      <c r="AO201" s="1121"/>
      <c r="AP201" s="1121"/>
      <c r="AQ201" s="1121"/>
      <c r="AR201" s="1121"/>
      <c r="AS201" s="1121"/>
    </row>
    <row r="202" spans="8:8" ht="23.8">
      <c r="A202" s="763"/>
      <c r="AL202" s="1121"/>
      <c r="AM202" s="1121"/>
      <c r="AN202" s="1121"/>
      <c r="AO202" s="1121"/>
      <c r="AP202" s="1121"/>
      <c r="AQ202" s="1121"/>
      <c r="AR202" s="1121"/>
      <c r="AS202" s="1121"/>
    </row>
    <row r="203" spans="8:8" ht="23.8">
      <c r="A203" s="763"/>
      <c r="AL203" s="1121"/>
      <c r="AM203" s="1121"/>
      <c r="AN203" s="1121"/>
      <c r="AO203" s="1121"/>
      <c r="AP203" s="1121"/>
      <c r="AQ203" s="1121"/>
      <c r="AR203" s="1121"/>
      <c r="AS203" s="1121"/>
    </row>
    <row r="204" spans="8:8" ht="23.8">
      <c r="A204" s="763"/>
      <c r="AL204" s="1121"/>
      <c r="AM204" s="1121"/>
      <c r="AN204" s="1121"/>
      <c r="AO204" s="1121"/>
      <c r="AP204" s="1121"/>
      <c r="AQ204" s="1121"/>
      <c r="AR204" s="1121"/>
      <c r="AS204" s="1121"/>
    </row>
    <row r="205" spans="8:8" ht="23.8">
      <c r="A205" s="763"/>
      <c r="AL205" s="1121"/>
      <c r="AM205" s="1121"/>
      <c r="AN205" s="1121"/>
      <c r="AO205" s="1121"/>
      <c r="AP205" s="1121"/>
      <c r="AQ205" s="1121"/>
      <c r="AR205" s="1121"/>
      <c r="AS205" s="1121"/>
    </row>
    <row r="206" spans="8:8" ht="23.8">
      <c r="A206" s="763"/>
      <c r="AL206" s="1121"/>
      <c r="AM206" s="1121"/>
      <c r="AN206" s="1121"/>
      <c r="AO206" s="1121"/>
      <c r="AP206" s="1121"/>
      <c r="AQ206" s="1121"/>
      <c r="AR206" s="1121"/>
      <c r="AS206" s="1121"/>
    </row>
    <row r="207" spans="8:8">
      <c r="A207" s="763"/>
      <c r="B207" s="763"/>
      <c r="C207" s="763"/>
      <c r="D207" s="763"/>
      <c r="E207" s="763"/>
      <c r="F207" s="763"/>
      <c r="G207" s="763"/>
      <c r="H207" s="763"/>
      <c r="I207" s="763"/>
      <c r="J207" s="763"/>
      <c r="K207" s="763"/>
      <c r="L207" s="763"/>
      <c r="M207" s="763"/>
      <c r="N207" s="763"/>
      <c r="O207" s="763"/>
      <c r="P207" s="763"/>
      <c r="Q207" s="763"/>
    </row>
    <row r="208" spans="8:8">
      <c r="A208" s="763"/>
      <c r="B208" s="763"/>
      <c r="C208" s="763"/>
      <c r="D208" s="763"/>
      <c r="E208" s="763"/>
      <c r="F208" s="763"/>
      <c r="G208" s="763"/>
      <c r="H208" s="763"/>
      <c r="I208" s="763"/>
      <c r="J208" s="763"/>
      <c r="K208" s="763"/>
      <c r="L208" s="763"/>
      <c r="M208" s="763"/>
      <c r="N208" s="763"/>
      <c r="O208" s="763"/>
      <c r="P208" s="763"/>
      <c r="Q208" s="763"/>
    </row>
    <row r="209" spans="8:8">
      <c r="A209" s="763"/>
      <c r="B209" s="763"/>
      <c r="C209" s="763"/>
      <c r="D209" s="763"/>
      <c r="E209" s="763"/>
      <c r="F209" s="763"/>
      <c r="G209" s="763"/>
      <c r="H209" s="763"/>
      <c r="I209" s="763"/>
      <c r="J209" s="763"/>
      <c r="K209" s="763"/>
      <c r="L209" s="763"/>
      <c r="M209" s="763"/>
      <c r="N209" s="763"/>
      <c r="O209" s="763"/>
      <c r="P209" s="763"/>
      <c r="Q209" s="763"/>
    </row>
    <row r="210" spans="8:8">
      <c r="A210" s="763"/>
      <c r="B210" s="763"/>
      <c r="C210" s="763"/>
      <c r="D210" s="763"/>
      <c r="E210" s="763"/>
      <c r="F210" s="763"/>
      <c r="G210" s="763"/>
      <c r="H210" s="763"/>
      <c r="I210" s="763"/>
      <c r="J210" s="763"/>
      <c r="K210" s="763"/>
      <c r="L210" s="763"/>
      <c r="M210" s="763"/>
      <c r="N210" s="763"/>
      <c r="O210" s="763"/>
      <c r="P210" s="763"/>
      <c r="Q210" s="763"/>
    </row>
    <row r="211" spans="8:8">
      <c r="A211" s="763"/>
      <c r="B211" s="763"/>
      <c r="C211" s="763"/>
      <c r="D211" s="763"/>
      <c r="E211" s="763"/>
      <c r="F211" s="763"/>
      <c r="G211" s="763"/>
      <c r="H211" s="763"/>
      <c r="I211" s="763"/>
      <c r="J211" s="763"/>
      <c r="K211" s="763"/>
      <c r="L211" s="763"/>
      <c r="M211" s="763"/>
      <c r="N211" s="763"/>
      <c r="O211" s="763"/>
      <c r="P211" s="763"/>
      <c r="Q211" s="763"/>
    </row>
    <row r="212" spans="8:8">
      <c r="A212" s="763"/>
      <c r="B212" s="763"/>
      <c r="C212" s="763"/>
      <c r="D212" s="763"/>
      <c r="E212" s="763"/>
      <c r="F212" s="763"/>
      <c r="G212" s="763"/>
      <c r="H212" s="763"/>
      <c r="I212" s="763"/>
      <c r="J212" s="763"/>
      <c r="K212" s="763"/>
      <c r="L212" s="763"/>
      <c r="M212" s="763"/>
      <c r="N212" s="763"/>
      <c r="O212" s="763"/>
      <c r="P212" s="763"/>
      <c r="Q212" s="763"/>
    </row>
    <row r="213" spans="8:8">
      <c r="A213" s="763"/>
      <c r="B213" s="763"/>
      <c r="C213" s="763"/>
      <c r="D213" s="763"/>
      <c r="E213" s="763"/>
      <c r="F213" s="763"/>
      <c r="G213" s="763"/>
      <c r="H213" s="763"/>
      <c r="I213" s="763"/>
      <c r="J213" s="763"/>
      <c r="K213" s="763"/>
      <c r="L213" s="763"/>
      <c r="M213" s="763"/>
      <c r="N213" s="763"/>
      <c r="O213" s="763"/>
      <c r="P213" s="763"/>
      <c r="Q213" s="763"/>
    </row>
    <row r="214" spans="8:8">
      <c r="A214" s="763"/>
      <c r="B214" s="763"/>
      <c r="C214" s="763"/>
      <c r="D214" s="763"/>
      <c r="E214" s="763"/>
      <c r="F214" s="763"/>
      <c r="G214" s="763"/>
      <c r="H214" s="763"/>
      <c r="I214" s="763"/>
      <c r="J214" s="763"/>
      <c r="K214" s="763"/>
      <c r="L214" s="763"/>
      <c r="M214" s="763"/>
      <c r="N214" s="763"/>
      <c r="O214" s="763"/>
      <c r="P214" s="763"/>
      <c r="Q214" s="763"/>
    </row>
    <row r="215" spans="8:8">
      <c r="A215" s="763"/>
      <c r="B215" s="763"/>
      <c r="C215" s="763"/>
      <c r="D215" s="763"/>
      <c r="E215" s="763"/>
      <c r="F215" s="763"/>
      <c r="G215" s="763"/>
      <c r="H215" s="763"/>
      <c r="I215" s="763"/>
      <c r="J215" s="763"/>
      <c r="K215" s="763"/>
      <c r="L215" s="763"/>
      <c r="M215" s="763"/>
      <c r="N215" s="763"/>
      <c r="O215" s="763"/>
      <c r="P215" s="763"/>
      <c r="Q215" s="763"/>
    </row>
    <row r="216" spans="8:8">
      <c r="A216" s="763"/>
      <c r="B216" s="763"/>
      <c r="C216" s="763"/>
      <c r="D216" s="763"/>
      <c r="E216" s="763"/>
      <c r="F216" s="763"/>
      <c r="G216" s="763"/>
      <c r="H216" s="763"/>
      <c r="I216" s="763"/>
      <c r="J216" s="763"/>
      <c r="K216" s="763"/>
      <c r="L216" s="763"/>
      <c r="M216" s="763"/>
      <c r="N216" s="763"/>
      <c r="O216" s="763"/>
      <c r="P216" s="763"/>
      <c r="Q216" s="763"/>
    </row>
    <row r="217" spans="8:8">
      <c r="A217" s="763"/>
      <c r="B217" s="763"/>
      <c r="C217" s="763"/>
      <c r="D217" s="763"/>
      <c r="E217" s="763"/>
      <c r="F217" s="763"/>
      <c r="G217" s="763"/>
      <c r="H217" s="763"/>
      <c r="I217" s="763"/>
      <c r="J217" s="763"/>
      <c r="K217" s="763"/>
      <c r="L217" s="763"/>
      <c r="M217" s="763"/>
      <c r="N217" s="763"/>
      <c r="O217" s="763"/>
      <c r="P217" s="763"/>
      <c r="Q217" s="763"/>
    </row>
    <row r="218" spans="8:8">
      <c r="A218" s="763"/>
      <c r="B218" s="763"/>
      <c r="C218" s="763"/>
      <c r="D218" s="763"/>
      <c r="E218" s="763"/>
      <c r="F218" s="763"/>
      <c r="G218" s="763"/>
      <c r="H218" s="763"/>
      <c r="I218" s="763"/>
      <c r="J218" s="763"/>
      <c r="K218" s="763"/>
      <c r="L218" s="763"/>
      <c r="M218" s="763"/>
      <c r="N218" s="763"/>
      <c r="O218" s="763"/>
      <c r="P218" s="763"/>
      <c r="Q218" s="763"/>
    </row>
    <row r="219" spans="8:8">
      <c r="A219" s="763"/>
      <c r="B219" s="763"/>
      <c r="C219" s="763"/>
      <c r="D219" s="763"/>
      <c r="E219" s="763"/>
      <c r="F219" s="763"/>
      <c r="G219" s="763"/>
      <c r="H219" s="763"/>
      <c r="I219" s="763"/>
      <c r="J219" s="763"/>
      <c r="K219" s="763"/>
      <c r="L219" s="763"/>
      <c r="M219" s="763"/>
      <c r="N219" s="763"/>
      <c r="O219" s="763"/>
      <c r="P219" s="763"/>
      <c r="Q219" s="763"/>
    </row>
    <row r="220" spans="8:8">
      <c r="A220" s="763"/>
      <c r="B220" s="763"/>
      <c r="C220" s="763"/>
      <c r="D220" s="763"/>
      <c r="E220" s="763"/>
      <c r="F220" s="763"/>
      <c r="G220" s="763"/>
      <c r="H220" s="763"/>
      <c r="I220" s="763"/>
      <c r="J220" s="763"/>
      <c r="K220" s="763"/>
      <c r="L220" s="763"/>
      <c r="M220" s="763"/>
      <c r="N220" s="763"/>
      <c r="O220" s="763"/>
      <c r="P220" s="763"/>
      <c r="Q220" s="763"/>
    </row>
    <row r="221" spans="8:8">
      <c r="A221" s="763"/>
      <c r="B221" s="763"/>
      <c r="C221" s="763"/>
      <c r="D221" s="763"/>
      <c r="E221" s="763"/>
      <c r="F221" s="763"/>
      <c r="G221" s="763"/>
      <c r="H221" s="763"/>
      <c r="I221" s="763"/>
      <c r="J221" s="763"/>
      <c r="K221" s="763"/>
      <c r="L221" s="763"/>
      <c r="M221" s="763"/>
      <c r="N221" s="763"/>
      <c r="O221" s="763"/>
      <c r="P221" s="763"/>
      <c r="Q221" s="763"/>
    </row>
    <row r="222" spans="8:8">
      <c r="A222" s="763"/>
      <c r="B222" s="763"/>
      <c r="C222" s="763"/>
      <c r="D222" s="763"/>
      <c r="E222" s="763"/>
      <c r="F222" s="763"/>
      <c r="G222" s="763"/>
      <c r="H222" s="763"/>
      <c r="I222" s="763"/>
      <c r="J222" s="763"/>
      <c r="K222" s="763"/>
      <c r="L222" s="763"/>
      <c r="M222" s="763"/>
      <c r="N222" s="763"/>
      <c r="O222" s="763"/>
      <c r="P222" s="763"/>
      <c r="Q222" s="763"/>
    </row>
    <row r="223" spans="8:8">
      <c r="A223" s="763"/>
      <c r="B223" s="763"/>
      <c r="C223" s="763"/>
      <c r="D223" s="763"/>
      <c r="E223" s="763"/>
      <c r="F223" s="763"/>
      <c r="G223" s="763"/>
      <c r="H223" s="763"/>
      <c r="I223" s="763"/>
      <c r="J223" s="763"/>
      <c r="K223" s="763"/>
      <c r="L223" s="763"/>
      <c r="M223" s="763"/>
      <c r="N223" s="763"/>
      <c r="O223" s="763"/>
      <c r="P223" s="763"/>
      <c r="Q223" s="763"/>
    </row>
    <row r="224" spans="8:8">
      <c r="A224" s="763"/>
      <c r="B224" s="763"/>
      <c r="C224" s="763"/>
      <c r="D224" s="763"/>
      <c r="E224" s="763"/>
      <c r="F224" s="763"/>
      <c r="G224" s="763"/>
      <c r="H224" s="763"/>
      <c r="I224" s="763"/>
      <c r="J224" s="763"/>
      <c r="K224" s="763"/>
      <c r="L224" s="763"/>
      <c r="M224" s="763"/>
      <c r="N224" s="763"/>
      <c r="O224" s="763"/>
      <c r="P224" s="763"/>
      <c r="Q224" s="763"/>
    </row>
    <row r="225" spans="8:8">
      <c r="A225" s="763"/>
      <c r="B225" s="763"/>
      <c r="C225" s="763"/>
      <c r="D225" s="763"/>
      <c r="E225" s="763"/>
      <c r="F225" s="763"/>
      <c r="G225" s="763"/>
      <c r="H225" s="763"/>
      <c r="I225" s="763"/>
      <c r="J225" s="763"/>
      <c r="K225" s="763"/>
      <c r="L225" s="763"/>
      <c r="M225" s="763"/>
      <c r="N225" s="763"/>
      <c r="O225" s="763"/>
      <c r="P225" s="763"/>
      <c r="Q225" s="763"/>
    </row>
    <row r="226" spans="8:8">
      <c r="A226" s="763"/>
      <c r="B226" s="763"/>
      <c r="C226" s="763"/>
      <c r="D226" s="763"/>
      <c r="E226" s="763"/>
      <c r="F226" s="763"/>
      <c r="G226" s="763"/>
      <c r="H226" s="763"/>
      <c r="I226" s="763"/>
      <c r="J226" s="763"/>
      <c r="K226" s="763"/>
      <c r="L226" s="763"/>
      <c r="M226" s="763"/>
      <c r="N226" s="763"/>
      <c r="O226" s="763"/>
      <c r="P226" s="763"/>
      <c r="Q226" s="763"/>
    </row>
    <row r="227" spans="8:8">
      <c r="A227" s="763"/>
      <c r="B227" s="763"/>
      <c r="C227" s="763"/>
      <c r="D227" s="763"/>
      <c r="E227" s="763"/>
      <c r="F227" s="763"/>
      <c r="G227" s="763"/>
      <c r="H227" s="763"/>
      <c r="I227" s="763"/>
      <c r="J227" s="763"/>
      <c r="K227" s="763"/>
      <c r="L227" s="763"/>
      <c r="M227" s="763"/>
      <c r="N227" s="763"/>
      <c r="O227" s="763"/>
      <c r="P227" s="763"/>
      <c r="Q227" s="763"/>
    </row>
    <row r="228" spans="8:8">
      <c r="A228" s="763"/>
      <c r="B228" s="763"/>
      <c r="C228" s="763"/>
      <c r="D228" s="763"/>
      <c r="E228" s="763"/>
      <c r="F228" s="763"/>
      <c r="G228" s="763"/>
      <c r="H228" s="763"/>
      <c r="I228" s="763"/>
      <c r="J228" s="763"/>
      <c r="K228" s="763"/>
      <c r="L228" s="763"/>
      <c r="M228" s="763"/>
      <c r="N228" s="763"/>
      <c r="O228" s="763"/>
      <c r="P228" s="763"/>
      <c r="Q228" s="763"/>
    </row>
    <row r="229" spans="8:8">
      <c r="A229" s="763"/>
      <c r="B229" s="763"/>
      <c r="C229" s="763"/>
      <c r="D229" s="763"/>
      <c r="E229" s="763"/>
      <c r="F229" s="763"/>
      <c r="G229" s="763"/>
      <c r="H229" s="763"/>
      <c r="I229" s="763"/>
      <c r="J229" s="763"/>
      <c r="K229" s="763"/>
      <c r="L229" s="763"/>
      <c r="M229" s="763"/>
      <c r="N229" s="763"/>
      <c r="O229" s="763"/>
      <c r="P229" s="763"/>
      <c r="Q229" s="763"/>
    </row>
    <row r="230" spans="8:8">
      <c r="A230" s="763"/>
      <c r="B230" s="763"/>
      <c r="C230" s="763"/>
      <c r="D230" s="763"/>
      <c r="E230" s="763"/>
      <c r="F230" s="763"/>
      <c r="G230" s="763"/>
      <c r="H230" s="763"/>
      <c r="I230" s="763"/>
      <c r="J230" s="763"/>
      <c r="K230" s="763"/>
      <c r="L230" s="763"/>
      <c r="M230" s="763"/>
      <c r="N230" s="763"/>
      <c r="O230" s="763"/>
      <c r="P230" s="763"/>
      <c r="Q230" s="763"/>
    </row>
    <row r="231" spans="8:8">
      <c r="A231" s="763"/>
      <c r="B231" s="763"/>
      <c r="C231" s="763"/>
      <c r="D231" s="763"/>
      <c r="E231" s="763"/>
      <c r="F231" s="763"/>
      <c r="G231" s="763"/>
      <c r="H231" s="763"/>
      <c r="I231" s="763"/>
      <c r="J231" s="763"/>
      <c r="K231" s="763"/>
      <c r="L231" s="763"/>
      <c r="M231" s="763"/>
      <c r="N231" s="763"/>
      <c r="O231" s="763"/>
      <c r="P231" s="763"/>
      <c r="Q231" s="763"/>
    </row>
    <row r="232" spans="8:8">
      <c r="A232" s="763"/>
      <c r="B232" s="763"/>
      <c r="C232" s="763"/>
      <c r="D232" s="763"/>
      <c r="E232" s="763"/>
      <c r="F232" s="763"/>
      <c r="G232" s="763"/>
      <c r="H232" s="763"/>
      <c r="I232" s="763"/>
      <c r="J232" s="763"/>
      <c r="K232" s="763"/>
      <c r="L232" s="763"/>
      <c r="M232" s="763"/>
      <c r="N232" s="763"/>
      <c r="O232" s="763"/>
      <c r="P232" s="763"/>
      <c r="Q232" s="763"/>
    </row>
    <row r="233" spans="8:8">
      <c r="A233" s="763"/>
      <c r="B233" s="763"/>
      <c r="C233" s="763"/>
      <c r="D233" s="763"/>
      <c r="E233" s="763"/>
      <c r="F233" s="763"/>
      <c r="G233" s="763"/>
      <c r="H233" s="763"/>
      <c r="I233" s="763"/>
      <c r="J233" s="763"/>
      <c r="K233" s="763"/>
      <c r="L233" s="763"/>
      <c r="M233" s="763"/>
      <c r="N233" s="763"/>
      <c r="O233" s="763"/>
      <c r="P233" s="763"/>
      <c r="Q233" s="763"/>
    </row>
    <row r="234" spans="8:8">
      <c r="A234" s="763"/>
      <c r="B234" s="763"/>
      <c r="C234" s="763"/>
      <c r="D234" s="763"/>
      <c r="E234" s="763"/>
      <c r="F234" s="763"/>
      <c r="G234" s="763"/>
      <c r="H234" s="763"/>
      <c r="I234" s="763"/>
      <c r="J234" s="763"/>
      <c r="K234" s="763"/>
      <c r="L234" s="763"/>
      <c r="M234" s="763"/>
      <c r="N234" s="763"/>
      <c r="O234" s="763"/>
      <c r="P234" s="763"/>
      <c r="Q234" s="763"/>
    </row>
    <row r="235" spans="8:8">
      <c r="A235" s="763"/>
      <c r="B235" s="763"/>
      <c r="C235" s="763"/>
      <c r="D235" s="763"/>
      <c r="E235" s="763"/>
      <c r="F235" s="763"/>
      <c r="G235" s="763"/>
      <c r="H235" s="763"/>
      <c r="I235" s="763"/>
      <c r="J235" s="763"/>
      <c r="K235" s="763"/>
      <c r="L235" s="763"/>
      <c r="M235" s="763"/>
      <c r="N235" s="763"/>
      <c r="O235" s="763"/>
      <c r="P235" s="763"/>
      <c r="Q235" s="763"/>
    </row>
    <row r="236" spans="8:8">
      <c r="A236" s="763"/>
      <c r="B236" s="763"/>
      <c r="C236" s="763"/>
      <c r="D236" s="763"/>
      <c r="E236" s="763"/>
      <c r="F236" s="763"/>
      <c r="G236" s="763"/>
      <c r="H236" s="763"/>
      <c r="I236" s="763"/>
      <c r="J236" s="763"/>
      <c r="K236" s="763"/>
      <c r="L236" s="763"/>
      <c r="M236" s="763"/>
      <c r="N236" s="763"/>
      <c r="O236" s="763"/>
      <c r="P236" s="763"/>
      <c r="Q236" s="763"/>
    </row>
    <row r="237" spans="8:8">
      <c r="A237" s="763"/>
      <c r="B237" s="763"/>
      <c r="C237" s="763"/>
      <c r="D237" s="763"/>
      <c r="E237" s="763"/>
      <c r="F237" s="763"/>
      <c r="G237" s="763"/>
      <c r="H237" s="763"/>
      <c r="I237" s="763"/>
      <c r="J237" s="763"/>
      <c r="K237" s="763"/>
      <c r="L237" s="763"/>
      <c r="M237" s="763"/>
      <c r="N237" s="763"/>
      <c r="O237" s="763"/>
      <c r="P237" s="763"/>
      <c r="Q237" s="763"/>
    </row>
    <row r="238" spans="8:8">
      <c r="A238" s="763"/>
      <c r="B238" s="763"/>
      <c r="C238" s="763"/>
      <c r="D238" s="763"/>
      <c r="E238" s="763"/>
      <c r="F238" s="763"/>
      <c r="G238" s="763"/>
      <c r="H238" s="763"/>
      <c r="I238" s="763"/>
      <c r="J238" s="763"/>
      <c r="K238" s="763"/>
      <c r="L238" s="763"/>
      <c r="M238" s="763"/>
      <c r="N238" s="763"/>
      <c r="O238" s="763"/>
      <c r="P238" s="763"/>
      <c r="Q238" s="763"/>
    </row>
    <row r="239" spans="8:8">
      <c r="A239" s="763"/>
      <c r="B239" s="763"/>
      <c r="C239" s="763"/>
      <c r="D239" s="763"/>
      <c r="E239" s="763"/>
      <c r="F239" s="763"/>
      <c r="G239" s="763"/>
      <c r="H239" s="763"/>
      <c r="I239" s="763"/>
      <c r="J239" s="763"/>
      <c r="K239" s="763"/>
      <c r="L239" s="763"/>
      <c r="M239" s="763"/>
      <c r="N239" s="763"/>
      <c r="O239" s="763"/>
      <c r="P239" s="763"/>
      <c r="Q239" s="763"/>
    </row>
    <row r="240" spans="8:8">
      <c r="A240" s="763"/>
      <c r="B240" s="763"/>
      <c r="C240" s="763"/>
      <c r="D240" s="763"/>
      <c r="E240" s="763"/>
      <c r="F240" s="763"/>
      <c r="G240" s="763"/>
      <c r="H240" s="763"/>
      <c r="I240" s="763"/>
      <c r="J240" s="763"/>
      <c r="K240" s="763"/>
      <c r="L240" s="763"/>
      <c r="M240" s="763"/>
      <c r="N240" s="763"/>
      <c r="O240" s="763"/>
      <c r="P240" s="763"/>
      <c r="Q240" s="763"/>
    </row>
    <row r="241" spans="8:8">
      <c r="A241" s="763"/>
      <c r="B241" s="763"/>
      <c r="C241" s="763"/>
      <c r="D241" s="763"/>
      <c r="E241" s="763"/>
      <c r="F241" s="763"/>
      <c r="G241" s="763"/>
      <c r="H241" s="763"/>
      <c r="I241" s="763"/>
      <c r="J241" s="763"/>
      <c r="K241" s="763"/>
      <c r="L241" s="763"/>
      <c r="M241" s="763"/>
      <c r="N241" s="763"/>
      <c r="O241" s="763"/>
      <c r="P241" s="763"/>
      <c r="Q241" s="763"/>
    </row>
    <row r="242" spans="8:8">
      <c r="A242" s="763"/>
      <c r="B242" s="763"/>
      <c r="C242" s="763"/>
      <c r="D242" s="763"/>
      <c r="E242" s="763"/>
      <c r="F242" s="763"/>
      <c r="G242" s="763"/>
      <c r="H242" s="763"/>
      <c r="I242" s="763"/>
      <c r="J242" s="763"/>
      <c r="K242" s="763"/>
      <c r="L242" s="763"/>
      <c r="M242" s="763"/>
      <c r="N242" s="763"/>
      <c r="O242" s="763"/>
      <c r="P242" s="763"/>
      <c r="Q242" s="763"/>
    </row>
    <row r="243" spans="8:8">
      <c r="A243" s="763"/>
      <c r="B243" s="763"/>
      <c r="C243" s="763"/>
      <c r="D243" s="763"/>
      <c r="E243" s="763"/>
      <c r="F243" s="763"/>
      <c r="G243" s="763"/>
      <c r="H243" s="763"/>
      <c r="I243" s="763"/>
      <c r="J243" s="763"/>
      <c r="K243" s="763"/>
      <c r="L243" s="763"/>
      <c r="M243" s="763"/>
      <c r="N243" s="763"/>
      <c r="O243" s="763"/>
      <c r="P243" s="763"/>
      <c r="Q243" s="763"/>
    </row>
    <row r="244" spans="8:8">
      <c r="A244" s="763"/>
      <c r="B244" s="763"/>
      <c r="C244" s="763"/>
      <c r="D244" s="763"/>
      <c r="E244" s="763"/>
      <c r="F244" s="763"/>
      <c r="G244" s="763"/>
      <c r="H244" s="763"/>
      <c r="I244" s="763"/>
      <c r="J244" s="763"/>
      <c r="K244" s="763"/>
      <c r="L244" s="763"/>
      <c r="M244" s="763"/>
      <c r="N244" s="763"/>
      <c r="O244" s="763"/>
      <c r="P244" s="763"/>
      <c r="Q244" s="763"/>
    </row>
    <row r="245" spans="8:8">
      <c r="A245" s="763"/>
      <c r="B245" s="763"/>
      <c r="C245" s="763"/>
      <c r="D245" s="763"/>
      <c r="E245" s="763"/>
      <c r="F245" s="763"/>
      <c r="G245" s="763"/>
      <c r="H245" s="763"/>
      <c r="I245" s="763"/>
      <c r="J245" s="763"/>
      <c r="K245" s="763"/>
      <c r="L245" s="763"/>
      <c r="M245" s="763"/>
      <c r="N245" s="763"/>
      <c r="O245" s="763"/>
      <c r="P245" s="763"/>
      <c r="Q245" s="763"/>
    </row>
    <row r="246" spans="8:8">
      <c r="A246" s="763"/>
      <c r="B246" s="763"/>
      <c r="C246" s="763"/>
      <c r="D246" s="763"/>
      <c r="E246" s="763"/>
      <c r="F246" s="763"/>
      <c r="G246" s="763"/>
      <c r="H246" s="763"/>
      <c r="I246" s="763"/>
      <c r="J246" s="763"/>
      <c r="K246" s="763"/>
      <c r="L246" s="763"/>
      <c r="M246" s="763"/>
      <c r="N246" s="763"/>
      <c r="O246" s="763"/>
      <c r="P246" s="763"/>
      <c r="Q246" s="763"/>
    </row>
    <row r="247" spans="8:8">
      <c r="A247" s="763"/>
      <c r="B247" s="763"/>
      <c r="C247" s="763"/>
      <c r="D247" s="763"/>
      <c r="E247" s="763"/>
      <c r="F247" s="763"/>
      <c r="G247" s="763"/>
      <c r="H247" s="763"/>
      <c r="I247" s="763"/>
      <c r="J247" s="763"/>
      <c r="K247" s="763"/>
      <c r="L247" s="763"/>
      <c r="M247" s="763"/>
      <c r="N247" s="763"/>
      <c r="O247" s="763"/>
      <c r="P247" s="763"/>
      <c r="Q247" s="763"/>
    </row>
    <row r="248" spans="8:8">
      <c r="A248" s="763"/>
      <c r="B248" s="763"/>
      <c r="C248" s="763"/>
      <c r="D248" s="763"/>
      <c r="E248" s="763"/>
      <c r="F248" s="763"/>
      <c r="G248" s="763"/>
      <c r="H248" s="763"/>
      <c r="I248" s="763"/>
      <c r="J248" s="763"/>
      <c r="K248" s="763"/>
      <c r="L248" s="763"/>
      <c r="M248" s="763"/>
      <c r="N248" s="763"/>
      <c r="O248" s="763"/>
      <c r="P248" s="763"/>
      <c r="Q248" s="763"/>
    </row>
    <row r="249" spans="8:8">
      <c r="A249" s="763"/>
      <c r="B249" s="763"/>
      <c r="C249" s="763"/>
      <c r="D249" s="763"/>
      <c r="E249" s="763"/>
      <c r="F249" s="763"/>
      <c r="G249" s="763"/>
      <c r="H249" s="763"/>
      <c r="I249" s="763"/>
      <c r="J249" s="763"/>
      <c r="K249" s="763"/>
      <c r="L249" s="763"/>
      <c r="M249" s="763"/>
      <c r="N249" s="763"/>
      <c r="O249" s="763"/>
      <c r="P249" s="763"/>
      <c r="Q249" s="763"/>
    </row>
    <row r="250" spans="8:8">
      <c r="A250" s="763"/>
      <c r="B250" s="763"/>
      <c r="C250" s="763"/>
      <c r="D250" s="763"/>
      <c r="E250" s="763"/>
      <c r="F250" s="763"/>
      <c r="G250" s="763"/>
      <c r="H250" s="763"/>
      <c r="I250" s="763"/>
      <c r="J250" s="763"/>
      <c r="K250" s="763"/>
      <c r="L250" s="763"/>
      <c r="M250" s="763"/>
      <c r="N250" s="763"/>
      <c r="O250" s="763"/>
      <c r="P250" s="763"/>
      <c r="Q250" s="763"/>
    </row>
    <row r="251" spans="8:8">
      <c r="A251" s="763"/>
      <c r="B251" s="763"/>
      <c r="C251" s="763"/>
      <c r="D251" s="763"/>
      <c r="E251" s="763"/>
      <c r="F251" s="763"/>
      <c r="G251" s="763"/>
      <c r="H251" s="763"/>
      <c r="I251" s="763"/>
      <c r="J251" s="763"/>
      <c r="K251" s="763"/>
      <c r="L251" s="763"/>
      <c r="M251" s="763"/>
      <c r="N251" s="763"/>
      <c r="O251" s="763"/>
      <c r="P251" s="763"/>
      <c r="Q251" s="763"/>
    </row>
    <row r="252" spans="8:8">
      <c r="A252" s="763"/>
      <c r="B252" s="763"/>
      <c r="C252" s="763"/>
      <c r="D252" s="763"/>
      <c r="E252" s="763"/>
      <c r="F252" s="763"/>
      <c r="G252" s="763"/>
      <c r="H252" s="763"/>
      <c r="I252" s="763"/>
      <c r="J252" s="763"/>
      <c r="K252" s="763"/>
      <c r="L252" s="763"/>
      <c r="M252" s="763"/>
      <c r="N252" s="763"/>
      <c r="O252" s="763"/>
      <c r="P252" s="763"/>
      <c r="Q252" s="763"/>
    </row>
    <row r="253" spans="8:8">
      <c r="A253" s="763"/>
      <c r="B253" s="763"/>
      <c r="C253" s="763"/>
      <c r="D253" s="763"/>
      <c r="E253" s="763"/>
      <c r="F253" s="763"/>
      <c r="G253" s="763"/>
      <c r="H253" s="763"/>
      <c r="I253" s="763"/>
      <c r="J253" s="763"/>
      <c r="K253" s="763"/>
      <c r="L253" s="763"/>
      <c r="M253" s="763"/>
      <c r="N253" s="763"/>
      <c r="O253" s="763"/>
      <c r="P253" s="763"/>
      <c r="Q253" s="763"/>
    </row>
    <row r="254" spans="8:8">
      <c r="A254" s="763"/>
      <c r="B254" s="763"/>
      <c r="C254" s="763"/>
      <c r="D254" s="763"/>
      <c r="E254" s="763"/>
      <c r="F254" s="763"/>
      <c r="G254" s="763"/>
      <c r="H254" s="763"/>
      <c r="I254" s="763"/>
      <c r="J254" s="763"/>
      <c r="K254" s="763"/>
      <c r="L254" s="763"/>
      <c r="M254" s="763"/>
      <c r="N254" s="763"/>
      <c r="O254" s="763"/>
      <c r="P254" s="763"/>
      <c r="Q254" s="763"/>
    </row>
    <row r="255" spans="8:8">
      <c r="A255" s="763"/>
      <c r="B255" s="763"/>
      <c r="C255" s="763"/>
      <c r="D255" s="763"/>
      <c r="E255" s="763"/>
      <c r="F255" s="763"/>
      <c r="G255" s="763"/>
      <c r="H255" s="763"/>
      <c r="I255" s="763"/>
      <c r="J255" s="763"/>
      <c r="K255" s="763"/>
      <c r="L255" s="763"/>
      <c r="M255" s="763"/>
      <c r="N255" s="763"/>
      <c r="O255" s="763"/>
      <c r="P255" s="763"/>
      <c r="Q255" s="763"/>
    </row>
    <row r="256" spans="8:8">
      <c r="A256" s="763"/>
      <c r="B256" s="763"/>
      <c r="C256" s="763"/>
      <c r="D256" s="763"/>
      <c r="E256" s="763"/>
      <c r="F256" s="763"/>
      <c r="G256" s="763"/>
      <c r="H256" s="763"/>
      <c r="I256" s="763"/>
      <c r="J256" s="763"/>
      <c r="K256" s="763"/>
      <c r="L256" s="763"/>
      <c r="M256" s="763"/>
      <c r="N256" s="763"/>
      <c r="O256" s="763"/>
      <c r="P256" s="763"/>
      <c r="Q256" s="763"/>
    </row>
    <row r="257" spans="8:8">
      <c r="A257" s="763"/>
      <c r="B257" s="763"/>
      <c r="C257" s="763"/>
      <c r="D257" s="763"/>
      <c r="E257" s="763"/>
      <c r="F257" s="763"/>
      <c r="G257" s="763"/>
      <c r="H257" s="763"/>
      <c r="I257" s="763"/>
      <c r="J257" s="763"/>
      <c r="K257" s="763"/>
      <c r="L257" s="763"/>
      <c r="M257" s="763"/>
      <c r="N257" s="763"/>
      <c r="O257" s="763"/>
      <c r="P257" s="763"/>
      <c r="Q257" s="763"/>
    </row>
  </sheetData>
  <sheetProtection sheet="1" objects="1" scenarios="1" selectLockedCells="1"/>
  <mergeCells count="779">
    <mergeCell ref="J5:L5"/>
    <mergeCell ref="Q76:S76"/>
    <mergeCell ref="O64:T64"/>
    <mergeCell ref="M78:N78"/>
    <mergeCell ref="BB3:BI4"/>
    <mergeCell ref="C100:D100"/>
    <mergeCell ref="U67:X67"/>
    <mergeCell ref="AE83:AF83"/>
    <mergeCell ref="AI102:AK102"/>
    <mergeCell ref="AI80:AK80"/>
    <mergeCell ref="K98:L98"/>
    <mergeCell ref="I95:J95"/>
    <mergeCell ref="AC99:AD99"/>
    <mergeCell ref="AA83:AB83"/>
    <mergeCell ref="U95:V95"/>
    <mergeCell ref="AE97:AF97"/>
    <mergeCell ref="AI43:AL44"/>
    <mergeCell ref="AE67:AH67"/>
    <mergeCell ref="W92:Z92"/>
    <mergeCell ref="I73:J73"/>
    <mergeCell ref="U68:X68"/>
    <mergeCell ref="U69:X69"/>
    <mergeCell ref="AA92:AB92"/>
    <mergeCell ref="AK12:AM12"/>
    <mergeCell ref="E98:F98"/>
    <mergeCell ref="AC75:AD75"/>
    <mergeCell ref="AE90:AF90"/>
    <mergeCell ref="O86:P86"/>
    <mergeCell ref="AE79:AF79"/>
    <mergeCell ref="I83:J83"/>
    <mergeCell ref="AC100:AD100"/>
    <mergeCell ref="AR64:AS64"/>
    <mergeCell ref="I94:J94"/>
    <mergeCell ref="AE68:AH68"/>
    <mergeCell ref="Q92:S92"/>
    <mergeCell ref="I79:J79"/>
    <mergeCell ref="U94:V94"/>
    <mergeCell ref="AC74:AD74"/>
    <mergeCell ref="Y66:Z66"/>
    <mergeCell ref="R18:T19"/>
    <mergeCell ref="AI3:AJ3"/>
    <mergeCell ref="E10:F11"/>
    <mergeCell ref="E97:F97"/>
    <mergeCell ref="AA80:AB80"/>
    <mergeCell ref="AA93:AB93"/>
    <mergeCell ref="K91:L91"/>
    <mergeCell ref="AA89:AB89"/>
    <mergeCell ref="G98:H98"/>
    <mergeCell ref="AI87:AK87"/>
    <mergeCell ref="U106:V106"/>
    <mergeCell ref="E73:H73"/>
    <mergeCell ref="AA96:AB96"/>
    <mergeCell ref="M90:N90"/>
    <mergeCell ref="AA94:AB94"/>
    <mergeCell ref="I96:J96"/>
    <mergeCell ref="Q87:S87"/>
    <mergeCell ref="E99:F99"/>
    <mergeCell ref="B19:G70"/>
    <mergeCell ref="B2:Q2"/>
    <mergeCell ref="X12:AB12"/>
    <mergeCell ref="S4:T4"/>
    <mergeCell ref="M5:Q5"/>
    <mergeCell ref="M4:Q4"/>
    <mergeCell ref="S8:T8"/>
    <mergeCell ref="AC3:AD3"/>
    <mergeCell ref="B17:I17"/>
    <mergeCell ref="AC81:AD81"/>
    <mergeCell ref="M86:N86"/>
    <mergeCell ref="AA87:AB87"/>
    <mergeCell ref="O80:P80"/>
    <mergeCell ref="M82:N82"/>
    <mergeCell ref="Y85:Z85"/>
    <mergeCell ref="G107:H107"/>
    <mergeCell ref="AI89:AK89"/>
    <mergeCell ref="J66:N66"/>
    <mergeCell ref="AE106:AF106"/>
    <mergeCell ref="U70:X70"/>
    <mergeCell ref="M95:N95"/>
    <mergeCell ref="Q81:S81"/>
    <mergeCell ref="AA74:AB74"/>
    <mergeCell ref="E6:I6"/>
    <mergeCell ref="C83:D83"/>
    <mergeCell ref="W99:Z99"/>
    <mergeCell ref="AA70:AB70"/>
    <mergeCell ref="AE4:AF4"/>
    <mergeCell ref="F8:Q9"/>
    <mergeCell ref="E3:Q3"/>
    <mergeCell ref="U7:V8"/>
    <mergeCell ref="M6:Q6"/>
    <mergeCell ref="M7:Q7"/>
    <mergeCell ref="AI76:AK76"/>
    <mergeCell ref="K101:L101"/>
    <mergeCell ref="E94:F94"/>
    <mergeCell ref="AI27:AK29"/>
    <mergeCell ref="AE89:AF89"/>
    <mergeCell ref="M102:N102"/>
    <mergeCell ref="E92:F92"/>
    <mergeCell ref="U102:V102"/>
    <mergeCell ref="AE102:AF102"/>
    <mergeCell ref="W83:Z83"/>
    <mergeCell ref="G97:H97"/>
    <mergeCell ref="AG92:AH92"/>
    <mergeCell ref="U89:V89"/>
    <mergeCell ref="U90:V90"/>
    <mergeCell ref="AA90:AB90"/>
    <mergeCell ref="I90:J90"/>
    <mergeCell ref="AE69:AH69"/>
    <mergeCell ref="K76:L76"/>
    <mergeCell ref="AG5:AH6"/>
    <mergeCell ref="S3:T3"/>
    <mergeCell ref="I10:J11"/>
    <mergeCell ref="J7:L7"/>
    <mergeCell ref="W5:X5"/>
    <mergeCell ref="AI7:AJ7"/>
    <mergeCell ref="J6:L6"/>
    <mergeCell ref="AE76:AF76"/>
    <mergeCell ref="E95:F95"/>
    <mergeCell ref="AG91:AH91"/>
    <mergeCell ref="E86:H86"/>
    <mergeCell ref="K96:L96"/>
    <mergeCell ref="AI68:AJ68"/>
    <mergeCell ref="E96:F96"/>
    <mergeCell ref="AA66:AB66"/>
    <mergeCell ref="AE86:AF86"/>
    <mergeCell ref="W7:X7"/>
    <mergeCell ref="AE6:AF6"/>
    <mergeCell ref="Y8:Z8"/>
    <mergeCell ref="W10:X11"/>
    <mergeCell ref="V51:AG51"/>
    <mergeCell ref="M93:N93"/>
    <mergeCell ref="AG88:AH88"/>
    <mergeCell ref="AE100:AF100"/>
    <mergeCell ref="AM37:BC38"/>
    <mergeCell ref="AM35:BC36"/>
    <mergeCell ref="BB7:BI8"/>
    <mergeCell ref="E106:F106"/>
    <mergeCell ref="AE66:AH66"/>
    <mergeCell ref="AI77:AK77"/>
    <mergeCell ref="C75:D75"/>
    <mergeCell ref="C94:D94"/>
    <mergeCell ref="AG105:AH105"/>
    <mergeCell ref="C79:D79"/>
    <mergeCell ref="U76:V76"/>
    <mergeCell ref="AN10:AO11"/>
    <mergeCell ref="J70:N70"/>
    <mergeCell ref="Q86:S86"/>
    <mergeCell ref="S2:U2"/>
    <mergeCell ref="AI100:AK100"/>
    <mergeCell ref="O82:P82"/>
    <mergeCell ref="AO68:AQ68"/>
    <mergeCell ref="AE107:AF107"/>
    <mergeCell ref="AA100:AB100"/>
    <mergeCell ref="AO69:AQ69"/>
    <mergeCell ref="AO70:AQ70"/>
    <mergeCell ref="AN12:AS12"/>
    <mergeCell ref="AC67:AD67"/>
    <mergeCell ref="K83:L83"/>
    <mergeCell ref="AA98:AB98"/>
    <mergeCell ref="C78:D78"/>
    <mergeCell ref="B5:D5"/>
    <mergeCell ref="B7:D7"/>
    <mergeCell ref="B4:D4"/>
    <mergeCell ref="G104:H104"/>
    <mergeCell ref="W89:X89"/>
    <mergeCell ref="AG102:AH102"/>
    <mergeCell ref="C95:D95"/>
    <mergeCell ref="F12:H12"/>
    <mergeCell ref="AA3:AB4"/>
    <mergeCell ref="AE7:AF7"/>
    <mergeCell ref="AK65:AL65"/>
    <mergeCell ref="E5:I5"/>
    <mergeCell ref="W4:X4"/>
    <mergeCell ref="AA102:AB102"/>
    <mergeCell ref="V26:AG26"/>
    <mergeCell ref="AI8:AJ8"/>
    <mergeCell ref="U3:V4"/>
    <mergeCell ref="V2:Z2"/>
    <mergeCell ref="R10:S11"/>
    <mergeCell ref="Y10:Z11"/>
    <mergeCell ref="AT5:BA6"/>
    <mergeCell ref="E103:H103"/>
    <mergeCell ref="AK66:AL66"/>
    <mergeCell ref="C76:D76"/>
    <mergeCell ref="K89:L89"/>
    <mergeCell ref="BD31:BE32"/>
    <mergeCell ref="BD45:BE46"/>
    <mergeCell ref="W74:Z74"/>
    <mergeCell ref="AE70:AH70"/>
    <mergeCell ref="AM70:AN70"/>
    <mergeCell ref="BB5:BI6"/>
    <mergeCell ref="U77:V77"/>
    <mergeCell ref="AG82:AH82"/>
    <mergeCell ref="Q90:S90"/>
    <mergeCell ref="Z18:AK21"/>
    <mergeCell ref="AA2:AB2"/>
    <mergeCell ref="Q77:S77"/>
    <mergeCell ref="E93:F93"/>
    <mergeCell ref="W105:X105"/>
    <mergeCell ref="C87:D87"/>
    <mergeCell ref="B10:D11"/>
    <mergeCell ref="B3:D3"/>
    <mergeCell ref="O74:P74"/>
    <mergeCell ref="U107:V107"/>
    <mergeCell ref="AC70:AD70"/>
    <mergeCell ref="AG77:AH77"/>
    <mergeCell ref="AC106:AD106"/>
    <mergeCell ref="AE82:AF82"/>
    <mergeCell ref="AK67:AL67"/>
    <mergeCell ref="Q98:S98"/>
    <mergeCell ref="J69:N69"/>
    <mergeCell ref="R24:T25"/>
    <mergeCell ref="AC5:AD5"/>
    <mergeCell ref="AI12:AJ12"/>
    <mergeCell ref="W3:X3"/>
    <mergeCell ref="AC2:AF2"/>
    <mergeCell ref="AI31:AL32"/>
    <mergeCell ref="T12:W12"/>
    <mergeCell ref="W8:X8"/>
    <mergeCell ref="AE5:AF5"/>
    <mergeCell ref="U18:Y18"/>
    <mergeCell ref="R12:S12"/>
    <mergeCell ref="AA11:AB11"/>
    <mergeCell ref="T10:V11"/>
    <mergeCell ref="B15:E15"/>
    <mergeCell ref="N12:O12"/>
    <mergeCell ref="I78:J78"/>
    <mergeCell ref="U97:V97"/>
    <mergeCell ref="Q88:S88"/>
    <mergeCell ref="M85:N85"/>
    <mergeCell ref="O92:P92"/>
    <mergeCell ref="Q93:S93"/>
    <mergeCell ref="C80:D80"/>
    <mergeCell ref="AA79:AB79"/>
    <mergeCell ref="W100:Z100"/>
    <mergeCell ref="I81:J81"/>
    <mergeCell ref="AI81:AK81"/>
    <mergeCell ref="AI39:AL40"/>
    <mergeCell ref="AI33:AL34"/>
    <mergeCell ref="K93:L93"/>
    <mergeCell ref="W79:Z79"/>
    <mergeCell ref="K73:L73"/>
    <mergeCell ref="AE85:AF85"/>
    <mergeCell ref="K99:L99"/>
    <mergeCell ref="I101:J101"/>
    <mergeCell ref="V41:AG41"/>
    <mergeCell ref="I105:J105"/>
    <mergeCell ref="AC78:AD78"/>
    <mergeCell ref="AG101:AH101"/>
    <mergeCell ref="I77:J77"/>
    <mergeCell ref="U98:V98"/>
    <mergeCell ref="AA73:AB73"/>
    <mergeCell ref="AO66:AQ66"/>
    <mergeCell ref="AI47:BC62"/>
    <mergeCell ref="I12:J12"/>
    <mergeCell ref="AA85:AB85"/>
    <mergeCell ref="AC10:AE11"/>
    <mergeCell ref="G10:H11"/>
    <mergeCell ref="AO65:AQ65"/>
    <mergeCell ref="M92:N92"/>
    <mergeCell ref="K77:L77"/>
    <mergeCell ref="J63:AS63"/>
    <mergeCell ref="BD37:BE38"/>
    <mergeCell ref="BD41:BE42"/>
    <mergeCell ref="AA106:AB106"/>
    <mergeCell ref="M18:O18"/>
    <mergeCell ref="P22:Q23"/>
    <mergeCell ref="AA82:AB82"/>
    <mergeCell ref="Y95:Z95"/>
    <mergeCell ref="O93:P93"/>
    <mergeCell ref="J26:U26"/>
    <mergeCell ref="AK10:AM11"/>
    <mergeCell ref="G96:H96"/>
    <mergeCell ref="Y67:Z67"/>
    <mergeCell ref="AI106:AK106"/>
    <mergeCell ref="E107:F107"/>
    <mergeCell ref="C93:D93"/>
    <mergeCell ref="AC65:AD65"/>
    <mergeCell ref="AE73:AF73"/>
    <mergeCell ref="Y69:Z69"/>
    <mergeCell ref="AC90:AD90"/>
    <mergeCell ref="W86:Z86"/>
    <mergeCell ref="AC68:AD68"/>
    <mergeCell ref="O98:P98"/>
    <mergeCell ref="K86:L86"/>
    <mergeCell ref="AI88:AK88"/>
    <mergeCell ref="J68:N68"/>
    <mergeCell ref="AI83:AK83"/>
    <mergeCell ref="V52:AG61"/>
    <mergeCell ref="AG76:AH76"/>
    <mergeCell ref="K105:L105"/>
    <mergeCell ref="AA99:AB99"/>
    <mergeCell ref="Q83:S83"/>
    <mergeCell ref="AE91:AF91"/>
    <mergeCell ref="U86:V86"/>
    <mergeCell ref="AM72:BC107"/>
    <mergeCell ref="E82:H82"/>
    <mergeCell ref="W93:Z93"/>
    <mergeCell ref="Q102:S102"/>
    <mergeCell ref="K79:L79"/>
    <mergeCell ref="F14:H14"/>
    <mergeCell ref="AI10:AJ10"/>
    <mergeCell ref="AG7:AH8"/>
    <mergeCell ref="N10:O11"/>
    <mergeCell ref="AC7:AD7"/>
    <mergeCell ref="J17:AS17"/>
    <mergeCell ref="AL3:AS4"/>
    <mergeCell ref="C77:D77"/>
    <mergeCell ref="AG95:AH95"/>
    <mergeCell ref="I97:J97"/>
    <mergeCell ref="K84:L84"/>
    <mergeCell ref="AC94:AD94"/>
    <mergeCell ref="K80:L80"/>
    <mergeCell ref="AR68:AS68"/>
    <mergeCell ref="AC107:AD107"/>
    <mergeCell ref="I84:J84"/>
    <mergeCell ref="AG94:AH94"/>
    <mergeCell ref="W81:Z81"/>
    <mergeCell ref="K106:L106"/>
    <mergeCell ref="AI91:AK91"/>
    <mergeCell ref="O75:P75"/>
    <mergeCell ref="K100:L100"/>
    <mergeCell ref="U64:X64"/>
    <mergeCell ref="M76:N76"/>
    <mergeCell ref="AE8:AF8"/>
    <mergeCell ref="E7:I7"/>
    <mergeCell ref="AI37:AL38"/>
    <mergeCell ref="F15:H15"/>
    <mergeCell ref="AP10:AS10"/>
    <mergeCell ref="Y6:Z6"/>
    <mergeCell ref="J18:L18"/>
    <mergeCell ref="AG2:AJ2"/>
    <mergeCell ref="AG12:AH12"/>
    <mergeCell ref="Y3:Z3"/>
    <mergeCell ref="AI66:AJ66"/>
    <mergeCell ref="E81:H81"/>
    <mergeCell ref="AI95:AK95"/>
    <mergeCell ref="AC77:AD77"/>
    <mergeCell ref="I75:J75"/>
    <mergeCell ref="Q85:S85"/>
    <mergeCell ref="AA107:AB107"/>
    <mergeCell ref="W104:Z104"/>
    <mergeCell ref="C97:D97"/>
    <mergeCell ref="AI67:AJ67"/>
    <mergeCell ref="O65:T65"/>
    <mergeCell ref="AI75:AK75"/>
    <mergeCell ref="R22:T23"/>
    <mergeCell ref="B8:E9"/>
    <mergeCell ref="BD39:BE40"/>
    <mergeCell ref="O81:P81"/>
    <mergeCell ref="AI86:AK86"/>
    <mergeCell ref="AM20:BH29"/>
    <mergeCell ref="AM19:BH19"/>
    <mergeCell ref="O91:P91"/>
    <mergeCell ref="AC82:AD82"/>
    <mergeCell ref="O70:T70"/>
    <mergeCell ref="E79:H79"/>
    <mergeCell ref="AR67:AS67"/>
    <mergeCell ref="AO67:AQ67"/>
    <mergeCell ref="BD43:BE44"/>
    <mergeCell ref="BD33:BE34"/>
    <mergeCell ref="AI107:AK107"/>
    <mergeCell ref="Q75:S75"/>
    <mergeCell ref="C88:D88"/>
    <mergeCell ref="AR66:AS66"/>
    <mergeCell ref="AI6:AJ6"/>
    <mergeCell ref="W96:Z96"/>
    <mergeCell ref="AA97:AB97"/>
    <mergeCell ref="Y91:Z91"/>
    <mergeCell ref="AE92:AF92"/>
    <mergeCell ref="W91:X91"/>
    <mergeCell ref="AG3:AH4"/>
    <mergeCell ref="C85:D85"/>
    <mergeCell ref="O103:P103"/>
    <mergeCell ref="AA91:AB91"/>
    <mergeCell ref="AC80:AD80"/>
    <mergeCell ref="U73:V73"/>
    <mergeCell ref="AA76:AB76"/>
    <mergeCell ref="M79:N79"/>
    <mergeCell ref="Q96:S96"/>
    <mergeCell ref="G93:H93"/>
    <mergeCell ref="M105:N105"/>
    <mergeCell ref="AC86:AD86"/>
    <mergeCell ref="AI69:AJ69"/>
    <mergeCell ref="AM67:AN67"/>
    <mergeCell ref="C107:D107"/>
    <mergeCell ref="Q80:S80"/>
    <mergeCell ref="O73:P73"/>
    <mergeCell ref="AG97:AH97"/>
    <mergeCell ref="AA81:AB81"/>
    <mergeCell ref="C90:D90"/>
    <mergeCell ref="Y90:Z90"/>
    <mergeCell ref="Y89:Z89"/>
    <mergeCell ref="B18:I18"/>
    <mergeCell ref="B14:E14"/>
    <mergeCell ref="AI78:AK78"/>
    <mergeCell ref="Q100:S100"/>
    <mergeCell ref="C82:D82"/>
    <mergeCell ref="U105:V105"/>
    <mergeCell ref="Y64:AD64"/>
    <mergeCell ref="O97:P97"/>
    <mergeCell ref="K78:L78"/>
    <mergeCell ref="I92:J92"/>
    <mergeCell ref="AC69:AD69"/>
    <mergeCell ref="Q97:S97"/>
    <mergeCell ref="AA69:AB69"/>
    <mergeCell ref="O88:P88"/>
    <mergeCell ref="U75:V75"/>
    <mergeCell ref="O68:T68"/>
    <mergeCell ref="I100:J100"/>
    <mergeCell ref="U104:V104"/>
    <mergeCell ref="AA78:AB78"/>
    <mergeCell ref="O101:P101"/>
    <mergeCell ref="I93:J93"/>
    <mergeCell ref="K90:L90"/>
    <mergeCell ref="AC88:AD88"/>
    <mergeCell ref="M94:N94"/>
    <mergeCell ref="W103:Z103"/>
    <mergeCell ref="AG104:AH104"/>
    <mergeCell ref="O77:P77"/>
    <mergeCell ref="I99:J99"/>
    <mergeCell ref="AG78:AH78"/>
    <mergeCell ref="C104:D104"/>
    <mergeCell ref="W75:Z75"/>
    <mergeCell ref="AG98:AH98"/>
    <mergeCell ref="AC104:AD104"/>
    <mergeCell ref="Q84:S84"/>
    <mergeCell ref="AE78:AF78"/>
    <mergeCell ref="AE64:AH64"/>
    <mergeCell ref="AR65:AS65"/>
    <mergeCell ref="E75:H75"/>
    <mergeCell ref="AC92:AD92"/>
    <mergeCell ref="O106:P106"/>
    <mergeCell ref="AG80:AH80"/>
    <mergeCell ref="AG75:AH75"/>
    <mergeCell ref="U100:V100"/>
    <mergeCell ref="E76:H76"/>
    <mergeCell ref="U65:X65"/>
    <mergeCell ref="AG93:AH93"/>
    <mergeCell ref="Q73:S73"/>
    <mergeCell ref="M100:N100"/>
    <mergeCell ref="I85:J85"/>
    <mergeCell ref="AE65:AH65"/>
    <mergeCell ref="BD35:BE36"/>
    <mergeCell ref="AM33:BC34"/>
    <mergeCell ref="AM31:BC32"/>
    <mergeCell ref="C74:D74"/>
    <mergeCell ref="U93:V93"/>
    <mergeCell ref="Q95:S95"/>
    <mergeCell ref="M77:N77"/>
    <mergeCell ref="U78:V78"/>
    <mergeCell ref="M75:N75"/>
    <mergeCell ref="J65:N65"/>
    <mergeCell ref="U99:V99"/>
    <mergeCell ref="E100:H100"/>
    <mergeCell ref="W80:Z80"/>
    <mergeCell ref="AA88:AB88"/>
    <mergeCell ref="C91:D91"/>
    <mergeCell ref="W87:Z87"/>
    <mergeCell ref="K82:L82"/>
    <mergeCell ref="E83:H83"/>
    <mergeCell ref="B6:D6"/>
    <mergeCell ref="AI99:AK99"/>
    <mergeCell ref="O83:P83"/>
    <mergeCell ref="AA68:AB68"/>
    <mergeCell ref="I88:J88"/>
    <mergeCell ref="O89:P89"/>
    <mergeCell ref="AI92:AK92"/>
    <mergeCell ref="AG73:AH73"/>
    <mergeCell ref="J19:L25"/>
    <mergeCell ref="AA105:AB105"/>
    <mergeCell ref="AE80:AF80"/>
    <mergeCell ref="I104:J104"/>
    <mergeCell ref="M106:N106"/>
    <mergeCell ref="W102:Z102"/>
    <mergeCell ref="O104:P104"/>
    <mergeCell ref="J51:U51"/>
    <mergeCell ref="AI93:AK93"/>
    <mergeCell ref="E4:I4"/>
    <mergeCell ref="AL5:AS6"/>
    <mergeCell ref="AC98:AD98"/>
    <mergeCell ref="O78:P78"/>
    <mergeCell ref="I107:J107"/>
    <mergeCell ref="Q78:S78"/>
    <mergeCell ref="M96:N96"/>
    <mergeCell ref="K95:L95"/>
    <mergeCell ref="K74:L74"/>
    <mergeCell ref="AM66:AN66"/>
    <mergeCell ref="K104:L104"/>
    <mergeCell ref="E85:H85"/>
    <mergeCell ref="AG81:AH81"/>
    <mergeCell ref="I102:J102"/>
    <mergeCell ref="E88:H88"/>
    <mergeCell ref="I76:J76"/>
    <mergeCell ref="Q106:S106"/>
    <mergeCell ref="W84:Z84"/>
    <mergeCell ref="Y65:Z65"/>
    <mergeCell ref="P12:Q12"/>
    <mergeCell ref="AI11:AJ11"/>
    <mergeCell ref="AI5:AJ5"/>
    <mergeCell ref="AI4:AJ4"/>
    <mergeCell ref="U87:V87"/>
    <mergeCell ref="I103:J103"/>
    <mergeCell ref="AC105:AD105"/>
    <mergeCell ref="AI103:AK103"/>
    <mergeCell ref="O107:P107"/>
    <mergeCell ref="O95:P95"/>
    <mergeCell ref="AI74:AK74"/>
    <mergeCell ref="J4:L4"/>
    <mergeCell ref="Q101:S101"/>
    <mergeCell ref="E77:H77"/>
    <mergeCell ref="Y4:Z4"/>
    <mergeCell ref="E101:H101"/>
    <mergeCell ref="AA84:AB84"/>
    <mergeCell ref="AE95:AF95"/>
    <mergeCell ref="M104:N104"/>
    <mergeCell ref="U92:V92"/>
    <mergeCell ref="AC95:AD95"/>
    <mergeCell ref="U84:V84"/>
    <mergeCell ref="G105:H105"/>
    <mergeCell ref="AI90:AK90"/>
    <mergeCell ref="K88:L88"/>
    <mergeCell ref="AA104:AB104"/>
    <mergeCell ref="U96:V96"/>
    <mergeCell ref="AL7:AS8"/>
    <mergeCell ref="E104:F104"/>
    <mergeCell ref="Y5:Z5"/>
    <mergeCell ref="AE84:AF84"/>
    <mergeCell ref="Q94:S94"/>
    <mergeCell ref="AE3:AF3"/>
    <mergeCell ref="D12:E12"/>
    <mergeCell ref="AA10:AB10"/>
    <mergeCell ref="AA75:AB75"/>
    <mergeCell ref="AA5:AB6"/>
    <mergeCell ref="AT3:BA4"/>
    <mergeCell ref="AC93:AD93"/>
    <mergeCell ref="K10:M11"/>
    <mergeCell ref="C106:D106"/>
    <mergeCell ref="AE99:AF99"/>
    <mergeCell ref="I86:J86"/>
    <mergeCell ref="G106:H106"/>
    <mergeCell ref="AG100:AH100"/>
    <mergeCell ref="Q105:S105"/>
    <mergeCell ref="W107:Z107"/>
    <mergeCell ref="AG96:AH96"/>
    <mergeCell ref="AE98:AF98"/>
    <mergeCell ref="M84:N84"/>
    <mergeCell ref="K92:L92"/>
    <mergeCell ref="AR70:AS70"/>
    <mergeCell ref="I14:AS14"/>
    <mergeCell ref="B16:AS16"/>
    <mergeCell ref="AC101:AD101"/>
    <mergeCell ref="E89:H89"/>
    <mergeCell ref="AC79:AD79"/>
    <mergeCell ref="M99:N99"/>
    <mergeCell ref="K94:L94"/>
    <mergeCell ref="O96:P96"/>
    <mergeCell ref="J64:N64"/>
    <mergeCell ref="J27:U50"/>
    <mergeCell ref="M103:N103"/>
    <mergeCell ref="W82:Z82"/>
    <mergeCell ref="AA86:AB86"/>
    <mergeCell ref="I91:J91"/>
    <mergeCell ref="C84:D84"/>
    <mergeCell ref="I80:J80"/>
    <mergeCell ref="J67:N67"/>
    <mergeCell ref="W85:X85"/>
    <mergeCell ref="I98:J98"/>
    <mergeCell ref="Q104:S104"/>
    <mergeCell ref="AC96:AD96"/>
    <mergeCell ref="C105:D105"/>
    <mergeCell ref="AA101:AB101"/>
    <mergeCell ref="AE87:AF87"/>
    <mergeCell ref="O100:P100"/>
    <mergeCell ref="E78:H78"/>
    <mergeCell ref="K103:L103"/>
    <mergeCell ref="AC91:AD91"/>
    <mergeCell ref="O99:P99"/>
    <mergeCell ref="AA67:AB67"/>
    <mergeCell ref="AI101:AK101"/>
    <mergeCell ref="U83:V83"/>
    <mergeCell ref="AA95:AB95"/>
    <mergeCell ref="AC83:AD83"/>
    <mergeCell ref="AP11:AS11"/>
    <mergeCell ref="K87:L87"/>
    <mergeCell ref="W97:Z97"/>
    <mergeCell ref="H19:I70"/>
    <mergeCell ref="AA77:AB77"/>
    <mergeCell ref="W90:X90"/>
    <mergeCell ref="B12:C12"/>
    <mergeCell ref="AK68:AL68"/>
    <mergeCell ref="M81:N81"/>
    <mergeCell ref="AG89:AH89"/>
    <mergeCell ref="AG85:AH85"/>
    <mergeCell ref="U82:V82"/>
    <mergeCell ref="AC85:AD85"/>
    <mergeCell ref="M97:N97"/>
    <mergeCell ref="K85:L85"/>
    <mergeCell ref="O94:P94"/>
    <mergeCell ref="AC66:AD66"/>
    <mergeCell ref="AI105:AK105"/>
    <mergeCell ref="AG106:AH106"/>
    <mergeCell ref="E74:H74"/>
    <mergeCell ref="W95:X95"/>
    <mergeCell ref="K102:L102"/>
    <mergeCell ref="I82:J82"/>
    <mergeCell ref="I89:J89"/>
    <mergeCell ref="E84:H84"/>
    <mergeCell ref="C102:D102"/>
    <mergeCell ref="S7:T7"/>
    <mergeCell ref="Q99:S99"/>
    <mergeCell ref="AC8:AD8"/>
    <mergeCell ref="AM65:AN65"/>
    <mergeCell ref="AM68:AN68"/>
    <mergeCell ref="AE93:AF93"/>
    <mergeCell ref="W98:Z98"/>
    <mergeCell ref="AI82:AK82"/>
    <mergeCell ref="AE105:AF105"/>
    <mergeCell ref="C96:D96"/>
    <mergeCell ref="U85:V85"/>
    <mergeCell ref="AI94:AK94"/>
    <mergeCell ref="AG107:AH107"/>
    <mergeCell ref="O67:T67"/>
    <mergeCell ref="E91:H91"/>
    <mergeCell ref="AT7:BA8"/>
    <mergeCell ref="U103:V103"/>
    <mergeCell ref="K107:L107"/>
    <mergeCell ref="AK69:AL69"/>
    <mergeCell ref="C73:D73"/>
    <mergeCell ref="M87:N87"/>
    <mergeCell ref="M73:N73"/>
    <mergeCell ref="AE74:AF74"/>
    <mergeCell ref="M88:N88"/>
    <mergeCell ref="V32:AG32"/>
    <mergeCell ref="AI45:AL46"/>
    <mergeCell ref="V27:AG31"/>
    <mergeCell ref="AC76:AD76"/>
    <mergeCell ref="M19:O25"/>
    <mergeCell ref="U19:Y21"/>
    <mergeCell ref="U74:V74"/>
    <mergeCell ref="P24:Q25"/>
    <mergeCell ref="V33:AA40"/>
    <mergeCell ref="AC102:AD102"/>
    <mergeCell ref="O69:T69"/>
    <mergeCell ref="C101:D101"/>
    <mergeCell ref="M107:N107"/>
    <mergeCell ref="Y68:Z68"/>
    <mergeCell ref="K12:M12"/>
    <mergeCell ref="W78:Z78"/>
    <mergeCell ref="AE12:AF12"/>
    <mergeCell ref="Q89:S89"/>
    <mergeCell ref="AM69:AN69"/>
    <mergeCell ref="C92:D92"/>
    <mergeCell ref="Y105:Z105"/>
    <mergeCell ref="Q103:S103"/>
    <mergeCell ref="AG83:AH83"/>
    <mergeCell ref="M83:N83"/>
    <mergeCell ref="AC89:AD89"/>
    <mergeCell ref="AE88:AF88"/>
    <mergeCell ref="W88:Z88"/>
    <mergeCell ref="U22:AK25"/>
    <mergeCell ref="Q82:S82"/>
    <mergeCell ref="AG87:AH87"/>
    <mergeCell ref="AI41:AL42"/>
    <mergeCell ref="AB33:AG40"/>
    <mergeCell ref="AI64:AJ64"/>
    <mergeCell ref="I74:J74"/>
    <mergeCell ref="AG99:AH99"/>
    <mergeCell ref="AI73:AK73"/>
    <mergeCell ref="AI84:AK84"/>
    <mergeCell ref="AI85:AK85"/>
    <mergeCell ref="AE77:AF77"/>
    <mergeCell ref="I106:J106"/>
    <mergeCell ref="C103:D103"/>
    <mergeCell ref="C99:D99"/>
    <mergeCell ref="AG74:AH74"/>
    <mergeCell ref="Y70:Z70"/>
    <mergeCell ref="AI97:AK97"/>
    <mergeCell ref="AI35:AL36"/>
    <mergeCell ref="O85:P85"/>
    <mergeCell ref="J52:U61"/>
    <mergeCell ref="AG90:AH90"/>
    <mergeCell ref="U66:X66"/>
    <mergeCell ref="AI104:AK104"/>
    <mergeCell ref="O90:P90"/>
    <mergeCell ref="AI65:AJ65"/>
    <mergeCell ref="AK70:AL70"/>
    <mergeCell ref="C98:D98"/>
    <mergeCell ref="E90:H90"/>
    <mergeCell ref="AE96:AF96"/>
    <mergeCell ref="G92:H92"/>
    <mergeCell ref="E87:H87"/>
    <mergeCell ref="G94:H94"/>
    <mergeCell ref="AO64:AQ64"/>
    <mergeCell ref="E102:H102"/>
    <mergeCell ref="AM43:BC44"/>
    <mergeCell ref="AM45:BC46"/>
    <mergeCell ref="AM41:BC42"/>
    <mergeCell ref="AM39:BC40"/>
    <mergeCell ref="AC103:AD103"/>
    <mergeCell ref="S6:T6"/>
    <mergeCell ref="Y7:Z7"/>
    <mergeCell ref="W6:X6"/>
    <mergeCell ref="U79:V79"/>
    <mergeCell ref="AA7:AB8"/>
    <mergeCell ref="W76:Z76"/>
    <mergeCell ref="AE104:AF104"/>
    <mergeCell ref="C81:D81"/>
    <mergeCell ref="O66:T66"/>
    <mergeCell ref="P18:Q19"/>
    <mergeCell ref="S5:T5"/>
    <mergeCell ref="AC84:AD84"/>
    <mergeCell ref="Q91:S91"/>
    <mergeCell ref="O84:P84"/>
    <mergeCell ref="O102:P102"/>
    <mergeCell ref="U5:V6"/>
    <mergeCell ref="AG103:AH103"/>
    <mergeCell ref="P10:Q11"/>
    <mergeCell ref="AC4:AD4"/>
    <mergeCell ref="AC6:AD6"/>
    <mergeCell ref="AC12:AD12"/>
    <mergeCell ref="AF10:AH11"/>
    <mergeCell ref="B72:AK72"/>
    <mergeCell ref="W101:Z101"/>
    <mergeCell ref="E105:F105"/>
    <mergeCell ref="AC87:AD87"/>
    <mergeCell ref="K75:L75"/>
    <mergeCell ref="AE94:AF94"/>
    <mergeCell ref="C89:D89"/>
    <mergeCell ref="AE103:AF103"/>
    <mergeCell ref="O105:P105"/>
    <mergeCell ref="M74:N74"/>
    <mergeCell ref="AI98:AK98"/>
    <mergeCell ref="AA103:AB103"/>
    <mergeCell ref="W73:Z73"/>
    <mergeCell ref="AA65:AB65"/>
    <mergeCell ref="AK64:AL64"/>
    <mergeCell ref="AM64:AN64"/>
    <mergeCell ref="AE75:AF75"/>
    <mergeCell ref="M91:N91"/>
    <mergeCell ref="U101:V101"/>
    <mergeCell ref="AI96:AK96"/>
    <mergeCell ref="W106:Z106"/>
    <mergeCell ref="I87:J87"/>
    <mergeCell ref="AE101:AF101"/>
    <mergeCell ref="Q74:S74"/>
    <mergeCell ref="K81:L81"/>
    <mergeCell ref="AG79:AH79"/>
    <mergeCell ref="R20:T21"/>
    <mergeCell ref="P20:Q21"/>
    <mergeCell ref="AI70:AJ70"/>
    <mergeCell ref="O87:P87"/>
    <mergeCell ref="E80:H80"/>
    <mergeCell ref="AC97:AD97"/>
    <mergeCell ref="M98:N98"/>
    <mergeCell ref="G95:H95"/>
    <mergeCell ref="AE81:AF81"/>
    <mergeCell ref="M101:N101"/>
    <mergeCell ref="O79:P79"/>
    <mergeCell ref="AI79:AK79"/>
    <mergeCell ref="K97:L97"/>
    <mergeCell ref="V42:AG50"/>
    <mergeCell ref="AG84:AH84"/>
    <mergeCell ref="Q79:S79"/>
    <mergeCell ref="W77:Z77"/>
    <mergeCell ref="U81:V81"/>
    <mergeCell ref="AC73:AD73"/>
    <mergeCell ref="Q107:S107"/>
    <mergeCell ref="M80:N80"/>
    <mergeCell ref="U88:V88"/>
    <mergeCell ref="G99:H99"/>
    <mergeCell ref="C86:D86"/>
    <mergeCell ref="O76:P76"/>
    <mergeCell ref="U91:V91"/>
    <mergeCell ref="M89:N89"/>
    <mergeCell ref="U80:V80"/>
    <mergeCell ref="AG86:AH86"/>
    <mergeCell ref="AR69:AS69"/>
    <mergeCell ref="I15:AS15"/>
    <mergeCell ref="W94:Z94"/>
  </mergeCells>
  <conditionalFormatting sqref="Q107:S107">
    <cfRule type="cellIs" operator="equal" priority="443" dxfId="38">
      <formula>"※"</formula>
    </cfRule>
    <cfRule type="cellIs" operator="equal" priority="464" dxfId="39">
      <formula>"☆"</formula>
    </cfRule>
    <cfRule type="cellIs" operator="equal" priority="693" dxfId="40">
      <formula>"★"</formula>
    </cfRule>
    <cfRule type="cellIs" operator="equal" priority="726" dxfId="41">
      <formula>"×"</formula>
    </cfRule>
    <cfRule type="cellIs" operator="equal" priority="668" dxfId="42">
      <formula>"⊙"</formula>
    </cfRule>
  </conditionalFormatting>
  <conditionalFormatting sqref="Y85:Z85">
    <cfRule type="cellIs" operator="equal" priority="697" dxfId="43">
      <formula>"★"</formula>
    </cfRule>
    <cfRule type="cellIs" operator="equal" priority="743" dxfId="44">
      <formula>"※"</formula>
    </cfRule>
    <cfRule type="cellIs" operator="equal" priority="655" dxfId="45">
      <formula>"⊙"</formula>
    </cfRule>
    <cfRule type="cellIs" operator="equal" priority="715" dxfId="46">
      <formula>"☆"</formula>
    </cfRule>
    <cfRule type="cellIs" operator="equal" priority="584" dxfId="47">
      <formula>"×"</formula>
    </cfRule>
  </conditionalFormatting>
  <conditionalFormatting sqref="E96:F96">
    <cfRule type="cellIs" operator="equal" priority="480" dxfId="48">
      <formula>"☆"</formula>
    </cfRule>
    <cfRule type="cellIs" operator="equal" priority="633" dxfId="49">
      <formula>"★"</formula>
    </cfRule>
    <cfRule type="cellIs" operator="equal" priority="489" dxfId="50">
      <formula>"×"</formula>
    </cfRule>
    <cfRule type="cellIs" operator="equal" priority="398" dxfId="51">
      <formula>"※"</formula>
    </cfRule>
    <cfRule type="cellIs" operator="equal" priority="520" dxfId="52">
      <formula>"⊙"</formula>
    </cfRule>
  </conditionalFormatting>
  <conditionalFormatting sqref="I75:J75 I76:J76 I77:J77 I78:J78 I79:J79 I80:J80 I81:J81 I82:J82 I83:J83 I84:J84 I85:J85 I86:J86 I87:J87 I88:J88 I89:J89 I90:J90 I91:J91 I92:J92 I93:J93 I94:J94 I95:J95 I96:J96 I97:J97 I98:J98 I99:J99 I100:J100 I101:J101 I102:J102 I103:J103 I104:J104 I105:J105 I106:J106 I107:J107">
    <cfRule type="cellIs" operator="equal" priority="604" dxfId="53">
      <formula>"★"</formula>
    </cfRule>
    <cfRule type="cellIs" operator="equal" priority="455" dxfId="54">
      <formula>"※"</formula>
    </cfRule>
    <cfRule type="cellIs" operator="equal" priority="727" dxfId="55">
      <formula>"☆"</formula>
    </cfRule>
    <cfRule type="cellIs" operator="equal" priority="446" dxfId="56">
      <formula>"⊙"</formula>
    </cfRule>
    <cfRule type="cellIs" operator="equal" priority="515" dxfId="57">
      <formula>"×"</formula>
    </cfRule>
  </conditionalFormatting>
  <conditionalFormatting sqref="E104:F104">
    <cfRule type="cellIs" operator="equal" priority="603" dxfId="58">
      <formula>"※"</formula>
    </cfRule>
    <cfRule type="cellIs" operator="equal" priority="438" dxfId="59">
      <formula>"×"</formula>
    </cfRule>
    <cfRule type="cellIs" operator="equal" priority="658" dxfId="60">
      <formula>"☆"</formula>
    </cfRule>
    <cfRule type="cellIs" operator="equal" priority="592" dxfId="61">
      <formula>"★"</formula>
    </cfRule>
    <cfRule type="cellIs" operator="equal" priority="696" dxfId="62">
      <formula>"⊙"</formula>
    </cfRule>
  </conditionalFormatting>
  <conditionalFormatting sqref="AI77:AK77">
    <cfRule type="cellIs" operator="equal" priority="530" dxfId="63">
      <formula>"☆"</formula>
    </cfRule>
    <cfRule type="cellIs" operator="equal" priority="429" dxfId="64">
      <formula>"×"</formula>
    </cfRule>
    <cfRule type="cellIs" operator="equal" priority="406" dxfId="65">
      <formula>"★"</formula>
    </cfRule>
    <cfRule type="cellIs" operator="equal" priority="465" dxfId="66">
      <formula>"⊙"</formula>
    </cfRule>
    <cfRule type="cellIs" operator="equal" priority="650" dxfId="67">
      <formula>"※"</formula>
    </cfRule>
  </conditionalFormatting>
  <conditionalFormatting sqref="Q102:S102">
    <cfRule type="cellIs" operator="equal" priority="668" dxfId="68">
      <formula>"⊙"</formula>
    </cfRule>
    <cfRule type="cellIs" operator="equal" priority="693" dxfId="69">
      <formula>"★"</formula>
    </cfRule>
    <cfRule type="cellIs" operator="equal" priority="464" dxfId="70">
      <formula>"☆"</formula>
    </cfRule>
    <cfRule type="cellIs" operator="equal" priority="726" dxfId="71">
      <formula>"×"</formula>
    </cfRule>
    <cfRule type="cellIs" operator="equal" priority="443" dxfId="72">
      <formula>"※"</formula>
    </cfRule>
  </conditionalFormatting>
  <conditionalFormatting sqref="W107:Z107">
    <cfRule type="cellIs" operator="equal" priority="512" dxfId="73">
      <formula>"★"</formula>
    </cfRule>
    <cfRule type="cellIs" operator="equal" priority="527" dxfId="74">
      <formula>"⊙"</formula>
    </cfRule>
    <cfRule type="cellIs" operator="equal" priority="566" dxfId="75">
      <formula>"×"</formula>
    </cfRule>
    <cfRule type="cellIs" operator="equal" priority="610" dxfId="76">
      <formula>"※"</formula>
    </cfRule>
    <cfRule type="cellIs" operator="equal" priority="401" dxfId="77">
      <formula>"☆"</formula>
    </cfRule>
  </conditionalFormatting>
  <conditionalFormatting sqref="Q84:S84">
    <cfRule type="cellIs" operator="equal" priority="443" dxfId="78">
      <formula>"※"</formula>
    </cfRule>
    <cfRule type="cellIs" operator="equal" priority="668" dxfId="79">
      <formula>"⊙"</formula>
    </cfRule>
    <cfRule type="cellIs" operator="equal" priority="693" dxfId="80">
      <formula>"★"</formula>
    </cfRule>
    <cfRule type="cellIs" operator="equal" priority="726" dxfId="81">
      <formula>"×"</formula>
    </cfRule>
    <cfRule type="cellIs" operator="equal" priority="464" dxfId="82">
      <formula>"☆"</formula>
    </cfRule>
  </conditionalFormatting>
  <conditionalFormatting sqref="C75:D75 C76:D76 C77:D77 C78:D78 C79:D79 C80:D80 C81:D81 C82:D82 C83:D83 C84:D84 C85:D85 C86:D86 C87:D87 C88:D88 C89:D89 C90:D90 C91:D91 C92:D92 C93:D93 C94:D94 C95:D95 C96:D96 C97:D97 C98:D98 C99:D99 C100:D100 C101:D101 C102:D102 C103:D103 C104:D104 C105:D105 C106:D106 C107:D107">
    <cfRule type="cellIs" operator="equal" priority="593" dxfId="83">
      <formula>"⊙"</formula>
    </cfRule>
    <cfRule type="cellIs" operator="equal" priority="635" dxfId="84">
      <formula>"☆"</formula>
    </cfRule>
    <cfRule type="cellIs" operator="equal" priority="383" dxfId="85">
      <formula>"★"</formula>
    </cfRule>
    <cfRule type="cellIs" operator="equal" priority="469" dxfId="86">
      <formula>"※"</formula>
    </cfRule>
    <cfRule type="cellIs" operator="equal" priority="602" dxfId="87">
      <formula>"×"</formula>
    </cfRule>
  </conditionalFormatting>
  <conditionalFormatting sqref="W91:X91">
    <cfRule type="cellIs" operator="equal" priority="504" dxfId="88">
      <formula>"×"</formula>
    </cfRule>
    <cfRule type="cellIs" operator="equal" priority="643" dxfId="89">
      <formula>"★"</formula>
    </cfRule>
    <cfRule type="cellIs" operator="equal" priority="607" dxfId="90">
      <formula>"※"</formula>
    </cfRule>
    <cfRule type="cellIs" operator="equal" priority="422" dxfId="91">
      <formula>"⊙"</formula>
    </cfRule>
    <cfRule type="cellIs" operator="equal" priority="572" dxfId="92">
      <formula>"☆"</formula>
    </cfRule>
  </conditionalFormatting>
  <conditionalFormatting sqref="W85:X85">
    <cfRule type="cellIs" operator="equal" priority="491" dxfId="93">
      <formula>"⊙"</formula>
    </cfRule>
    <cfRule type="cellIs" operator="equal" priority="533" dxfId="94">
      <formula>"×"</formula>
    </cfRule>
    <cfRule type="cellIs" operator="equal" priority="701" dxfId="95">
      <formula>"☆"</formula>
    </cfRule>
    <cfRule type="cellIs" operator="equal" priority="552" dxfId="96">
      <formula>"★"</formula>
    </cfRule>
    <cfRule type="cellIs" operator="equal" priority="518" dxfId="97">
      <formula>"※"</formula>
    </cfRule>
  </conditionalFormatting>
  <conditionalFormatting sqref="AI82:AK82">
    <cfRule type="cellIs" operator="equal" priority="429" dxfId="98">
      <formula>"×"</formula>
    </cfRule>
    <cfRule type="cellIs" operator="equal" priority="406" dxfId="99">
      <formula>"★"</formula>
    </cfRule>
    <cfRule type="cellIs" operator="equal" priority="650" dxfId="100">
      <formula>"※"</formula>
    </cfRule>
    <cfRule type="cellIs" operator="equal" priority="530" dxfId="101">
      <formula>"☆"</formula>
    </cfRule>
    <cfRule type="cellIs" operator="equal" priority="465" dxfId="102">
      <formula>"⊙"</formula>
    </cfRule>
  </conditionalFormatting>
  <conditionalFormatting sqref="Q86:S86">
    <cfRule type="cellIs" operator="equal" priority="464" dxfId="103">
      <formula>"☆"</formula>
    </cfRule>
    <cfRule type="cellIs" operator="equal" priority="443" dxfId="104">
      <formula>"※"</formula>
    </cfRule>
    <cfRule type="cellIs" operator="equal" priority="693" dxfId="105">
      <formula>"★"</formula>
    </cfRule>
    <cfRule type="cellIs" operator="equal" priority="668" dxfId="106">
      <formula>"⊙"</formula>
    </cfRule>
    <cfRule type="cellIs" operator="equal" priority="726" dxfId="107">
      <formula>"×"</formula>
    </cfRule>
  </conditionalFormatting>
  <conditionalFormatting sqref="AI99:AK99">
    <cfRule type="cellIs" operator="equal" priority="530" dxfId="108">
      <formula>"☆"</formula>
    </cfRule>
    <cfRule type="cellIs" operator="equal" priority="406" dxfId="109">
      <formula>"★"</formula>
    </cfRule>
    <cfRule type="cellIs" operator="equal" priority="650" dxfId="110">
      <formula>"※"</formula>
    </cfRule>
    <cfRule type="cellIs" operator="equal" priority="465" dxfId="111">
      <formula>"⊙"</formula>
    </cfRule>
    <cfRule type="cellIs" operator="equal" priority="429" dxfId="112">
      <formula>"×"</formula>
    </cfRule>
  </conditionalFormatting>
  <conditionalFormatting sqref="AI83:AK83">
    <cfRule type="cellIs" operator="equal" priority="650" dxfId="113">
      <formula>"※"</formula>
    </cfRule>
    <cfRule type="cellIs" operator="equal" priority="530" dxfId="114">
      <formula>"☆"</formula>
    </cfRule>
    <cfRule type="cellIs" operator="equal" priority="406" dxfId="115">
      <formula>"★"</formula>
    </cfRule>
    <cfRule type="cellIs" operator="equal" priority="465" dxfId="116">
      <formula>"⊙"</formula>
    </cfRule>
    <cfRule type="cellIs" operator="equal" priority="429" dxfId="117">
      <formula>"×"</formula>
    </cfRule>
  </conditionalFormatting>
  <conditionalFormatting sqref="AC74:AD74">
    <cfRule type="cellIs" operator="equal" priority="700" dxfId="118">
      <formula>"⊙"</formula>
    </cfRule>
    <cfRule type="cellIs" operator="equal" priority="433" dxfId="119">
      <formula>"※"</formula>
    </cfRule>
    <cfRule type="cellIs" operator="equal" priority="627" dxfId="120">
      <formula>"☆"</formula>
    </cfRule>
    <cfRule type="cellIs" operator="equal" priority="547" dxfId="121">
      <formula>"★"</formula>
    </cfRule>
    <cfRule type="cellIs" operator="equal" priority="728" dxfId="122">
      <formula>"×"</formula>
    </cfRule>
  </conditionalFormatting>
  <conditionalFormatting sqref="Q99:S99">
    <cfRule type="cellIs" operator="equal" priority="443" dxfId="123">
      <formula>"※"</formula>
    </cfRule>
    <cfRule type="cellIs" operator="equal" priority="693" dxfId="124">
      <formula>"★"</formula>
    </cfRule>
    <cfRule type="cellIs" operator="equal" priority="726" dxfId="125">
      <formula>"×"</formula>
    </cfRule>
    <cfRule type="cellIs" operator="equal" priority="668" dxfId="126">
      <formula>"⊙"</formula>
    </cfRule>
    <cfRule type="cellIs" operator="equal" priority="464" dxfId="127">
      <formula>"☆"</formula>
    </cfRule>
  </conditionalFormatting>
  <conditionalFormatting sqref="W74:Z74">
    <cfRule type="cellIs" operator="equal" priority="731" dxfId="128">
      <formula>"※"</formula>
    </cfRule>
    <cfRule type="cellIs" operator="equal" priority="617" dxfId="129">
      <formula>"★"</formula>
    </cfRule>
    <cfRule type="cellIs" operator="equal" priority="631" dxfId="130">
      <formula>"☆"</formula>
    </cfRule>
    <cfRule type="cellIs" operator="equal" priority="543" dxfId="131">
      <formula>"×"</formula>
    </cfRule>
    <cfRule type="cellIs" operator="equal" priority="676" dxfId="132">
      <formula>"⊙"</formula>
    </cfRule>
  </conditionalFormatting>
  <conditionalFormatting sqref="E95:F95">
    <cfRule type="cellIs" operator="equal" priority="585" dxfId="133">
      <formula>"⊙"</formula>
    </cfRule>
    <cfRule type="cellIs" operator="equal" priority="596" dxfId="134">
      <formula>"※"</formula>
    </cfRule>
    <cfRule type="cellIs" operator="equal" priority="571" dxfId="135">
      <formula>"×"</formula>
    </cfRule>
    <cfRule type="cellIs" operator="equal" priority="456" dxfId="136">
      <formula>"★"</formula>
    </cfRule>
    <cfRule type="cellIs" operator="equal" priority="377" dxfId="137">
      <formula>"☆"</formula>
    </cfRule>
  </conditionalFormatting>
  <conditionalFormatting sqref="Y105:Z105">
    <cfRule type="cellIs" operator="equal" priority="427" dxfId="138">
      <formula>"⊙"</formula>
    </cfRule>
    <cfRule type="cellIs" operator="equal" priority="580" dxfId="139">
      <formula>"★"</formula>
    </cfRule>
    <cfRule type="cellIs" operator="equal" priority="660" dxfId="140">
      <formula>"☆"</formula>
    </cfRule>
    <cfRule type="cellIs" operator="equal" priority="601" dxfId="141">
      <formula>"×"</formula>
    </cfRule>
    <cfRule type="cellIs" operator="equal" priority="385" dxfId="142">
      <formula>"※"</formula>
    </cfRule>
  </conditionalFormatting>
  <conditionalFormatting sqref="AI78:AK78">
    <cfRule type="cellIs" operator="equal" priority="429" dxfId="143">
      <formula>"×"</formula>
    </cfRule>
    <cfRule type="cellIs" operator="equal" priority="465" dxfId="144">
      <formula>"⊙"</formula>
    </cfRule>
    <cfRule type="cellIs" operator="equal" priority="650" dxfId="145">
      <formula>"※"</formula>
    </cfRule>
    <cfRule type="cellIs" operator="equal" priority="530" dxfId="146">
      <formula>"☆"</formula>
    </cfRule>
    <cfRule type="cellIs" operator="equal" priority="406" dxfId="147">
      <formula>"★"</formula>
    </cfRule>
  </conditionalFormatting>
  <conditionalFormatting sqref="Q74:S74">
    <cfRule type="cellIs" operator="equal" priority="376" dxfId="148">
      <formula>"×"</formula>
    </cfRule>
    <cfRule type="cellIs" operator="equal" priority="578" dxfId="149">
      <formula>"☆"</formula>
    </cfRule>
    <cfRule type="cellIs" operator="equal" priority="652" dxfId="150">
      <formula>"★"</formula>
    </cfRule>
    <cfRule type="cellIs" operator="equal" priority="709" dxfId="151">
      <formula>"⊙"</formula>
    </cfRule>
    <cfRule type="cellIs" operator="equal" priority="553" dxfId="152">
      <formula>"※"</formula>
    </cfRule>
  </conditionalFormatting>
  <conditionalFormatting sqref="G105:H105 G106:H106">
    <cfRule type="cellIs" operator="equal" priority="702" dxfId="153">
      <formula>"⊙"</formula>
    </cfRule>
    <cfRule type="cellIs" operator="equal" priority="694" dxfId="154">
      <formula>"※"</formula>
    </cfRule>
    <cfRule type="cellIs" operator="equal" priority="609" dxfId="155">
      <formula>"★"</formula>
    </cfRule>
    <cfRule type="cellIs" operator="equal" priority="628" dxfId="156">
      <formula>"×"</formula>
    </cfRule>
    <cfRule type="cellIs" operator="equal" priority="667" dxfId="157">
      <formula>"☆"</formula>
    </cfRule>
  </conditionalFormatting>
  <conditionalFormatting sqref="K74:L74">
    <cfRule type="cellIs" operator="equal" priority="440" dxfId="158">
      <formula>"×"</formula>
    </cfRule>
    <cfRule type="cellIs" operator="equal" priority="452" dxfId="159">
      <formula>"★"</formula>
    </cfRule>
    <cfRule type="cellIs" operator="equal" priority="734" dxfId="160">
      <formula>"※"</formula>
    </cfRule>
    <cfRule type="cellIs" operator="equal" priority="741" dxfId="161">
      <formula>"⊙"</formula>
    </cfRule>
    <cfRule type="cellIs" operator="equal" priority="503" dxfId="162">
      <formula>"☆"</formula>
    </cfRule>
  </conditionalFormatting>
  <conditionalFormatting sqref="E74:H74">
    <cfRule type="cellIs" operator="equal" priority="687" dxfId="163">
      <formula>"⊙"</formula>
    </cfRule>
    <cfRule type="cellIs" operator="equal" priority="458" dxfId="164">
      <formula>"※"</formula>
    </cfRule>
    <cfRule type="cellIs" operator="equal" priority="669" dxfId="165">
      <formula>"☆"</formula>
    </cfRule>
    <cfRule type="cellIs" operator="equal" priority="387" dxfId="166">
      <formula>"×"</formula>
    </cfRule>
    <cfRule type="cellIs" operator="equal" priority="589" dxfId="167">
      <formula>"★"</formula>
    </cfRule>
  </conditionalFormatting>
  <conditionalFormatting sqref="Q95:S95">
    <cfRule type="cellIs" operator="equal" priority="668" dxfId="168">
      <formula>"⊙"</formula>
    </cfRule>
    <cfRule type="cellIs" operator="equal" priority="464" dxfId="169">
      <formula>"☆"</formula>
    </cfRule>
    <cfRule type="cellIs" operator="equal" priority="693" dxfId="170">
      <formula>"★"</formula>
    </cfRule>
    <cfRule type="cellIs" operator="equal" priority="726" dxfId="171">
      <formula>"×"</formula>
    </cfRule>
    <cfRule type="cellIs" operator="equal" priority="443" dxfId="172">
      <formula>"※"</formula>
    </cfRule>
  </conditionalFormatting>
  <conditionalFormatting sqref="AI102:AK102">
    <cfRule type="cellIs" operator="equal" priority="530" dxfId="173">
      <formula>"☆"</formula>
    </cfRule>
    <cfRule type="cellIs" operator="equal" priority="429" dxfId="174">
      <formula>"×"</formula>
    </cfRule>
    <cfRule type="cellIs" operator="equal" priority="406" dxfId="175">
      <formula>"★"</formula>
    </cfRule>
    <cfRule type="cellIs" operator="equal" priority="465" dxfId="176">
      <formula>"⊙"</formula>
    </cfRule>
    <cfRule type="cellIs" operator="equal" priority="650" dxfId="177">
      <formula>"※"</formula>
    </cfRule>
  </conditionalFormatting>
  <conditionalFormatting sqref="Q104:S104">
    <cfRule type="cellIs" operator="equal" priority="443" dxfId="178">
      <formula>"※"</formula>
    </cfRule>
    <cfRule type="cellIs" operator="equal" priority="464" dxfId="179">
      <formula>"☆"</formula>
    </cfRule>
    <cfRule type="cellIs" operator="equal" priority="668" dxfId="180">
      <formula>"⊙"</formula>
    </cfRule>
    <cfRule type="cellIs" operator="equal" priority="726" dxfId="181">
      <formula>"×"</formula>
    </cfRule>
    <cfRule type="cellIs" operator="equal" priority="693" dxfId="182">
      <formula>"★"</formula>
    </cfRule>
  </conditionalFormatting>
  <conditionalFormatting sqref="AI79:AK79">
    <cfRule type="cellIs" operator="equal" priority="465" dxfId="183">
      <formula>"⊙"</formula>
    </cfRule>
    <cfRule type="cellIs" operator="equal" priority="650" dxfId="184">
      <formula>"※"</formula>
    </cfRule>
    <cfRule type="cellIs" operator="equal" priority="429" dxfId="185">
      <formula>"×"</formula>
    </cfRule>
    <cfRule type="cellIs" operator="equal" priority="406" dxfId="186">
      <formula>"★"</formula>
    </cfRule>
    <cfRule type="cellIs" operator="equal" priority="530" dxfId="187">
      <formula>"☆"</formula>
    </cfRule>
  </conditionalFormatting>
  <conditionalFormatting sqref="W106:Z106">
    <cfRule type="cellIs" operator="equal" priority="662" dxfId="188">
      <formula>"★"</formula>
    </cfRule>
    <cfRule type="cellIs" operator="equal" priority="563" dxfId="189">
      <formula>"⊙"</formula>
    </cfRule>
    <cfRule type="cellIs" operator="equal" priority="460" dxfId="190">
      <formula>"※"</formula>
    </cfRule>
    <cfRule type="cellIs" operator="equal" priority="403" dxfId="191">
      <formula>"×"</formula>
    </cfRule>
    <cfRule type="cellIs" operator="equal" priority="411" dxfId="192">
      <formula>"☆"</formula>
    </cfRule>
  </conditionalFormatting>
  <conditionalFormatting sqref="E100:H100">
    <cfRule type="cellIs" operator="equal" priority="599" dxfId="193">
      <formula>"☆"</formula>
    </cfRule>
    <cfRule type="cellIs" operator="equal" priority="735" dxfId="194">
      <formula>"⊙"</formula>
    </cfRule>
    <cfRule type="cellIs" operator="equal" priority="415" dxfId="195">
      <formula>"※"</formula>
    </cfRule>
    <cfRule type="cellIs" operator="equal" priority="454" dxfId="196">
      <formula>"★"</formula>
    </cfRule>
    <cfRule type="cellIs" operator="equal" priority="522" dxfId="197">
      <formula>"×"</formula>
    </cfRule>
  </conditionalFormatting>
  <conditionalFormatting sqref="Q97:S97">
    <cfRule type="cellIs" operator="equal" priority="464" dxfId="198">
      <formula>"☆"</formula>
    </cfRule>
    <cfRule type="cellIs" operator="equal" priority="443" dxfId="199">
      <formula>"※"</formula>
    </cfRule>
    <cfRule type="cellIs" operator="equal" priority="668" dxfId="200">
      <formula>"⊙"</formula>
    </cfRule>
    <cfRule type="cellIs" operator="equal" priority="726" dxfId="201">
      <formula>"×"</formula>
    </cfRule>
    <cfRule type="cellIs" operator="equal" priority="693" dxfId="202">
      <formula>"★"</formula>
    </cfRule>
  </conditionalFormatting>
  <conditionalFormatting sqref="Q83:S83">
    <cfRule type="cellIs" operator="equal" priority="443" dxfId="203">
      <formula>"※"</formula>
    </cfRule>
    <cfRule type="cellIs" operator="equal" priority="464" dxfId="204">
      <formula>"☆"</formula>
    </cfRule>
    <cfRule type="cellIs" operator="equal" priority="726" dxfId="205">
      <formula>"×"</formula>
    </cfRule>
    <cfRule type="cellIs" operator="equal" priority="693" dxfId="206">
      <formula>"★"</formula>
    </cfRule>
    <cfRule type="cellIs" operator="equal" priority="668" dxfId="207">
      <formula>"⊙"</formula>
    </cfRule>
  </conditionalFormatting>
  <conditionalFormatting sqref="AI86:AK86">
    <cfRule type="cellIs" operator="equal" priority="530" dxfId="208">
      <formula>"☆"</formula>
    </cfRule>
    <cfRule type="cellIs" operator="equal" priority="465" dxfId="209">
      <formula>"⊙"</formula>
    </cfRule>
    <cfRule type="cellIs" operator="equal" priority="406" dxfId="210">
      <formula>"★"</formula>
    </cfRule>
    <cfRule type="cellIs" operator="equal" priority="650" dxfId="211">
      <formula>"※"</formula>
    </cfRule>
    <cfRule type="cellIs" operator="equal" priority="429" dxfId="212">
      <formula>"×"</formula>
    </cfRule>
  </conditionalFormatting>
  <conditionalFormatting sqref="W87:Z87 W88:Z88">
    <cfRule type="cellIs" operator="equal" priority="711" dxfId="213">
      <formula>"☆"</formula>
    </cfRule>
    <cfRule type="cellIs" operator="equal" priority="695" dxfId="214">
      <formula>"×"</formula>
    </cfRule>
    <cfRule type="cellIs" operator="equal" priority="712" dxfId="215">
      <formula>"※"</formula>
    </cfRule>
    <cfRule type="cellIs" operator="equal" priority="416" dxfId="216">
      <formula>"⊙"</formula>
    </cfRule>
    <cfRule type="cellIs" operator="equal" priority="444" dxfId="217">
      <formula>"★"</formula>
    </cfRule>
  </conditionalFormatting>
  <conditionalFormatting sqref="M75:N75 M76:N76 M77:N77 M78:N78 M79:N79 M80:N80 M81:N81 M82:N82 M83:N83 M84:N84 M85:N85 M86:N86 M87:N87 M88:N88 M89:N89 M90:N90 M91:N91 M92:N92 M93:N93 M94:N94 M95:N95 M96:N96 M97:N97 M98:N98 M99:N99 M100:N100 M101:N101 M102:N102 M103:N103 M104:N104 M105:N105 M106:N106 M107:N107">
    <cfRule type="cellIs" operator="equal" priority="651" dxfId="218">
      <formula>"×"</formula>
    </cfRule>
    <cfRule type="cellIs" operator="equal" priority="479" dxfId="219">
      <formula>"☆"</formula>
    </cfRule>
    <cfRule type="cellIs" operator="equal" priority="475" dxfId="220">
      <formula>"⊙"</formula>
    </cfRule>
    <cfRule type="cellIs" operator="equal" priority="525" dxfId="221">
      <formula>"※"</formula>
    </cfRule>
    <cfRule type="cellIs" operator="equal" priority="499" dxfId="222">
      <formula>"★"</formula>
    </cfRule>
  </conditionalFormatting>
  <conditionalFormatting sqref="I74:J74">
    <cfRule type="cellIs" operator="equal" priority="539" dxfId="223">
      <formula>"※"</formula>
    </cfRule>
    <cfRule type="cellIs" operator="equal" priority="677" dxfId="224">
      <formula>"×"</formula>
    </cfRule>
    <cfRule type="cellIs" operator="equal" priority="558" dxfId="225">
      <formula>"☆"</formula>
    </cfRule>
    <cfRule type="cellIs" operator="equal" priority="691" dxfId="226">
      <formula>"⊙"</formula>
    </cfRule>
    <cfRule type="cellIs" operator="equal" priority="430" dxfId="227">
      <formula>"★"</formula>
    </cfRule>
  </conditionalFormatting>
  <conditionalFormatting sqref="E97:F97 E98:F98 E99:F99">
    <cfRule type="cellIs" operator="equal" priority="450" dxfId="228">
      <formula>"★"</formula>
    </cfRule>
    <cfRule type="cellIs" operator="equal" priority="501" dxfId="229">
      <formula>"※"</formula>
    </cfRule>
    <cfRule type="cellIs" operator="equal" priority="742" dxfId="230">
      <formula>"☆"</formula>
    </cfRule>
    <cfRule type="cellIs" operator="equal" priority="575" dxfId="231">
      <formula>"×"</formula>
    </cfRule>
    <cfRule type="cellIs" operator="equal" priority="688" dxfId="232">
      <formula>"⊙"</formula>
    </cfRule>
  </conditionalFormatting>
  <conditionalFormatting sqref="U74:V74">
    <cfRule type="cellIs" operator="equal" priority="390" dxfId="233">
      <formula>"⊙"</formula>
    </cfRule>
    <cfRule type="cellIs" operator="equal" priority="378" dxfId="234">
      <formula>"※"</formula>
    </cfRule>
    <cfRule type="cellIs" operator="equal" priority="588" dxfId="235">
      <formula>"×"</formula>
    </cfRule>
    <cfRule type="cellIs" operator="equal" priority="457" dxfId="236">
      <formula>"☆"</formula>
    </cfRule>
    <cfRule type="cellIs" operator="equal" priority="746" dxfId="237">
      <formula>"★"</formula>
    </cfRule>
  </conditionalFormatting>
  <conditionalFormatting sqref="B75 B76 B77 B78 B79 B80 B81 B82 B83 B84 B85 B86 B87 B88 B89 B90 B91 B92 B93 B94 B95 B96 B97 B98 B99 B100 B101 B102 B103 B104 B105 B106 B107">
    <cfRule type="cellIs" operator="equal" priority="537" dxfId="238">
      <formula>"×"</formula>
    </cfRule>
    <cfRule type="cellIs" operator="equal" priority="714" dxfId="239">
      <formula>"※"</formula>
    </cfRule>
    <cfRule type="cellIs" operator="equal" priority="559" dxfId="240">
      <formula>"☆"</formula>
    </cfRule>
    <cfRule type="cellIs" operator="equal" priority="442" dxfId="241">
      <formula>"⊙"</formula>
    </cfRule>
    <cfRule type="cellIs" operator="equal" priority="750" dxfId="242">
      <formula>"★"</formula>
    </cfRule>
  </conditionalFormatting>
  <conditionalFormatting sqref="AI74:AK74">
    <cfRule type="cellIs" operator="equal" priority="576" dxfId="243">
      <formula>"⊙"</formula>
    </cfRule>
    <cfRule type="cellIs" operator="equal" priority="484" dxfId="244">
      <formula>"☆"</formula>
    </cfRule>
    <cfRule type="cellIs" operator="equal" priority="710" dxfId="245">
      <formula>"×"</formula>
    </cfRule>
    <cfRule type="cellIs" operator="equal" priority="519" dxfId="246">
      <formula>"★"</formula>
    </cfRule>
    <cfRule type="cellIs" operator="equal" priority="551" dxfId="247">
      <formula>"※"</formula>
    </cfRule>
  </conditionalFormatting>
  <conditionalFormatting sqref="Y95:Z95">
    <cfRule type="cellIs" operator="equal" priority="630" dxfId="248">
      <formula>"☆"</formula>
    </cfRule>
    <cfRule type="cellIs" operator="equal" priority="666" dxfId="249">
      <formula>"⊙"</formula>
    </cfRule>
    <cfRule type="cellIs" operator="equal" priority="720" dxfId="250">
      <formula>"×"</formula>
    </cfRule>
    <cfRule type="cellIs" operator="equal" priority="532" dxfId="251">
      <formula>"※"</formula>
    </cfRule>
    <cfRule type="cellIs" operator="equal" priority="380" dxfId="252">
      <formula>"★"</formula>
    </cfRule>
  </conditionalFormatting>
  <conditionalFormatting sqref="Q96:S96">
    <cfRule type="cellIs" operator="equal" priority="726" dxfId="253">
      <formula>"×"</formula>
    </cfRule>
    <cfRule type="cellIs" operator="equal" priority="668" dxfId="254">
      <formula>"⊙"</formula>
    </cfRule>
    <cfRule type="cellIs" operator="equal" priority="693" dxfId="255">
      <formula>"★"</formula>
    </cfRule>
    <cfRule type="cellIs" operator="equal" priority="464" dxfId="256">
      <formula>"☆"</formula>
    </cfRule>
    <cfRule type="cellIs" operator="equal" priority="443" dxfId="257">
      <formula>"※"</formula>
    </cfRule>
  </conditionalFormatting>
  <conditionalFormatting sqref="Q81:S81">
    <cfRule type="cellIs" operator="equal" priority="668" dxfId="258">
      <formula>"⊙"</formula>
    </cfRule>
    <cfRule type="cellIs" operator="equal" priority="464" dxfId="259">
      <formula>"☆"</formula>
    </cfRule>
    <cfRule type="cellIs" operator="equal" priority="443" dxfId="260">
      <formula>"※"</formula>
    </cfRule>
    <cfRule type="cellIs" operator="equal" priority="693" dxfId="261">
      <formula>"★"</formula>
    </cfRule>
    <cfRule type="cellIs" operator="equal" priority="726" dxfId="262">
      <formula>"×"</formula>
    </cfRule>
  </conditionalFormatting>
  <conditionalFormatting sqref="Q80:S80">
    <cfRule type="cellIs" operator="equal" priority="726" dxfId="263">
      <formula>"×"</formula>
    </cfRule>
    <cfRule type="cellIs" operator="equal" priority="693" dxfId="264">
      <formula>"★"</formula>
    </cfRule>
    <cfRule type="cellIs" operator="equal" priority="464" dxfId="265">
      <formula>"☆"</formula>
    </cfRule>
    <cfRule type="cellIs" operator="equal" priority="443" dxfId="266">
      <formula>"※"</formula>
    </cfRule>
    <cfRule type="cellIs" operator="equal" priority="668" dxfId="267">
      <formula>"⊙"</formula>
    </cfRule>
  </conditionalFormatting>
  <conditionalFormatting sqref="W86:Z86">
    <cfRule type="cellIs" operator="equal" priority="514" dxfId="268">
      <formula>"⊙"</formula>
    </cfRule>
    <cfRule type="cellIs" operator="equal" priority="745" dxfId="269">
      <formula>"☆"</formula>
    </cfRule>
    <cfRule type="cellIs" operator="equal" priority="523" dxfId="270">
      <formula>"※"</formula>
    </cfRule>
    <cfRule type="cellIs" operator="equal" priority="739" dxfId="271">
      <formula>"★"</formula>
    </cfRule>
    <cfRule type="cellIs" operator="equal" priority="418" dxfId="272">
      <formula>"×"</formula>
    </cfRule>
  </conditionalFormatting>
  <conditionalFormatting sqref="Q87:S87">
    <cfRule type="cellIs" operator="equal" priority="693" dxfId="273">
      <formula>"★"</formula>
    </cfRule>
    <cfRule type="cellIs" operator="equal" priority="443" dxfId="274">
      <formula>"※"</formula>
    </cfRule>
    <cfRule type="cellIs" operator="equal" priority="726" dxfId="275">
      <formula>"×"</formula>
    </cfRule>
    <cfRule type="cellIs" operator="equal" priority="668" dxfId="276">
      <formula>"⊙"</formula>
    </cfRule>
    <cfRule type="cellIs" operator="equal" priority="464" dxfId="277">
      <formula>"☆"</formula>
    </cfRule>
  </conditionalFormatting>
  <conditionalFormatting sqref="AI92:AK92">
    <cfRule type="cellIs" operator="equal" priority="465" dxfId="278">
      <formula>"⊙"</formula>
    </cfRule>
    <cfRule type="cellIs" operator="equal" priority="429" dxfId="279">
      <formula>"×"</formula>
    </cfRule>
    <cfRule type="cellIs" operator="equal" priority="406" dxfId="280">
      <formula>"★"</formula>
    </cfRule>
    <cfRule type="cellIs" operator="equal" priority="530" dxfId="281">
      <formula>"☆"</formula>
    </cfRule>
    <cfRule type="cellIs" operator="equal" priority="650" dxfId="282">
      <formula>"※"</formula>
    </cfRule>
  </conditionalFormatting>
  <conditionalFormatting sqref="AI104:AK104">
    <cfRule type="cellIs" operator="equal" priority="530" dxfId="283">
      <formula>"☆"</formula>
    </cfRule>
    <cfRule type="cellIs" operator="equal" priority="429" dxfId="284">
      <formula>"×"</formula>
    </cfRule>
    <cfRule type="cellIs" operator="equal" priority="650" dxfId="285">
      <formula>"※"</formula>
    </cfRule>
    <cfRule type="cellIs" operator="equal" priority="465" dxfId="286">
      <formula>"⊙"</formula>
    </cfRule>
    <cfRule type="cellIs" operator="equal" priority="406" dxfId="287">
      <formula>"★"</formula>
    </cfRule>
  </conditionalFormatting>
  <conditionalFormatting sqref="AI106:AK106">
    <cfRule type="cellIs" operator="equal" priority="530" dxfId="288">
      <formula>"☆"</formula>
    </cfRule>
    <cfRule type="cellIs" operator="equal" priority="650" dxfId="289">
      <formula>"※"</formula>
    </cfRule>
    <cfRule type="cellIs" operator="equal" priority="406" dxfId="290">
      <formula>"★"</formula>
    </cfRule>
    <cfRule type="cellIs" operator="equal" priority="465" dxfId="291">
      <formula>"⊙"</formula>
    </cfRule>
    <cfRule type="cellIs" operator="equal" priority="429" dxfId="292">
      <formula>"×"</formula>
    </cfRule>
  </conditionalFormatting>
  <conditionalFormatting sqref="Q105:S105">
    <cfRule type="cellIs" operator="equal" priority="443" dxfId="293">
      <formula>"※"</formula>
    </cfRule>
    <cfRule type="cellIs" operator="equal" priority="464" dxfId="294">
      <formula>"☆"</formula>
    </cfRule>
    <cfRule type="cellIs" operator="equal" priority="668" dxfId="295">
      <formula>"⊙"</formula>
    </cfRule>
    <cfRule type="cellIs" operator="equal" priority="693" dxfId="296">
      <formula>"★"</formula>
    </cfRule>
    <cfRule type="cellIs" operator="equal" priority="726" dxfId="297">
      <formula>"×"</formula>
    </cfRule>
  </conditionalFormatting>
  <conditionalFormatting sqref="Q85:S85">
    <cfRule type="cellIs" operator="equal" priority="693" dxfId="298">
      <formula>"★"</formula>
    </cfRule>
    <cfRule type="cellIs" operator="equal" priority="668" dxfId="299">
      <formula>"⊙"</formula>
    </cfRule>
    <cfRule type="cellIs" operator="equal" priority="726" dxfId="300">
      <formula>"×"</formula>
    </cfRule>
    <cfRule type="cellIs" operator="equal" priority="443" dxfId="301">
      <formula>"※"</formula>
    </cfRule>
    <cfRule type="cellIs" operator="equal" priority="464" dxfId="302">
      <formula>"☆"</formula>
    </cfRule>
  </conditionalFormatting>
  <conditionalFormatting sqref="AI87:AK87">
    <cfRule type="cellIs" operator="equal" priority="406" dxfId="303">
      <formula>"★"</formula>
    </cfRule>
    <cfRule type="cellIs" operator="equal" priority="429" dxfId="304">
      <formula>"×"</formula>
    </cfRule>
    <cfRule type="cellIs" operator="equal" priority="650" dxfId="305">
      <formula>"※"</formula>
    </cfRule>
    <cfRule type="cellIs" operator="equal" priority="465" dxfId="306">
      <formula>"⊙"</formula>
    </cfRule>
    <cfRule type="cellIs" operator="equal" priority="530" dxfId="307">
      <formula>"☆"</formula>
    </cfRule>
  </conditionalFormatting>
  <conditionalFormatting sqref="T74">
    <cfRule type="cellIs" operator="equal" priority="581" dxfId="308">
      <formula>"×"</formula>
    </cfRule>
    <cfRule type="cellIs" operator="equal" priority="439" dxfId="309">
      <formula>"⊙"</formula>
    </cfRule>
    <cfRule type="cellIs" operator="equal" priority="612" dxfId="310">
      <formula>"☆"</formula>
    </cfRule>
    <cfRule type="cellIs" operator="equal" priority="636" dxfId="311">
      <formula>"※"</formula>
    </cfRule>
    <cfRule type="cellIs" operator="equal" priority="556" dxfId="312">
      <formula>"★"</formula>
    </cfRule>
  </conditionalFormatting>
  <conditionalFormatting sqref="W97:Z97 W98:Z98 W99:Z99 W100:Z100 W101:Z101 W102:Z102 W103:Z103 W104:Z104">
    <cfRule type="cellIs" operator="equal" priority="506" dxfId="313">
      <formula>"×"</formula>
    </cfRule>
    <cfRule type="cellIs" operator="equal" priority="565" dxfId="314">
      <formula>"※"</formula>
    </cfRule>
    <cfRule type="cellIs" operator="equal" priority="423" dxfId="315">
      <formula>"⊙"</formula>
    </cfRule>
    <cfRule type="cellIs" operator="equal" priority="436" dxfId="316">
      <formula>"★"</formula>
    </cfRule>
    <cfRule type="cellIs" operator="equal" priority="567" dxfId="317">
      <formula>"☆"</formula>
    </cfRule>
  </conditionalFormatting>
  <conditionalFormatting sqref="AC75:AD75 AC76:AD76 AC77:AD77 AC78:AD78 AC79:AD79 AC80:AD80 AC81:AD81 AC82:AD82 AC83:AD83 AC84:AD84 AC85:AD85 AC86:AD86 AC87:AD87 AC88:AD88 AC89:AD89 AC90:AD90 AC91:AD91 AC92:AD92 AC93:AD93 AC94:AD94 AC95:AD95 AC96:AD96 AC97:AD97 AC98:AD98 AC99:AD99 AC100:AD100 AC101:AD101 AC102:AD102 AC103:AD103 AC104:AD104 AC105:AD105 AC106:AD106 AC107:AD107">
    <cfRule type="cellIs" operator="equal" priority="426" dxfId="318">
      <formula>"※"</formula>
    </cfRule>
    <cfRule type="cellIs" operator="equal" priority="685" dxfId="319">
      <formula>"★"</formula>
    </cfRule>
    <cfRule type="cellIs" operator="equal" priority="549" dxfId="320">
      <formula>"⊙"</formula>
    </cfRule>
    <cfRule type="cellIs" operator="equal" priority="534" dxfId="321">
      <formula>"☆"</formula>
    </cfRule>
    <cfRule type="cellIs" operator="equal" priority="698" dxfId="322">
      <formula>"×"</formula>
    </cfRule>
  </conditionalFormatting>
  <conditionalFormatting sqref="Q79:S79">
    <cfRule type="cellIs" operator="equal" priority="443" dxfId="323">
      <formula>"※"</formula>
    </cfRule>
    <cfRule type="cellIs" operator="equal" priority="668" dxfId="324">
      <formula>"⊙"</formula>
    </cfRule>
    <cfRule type="cellIs" operator="equal" priority="464" dxfId="325">
      <formula>"☆"</formula>
    </cfRule>
    <cfRule type="cellIs" operator="equal" priority="693" dxfId="326">
      <formula>"★"</formula>
    </cfRule>
    <cfRule type="cellIs" operator="equal" priority="726" dxfId="327">
      <formula>"×"</formula>
    </cfRule>
  </conditionalFormatting>
  <conditionalFormatting sqref="AI103:AK103">
    <cfRule type="cellIs" operator="equal" priority="465" dxfId="328">
      <formula>"⊙"</formula>
    </cfRule>
    <cfRule type="cellIs" operator="equal" priority="429" dxfId="329">
      <formula>"×"</formula>
    </cfRule>
    <cfRule type="cellIs" operator="equal" priority="650" dxfId="330">
      <formula>"※"</formula>
    </cfRule>
    <cfRule type="cellIs" operator="equal" priority="406" dxfId="331">
      <formula>"★"</formula>
    </cfRule>
    <cfRule type="cellIs" operator="equal" priority="530" dxfId="332">
      <formula>"☆"</formula>
    </cfRule>
  </conditionalFormatting>
  <conditionalFormatting sqref="AI97:AK97">
    <cfRule type="cellIs" operator="equal" priority="650" dxfId="333">
      <formula>"※"</formula>
    </cfRule>
    <cfRule type="cellIs" operator="equal" priority="429" dxfId="334">
      <formula>"×"</formula>
    </cfRule>
    <cfRule type="cellIs" operator="equal" priority="465" dxfId="335">
      <formula>"⊙"</formula>
    </cfRule>
    <cfRule type="cellIs" operator="equal" priority="406" dxfId="336">
      <formula>"★"</formula>
    </cfRule>
    <cfRule type="cellIs" operator="equal" priority="530" dxfId="337">
      <formula>"☆"</formula>
    </cfRule>
  </conditionalFormatting>
  <conditionalFormatting sqref="W95:X95">
    <cfRule type="cellIs" operator="equal" priority="482" dxfId="338">
      <formula>"☆"</formula>
    </cfRule>
    <cfRule type="cellIs" operator="equal" priority="594" dxfId="339">
      <formula>"★"</formula>
    </cfRule>
    <cfRule type="cellIs" operator="equal" priority="448" dxfId="340">
      <formula>"⊙"</formula>
    </cfRule>
    <cfRule type="cellIs" operator="equal" priority="386" dxfId="341">
      <formula>"×"</formula>
    </cfRule>
    <cfRule type="cellIs" operator="equal" priority="621" dxfId="342">
      <formula>"※"</formula>
    </cfRule>
  </conditionalFormatting>
  <conditionalFormatting sqref="AI91:AK91">
    <cfRule type="cellIs" operator="equal" priority="465" dxfId="343">
      <formula>"⊙"</formula>
    </cfRule>
    <cfRule type="cellIs" operator="equal" priority="650" dxfId="344">
      <formula>"※"</formula>
    </cfRule>
    <cfRule type="cellIs" operator="equal" priority="429" dxfId="345">
      <formula>"×"</formula>
    </cfRule>
    <cfRule type="cellIs" operator="equal" priority="530" dxfId="346">
      <formula>"☆"</formula>
    </cfRule>
    <cfRule type="cellIs" operator="equal" priority="406" dxfId="347">
      <formula>"★"</formula>
    </cfRule>
  </conditionalFormatting>
  <conditionalFormatting sqref="Q75:S75">
    <cfRule type="cellIs" operator="equal" priority="693" dxfId="348">
      <formula>"★"</formula>
    </cfRule>
    <cfRule type="cellIs" operator="equal" priority="464" dxfId="349">
      <formula>"☆"</formula>
    </cfRule>
    <cfRule type="cellIs" operator="equal" priority="726" dxfId="350">
      <formula>"×"</formula>
    </cfRule>
    <cfRule type="cellIs" operator="equal" priority="668" dxfId="351">
      <formula>"⊙"</formula>
    </cfRule>
    <cfRule type="cellIs" operator="equal" priority="443" dxfId="352">
      <formula>"※"</formula>
    </cfRule>
  </conditionalFormatting>
  <conditionalFormatting sqref="AI107:AK107">
    <cfRule type="cellIs" operator="equal" priority="406" dxfId="353">
      <formula>"★"</formula>
    </cfRule>
    <cfRule type="cellIs" operator="equal" priority="429" dxfId="354">
      <formula>"×"</formula>
    </cfRule>
    <cfRule type="cellIs" operator="equal" priority="650" dxfId="355">
      <formula>"※"</formula>
    </cfRule>
    <cfRule type="cellIs" operator="equal" priority="465" dxfId="356">
      <formula>"⊙"</formula>
    </cfRule>
    <cfRule type="cellIs" operator="equal" priority="530" dxfId="357">
      <formula>"☆"</formula>
    </cfRule>
  </conditionalFormatting>
  <conditionalFormatting sqref="Q90:S90">
    <cfRule type="cellIs" operator="equal" priority="668" dxfId="358">
      <formula>"⊙"</formula>
    </cfRule>
    <cfRule type="cellIs" operator="equal" priority="726" dxfId="359">
      <formula>"×"</formula>
    </cfRule>
    <cfRule type="cellIs" operator="equal" priority="464" dxfId="360">
      <formula>"☆"</formula>
    </cfRule>
    <cfRule type="cellIs" operator="equal" priority="443" dxfId="361">
      <formula>"※"</formula>
    </cfRule>
    <cfRule type="cellIs" operator="equal" priority="693" dxfId="362">
      <formula>"★"</formula>
    </cfRule>
  </conditionalFormatting>
  <conditionalFormatting sqref="E93:F93">
    <cfRule type="cellIs" operator="equal" priority="623" dxfId="363">
      <formula>"★"</formula>
    </cfRule>
    <cfRule type="cellIs" operator="equal" priority="646" dxfId="364">
      <formula>"⊙"</formula>
    </cfRule>
    <cfRule type="cellIs" operator="equal" priority="717" dxfId="365">
      <formula>"※"</formula>
    </cfRule>
    <cfRule type="cellIs" operator="equal" priority="597" dxfId="366">
      <formula>"☆"</formula>
    </cfRule>
    <cfRule type="cellIs" operator="equal" priority="402" dxfId="367">
      <formula>"×"</formula>
    </cfRule>
  </conditionalFormatting>
  <conditionalFormatting sqref="AI89:AK89">
    <cfRule type="cellIs" operator="equal" priority="530" dxfId="368">
      <formula>"☆"</formula>
    </cfRule>
    <cfRule type="cellIs" operator="equal" priority="650" dxfId="369">
      <formula>"※"</formula>
    </cfRule>
    <cfRule type="cellIs" operator="equal" priority="429" dxfId="370">
      <formula>"×"</formula>
    </cfRule>
    <cfRule type="cellIs" operator="equal" priority="406" dxfId="371">
      <formula>"★"</formula>
    </cfRule>
    <cfRule type="cellIs" operator="equal" priority="465" dxfId="372">
      <formula>"⊙"</formula>
    </cfRule>
  </conditionalFormatting>
  <conditionalFormatting sqref="G104:H104">
    <cfRule type="cellIs" operator="equal" priority="615" dxfId="373">
      <formula>"☆"</formula>
    </cfRule>
    <cfRule type="cellIs" operator="equal" priority="690" dxfId="374">
      <formula>"×"</formula>
    </cfRule>
    <cfRule type="cellIs" operator="equal" priority="476" dxfId="375">
      <formula>"※"</formula>
    </cfRule>
    <cfRule type="cellIs" operator="equal" priority="493" dxfId="376">
      <formula>"★"</formula>
    </cfRule>
    <cfRule type="cellIs" operator="equal" priority="699" dxfId="377">
      <formula>"⊙"</formula>
    </cfRule>
  </conditionalFormatting>
  <conditionalFormatting sqref="AI81:AK81">
    <cfRule type="cellIs" operator="equal" priority="429" dxfId="378">
      <formula>"×"</formula>
    </cfRule>
    <cfRule type="cellIs" operator="equal" priority="650" dxfId="379">
      <formula>"※"</formula>
    </cfRule>
    <cfRule type="cellIs" operator="equal" priority="530" dxfId="380">
      <formula>"☆"</formula>
    </cfRule>
    <cfRule type="cellIs" operator="equal" priority="465" dxfId="381">
      <formula>"⊙"</formula>
    </cfRule>
    <cfRule type="cellIs" operator="equal" priority="406" dxfId="382">
      <formula>"★"</formula>
    </cfRule>
  </conditionalFormatting>
  <conditionalFormatting sqref="AI84:AK84">
    <cfRule type="cellIs" operator="equal" priority="429" dxfId="383">
      <formula>"×"</formula>
    </cfRule>
    <cfRule type="cellIs" operator="equal" priority="406" dxfId="384">
      <formula>"★"</formula>
    </cfRule>
    <cfRule type="cellIs" operator="equal" priority="530" dxfId="385">
      <formula>"☆"</formula>
    </cfRule>
    <cfRule type="cellIs" operator="equal" priority="650" dxfId="386">
      <formula>"※"</formula>
    </cfRule>
    <cfRule type="cellIs" operator="equal" priority="465" dxfId="387">
      <formula>"⊙"</formula>
    </cfRule>
  </conditionalFormatting>
  <conditionalFormatting sqref="W93:Z93 W94:Z94">
    <cfRule type="cellIs" operator="equal" priority="494" dxfId="388">
      <formula>"☆"</formula>
    </cfRule>
    <cfRule type="cellIs" operator="equal" priority="424" dxfId="389">
      <formula>"⊙"</formula>
    </cfRule>
    <cfRule type="cellIs" operator="equal" priority="641" dxfId="390">
      <formula>"×"</formula>
    </cfRule>
    <cfRule type="cellIs" operator="equal" priority="431" dxfId="391">
      <formula>"★"</formula>
    </cfRule>
    <cfRule type="cellIs" operator="equal" priority="425" dxfId="392">
      <formula>"※"</formula>
    </cfRule>
  </conditionalFormatting>
  <conditionalFormatting sqref="AI101:AK101">
    <cfRule type="cellIs" operator="equal" priority="465" dxfId="393">
      <formula>"⊙"</formula>
    </cfRule>
    <cfRule type="cellIs" operator="equal" priority="650" dxfId="394">
      <formula>"※"</formula>
    </cfRule>
    <cfRule type="cellIs" operator="equal" priority="406" dxfId="395">
      <formula>"★"</formula>
    </cfRule>
    <cfRule type="cellIs" operator="equal" priority="429" dxfId="396">
      <formula>"×"</formula>
    </cfRule>
    <cfRule type="cellIs" operator="equal" priority="530" dxfId="397">
      <formula>"☆"</formula>
    </cfRule>
  </conditionalFormatting>
  <conditionalFormatting sqref="W92:Z92">
    <cfRule type="cellIs" operator="equal" priority="388" dxfId="398">
      <formula>"☆"</formula>
    </cfRule>
    <cfRule type="cellIs" operator="equal" priority="461" dxfId="399">
      <formula>"※"</formula>
    </cfRule>
    <cfRule type="cellIs" operator="equal" priority="447" dxfId="400">
      <formula>"★"</formula>
    </cfRule>
    <cfRule type="cellIs" operator="equal" priority="410" dxfId="401">
      <formula>"⊙"</formula>
    </cfRule>
    <cfRule type="cellIs" operator="equal" priority="671" dxfId="402">
      <formula>"×"</formula>
    </cfRule>
  </conditionalFormatting>
  <conditionalFormatting sqref="AI88:AK88">
    <cfRule type="cellIs" operator="equal" priority="530" dxfId="403">
      <formula>"☆"</formula>
    </cfRule>
    <cfRule type="cellIs" operator="equal" priority="429" dxfId="404">
      <formula>"×"</formula>
    </cfRule>
    <cfRule type="cellIs" operator="equal" priority="465" dxfId="405">
      <formula>"⊙"</formula>
    </cfRule>
    <cfRule type="cellIs" operator="equal" priority="650" dxfId="406">
      <formula>"※"</formula>
    </cfRule>
    <cfRule type="cellIs" operator="equal" priority="406" dxfId="407">
      <formula>"★"</formula>
    </cfRule>
  </conditionalFormatting>
  <conditionalFormatting sqref="AI96:AK96">
    <cfRule type="cellIs" operator="equal" priority="530" dxfId="408">
      <formula>"☆"</formula>
    </cfRule>
    <cfRule type="cellIs" operator="equal" priority="429" dxfId="409">
      <formula>"×"</formula>
    </cfRule>
    <cfRule type="cellIs" operator="equal" priority="406" dxfId="410">
      <formula>"★"</formula>
    </cfRule>
    <cfRule type="cellIs" operator="equal" priority="650" dxfId="411">
      <formula>"※"</formula>
    </cfRule>
    <cfRule type="cellIs" operator="equal" priority="465" dxfId="412">
      <formula>"⊙"</formula>
    </cfRule>
  </conditionalFormatting>
  <conditionalFormatting sqref="W90:X90">
    <cfRule type="cellIs" operator="equal" priority="744" dxfId="413">
      <formula>"☆"</formula>
    </cfRule>
    <cfRule type="cellIs" operator="equal" priority="659" dxfId="414">
      <formula>"※"</formula>
    </cfRule>
    <cfRule type="cellIs" operator="equal" priority="568" dxfId="415">
      <formula>"×"</formula>
    </cfRule>
    <cfRule type="cellIs" operator="equal" priority="412" dxfId="416">
      <formula>"★"</formula>
    </cfRule>
    <cfRule type="cellIs" operator="equal" priority="657" dxfId="417">
      <formula>"⊙"</formula>
    </cfRule>
  </conditionalFormatting>
  <conditionalFormatting sqref="AI85:AK85">
    <cfRule type="cellIs" operator="equal" priority="650" dxfId="418">
      <formula>"※"</formula>
    </cfRule>
    <cfRule type="cellIs" operator="equal" priority="406" dxfId="419">
      <formula>"★"</formula>
    </cfRule>
    <cfRule type="cellIs" operator="equal" priority="429" dxfId="420">
      <formula>"×"</formula>
    </cfRule>
    <cfRule type="cellIs" operator="equal" priority="465" dxfId="421">
      <formula>"⊙"</formula>
    </cfRule>
    <cfRule type="cellIs" operator="equal" priority="530" dxfId="422">
      <formula>"☆"</formula>
    </cfRule>
  </conditionalFormatting>
  <conditionalFormatting sqref="E105:F105 E106:F106">
    <cfRule type="cellIs" operator="equal" priority="428" dxfId="423">
      <formula>"☆"</formula>
    </cfRule>
    <cfRule type="cellIs" operator="equal" priority="531" dxfId="424">
      <formula>"※"</formula>
    </cfRule>
    <cfRule type="cellIs" operator="equal" priority="550" dxfId="425">
      <formula>"★"</formula>
    </cfRule>
    <cfRule type="cellIs" operator="equal" priority="379" dxfId="426">
      <formula>"×"</formula>
    </cfRule>
    <cfRule type="cellIs" operator="equal" priority="481" dxfId="427">
      <formula>"⊙"</formula>
    </cfRule>
  </conditionalFormatting>
  <conditionalFormatting sqref="AA75:AB75 AA76:AB76 AA77:AB77 AA78:AB78 AA79:AB79 AA80:AB80 AA81:AB81 AA82:AB82 AA83:AB83 AA84:AB84 AA85:AB85 AA86:AB86 AA87:AB87 AA88:AB88 AA89:AB89 AA90:AB90 AA91:AB91 AA92:AB92 AA93:AB93 AA94:AB94 AA95:AB95 AA96:AB96 AA97:AB97 AA98:AB98 AA99:AB99 AA100:AB100 AA101:AB101 AA102:AB102 AA103:AB103 AA104:AB104 AA105:AB105 AA106:AB106 AA107:AB107">
    <cfRule type="cellIs" operator="equal" priority="638" dxfId="428">
      <formula>"⊙"</formula>
    </cfRule>
    <cfRule type="cellIs" operator="equal" priority="590" dxfId="429">
      <formula>"※"</formula>
    </cfRule>
    <cfRule type="cellIs" operator="equal" priority="689" dxfId="430">
      <formula>"☆"</formula>
    </cfRule>
    <cfRule type="cellIs" operator="equal" priority="509" dxfId="431">
      <formula>"★"</formula>
    </cfRule>
    <cfRule type="cellIs" operator="equal" priority="417" dxfId="432">
      <formula>"×"</formula>
    </cfRule>
  </conditionalFormatting>
  <conditionalFormatting sqref="G92:H92">
    <cfRule type="cellIs" operator="equal" priority="675" dxfId="433">
      <formula>"×"</formula>
    </cfRule>
    <cfRule type="cellIs" operator="equal" priority="516" dxfId="434">
      <formula>"☆"</formula>
    </cfRule>
    <cfRule type="cellIs" operator="equal" priority="619" dxfId="435">
      <formula>"※"</formula>
    </cfRule>
    <cfRule type="cellIs" operator="equal" priority="748" dxfId="436">
      <formula>"⊙"</formula>
    </cfRule>
    <cfRule type="cellIs" operator="equal" priority="434" dxfId="437">
      <formula>"★"</formula>
    </cfRule>
  </conditionalFormatting>
  <conditionalFormatting sqref="Q77:S77">
    <cfRule type="cellIs" operator="equal" priority="668" dxfId="438">
      <formula>"⊙"</formula>
    </cfRule>
    <cfRule type="cellIs" operator="equal" priority="693" dxfId="439">
      <formula>"★"</formula>
    </cfRule>
    <cfRule type="cellIs" operator="equal" priority="726" dxfId="440">
      <formula>"×"</formula>
    </cfRule>
    <cfRule type="cellIs" operator="equal" priority="443" dxfId="441">
      <formula>"※"</formula>
    </cfRule>
    <cfRule type="cellIs" operator="equal" priority="464" dxfId="442">
      <formula>"☆"</formula>
    </cfRule>
  </conditionalFormatting>
  <conditionalFormatting sqref="Q98:S98">
    <cfRule type="cellIs" operator="equal" priority="693" dxfId="443">
      <formula>"★"</formula>
    </cfRule>
    <cfRule type="cellIs" operator="equal" priority="726" dxfId="444">
      <formula>"×"</formula>
    </cfRule>
    <cfRule type="cellIs" operator="equal" priority="443" dxfId="445">
      <formula>"※"</formula>
    </cfRule>
    <cfRule type="cellIs" operator="equal" priority="668" dxfId="446">
      <formula>"⊙"</formula>
    </cfRule>
    <cfRule type="cellIs" operator="equal" priority="464" dxfId="447">
      <formula>"☆"</formula>
    </cfRule>
  </conditionalFormatting>
  <conditionalFormatting sqref="U75:V75 U76:V76 U77:V77 U78:V78 U79:V79 U80:V80 U81:V81 U82:V82 U83:V83 U84:V84 U85:V85 U86:V86 U87:V87 U88:V88 U89:V89 U90:V90 U91:V91 U92:V92 U93:V93 U94:V94 U95:V95 U96:V96 U97:V97 U98:V98 U99:V99 U100:V100 U101:V101 U102:V102 U103:V103 U104:V104 U105:V105 U106:V106 U107:V107">
    <cfRule type="cellIs" operator="equal" priority="684" dxfId="448">
      <formula>"★"</formula>
    </cfRule>
    <cfRule type="cellIs" operator="equal" priority="582" dxfId="449">
      <formula>"×"</formula>
    </cfRule>
    <cfRule type="cellIs" operator="equal" priority="495" dxfId="450">
      <formula>"☆"</formula>
    </cfRule>
    <cfRule type="cellIs" operator="equal" priority="471" dxfId="451">
      <formula>"⊙"</formula>
    </cfRule>
    <cfRule type="cellIs" operator="equal" priority="468" dxfId="452">
      <formula>"※"</formula>
    </cfRule>
  </conditionalFormatting>
  <conditionalFormatting sqref="AI94:AK94">
    <cfRule type="cellIs" operator="equal" priority="406" dxfId="453">
      <formula>"★"</formula>
    </cfRule>
    <cfRule type="cellIs" operator="equal" priority="650" dxfId="454">
      <formula>"※"</formula>
    </cfRule>
    <cfRule type="cellIs" operator="equal" priority="465" dxfId="455">
      <formula>"⊙"</formula>
    </cfRule>
    <cfRule type="cellIs" operator="equal" priority="429" dxfId="456">
      <formula>"×"</formula>
    </cfRule>
    <cfRule type="cellIs" operator="equal" priority="530" dxfId="457">
      <formula>"☆"</formula>
    </cfRule>
  </conditionalFormatting>
  <conditionalFormatting sqref="K75:L75 K76:L76 K77:L77 K78:L78 K79:L79 K80:L80 K81:L81 K82:L82 K83:L83 K84:L84 K85:L85 K86:L86 K87:L87 K88:L88 K89:L89 K90:L90 K91:L91 K92:L92 K93:L93 K94:L94 K95:L95 K96:L96 K97:L97 K98:L98 K99:L99 K100:L100 K101:L101 K102:L102 K103:L103 K104:L104 K105:L105 K106:L106 K107:L107">
    <cfRule type="cellIs" operator="equal" priority="529" dxfId="458">
      <formula>"×"</formula>
    </cfRule>
    <cfRule type="cellIs" operator="equal" priority="492" dxfId="459">
      <formula>"⊙"</formula>
    </cfRule>
    <cfRule type="cellIs" operator="equal" priority="435" dxfId="460">
      <formula>"☆"</formula>
    </cfRule>
    <cfRule type="cellIs" operator="equal" priority="453" dxfId="461">
      <formula>"★"</formula>
    </cfRule>
    <cfRule type="cellIs" operator="equal" priority="542" dxfId="462">
      <formula>"※"</formula>
    </cfRule>
  </conditionalFormatting>
  <conditionalFormatting sqref="H19:I70">
    <cfRule type="cellIs" operator="equal" priority="767" dxfId="463">
      <formula>"※"</formula>
    </cfRule>
    <cfRule type="cellIs" operator="equal" priority="770" dxfId="464">
      <formula>"☆"</formula>
    </cfRule>
    <cfRule type="cellIs" operator="equal" priority="763" dxfId="465">
      <formula>"⊙"</formula>
    </cfRule>
    <cfRule type="cellIs" operator="equal" priority="764" dxfId="466">
      <formula>"★"</formula>
    </cfRule>
    <cfRule type="cellIs" operator="equal" priority="769" dxfId="467">
      <formula>"×"</formula>
    </cfRule>
  </conditionalFormatting>
  <conditionalFormatting sqref="B19:G70">
    <cfRule type="cellIs" operator="equal" priority="738" dxfId="468">
      <formula>"☆"</formula>
    </cfRule>
    <cfRule type="cellIs" operator="equal" priority="760" dxfId="469">
      <formula>"※"</formula>
    </cfRule>
    <cfRule type="cellIs" operator="equal" priority="741" dxfId="470">
      <formula>"×"</formula>
    </cfRule>
    <cfRule type="cellIs" operator="equal" priority="749" dxfId="471">
      <formula>"★"</formula>
    </cfRule>
    <cfRule type="cellIs" operator="equal" priority="674" dxfId="472">
      <formula>"⊙"</formula>
    </cfRule>
  </conditionalFormatting>
  <conditionalFormatting sqref="AI75:AK75">
    <cfRule type="cellIs" operator="equal" priority="530" dxfId="473">
      <formula>"☆"</formula>
    </cfRule>
    <cfRule type="cellIs" operator="equal" priority="429" dxfId="474">
      <formula>"×"</formula>
    </cfRule>
    <cfRule type="cellIs" operator="equal" priority="465" dxfId="475">
      <formula>"⊙"</formula>
    </cfRule>
    <cfRule type="cellIs" operator="equal" priority="650" dxfId="476">
      <formula>"※"</formula>
    </cfRule>
    <cfRule type="cellIs" operator="equal" priority="406" dxfId="477">
      <formula>"★"</formula>
    </cfRule>
  </conditionalFormatting>
  <conditionalFormatting sqref="Q101:S101">
    <cfRule type="cellIs" operator="equal" priority="726" dxfId="478">
      <formula>"×"</formula>
    </cfRule>
    <cfRule type="cellIs" operator="equal" priority="443" dxfId="479">
      <formula>"※"</formula>
    </cfRule>
    <cfRule type="cellIs" operator="equal" priority="693" dxfId="480">
      <formula>"★"</formula>
    </cfRule>
    <cfRule type="cellIs" operator="equal" priority="464" dxfId="481">
      <formula>"☆"</formula>
    </cfRule>
    <cfRule type="cellIs" operator="equal" priority="668" dxfId="482">
      <formula>"⊙"</formula>
    </cfRule>
  </conditionalFormatting>
  <conditionalFormatting sqref="B74">
    <cfRule type="cellIs" operator="equal" priority="408" dxfId="483">
      <formula>"☆"</formula>
    </cfRule>
    <cfRule type="cellIs" operator="equal" priority="644" dxfId="484">
      <formula>"★"</formula>
    </cfRule>
    <cfRule type="cellIs" operator="equal" priority="569" dxfId="485">
      <formula>"⊙"</formula>
    </cfRule>
    <cfRule type="cellIs" operator="equal" priority="560" dxfId="486">
      <formula>"※"</formula>
    </cfRule>
    <cfRule type="cellIs" operator="equal" priority="562" dxfId="487">
      <formula>"×"</formula>
    </cfRule>
  </conditionalFormatting>
  <conditionalFormatting sqref="Q76:S76">
    <cfRule type="cellIs" operator="equal" priority="464" dxfId="488">
      <formula>"☆"</formula>
    </cfRule>
    <cfRule type="cellIs" operator="equal" priority="726" dxfId="489">
      <formula>"×"</formula>
    </cfRule>
    <cfRule type="cellIs" operator="equal" priority="443" dxfId="490">
      <formula>"※"</formula>
    </cfRule>
    <cfRule type="cellIs" operator="equal" priority="668" dxfId="491">
      <formula>"⊙"</formula>
    </cfRule>
    <cfRule type="cellIs" operator="equal" priority="693" dxfId="492">
      <formula>"★"</formula>
    </cfRule>
  </conditionalFormatting>
  <conditionalFormatting sqref="AI100:AK100">
    <cfRule type="cellIs" operator="equal" priority="429" dxfId="493">
      <formula>"×"</formula>
    </cfRule>
    <cfRule type="cellIs" operator="equal" priority="406" dxfId="494">
      <formula>"★"</formula>
    </cfRule>
    <cfRule type="cellIs" operator="equal" priority="530" dxfId="495">
      <formula>"☆"</formula>
    </cfRule>
    <cfRule type="cellIs" operator="equal" priority="650" dxfId="496">
      <formula>"※"</formula>
    </cfRule>
    <cfRule type="cellIs" operator="equal" priority="465" dxfId="497">
      <formula>"⊙"</formula>
    </cfRule>
  </conditionalFormatting>
  <conditionalFormatting sqref="G93:H93 G94:H94 G95:H95 G96:H96 G97:H97 G98:H98 G99:H99">
    <cfRule type="cellIs" operator="equal" priority="400" dxfId="498">
      <formula>"※"</formula>
    </cfRule>
    <cfRule type="cellIs" operator="equal" priority="487" dxfId="499">
      <formula>"×"</formula>
    </cfRule>
    <cfRule type="cellIs" operator="equal" priority="654" dxfId="500">
      <formula>"☆"</formula>
    </cfRule>
    <cfRule type="cellIs" operator="equal" priority="391" dxfId="501">
      <formula>"⊙"</formula>
    </cfRule>
    <cfRule type="cellIs" operator="equal" priority="639" dxfId="502">
      <formula>"★"</formula>
    </cfRule>
  </conditionalFormatting>
  <conditionalFormatting sqref="E75:H75 E76:H76 E77:H77 E78:H78 E79:H79 E80:H80 E81:H81 E82:H82 E83:H83 E84:H84 E85:H85 E86:H86 E87:H87 E88:H88 E89:H89 E90:H90 E91:H91">
    <cfRule type="cellIs" operator="equal" priority="729" dxfId="503">
      <formula>"×"</formula>
    </cfRule>
    <cfRule type="cellIs" operator="equal" priority="445" dxfId="504">
      <formula>"★"</formula>
    </cfRule>
    <cfRule type="cellIs" operator="equal" priority="507" dxfId="505">
      <formula>"⊙"</formula>
    </cfRule>
    <cfRule type="cellIs" operator="equal" priority="583" dxfId="506">
      <formula>"※"</formula>
    </cfRule>
    <cfRule type="cellIs" operator="equal" priority="656" dxfId="507">
      <formula>"☆"</formula>
    </cfRule>
  </conditionalFormatting>
  <conditionalFormatting sqref="T75 T76 T77 T78 T79 T80 T81 T82 T83 T84 T85 T86 T87 T88 T89 T90 T91 T92 T93 T94 T95 T96 T97 T98 T99 T100 T101 T102 T103 T104 T105 T106 T107">
    <cfRule type="cellIs" operator="equal" priority="705" dxfId="508">
      <formula>"☆"</formula>
    </cfRule>
    <cfRule type="cellIs" operator="equal" priority="733" dxfId="509">
      <formula>"※"</formula>
    </cfRule>
    <cfRule type="cellIs" operator="equal" priority="614" dxfId="510">
      <formula>"×"</formula>
    </cfRule>
    <cfRule type="cellIs" operator="equal" priority="605" dxfId="511">
      <formula>"★"</formula>
    </cfRule>
    <cfRule type="cellIs" operator="equal" priority="463" dxfId="512">
      <formula>"⊙"</formula>
    </cfRule>
  </conditionalFormatting>
  <conditionalFormatting sqref="G107:H107">
    <cfRule type="cellIs" operator="equal" priority="647" dxfId="513">
      <formula>"⊙"</formula>
    </cfRule>
    <cfRule type="cellIs" operator="equal" priority="649" dxfId="514">
      <formula>"☆"</formula>
    </cfRule>
    <cfRule type="cellIs" operator="equal" priority="486" dxfId="515">
      <formula>"×"</formula>
    </cfRule>
    <cfRule type="cellIs" operator="equal" priority="663" dxfId="516">
      <formula>"※"</formula>
    </cfRule>
    <cfRule type="cellIs" operator="equal" priority="664" dxfId="517">
      <formula>"★"</formula>
    </cfRule>
  </conditionalFormatting>
  <conditionalFormatting sqref="Q93:S93">
    <cfRule type="cellIs" operator="equal" priority="464" dxfId="518">
      <formula>"☆"</formula>
    </cfRule>
    <cfRule type="cellIs" operator="equal" priority="443" dxfId="519">
      <formula>"※"</formula>
    </cfRule>
    <cfRule type="cellIs" operator="equal" priority="668" dxfId="520">
      <formula>"⊙"</formula>
    </cfRule>
    <cfRule type="cellIs" operator="equal" priority="726" dxfId="521">
      <formula>"×"</formula>
    </cfRule>
    <cfRule type="cellIs" operator="equal" priority="693" dxfId="522">
      <formula>"★"</formula>
    </cfRule>
  </conditionalFormatting>
  <conditionalFormatting sqref="Q103:S103">
    <cfRule type="cellIs" operator="equal" priority="443" dxfId="523">
      <formula>"※"</formula>
    </cfRule>
    <cfRule type="cellIs" operator="equal" priority="726" dxfId="524">
      <formula>"×"</formula>
    </cfRule>
    <cfRule type="cellIs" operator="equal" priority="693" dxfId="525">
      <formula>"★"</formula>
    </cfRule>
    <cfRule type="cellIs" operator="equal" priority="668" dxfId="526">
      <formula>"⊙"</formula>
    </cfRule>
    <cfRule type="cellIs" operator="equal" priority="464" dxfId="527">
      <formula>"☆"</formula>
    </cfRule>
  </conditionalFormatting>
  <conditionalFormatting sqref="E94:F94">
    <cfRule type="cellIs" operator="equal" priority="540" dxfId="528">
      <formula>"※"</formula>
    </cfRule>
    <cfRule type="cellIs" operator="equal" priority="517" dxfId="529">
      <formula>"★"</formula>
    </cfRule>
    <cfRule type="cellIs" operator="equal" priority="407" dxfId="530">
      <formula>"☆"</formula>
    </cfRule>
    <cfRule type="cellIs" operator="equal" priority="564" dxfId="531">
      <formula>"⊙"</formula>
    </cfRule>
    <cfRule type="cellIs" operator="equal" priority="394" dxfId="532">
      <formula>"×"</formula>
    </cfRule>
  </conditionalFormatting>
  <conditionalFormatting sqref="E107:F107">
    <cfRule type="cellIs" operator="equal" priority="722" dxfId="533">
      <formula>"⊙"</formula>
    </cfRule>
    <cfRule type="cellIs" operator="equal" priority="708" dxfId="534">
      <formula>"×"</formula>
    </cfRule>
    <cfRule type="cellIs" operator="equal" priority="397" dxfId="535">
      <formula>"☆"</formula>
    </cfRule>
    <cfRule type="cellIs" operator="equal" priority="670" dxfId="536">
      <formula>"★"</formula>
    </cfRule>
    <cfRule type="cellIs" operator="equal" priority="674" dxfId="537">
      <formula>"※"</formula>
    </cfRule>
  </conditionalFormatting>
  <conditionalFormatting sqref="AA74:AB74">
    <cfRule type="cellIs" operator="equal" priority="682" dxfId="538">
      <formula>"★"</formula>
    </cfRule>
    <cfRule type="cellIs" operator="equal" priority="620" dxfId="539">
      <formula>"☆"</formula>
    </cfRule>
    <cfRule type="cellIs" operator="equal" priority="466" dxfId="540">
      <formula>"※"</formula>
    </cfRule>
    <cfRule type="cellIs" operator="equal" priority="511" dxfId="541">
      <formula>"⊙"</formula>
    </cfRule>
    <cfRule type="cellIs" operator="equal" priority="555" dxfId="542">
      <formula>"×"</formula>
    </cfRule>
  </conditionalFormatting>
  <conditionalFormatting sqref="Y89:Z89">
    <cfRule type="cellIs" operator="equal" priority="648" dxfId="543">
      <formula>"☆"</formula>
    </cfRule>
    <cfRule type="cellIs" operator="equal" priority="653" dxfId="544">
      <formula>"※"</formula>
    </cfRule>
    <cfRule type="cellIs" operator="equal" priority="384" dxfId="545">
      <formula>"⊙"</formula>
    </cfRule>
    <cfRule type="cellIs" operator="equal" priority="389" dxfId="546">
      <formula>"★"</formula>
    </cfRule>
    <cfRule type="cellIs" operator="equal" priority="683" dxfId="547">
      <formula>"×"</formula>
    </cfRule>
  </conditionalFormatting>
  <conditionalFormatting sqref="W105:X105">
    <cfRule type="cellIs" operator="equal" priority="673" dxfId="548">
      <formula>"×"</formula>
    </cfRule>
    <cfRule type="cellIs" operator="equal" priority="502" dxfId="549">
      <formula>"☆"</formula>
    </cfRule>
    <cfRule type="cellIs" operator="equal" priority="672" dxfId="550">
      <formula>"※"</formula>
    </cfRule>
    <cfRule type="cellIs" operator="equal" priority="393" dxfId="551">
      <formula>"⊙"</formula>
    </cfRule>
    <cfRule type="cellIs" operator="equal" priority="613" dxfId="552">
      <formula>"★"</formula>
    </cfRule>
  </conditionalFormatting>
  <conditionalFormatting sqref="Q89:S89">
    <cfRule type="cellIs" operator="equal" priority="668" dxfId="553">
      <formula>"⊙"</formula>
    </cfRule>
    <cfRule type="cellIs" operator="equal" priority="726" dxfId="554">
      <formula>"×"</formula>
    </cfRule>
    <cfRule type="cellIs" operator="equal" priority="443" dxfId="555">
      <formula>"※"</formula>
    </cfRule>
    <cfRule type="cellIs" operator="equal" priority="464" dxfId="556">
      <formula>"☆"</formula>
    </cfRule>
    <cfRule type="cellIs" operator="equal" priority="693" dxfId="557">
      <formula>"★"</formula>
    </cfRule>
  </conditionalFormatting>
  <conditionalFormatting sqref="Q106:S106">
    <cfRule type="cellIs" operator="equal" priority="464" dxfId="558">
      <formula>"☆"</formula>
    </cfRule>
    <cfRule type="cellIs" operator="equal" priority="726" dxfId="559">
      <formula>"×"</formula>
    </cfRule>
    <cfRule type="cellIs" operator="equal" priority="693" dxfId="560">
      <formula>"★"</formula>
    </cfRule>
    <cfRule type="cellIs" operator="equal" priority="443" dxfId="561">
      <formula>"※"</formula>
    </cfRule>
    <cfRule type="cellIs" operator="equal" priority="668" dxfId="562">
      <formula>"⊙"</formula>
    </cfRule>
  </conditionalFormatting>
  <conditionalFormatting sqref="AG75:AH75 AG76:AH76 AG77:AH77 AG78:AH78 AG79:AH79 AG80:AH80 AG81:AH81 AG82:AH82 AG83:AH83 AG84:AH84 AG85:AH85 AG86:AH86 AG87:AH87 AG88:AH88 AG89:AH89 AG90:AH90 AG91:AH91 AG92:AH92 AG93:AH93 AG94:AH94 AG95:AH95 AG96:AH96 AG97:AH97 AG98:AH98 AG99:AH99 AG100:AH100 AG101:AH101 AG102:AH102 AG103:AH103 AG104:AH104 AG105:AH105 AG106:AH106 AG107:AH107">
    <cfRule type="cellIs" operator="equal" priority="546" dxfId="563">
      <formula>"★"</formula>
    </cfRule>
    <cfRule type="cellIs" operator="equal" priority="396" dxfId="564">
      <formula>"⊙"</formula>
    </cfRule>
    <cfRule type="cellIs" operator="equal" priority="467" dxfId="565">
      <formula>"☆"</formula>
    </cfRule>
    <cfRule type="cellIs" operator="equal" priority="508" dxfId="566">
      <formula>"※"</formula>
    </cfRule>
    <cfRule type="cellIs" operator="equal" priority="634" dxfId="567">
      <formula>"×"</formula>
    </cfRule>
  </conditionalFormatting>
  <conditionalFormatting sqref="Q100:S100">
    <cfRule type="cellIs" operator="equal" priority="668" dxfId="568">
      <formula>"⊙"</formula>
    </cfRule>
    <cfRule type="cellIs" operator="equal" priority="443" dxfId="569">
      <formula>"※"</formula>
    </cfRule>
    <cfRule type="cellIs" operator="equal" priority="726" dxfId="570">
      <formula>"×"</formula>
    </cfRule>
    <cfRule type="cellIs" operator="equal" priority="464" dxfId="571">
      <formula>"☆"</formula>
    </cfRule>
    <cfRule type="cellIs" operator="equal" priority="693" dxfId="572">
      <formula>"★"</formula>
    </cfRule>
  </conditionalFormatting>
  <conditionalFormatting sqref="AI105:AK105">
    <cfRule type="cellIs" operator="equal" priority="429" dxfId="573">
      <formula>"×"</formula>
    </cfRule>
    <cfRule type="cellIs" operator="equal" priority="530" dxfId="574">
      <formula>"☆"</formula>
    </cfRule>
    <cfRule type="cellIs" operator="equal" priority="406" dxfId="575">
      <formula>"★"</formula>
    </cfRule>
    <cfRule type="cellIs" operator="equal" priority="650" dxfId="576">
      <formula>"※"</formula>
    </cfRule>
    <cfRule type="cellIs" operator="equal" priority="465" dxfId="577">
      <formula>"⊙"</formula>
    </cfRule>
  </conditionalFormatting>
  <conditionalFormatting sqref="W89:X89">
    <cfRule type="cellIs" operator="equal" priority="704" dxfId="578">
      <formula>"☆"</formula>
    </cfRule>
    <cfRule type="cellIs" operator="equal" priority="510" dxfId="579">
      <formula>"★"</formula>
    </cfRule>
    <cfRule type="cellIs" operator="equal" priority="536" dxfId="580">
      <formula>"×"</formula>
    </cfRule>
    <cfRule type="cellIs" operator="equal" priority="413" dxfId="581">
      <formula>"※"</formula>
    </cfRule>
    <cfRule type="cellIs" operator="equal" priority="524" dxfId="582">
      <formula>"⊙"</formula>
    </cfRule>
  </conditionalFormatting>
  <conditionalFormatting sqref="Q82:S82">
    <cfRule type="cellIs" operator="equal" priority="443" dxfId="583">
      <formula>"※"</formula>
    </cfRule>
    <cfRule type="cellIs" operator="equal" priority="726" dxfId="584">
      <formula>"×"</formula>
    </cfRule>
    <cfRule type="cellIs" operator="equal" priority="464" dxfId="585">
      <formula>"☆"</formula>
    </cfRule>
    <cfRule type="cellIs" operator="equal" priority="668" dxfId="586">
      <formula>"⊙"</formula>
    </cfRule>
    <cfRule type="cellIs" operator="equal" priority="693" dxfId="587">
      <formula>"★"</formula>
    </cfRule>
  </conditionalFormatting>
  <conditionalFormatting sqref="M74:N74">
    <cfRule type="cellIs" operator="equal" priority="626" dxfId="588">
      <formula>"×"</formula>
    </cfRule>
    <cfRule type="cellIs" operator="equal" priority="661" dxfId="589">
      <formula>"※"</formula>
    </cfRule>
    <cfRule type="cellIs" operator="equal" priority="679" dxfId="590">
      <formula>"⊙"</formula>
    </cfRule>
    <cfRule type="cellIs" operator="equal" priority="692" dxfId="591">
      <formula>"☆"</formula>
    </cfRule>
    <cfRule type="cellIs" operator="equal" priority="625" dxfId="592">
      <formula>"★"</formula>
    </cfRule>
  </conditionalFormatting>
  <conditionalFormatting sqref="Q94:S94">
    <cfRule type="cellIs" operator="equal" priority="443" dxfId="593">
      <formula>"※"</formula>
    </cfRule>
    <cfRule type="cellIs" operator="equal" priority="726" dxfId="594">
      <formula>"×"</formula>
    </cfRule>
    <cfRule type="cellIs" operator="equal" priority="693" dxfId="595">
      <formula>"★"</formula>
    </cfRule>
    <cfRule type="cellIs" operator="equal" priority="464" dxfId="596">
      <formula>"☆"</formula>
    </cfRule>
    <cfRule type="cellIs" operator="equal" priority="668" dxfId="597">
      <formula>"⊙"</formula>
    </cfRule>
  </conditionalFormatting>
  <conditionalFormatting sqref="AI90:AK90">
    <cfRule type="cellIs" operator="equal" priority="530" dxfId="598">
      <formula>"☆"</formula>
    </cfRule>
    <cfRule type="cellIs" operator="equal" priority="650" dxfId="599">
      <formula>"※"</formula>
    </cfRule>
    <cfRule type="cellIs" operator="equal" priority="429" dxfId="600">
      <formula>"×"</formula>
    </cfRule>
    <cfRule type="cellIs" operator="equal" priority="465" dxfId="601">
      <formula>"⊙"</formula>
    </cfRule>
    <cfRule type="cellIs" operator="equal" priority="406" dxfId="602">
      <formula>"★"</formula>
    </cfRule>
  </conditionalFormatting>
  <conditionalFormatting sqref="Q91:S91">
    <cfRule type="cellIs" operator="equal" priority="726" dxfId="603">
      <formula>"×"</formula>
    </cfRule>
    <cfRule type="cellIs" operator="equal" priority="693" dxfId="604">
      <formula>"★"</formula>
    </cfRule>
    <cfRule type="cellIs" operator="equal" priority="668" dxfId="605">
      <formula>"⊙"</formula>
    </cfRule>
    <cfRule type="cellIs" operator="equal" priority="464" dxfId="606">
      <formula>"☆"</formula>
    </cfRule>
    <cfRule type="cellIs" operator="equal" priority="443" dxfId="607">
      <formula>"※"</formula>
    </cfRule>
  </conditionalFormatting>
  <conditionalFormatting sqref="AI98:AK98">
    <cfRule type="cellIs" operator="equal" priority="465" dxfId="608">
      <formula>"⊙"</formula>
    </cfRule>
    <cfRule type="cellIs" operator="equal" priority="429" dxfId="609">
      <formula>"×"</formula>
    </cfRule>
    <cfRule type="cellIs" operator="equal" priority="530" dxfId="610">
      <formula>"☆"</formula>
    </cfRule>
    <cfRule type="cellIs" operator="equal" priority="650" dxfId="611">
      <formula>"※"</formula>
    </cfRule>
    <cfRule type="cellIs" operator="equal" priority="406" dxfId="612">
      <formula>"★"</formula>
    </cfRule>
  </conditionalFormatting>
  <conditionalFormatting sqref="AI76:AK76">
    <cfRule type="cellIs" operator="equal" priority="650" dxfId="613">
      <formula>"※"</formula>
    </cfRule>
    <cfRule type="cellIs" operator="equal" priority="530" dxfId="614">
      <formula>"☆"</formula>
    </cfRule>
    <cfRule type="cellIs" operator="equal" priority="429" dxfId="615">
      <formula>"×"</formula>
    </cfRule>
    <cfRule type="cellIs" operator="equal" priority="465" dxfId="616">
      <formula>"⊙"</formula>
    </cfRule>
    <cfRule type="cellIs" operator="equal" priority="406" dxfId="617">
      <formula>"★"</formula>
    </cfRule>
  </conditionalFormatting>
  <conditionalFormatting sqref="AG74:AH74">
    <cfRule type="cellIs" operator="equal" priority="737" dxfId="618">
      <formula>"※"</formula>
    </cfRule>
    <cfRule type="cellIs" operator="equal" priority="498" dxfId="619">
      <formula>"×"</formula>
    </cfRule>
    <cfRule type="cellIs" operator="equal" priority="570" dxfId="620">
      <formula>"☆"</formula>
    </cfRule>
    <cfRule type="cellIs" operator="equal" priority="740" dxfId="621">
      <formula>"★"</formula>
    </cfRule>
    <cfRule type="cellIs" operator="equal" priority="642" dxfId="622">
      <formula>"⊙"</formula>
    </cfRule>
  </conditionalFormatting>
  <conditionalFormatting sqref="Y90:Z90 Y91:Z91">
    <cfRule type="cellIs" operator="equal" priority="716" dxfId="623">
      <formula>"※"</formula>
    </cfRule>
    <cfRule type="cellIs" operator="equal" priority="640" dxfId="624">
      <formula>"⊙"</formula>
    </cfRule>
    <cfRule type="cellIs" operator="equal" priority="437" dxfId="625">
      <formula>"★"</formula>
    </cfRule>
    <cfRule type="cellIs" operator="equal" priority="680" dxfId="626">
      <formula>"☆"</formula>
    </cfRule>
    <cfRule type="cellIs" operator="equal" priority="736" dxfId="627">
      <formula>"×"</formula>
    </cfRule>
  </conditionalFormatting>
  <conditionalFormatting sqref="W96:Z96">
    <cfRule type="cellIs" operator="equal" priority="535" dxfId="628">
      <formula>"⊙"</formula>
    </cfRule>
    <cfRule type="cellIs" operator="equal" priority="395" dxfId="629">
      <formula>"★"</formula>
    </cfRule>
    <cfRule type="cellIs" operator="equal" priority="382" dxfId="630">
      <formula>"×"</formula>
    </cfRule>
    <cfRule type="cellIs" operator="equal" priority="611" dxfId="631">
      <formula>"※"</formula>
    </cfRule>
    <cfRule type="cellIs" operator="equal" priority="490" dxfId="632">
      <formula>"☆"</formula>
    </cfRule>
  </conditionalFormatting>
  <conditionalFormatting sqref="W75:Z75 W76:Z76 W77:Z77 W78:Z78 W79:Z79 W80:Z80 W81:Z81 W82:Z82 W83:Z83 W84:Z84">
    <cfRule type="cellIs" operator="equal" priority="577" dxfId="633">
      <formula>"☆"</formula>
    </cfRule>
    <cfRule type="cellIs" operator="equal" priority="665" dxfId="634">
      <formula>"×"</formula>
    </cfRule>
    <cfRule type="cellIs" operator="equal" priority="579" dxfId="635">
      <formula>"⊙"</formula>
    </cfRule>
    <cfRule type="cellIs" operator="equal" priority="449" dxfId="636">
      <formula>"★"</formula>
    </cfRule>
    <cfRule type="cellIs" operator="equal" priority="381" dxfId="637">
      <formula>"※"</formula>
    </cfRule>
  </conditionalFormatting>
  <conditionalFormatting sqref="AI95:AK95">
    <cfRule type="cellIs" operator="equal" priority="406" dxfId="638">
      <formula>"★"</formula>
    </cfRule>
    <cfRule type="cellIs" operator="equal" priority="530" dxfId="639">
      <formula>"☆"</formula>
    </cfRule>
    <cfRule type="cellIs" operator="equal" priority="429" dxfId="640">
      <formula>"×"</formula>
    </cfRule>
    <cfRule type="cellIs" operator="equal" priority="650" dxfId="641">
      <formula>"※"</formula>
    </cfRule>
    <cfRule type="cellIs" operator="equal" priority="465" dxfId="642">
      <formula>"⊙"</formula>
    </cfRule>
  </conditionalFormatting>
  <conditionalFormatting sqref="O74:P74">
    <cfRule type="cellIs" operator="equal" priority="678" dxfId="643">
      <formula>"★"</formula>
    </cfRule>
    <cfRule type="cellIs" operator="equal" priority="718" dxfId="644">
      <formula>"⊙"</formula>
    </cfRule>
    <cfRule type="cellIs" operator="equal" priority="561" dxfId="645">
      <formula>"※"</formula>
    </cfRule>
    <cfRule type="cellIs" operator="equal" priority="686" dxfId="646">
      <formula>"☆"</formula>
    </cfRule>
    <cfRule type="cellIs" operator="equal" priority="632" dxfId="647">
      <formula>"×"</formula>
    </cfRule>
  </conditionalFormatting>
  <conditionalFormatting sqref="AE74:AF74">
    <cfRule type="cellIs" operator="equal" priority="554" dxfId="648">
      <formula>"※"</formula>
    </cfRule>
    <cfRule type="cellIs" operator="equal" priority="637" dxfId="649">
      <formula>"☆"</formula>
    </cfRule>
    <cfRule type="cellIs" operator="equal" priority="713" dxfId="650">
      <formula>"★"</formula>
    </cfRule>
    <cfRule type="cellIs" operator="equal" priority="595" dxfId="651">
      <formula>"×"</formula>
    </cfRule>
    <cfRule type="cellIs" operator="equal" priority="526" dxfId="652">
      <formula>"⊙"</formula>
    </cfRule>
  </conditionalFormatting>
  <conditionalFormatting sqref="AE75:AF75 AE76:AF76 AE77:AF77 AE78:AF78 AE79:AF79 AE80:AF80 AE81:AF81 AE82:AF82 AE83:AF83 AE84:AF84 AE85:AF85 AE86:AF86 AE87:AF87 AE88:AF88 AE89:AF89 AE90:AF90 AE91:AF91 AE92:AF92 AE93:AF93 AE94:AF94 AE95:AF95 AE96:AF96 AE97:AF97 AE98:AF98 AE99:AF99 AE100:AF100 AE101:AF101 AE102:AF102 AE103:AF103 AE104:AF104 AE105:AF105 AE106:AF106 AE107:AF107">
    <cfRule type="cellIs" operator="equal" priority="747" dxfId="653">
      <formula>"☆"</formula>
    </cfRule>
    <cfRule type="cellIs" operator="equal" priority="730" dxfId="654">
      <formula>"★"</formula>
    </cfRule>
    <cfRule type="cellIs" operator="equal" priority="706" dxfId="655">
      <formula>"※"</formula>
    </cfRule>
    <cfRule type="cellIs" operator="equal" priority="470" dxfId="656">
      <formula>"⊙"</formula>
    </cfRule>
    <cfRule type="cellIs" operator="equal" priority="719" dxfId="657">
      <formula>"×"</formula>
    </cfRule>
  </conditionalFormatting>
  <conditionalFormatting sqref="Q88:S88">
    <cfRule type="cellIs" operator="equal" priority="668" dxfId="658">
      <formula>"⊙"</formula>
    </cfRule>
    <cfRule type="cellIs" operator="equal" priority="443" dxfId="659">
      <formula>"※"</formula>
    </cfRule>
    <cfRule type="cellIs" operator="equal" priority="464" dxfId="660">
      <formula>"☆"</formula>
    </cfRule>
    <cfRule type="cellIs" operator="equal" priority="693" dxfId="661">
      <formula>"★"</formula>
    </cfRule>
    <cfRule type="cellIs" operator="equal" priority="726" dxfId="662">
      <formula>"×"</formula>
    </cfRule>
  </conditionalFormatting>
  <conditionalFormatting sqref="Q92:S92">
    <cfRule type="cellIs" operator="equal" priority="464" dxfId="663">
      <formula>"☆"</formula>
    </cfRule>
    <cfRule type="cellIs" operator="equal" priority="668" dxfId="664">
      <formula>"⊙"</formula>
    </cfRule>
    <cfRule type="cellIs" operator="equal" priority="726" dxfId="665">
      <formula>"×"</formula>
    </cfRule>
    <cfRule type="cellIs" operator="equal" priority="443" dxfId="666">
      <formula>"※"</formula>
    </cfRule>
    <cfRule type="cellIs" operator="equal" priority="693" dxfId="667">
      <formula>"★"</formula>
    </cfRule>
  </conditionalFormatting>
  <conditionalFormatting sqref="Q78:S78">
    <cfRule type="cellIs" operator="equal" priority="443" dxfId="668">
      <formula>"※"</formula>
    </cfRule>
    <cfRule type="cellIs" operator="equal" priority="693" dxfId="669">
      <formula>"★"</formula>
    </cfRule>
    <cfRule type="cellIs" operator="equal" priority="726" dxfId="670">
      <formula>"×"</formula>
    </cfRule>
    <cfRule type="cellIs" operator="equal" priority="464" dxfId="671">
      <formula>"☆"</formula>
    </cfRule>
    <cfRule type="cellIs" operator="equal" priority="668" dxfId="672">
      <formula>"⊙"</formula>
    </cfRule>
  </conditionalFormatting>
  <conditionalFormatting sqref="C74:D74">
    <cfRule type="cellIs" operator="equal" priority="419" dxfId="673">
      <formula>"⊙"</formula>
    </cfRule>
    <cfRule type="cellIs" operator="equal" priority="598" dxfId="674">
      <formula>"×"</formula>
    </cfRule>
    <cfRule type="cellIs" operator="equal" priority="462" dxfId="675">
      <formula>"※"</formula>
    </cfRule>
    <cfRule type="cellIs" operator="equal" priority="749" dxfId="676">
      <formula>"☆"</formula>
    </cfRule>
    <cfRule type="cellIs" operator="equal" priority="405" dxfId="677">
      <formula>"★"</formula>
    </cfRule>
  </conditionalFormatting>
  <conditionalFormatting sqref="E92:F92">
    <cfRule type="cellIs" operator="equal" priority="591" dxfId="678">
      <formula>"⊙"</formula>
    </cfRule>
    <cfRule type="cellIs" operator="equal" priority="545" dxfId="679">
      <formula>"☆"</formula>
    </cfRule>
    <cfRule type="cellIs" operator="equal" priority="451" dxfId="680">
      <formula>"★"</formula>
    </cfRule>
    <cfRule type="cellIs" operator="equal" priority="586" dxfId="681">
      <formula>"※"</formula>
    </cfRule>
    <cfRule type="cellIs" operator="equal" priority="432" dxfId="682">
      <formula>"×"</formula>
    </cfRule>
  </conditionalFormatting>
  <conditionalFormatting sqref="E101:H101 E102:H102 E103:H103">
    <cfRule type="cellIs" operator="equal" priority="618" dxfId="683">
      <formula>"☆"</formula>
    </cfRule>
    <cfRule type="cellIs" operator="equal" priority="600" dxfId="684">
      <formula>"※"</formula>
    </cfRule>
    <cfRule type="cellIs" operator="equal" priority="473" dxfId="685">
      <formula>"×"</formula>
    </cfRule>
    <cfRule type="cellIs" operator="equal" priority="421" dxfId="686">
      <formula>"⊙"</formula>
    </cfRule>
    <cfRule type="cellIs" operator="equal" priority="622" dxfId="687">
      <formula>"★"</formula>
    </cfRule>
  </conditionalFormatting>
  <conditionalFormatting sqref="AI80:AK80">
    <cfRule type="cellIs" operator="equal" priority="406" dxfId="688">
      <formula>"★"</formula>
    </cfRule>
    <cfRule type="cellIs" operator="equal" priority="530" dxfId="689">
      <formula>"☆"</formula>
    </cfRule>
    <cfRule type="cellIs" operator="equal" priority="650" dxfId="690">
      <formula>"※"</formula>
    </cfRule>
    <cfRule type="cellIs" operator="equal" priority="429" dxfId="691">
      <formula>"×"</formula>
    </cfRule>
    <cfRule type="cellIs" operator="equal" priority="465" dxfId="692">
      <formula>"⊙"</formula>
    </cfRule>
  </conditionalFormatting>
  <conditionalFormatting sqref="AI93:AK93">
    <cfRule type="cellIs" operator="equal" priority="650" dxfId="693">
      <formula>"※"</formula>
    </cfRule>
    <cfRule type="cellIs" operator="equal" priority="429" dxfId="694">
      <formula>"×"</formula>
    </cfRule>
    <cfRule type="cellIs" operator="equal" priority="530" dxfId="695">
      <formula>"☆"</formula>
    </cfRule>
    <cfRule type="cellIs" operator="equal" priority="406" dxfId="696">
      <formula>"★"</formula>
    </cfRule>
    <cfRule type="cellIs" operator="equal" priority="465" dxfId="697">
      <formula>"⊙"</formula>
    </cfRule>
  </conditionalFormatting>
  <conditionalFormatting sqref="O75:P75 O76:P76 O77:P77 O78:P78 O79:P79 O80:P80 O81:P81 O82:P82 O83:P83 O84:P84 O85:P85 O86:P86 O87:P87 O88:P88 O89:P89 O90:P90 O91:P91 O92:P92 O93:P93 O94:P94 O95:P95 O96:P96 O97:P97 O98:P98 O99:P99 O100:P100 O101:P101 O102:P102 O103:P103 O104:P104 O105:P105 O106:P106 O107:P107">
    <cfRule type="cellIs" operator="equal" priority="606" dxfId="698">
      <formula>"☆"</formula>
    </cfRule>
    <cfRule type="cellIs" operator="equal" priority="497" dxfId="699">
      <formula>"★"</formula>
    </cfRule>
    <cfRule type="cellIs" operator="equal" priority="707" dxfId="700">
      <formula>"×"</formula>
    </cfRule>
    <cfRule type="cellIs" operator="equal" priority="474" dxfId="701">
      <formula>"※"</formula>
    </cfRule>
    <cfRule type="cellIs" operator="equal" priority="488" dxfId="702">
      <formula>"⊙"</formula>
    </cfRule>
  </conditionalFormatting>
  <dataValidations count="6">
    <dataValidation allowBlank="1" type="any" operator="between" errorStyle="stop" showErrorMessage="1" sqref="AI10"/>
    <dataValidation allowBlank="1" type="any" operator="between" errorStyle="stop" showInputMessage="1" promptTitle="提示" prompt="你可以在下方“法术一览”内输入法术并且在这里输入成功使用过的法术的编号" showErrorMessage="1" sqref="AB12"/>
    <dataValidation allowBlank="1" type="any" operator="between" errorStyle="stop" showInputMessage="1" promptTitle="提示" prompt="你可以在下方“法术一览”内输入法术并且在这里输入成功使用过的法术的编号" showErrorMessage="1" sqref="X12"/>
    <dataValidation allowBlank="1" type="any" operator="between" errorStyle="stop" showInputMessage="1" showErrorMessage="1" sqref="AG12"/>
    <dataValidation allowBlank="1" type="any" operator="between" errorStyle="stop" showInputMessage="1" promptTitle="提示" prompt="MP是每小时恢复一次的 人类一般来说都会一小时恢复1点 但是有极少数人可以达到一小时恢复2点" showErrorMessage="1" sqref="AA10"/>
    <dataValidation allowBlank="1" type="any" operator="between" errorStyle="stop" showInputMessage="1" promptTitle="提示" prompt="你可以在下方“法术一览”内输入法术并且在这里输入成功使用过的法术的编号" showErrorMessage="1" sqref="U12"/>
  </dataValidations>
  <pageMargins left="0.7" right="0.7" top="0.75" bottom="0.75" header="0.3" footer="0.3"/>
  <drawing r:id="rId1"/>
</worksheet>
</file>

<file path=xl/worksheets/sheet3.xml><?xml version="1.0" encoding="utf-8"?>
<worksheet xmlns:r="http://schemas.openxmlformats.org/officeDocument/2006/relationships" xmlns="http://schemas.openxmlformats.org/spreadsheetml/2006/main">
  <dimension ref="C1:BPC175"/>
  <sheetViews>
    <sheetView workbookViewId="0" zoomScale="65">
      <selection activeCell="B2" sqref="B2"/>
    </sheetView>
  </sheetViews>
  <sheetFormatPr defaultRowHeight="18.0" defaultColWidth="3"/>
  <cols>
    <col min="1" max="1" customWidth="1" bestFit="1" width="3.0" style="1122"/>
    <col min="2" max="2" customWidth="1" bestFit="1" width="3.0" style="1122"/>
    <col min="3" max="3" customWidth="1" bestFit="1" width="3.0" style="1122"/>
    <col min="4" max="4" customWidth="1" bestFit="1" width="3.0" style="1122"/>
    <col min="5" max="5" customWidth="1" bestFit="1" width="3.0" style="1122"/>
    <col min="6" max="6" customWidth="1" bestFit="1" width="3.0" style="1122"/>
    <col min="7" max="7" customWidth="1" bestFit="1" width="3.0" style="1122"/>
    <col min="8" max="8" customWidth="1" bestFit="1" width="3.0" style="1122"/>
    <col min="9" max="9" customWidth="1" width="3.0" style="1122"/>
    <col min="10" max="10" customWidth="1" width="3.0" style="1122"/>
    <col min="11" max="11" customWidth="1" width="3.0" style="1122"/>
    <col min="12" max="12" customWidth="1" width="3.0" style="1122"/>
    <col min="13" max="13" customWidth="1" bestFit="1" width="3.0" style="1122"/>
    <col min="14" max="14" customWidth="1" bestFit="1" width="3.0" style="1122"/>
    <col min="15" max="15" customWidth="1" bestFit="1" width="3.0" style="1122"/>
    <col min="16" max="16" customWidth="1" bestFit="1" width="3.0" style="1122"/>
    <col min="17" max="17" customWidth="1" bestFit="1" width="3.0" style="1122"/>
    <col min="18" max="18" customWidth="1" bestFit="1" width="3.0" style="1122"/>
    <col min="19" max="19" customWidth="1" bestFit="1" width="3.0" style="1122"/>
    <col min="20" max="20" customWidth="1" bestFit="1" width="3.0" style="1122"/>
    <col min="21" max="21" customWidth="1" bestFit="1" width="3.0" style="1122"/>
    <col min="22" max="22" customWidth="1" bestFit="1" width="3.0" style="1122"/>
    <col min="23" max="23" customWidth="1" bestFit="1" width="3.0" style="1122"/>
    <col min="24" max="24" customWidth="1" bestFit="1" width="3.0" style="1122"/>
    <col min="25" max="25" customWidth="1" bestFit="1" width="3.0" style="1122"/>
    <col min="26" max="26" customWidth="1" bestFit="1" width="3.0" style="1122"/>
    <col min="27" max="27" customWidth="1" bestFit="1" width="3.0" style="1122"/>
    <col min="28" max="28" customWidth="1" bestFit="1" width="3.0" style="1122"/>
    <col min="29" max="29" customWidth="1" bestFit="1" width="3.0" style="1122"/>
    <col min="30" max="30" customWidth="1" bestFit="1" width="3.0" style="1122"/>
    <col min="31" max="31" customWidth="1" bestFit="1" width="3.0" style="1122"/>
    <col min="32" max="32" customWidth="1" bestFit="1" width="3.0" style="1122"/>
    <col min="33" max="33" customWidth="1" bestFit="1" width="3.0" style="1122"/>
    <col min="34" max="34" customWidth="1" bestFit="1" width="3.0" style="1122"/>
    <col min="35" max="35" customWidth="1" bestFit="1" width="3.0" style="1122"/>
    <col min="36" max="36" customWidth="1" bestFit="1" width="3.0" style="1122"/>
    <col min="37" max="37" customWidth="1" bestFit="1" width="3.0" style="1122"/>
    <col min="38" max="38" customWidth="1" bestFit="1" width="3.0" style="1122"/>
    <col min="39" max="39" customWidth="1" bestFit="1" width="3.0" style="1122"/>
    <col min="40" max="40" customWidth="1" bestFit="1" width="3.0" style="1122"/>
    <col min="41" max="41" customWidth="1" bestFit="1" width="3.0" style="1122"/>
    <col min="42" max="42" customWidth="1" bestFit="1" width="3.0" style="1122"/>
    <col min="43" max="43" customWidth="1" bestFit="1" width="3.0" style="1122"/>
    <col min="44" max="44" customWidth="1" bestFit="1" width="3.0" style="1122"/>
    <col min="45" max="45" customWidth="1" bestFit="1" width="3.0" style="1122"/>
    <col min="46" max="46" customWidth="1" bestFit="1" width="3.0" style="1122"/>
    <col min="47" max="47" customWidth="1" bestFit="1" width="3.0" style="1122"/>
    <col min="48" max="48" customWidth="1" bestFit="1" width="3.0" style="1122"/>
    <col min="49" max="49" customWidth="1" bestFit="1" width="3.0" style="1122"/>
    <col min="50" max="50" customWidth="1" bestFit="1" width="3.0" style="1122"/>
    <col min="51" max="51" customWidth="1" bestFit="1" width="3.0" style="1122"/>
    <col min="52" max="52" customWidth="1" bestFit="1" width="3.0" style="1122"/>
    <col min="53" max="53" customWidth="1" bestFit="1" width="3.0" style="1122"/>
    <col min="54" max="54" customWidth="1" bestFit="1" width="3.0" style="1122"/>
    <col min="55" max="55" customWidth="1" bestFit="1" width="3.0" style="1122"/>
    <col min="56" max="56" customWidth="1" bestFit="1" width="3.0" style="1122"/>
    <col min="57" max="57" customWidth="1" bestFit="1" width="3.0" style="1122"/>
    <col min="58" max="58" customWidth="1" bestFit="1" width="3.0" style="1122"/>
    <col min="59" max="59" customWidth="1" bestFit="1" width="3.0" style="1122"/>
    <col min="60" max="60" customWidth="1" bestFit="1" width="3.0" style="1122"/>
    <col min="61" max="61" customWidth="1" bestFit="1" width="3.0" style="1122"/>
    <col min="62" max="62" customWidth="1" bestFit="1" width="3.0" style="1122"/>
    <col min="63" max="63" customWidth="1" bestFit="1" width="3.0" style="1122"/>
    <col min="64" max="64" customWidth="1" bestFit="1" width="3.0" style="1122"/>
    <col min="65" max="65" customWidth="1" bestFit="1" width="3.0" style="1122"/>
    <col min="66" max="66" customWidth="1" bestFit="1" width="3.0" style="1122"/>
    <col min="67" max="67" customWidth="1" bestFit="1" width="3.0" style="1122"/>
    <col min="68" max="68" customWidth="1" bestFit="1" width="3.0" style="1122"/>
    <col min="69" max="69" customWidth="1" bestFit="1" width="3.0" style="1122"/>
    <col min="70" max="70" customWidth="1" bestFit="1" width="3.0" style="1122"/>
    <col min="71" max="71" customWidth="1" bestFit="1" width="3.0" style="1122"/>
    <col min="72" max="72" customWidth="1" bestFit="1" width="3.0" style="1122"/>
    <col min="73" max="73" customWidth="1" bestFit="1" width="3.0" style="1122"/>
    <col min="74" max="74" customWidth="1" bestFit="1" width="3.0" style="1122"/>
    <col min="75" max="75" customWidth="1" bestFit="1" width="3.0" style="1122"/>
    <col min="76" max="76" customWidth="1" bestFit="1" width="3.0" style="1122"/>
    <col min="77" max="77" customWidth="1" bestFit="1" width="3.0" style="1122"/>
    <col min="78" max="78" customWidth="1" bestFit="1" width="3.0" style="1122"/>
    <col min="79" max="79" customWidth="1" bestFit="1" width="3.0" style="1122"/>
    <col min="80" max="80" customWidth="1" bestFit="1" width="3.0" style="1122"/>
    <col min="81" max="81" customWidth="1" bestFit="1" width="3.0" style="1122"/>
    <col min="82" max="82" customWidth="1" bestFit="1" width="3.0" style="1122"/>
    <col min="83" max="83" customWidth="1" bestFit="1" width="3.0" style="1122"/>
    <col min="84" max="84" customWidth="1" bestFit="1" width="3.0" style="1122"/>
    <col min="85" max="85" customWidth="1" bestFit="1" width="3.0" style="1122"/>
    <col min="86" max="86" customWidth="1" bestFit="1" width="3.0" style="1122"/>
    <col min="87" max="87" customWidth="1" bestFit="1" width="3.0" style="1122"/>
    <col min="88" max="88" customWidth="1" bestFit="1" width="3.0" style="1122"/>
    <col min="89" max="89" customWidth="1" bestFit="1" width="3.0" style="1122"/>
    <col min="90" max="90" customWidth="1" bestFit="1" width="3.0" style="1122"/>
    <col min="91" max="91" customWidth="1" bestFit="1" width="3.0" style="1122"/>
    <col min="92" max="92" customWidth="1" bestFit="1" width="3.0" style="1122"/>
    <col min="93" max="93" customWidth="1" bestFit="1" width="3.0" style="1122"/>
    <col min="94" max="94" customWidth="1" bestFit="1" width="3.0" style="1122"/>
    <col min="95" max="95" customWidth="1" bestFit="1" width="3.0" style="1122"/>
    <col min="96" max="96" customWidth="1" bestFit="1" width="3.0" style="1122"/>
    <col min="97" max="97" customWidth="1" bestFit="1" width="3.0" style="1122"/>
    <col min="98" max="98" customWidth="1" bestFit="1" width="3.0" style="1122"/>
    <col min="99" max="99" customWidth="1" bestFit="1" width="3.0" style="1122"/>
    <col min="100" max="100" customWidth="1" bestFit="1" width="3.0" style="1122"/>
    <col min="101" max="101" customWidth="1" bestFit="1" width="3.0" style="1122"/>
    <col min="102" max="102" customWidth="1" bestFit="1" width="3.0" style="1122"/>
    <col min="103" max="103" customWidth="1" bestFit="1" width="3.0" style="1122"/>
    <col min="104" max="104" customWidth="1" bestFit="1" width="3.0" style="1122"/>
    <col min="105" max="105" customWidth="1" bestFit="1" width="3.0" style="1122"/>
    <col min="106" max="106" customWidth="1" bestFit="1" width="3.0" style="1122"/>
    <col min="107" max="107" customWidth="1" bestFit="1" width="3.0" style="1122"/>
    <col min="108" max="108" customWidth="1" bestFit="1" width="3.0" style="1122"/>
    <col min="109" max="109" customWidth="1" bestFit="1" width="3.0" style="1122"/>
    <col min="110" max="110" customWidth="1" bestFit="1" width="3.0" style="1122"/>
    <col min="111" max="111" customWidth="1" bestFit="1" width="3.0" style="1122"/>
    <col min="112" max="112" customWidth="1" bestFit="1" width="3.0" style="1122"/>
    <col min="113" max="113" customWidth="1" bestFit="1" width="3.0" style="1122"/>
    <col min="114" max="114" customWidth="1" bestFit="1" width="3.0" style="1122"/>
    <col min="115" max="115" customWidth="1" bestFit="1" width="3.0" style="1122"/>
    <col min="116" max="116" customWidth="1" bestFit="1" width="3.0" style="1122"/>
    <col min="117" max="117" customWidth="1" bestFit="1" width="3.0" style="1122"/>
    <col min="118" max="118" customWidth="1" bestFit="1" width="3.0" style="1122"/>
    <col min="119" max="119" customWidth="1" bestFit="1" width="3.0" style="1122"/>
    <col min="120" max="120" customWidth="1" bestFit="1" width="3.0" style="1122"/>
    <col min="121" max="121" customWidth="1" bestFit="1" width="3.0" style="1122"/>
    <col min="122" max="122" customWidth="1" bestFit="1" width="3.0" style="1122"/>
    <col min="123" max="123" customWidth="1" bestFit="1" width="3.0" style="1122"/>
    <col min="124" max="124" customWidth="1" bestFit="1" width="3.0" style="1122"/>
    <col min="125" max="125" customWidth="1" bestFit="1" width="3.0" style="1122"/>
    <col min="126" max="126" customWidth="1" bestFit="1" width="3.0" style="1122"/>
    <col min="127" max="127" customWidth="1" bestFit="1" width="3.0" style="1122"/>
    <col min="128" max="128" customWidth="1" bestFit="1" width="3.0" style="1122"/>
    <col min="129" max="129" customWidth="1" bestFit="1" width="3.0" style="1122"/>
    <col min="130" max="130" customWidth="1" bestFit="1" width="3.0" style="1122"/>
    <col min="131" max="131" customWidth="1" bestFit="1" width="3.0" style="1122"/>
    <col min="132" max="132" customWidth="1" bestFit="1" width="3.0" style="1122"/>
    <col min="133" max="133" customWidth="1" bestFit="1" width="3.0" style="1122"/>
    <col min="134" max="134" customWidth="1" bestFit="1" width="3.0" style="1122"/>
    <col min="135" max="135" customWidth="1" bestFit="1" width="3.0" style="1122"/>
    <col min="136" max="136" customWidth="1" bestFit="1" width="3.0" style="1122"/>
    <col min="137" max="137" customWidth="1" bestFit="1" width="3.0" style="1122"/>
    <col min="138" max="138" customWidth="1" bestFit="1" width="3.0" style="1122"/>
    <col min="139" max="139" customWidth="1" bestFit="1" width="3.0" style="1122"/>
    <col min="140" max="140" customWidth="1" bestFit="1" width="3.0" style="1122"/>
    <col min="141" max="141" customWidth="1" bestFit="1" width="3.0" style="1122"/>
    <col min="142" max="142" customWidth="1" bestFit="1" width="3.0" style="1122"/>
    <col min="143" max="143" customWidth="1" bestFit="1" width="3.0" style="1122"/>
    <col min="144" max="144" customWidth="1" bestFit="1" width="3.0" style="1122"/>
    <col min="145" max="145" customWidth="1" bestFit="1" width="3.0" style="1122"/>
    <col min="146" max="146" customWidth="1" bestFit="1" width="3.0" style="1122"/>
    <col min="147" max="147" customWidth="1" bestFit="1" width="3.0" style="1122"/>
    <col min="148" max="148" customWidth="1" bestFit="1" width="3.0" style="1122"/>
    <col min="149" max="149" customWidth="1" bestFit="1" width="3.0" style="1122"/>
    <col min="150" max="150" customWidth="1" bestFit="1" width="3.0" style="1122"/>
    <col min="151" max="151" customWidth="1" bestFit="1" width="3.0" style="1122"/>
    <col min="152" max="152" customWidth="1" bestFit="1" width="3.0" style="1122"/>
    <col min="153" max="153" customWidth="1" bestFit="1" width="3.0" style="1122"/>
    <col min="154" max="154" customWidth="1" bestFit="1" width="3.0" style="1122"/>
    <col min="155" max="155" customWidth="1" bestFit="1" width="3.0" style="1122"/>
    <col min="156" max="156" customWidth="1" bestFit="1" width="3.0" style="1122"/>
    <col min="157" max="157" customWidth="1" bestFit="1" width="3.0" style="1122"/>
    <col min="158" max="158" customWidth="1" bestFit="1" width="3.0" style="1122"/>
    <col min="159" max="159" customWidth="1" bestFit="1" width="3.0" style="1122"/>
    <col min="160" max="160" customWidth="1" bestFit="1" width="3.0" style="1122"/>
    <col min="161" max="161" customWidth="1" bestFit="1" width="3.0" style="1122"/>
    <col min="162" max="162" customWidth="1" bestFit="1" width="3.0" style="1122"/>
    <col min="163" max="163" customWidth="1" bestFit="1" width="3.0" style="1122"/>
    <col min="164" max="164" customWidth="1" bestFit="1" width="3.0" style="1122"/>
    <col min="165" max="165" customWidth="1" bestFit="1" width="3.0" style="1122"/>
    <col min="166" max="166" customWidth="1" bestFit="1" width="3.0" style="1122"/>
    <col min="167" max="167" customWidth="1" bestFit="1" width="3.0" style="1122"/>
    <col min="168" max="168" customWidth="1" bestFit="1" width="3.0" style="1122"/>
    <col min="169" max="169" customWidth="1" bestFit="1" width="3.0" style="1122"/>
    <col min="170" max="170" customWidth="1" bestFit="1" width="3.0" style="1122"/>
    <col min="171" max="171" customWidth="1" bestFit="1" width="3.0" style="1122"/>
    <col min="172" max="172" customWidth="1" bestFit="1" width="3.0" style="1122"/>
    <col min="173" max="173" customWidth="1" bestFit="1" width="3.0" style="1122"/>
    <col min="174" max="174" customWidth="1" bestFit="1" width="3.0" style="1122"/>
    <col min="175" max="175" customWidth="1" bestFit="1" width="3.0" style="1122"/>
    <col min="176" max="176" customWidth="1" bestFit="1" width="3.0" style="1122"/>
    <col min="177" max="177" customWidth="1" bestFit="1" width="3.0" style="1122"/>
    <col min="178" max="178" customWidth="1" bestFit="1" width="3.0" style="1122"/>
    <col min="179" max="179" customWidth="1" bestFit="1" width="3.0" style="1122"/>
    <col min="180" max="180" customWidth="1" bestFit="1" width="3.0" style="1122"/>
    <col min="181" max="181" customWidth="1" bestFit="1" width="3.0" style="1122"/>
    <col min="182" max="182" customWidth="1" bestFit="1" width="3.0" style="1122"/>
    <col min="183" max="183" customWidth="1" bestFit="1" width="3.0" style="1122"/>
    <col min="184" max="184" customWidth="1" bestFit="1" width="3.0" style="1122"/>
    <col min="185" max="185" customWidth="1" bestFit="1" width="3.0" style="1122"/>
    <col min="186" max="186" customWidth="1" bestFit="1" width="3.0" style="1122"/>
    <col min="187" max="187" customWidth="1" bestFit="1" width="3.0" style="1122"/>
    <col min="188" max="188" customWidth="1" bestFit="1" width="3.0" style="1122"/>
    <col min="189" max="189" customWidth="1" bestFit="1" width="3.0" style="1122"/>
    <col min="190" max="190" customWidth="1" bestFit="1" width="3.0" style="1122"/>
    <col min="191" max="191" customWidth="1" bestFit="1" width="3.0" style="1122"/>
    <col min="192" max="192" customWidth="1" bestFit="1" width="3.0" style="1122"/>
    <col min="193" max="193" customWidth="1" bestFit="1" width="3.0" style="1122"/>
    <col min="194" max="194" customWidth="1" bestFit="1" width="3.0" style="1122"/>
    <col min="195" max="195" customWidth="1" bestFit="1" width="3.0" style="1122"/>
    <col min="196" max="196" customWidth="1" bestFit="1" width="3.0" style="1122"/>
    <col min="197" max="197" customWidth="1" bestFit="1" width="3.0" style="1122"/>
    <col min="198" max="198" customWidth="1" bestFit="1" width="3.0" style="1122"/>
    <col min="199" max="199" customWidth="1" bestFit="1" width="3.0" style="1122"/>
    <col min="200" max="200" customWidth="1" bestFit="1" width="3.0" style="1122"/>
    <col min="201" max="201" customWidth="1" bestFit="1" width="3.0" style="1122"/>
    <col min="202" max="202" customWidth="1" bestFit="1" width="3.0" style="1122"/>
    <col min="203" max="203" customWidth="1" bestFit="1" width="3.0" style="1122"/>
    <col min="204" max="204" customWidth="1" bestFit="1" width="3.0" style="1122"/>
    <col min="205" max="205" customWidth="1" bestFit="1" width="3.0" style="1122"/>
    <col min="206" max="206" customWidth="1" bestFit="1" width="3.0" style="1122"/>
    <col min="207" max="207" customWidth="1" bestFit="1" width="3.0" style="1122"/>
    <col min="208" max="208" customWidth="1" bestFit="1" width="3.0" style="1122"/>
    <col min="209" max="209" customWidth="1" bestFit="1" width="3.0" style="1122"/>
    <col min="210" max="210" customWidth="1" bestFit="1" width="3.0" style="1122"/>
    <col min="211" max="211" customWidth="1" bestFit="1" width="3.0" style="1122"/>
    <col min="212" max="212" customWidth="1" bestFit="1" width="3.0" style="1122"/>
    <col min="213" max="213" customWidth="1" bestFit="1" width="3.0" style="1122"/>
    <col min="214" max="214" customWidth="1" bestFit="1" width="3.0" style="1122"/>
    <col min="215" max="215" customWidth="1" bestFit="1" width="3.0" style="1122"/>
    <col min="216" max="216" customWidth="1" bestFit="1" width="3.0" style="1122"/>
    <col min="217" max="217" customWidth="1" bestFit="1" width="3.0" style="1122"/>
    <col min="218" max="218" customWidth="1" bestFit="1" width="3.0" style="1122"/>
    <col min="219" max="219" customWidth="1" bestFit="1" width="3.0" style="1122"/>
    <col min="220" max="220" customWidth="1" bestFit="1" width="3.0" style="1122"/>
    <col min="221" max="221" customWidth="1" bestFit="1" width="3.0" style="1122"/>
    <col min="222" max="222" customWidth="1" bestFit="1" width="3.0" style="1122"/>
    <col min="223" max="223" customWidth="1" bestFit="1" width="3.0" style="1122"/>
    <col min="224" max="224" customWidth="1" bestFit="1" width="3.0" style="1122"/>
    <col min="225" max="225" customWidth="1" bestFit="1" width="3.0" style="1122"/>
    <col min="226" max="226" customWidth="1" bestFit="1" width="3.0" style="1122"/>
    <col min="227" max="227" customWidth="1" bestFit="1" width="3.0" style="1122"/>
    <col min="228" max="228" customWidth="1" bestFit="1" width="3.0" style="1122"/>
    <col min="229" max="229" customWidth="1" bestFit="1" width="3.0" style="1122"/>
    <col min="230" max="230" customWidth="1" bestFit="1" width="3.0" style="1122"/>
    <col min="231" max="231" customWidth="1" bestFit="1" width="3.0" style="1122"/>
    <col min="232" max="232" customWidth="1" bestFit="1" width="3.0" style="1122"/>
    <col min="233" max="233" customWidth="1" bestFit="1" width="3.0" style="1122"/>
    <col min="234" max="234" customWidth="1" bestFit="1" width="3.0" style="1122"/>
    <col min="235" max="235" customWidth="1" bestFit="1" width="3.0" style="1122"/>
    <col min="236" max="236" customWidth="1" bestFit="1" width="3.0" style="1122"/>
    <col min="237" max="237" customWidth="1" bestFit="1" width="3.0" style="1122"/>
    <col min="238" max="238" customWidth="1" bestFit="1" width="3.0" style="1122"/>
    <col min="239" max="239" customWidth="1" bestFit="1" width="3.0" style="1122"/>
    <col min="240" max="240" customWidth="1" bestFit="1" width="3.0" style="1122"/>
    <col min="241" max="241" customWidth="1" bestFit="1" width="3.0" style="1122"/>
    <col min="242" max="242" customWidth="1" bestFit="1" width="3.0" style="1122"/>
    <col min="243" max="243" customWidth="1" bestFit="1" width="3.0" style="1122"/>
    <col min="244" max="244" customWidth="1" bestFit="1" width="3.0" style="1122"/>
    <col min="245" max="245" customWidth="1" bestFit="1" width="3.0" style="1122"/>
    <col min="246" max="246" customWidth="1" bestFit="1" width="3.0" style="1122"/>
    <col min="247" max="247" customWidth="1" bestFit="1" width="3.0" style="1122"/>
    <col min="248" max="248" customWidth="1" bestFit="1" width="3.0" style="1122"/>
    <col min="249" max="249" customWidth="1" bestFit="1" width="3.0" style="1122"/>
    <col min="250" max="250" customWidth="1" bestFit="1" width="3.0" style="1122"/>
    <col min="251" max="251" customWidth="1" bestFit="1" width="3.0" style="1122"/>
    <col min="252" max="252" customWidth="1" bestFit="1" width="3.0" style="1122"/>
    <col min="253" max="253" customWidth="1" bestFit="1" width="3.0" style="1122"/>
    <col min="254" max="254" customWidth="1" bestFit="1" width="3.0" style="1122"/>
    <col min="255" max="255" customWidth="1" bestFit="1" width="3.0" style="1122"/>
    <col min="256" max="256" customWidth="1" bestFit="1" width="3.0" style="1122"/>
    <col min="257" max="257" customWidth="1" bestFit="1" width="3.0" style="1122"/>
    <col min="258" max="258" customWidth="1" bestFit="1" width="3.0" style="1122"/>
    <col min="259" max="259" customWidth="1" bestFit="1" width="3.0" style="1122"/>
    <col min="260" max="260" customWidth="1" bestFit="1" width="3.0" style="1122"/>
    <col min="261" max="261" customWidth="1" bestFit="1" width="3.0" style="1122"/>
    <col min="262" max="262" customWidth="1" bestFit="1" width="3.0" style="1122"/>
    <col min="263" max="263" customWidth="1" bestFit="1" width="3.0" style="1122"/>
    <col min="264" max="264" customWidth="1" bestFit="1" width="3.0" style="1122"/>
    <col min="265" max="265" customWidth="1" bestFit="1" width="3.0" style="1122"/>
    <col min="266" max="266" customWidth="1" bestFit="1" width="3.0" style="1122"/>
    <col min="267" max="267" customWidth="1" bestFit="1" width="3.0" style="1122"/>
    <col min="268" max="268" customWidth="1" bestFit="1" width="3.0" style="1122"/>
    <col min="269" max="269" customWidth="1" bestFit="1" width="3.0" style="1122"/>
    <col min="270" max="270" customWidth="1" bestFit="1" width="3.0" style="1122"/>
    <col min="271" max="271" customWidth="1" bestFit="1" width="3.0" style="1122"/>
    <col min="272" max="272" customWidth="1" bestFit="1" width="3.0" style="1122"/>
    <col min="273" max="273" customWidth="1" bestFit="1" width="3.0" style="1122"/>
    <col min="274" max="274" customWidth="1" bestFit="1" width="3.0" style="1122"/>
    <col min="275" max="275" customWidth="1" bestFit="1" width="3.0" style="1122"/>
    <col min="276" max="276" customWidth="1" bestFit="1" width="3.0" style="1122"/>
    <col min="277" max="277" customWidth="1" bestFit="1" width="3.0" style="1122"/>
    <col min="278" max="278" customWidth="1" bestFit="1" width="3.0" style="1122"/>
    <col min="279" max="279" customWidth="1" bestFit="1" width="3.0" style="1122"/>
    <col min="280" max="280" customWidth="1" bestFit="1" width="3.0" style="1122"/>
    <col min="281" max="281" customWidth="1" bestFit="1" width="3.0" style="1122"/>
    <col min="282" max="282" customWidth="1" bestFit="1" width="3.0" style="1122"/>
    <col min="283" max="283" customWidth="1" bestFit="1" width="3.0" style="1122"/>
    <col min="284" max="284" customWidth="1" bestFit="1" width="3.0" style="1122"/>
    <col min="285" max="285" customWidth="1" bestFit="1" width="3.0" style="1122"/>
    <col min="286" max="286" customWidth="1" bestFit="1" width="3.0" style="1122"/>
    <col min="287" max="287" customWidth="1" bestFit="1" width="3.0" style="1122"/>
    <col min="288" max="288" customWidth="1" bestFit="1" width="3.0" style="1122"/>
    <col min="289" max="289" customWidth="1" bestFit="1" width="3.0" style="1122"/>
    <col min="290" max="290" customWidth="1" bestFit="1" width="3.0" style="1122"/>
    <col min="291" max="291" customWidth="1" bestFit="1" width="3.0" style="1122"/>
    <col min="292" max="292" customWidth="1" bestFit="1" width="3.0" style="1122"/>
    <col min="293" max="293" customWidth="1" bestFit="1" width="3.0" style="1122"/>
    <col min="294" max="294" customWidth="1" bestFit="1" width="3.0" style="1122"/>
    <col min="295" max="295" customWidth="1" bestFit="1" width="3.0" style="1122"/>
    <col min="296" max="296" customWidth="1" bestFit="1" width="3.0" style="1122"/>
    <col min="297" max="297" customWidth="1" bestFit="1" width="3.0" style="1122"/>
    <col min="298" max="298" customWidth="1" bestFit="1" width="3.0" style="1122"/>
    <col min="299" max="299" customWidth="1" bestFit="1" width="3.0" style="1122"/>
    <col min="300" max="300" customWidth="1" bestFit="1" width="3.0" style="1122"/>
    <col min="301" max="301" customWidth="1" bestFit="1" width="3.0" style="1122"/>
    <col min="302" max="302" customWidth="1" bestFit="1" width="3.0" style="1122"/>
    <col min="303" max="303" customWidth="1" bestFit="1" width="3.0" style="1122"/>
    <col min="304" max="304" customWidth="1" bestFit="1" width="3.0" style="1122"/>
    <col min="305" max="305" customWidth="1" bestFit="1" width="3.0" style="1122"/>
    <col min="306" max="306" customWidth="1" bestFit="1" width="3.0" style="1122"/>
    <col min="307" max="307" customWidth="1" bestFit="1" width="3.0" style="1122"/>
    <col min="308" max="308" customWidth="1" bestFit="1" width="3.0" style="1122"/>
    <col min="309" max="309" customWidth="1" bestFit="1" width="3.0" style="1122"/>
    <col min="310" max="310" customWidth="1" bestFit="1" width="3.0" style="1122"/>
    <col min="311" max="311" customWidth="1" bestFit="1" width="3.0" style="1122"/>
    <col min="312" max="312" customWidth="1" bestFit="1" width="3.0" style="1122"/>
    <col min="313" max="313" customWidth="1" bestFit="1" width="3.0" style="1122"/>
    <col min="314" max="314" customWidth="1" bestFit="1" width="3.0" style="1122"/>
    <col min="315" max="315" customWidth="1" bestFit="1" width="3.0" style="1122"/>
    <col min="316" max="316" customWidth="1" bestFit="1" width="3.0" style="1122"/>
    <col min="317" max="317" customWidth="1" bestFit="1" width="3.0" style="1122"/>
    <col min="318" max="318" customWidth="1" bestFit="1" width="3.0" style="1122"/>
    <col min="319" max="319" customWidth="1" bestFit="1" width="3.0" style="1122"/>
    <col min="320" max="320" customWidth="1" bestFit="1" width="3.0" style="1122"/>
    <col min="321" max="321" customWidth="1" bestFit="1" width="3.0" style="1122"/>
    <col min="322" max="322" customWidth="1" bestFit="1" width="3.0" style="1122"/>
    <col min="323" max="323" customWidth="1" bestFit="1" width="3.0" style="1122"/>
    <col min="324" max="324" customWidth="1" bestFit="1" width="3.0" style="1122"/>
    <col min="325" max="325" customWidth="1" bestFit="1" width="3.0" style="1122"/>
    <col min="326" max="326" customWidth="1" bestFit="1" width="3.0" style="1122"/>
    <col min="327" max="327" customWidth="1" bestFit="1" width="3.0" style="1122"/>
    <col min="328" max="328" customWidth="1" bestFit="1" width="3.0" style="1122"/>
    <col min="329" max="329" customWidth="1" bestFit="1" width="3.0" style="1122"/>
    <col min="330" max="330" customWidth="1" bestFit="1" width="3.0" style="1122"/>
    <col min="331" max="331" customWidth="1" bestFit="1" width="3.0" style="1122"/>
    <col min="332" max="332" customWidth="1" bestFit="1" width="3.0" style="1122"/>
    <col min="333" max="333" customWidth="1" bestFit="1" width="3.0" style="1122"/>
    <col min="334" max="334" customWidth="1" bestFit="1" width="3.0" style="1122"/>
    <col min="335" max="335" customWidth="1" bestFit="1" width="3.0" style="1122"/>
    <col min="336" max="336" customWidth="1" bestFit="1" width="3.0" style="1122"/>
    <col min="337" max="337" customWidth="1" bestFit="1" width="3.0" style="1122"/>
    <col min="338" max="338" customWidth="1" bestFit="1" width="3.0" style="1122"/>
    <col min="339" max="339" customWidth="1" bestFit="1" width="3.0" style="1122"/>
    <col min="340" max="340" customWidth="1" bestFit="1" width="3.0" style="1122"/>
    <col min="341" max="341" customWidth="1" bestFit="1" width="3.0" style="1122"/>
    <col min="342" max="342" customWidth="1" bestFit="1" width="3.0" style="1122"/>
    <col min="343" max="343" customWidth="1" bestFit="1" width="3.0" style="1122"/>
    <col min="344" max="344" customWidth="1" bestFit="1" width="3.0" style="1122"/>
    <col min="345" max="345" customWidth="1" bestFit="1" width="3.0" style="1122"/>
    <col min="346" max="346" customWidth="1" bestFit="1" width="3.0" style="1122"/>
    <col min="347" max="347" customWidth="1" bestFit="1" width="3.0" style="1122"/>
    <col min="348" max="348" customWidth="1" bestFit="1" width="3.0" style="1122"/>
    <col min="349" max="349" customWidth="1" bestFit="1" width="3.0" style="1122"/>
    <col min="350" max="350" customWidth="1" bestFit="1" width="3.0" style="1122"/>
    <col min="351" max="351" customWidth="1" bestFit="1" width="3.0" style="1122"/>
    <col min="352" max="352" customWidth="1" bestFit="1" width="3.0" style="1122"/>
    <col min="353" max="353" customWidth="1" bestFit="1" width="3.0" style="1122"/>
    <col min="354" max="354" customWidth="1" bestFit="1" width="3.0" style="1122"/>
    <col min="355" max="355" customWidth="1" bestFit="1" width="3.0" style="1122"/>
    <col min="356" max="356" customWidth="1" bestFit="1" width="3.0" style="1122"/>
    <col min="357" max="357" customWidth="1" bestFit="1" width="3.0" style="1122"/>
    <col min="358" max="358" customWidth="1" bestFit="1" width="3.0" style="1122"/>
    <col min="359" max="359" customWidth="1" bestFit="1" width="3.0" style="1122"/>
    <col min="360" max="360" customWidth="1" bestFit="1" width="3.0" style="1122"/>
    <col min="361" max="361" customWidth="1" bestFit="1" width="3.0" style="1122"/>
    <col min="362" max="362" customWidth="1" bestFit="1" width="3.0" style="1122"/>
    <col min="363" max="363" customWidth="1" bestFit="1" width="3.0" style="1122"/>
    <col min="364" max="364" customWidth="1" bestFit="1" width="3.0" style="1122"/>
    <col min="365" max="365" customWidth="1" bestFit="1" width="3.0" style="1122"/>
    <col min="366" max="366" customWidth="1" bestFit="1" width="3.0" style="1122"/>
    <col min="367" max="367" customWidth="1" bestFit="1" width="3.0" style="1122"/>
    <col min="368" max="368" customWidth="1" bestFit="1" width="3.0" style="1122"/>
    <col min="369" max="369" customWidth="1" bestFit="1" width="3.0" style="1122"/>
    <col min="370" max="370" customWidth="1" bestFit="1" width="3.0" style="1122"/>
    <col min="371" max="371" customWidth="1" bestFit="1" width="3.0" style="1122"/>
    <col min="372" max="372" customWidth="1" bestFit="1" width="3.0" style="1122"/>
    <col min="373" max="373" customWidth="1" bestFit="1" width="3.0" style="1122"/>
    <col min="374" max="374" customWidth="1" bestFit="1" width="3.0" style="1122"/>
    <col min="375" max="375" customWidth="1" bestFit="1" width="3.0" style="1122"/>
    <col min="376" max="376" customWidth="1" bestFit="1" width="3.0" style="1122"/>
    <col min="377" max="377" customWidth="1" bestFit="1" width="3.0" style="1122"/>
    <col min="378" max="378" customWidth="1" bestFit="1" width="3.0" style="1122"/>
    <col min="379" max="379" customWidth="1" bestFit="1" width="3.0" style="1122"/>
    <col min="380" max="380" customWidth="1" bestFit="1" width="3.0" style="1122"/>
    <col min="381" max="381" customWidth="1" bestFit="1" width="3.0" style="1122"/>
    <col min="382" max="382" customWidth="1" bestFit="1" width="3.0" style="1122"/>
    <col min="383" max="383" customWidth="1" bestFit="1" width="3.0" style="1122"/>
    <col min="384" max="384" customWidth="1" bestFit="1" width="3.0" style="1122"/>
    <col min="385" max="385" customWidth="1" bestFit="1" width="3.0" style="1122"/>
    <col min="386" max="386" customWidth="1" bestFit="1" width="3.0" style="1122"/>
    <col min="387" max="387" customWidth="1" bestFit="1" width="3.0" style="1122"/>
    <col min="388" max="388" customWidth="1" bestFit="1" width="3.0" style="1122"/>
    <col min="389" max="389" customWidth="1" bestFit="1" width="3.0" style="1122"/>
    <col min="390" max="390" customWidth="1" bestFit="1" width="3.0" style="1122"/>
    <col min="391" max="391" customWidth="1" bestFit="1" width="3.0" style="1122"/>
    <col min="392" max="392" customWidth="1" bestFit="1" width="3.0" style="1122"/>
    <col min="393" max="393" customWidth="1" bestFit="1" width="3.0" style="1122"/>
    <col min="394" max="394" customWidth="1" bestFit="1" width="3.0" style="1122"/>
    <col min="395" max="395" customWidth="1" bestFit="1" width="3.0" style="1122"/>
    <col min="396" max="396" customWidth="1" bestFit="1" width="3.0" style="1122"/>
    <col min="397" max="397" customWidth="1" bestFit="1" width="3.0" style="1122"/>
    <col min="398" max="398" customWidth="1" bestFit="1" width="3.0" style="1122"/>
    <col min="399" max="399" customWidth="1" bestFit="1" width="3.0" style="1122"/>
    <col min="400" max="400" customWidth="1" bestFit="1" width="3.0" style="1122"/>
    <col min="401" max="401" customWidth="1" bestFit="1" width="3.0" style="1122"/>
    <col min="402" max="402" customWidth="1" bestFit="1" width="3.0" style="1122"/>
    <col min="403" max="403" customWidth="1" bestFit="1" width="3.0" style="1122"/>
    <col min="404" max="404" customWidth="1" bestFit="1" width="3.0" style="1122"/>
    <col min="405" max="405" customWidth="1" bestFit="1" width="3.0" style="1122"/>
    <col min="406" max="406" customWidth="1" bestFit="1" width="3.0" style="1122"/>
    <col min="407" max="407" customWidth="1" bestFit="1" width="3.0" style="1122"/>
    <col min="408" max="408" customWidth="1" bestFit="1" width="3.0" style="1122"/>
    <col min="409" max="409" customWidth="1" bestFit="1" width="3.0" style="1122"/>
    <col min="410" max="410" customWidth="1" bestFit="1" width="3.0" style="1122"/>
    <col min="411" max="411" customWidth="1" bestFit="1" width="3.0" style="1122"/>
    <col min="412" max="412" customWidth="1" bestFit="1" width="3.0" style="1122"/>
    <col min="413" max="413" customWidth="1" bestFit="1" width="3.0" style="1122"/>
    <col min="414" max="414" customWidth="1" bestFit="1" width="3.0" style="1122"/>
    <col min="415" max="415" customWidth="1" bestFit="1" width="3.0" style="1122"/>
    <col min="416" max="416" customWidth="1" bestFit="1" width="3.0" style="1122"/>
    <col min="417" max="417" customWidth="1" bestFit="1" width="3.0" style="1122"/>
    <col min="418" max="418" customWidth="1" bestFit="1" width="3.0" style="1122"/>
    <col min="419" max="419" customWidth="1" bestFit="1" width="3.0" style="1122"/>
    <col min="420" max="420" customWidth="1" bestFit="1" width="3.0" style="1122"/>
    <col min="421" max="421" customWidth="1" bestFit="1" width="3.0" style="1122"/>
    <col min="422" max="422" customWidth="1" bestFit="1" width="3.0" style="1122"/>
    <col min="423" max="423" customWidth="1" bestFit="1" width="3.0" style="1122"/>
    <col min="424" max="424" customWidth="1" bestFit="1" width="3.0" style="1122"/>
    <col min="425" max="425" customWidth="1" bestFit="1" width="3.0" style="1122"/>
    <col min="426" max="426" customWidth="1" bestFit="1" width="3.0" style="1122"/>
    <col min="427" max="427" customWidth="1" bestFit="1" width="3.0" style="1122"/>
    <col min="428" max="428" customWidth="1" bestFit="1" width="3.0" style="1122"/>
    <col min="429" max="429" customWidth="1" bestFit="1" width="3.0" style="1122"/>
    <col min="430" max="430" customWidth="1" bestFit="1" width="3.0" style="1122"/>
    <col min="431" max="431" customWidth="1" bestFit="1" width="3.0" style="1122"/>
    <col min="432" max="432" customWidth="1" bestFit="1" width="3.0" style="1122"/>
    <col min="433" max="433" customWidth="1" bestFit="1" width="3.0" style="1122"/>
    <col min="434" max="434" customWidth="1" bestFit="1" width="3.0" style="1122"/>
    <col min="435" max="435" customWidth="1" bestFit="1" width="3.0" style="1122"/>
    <col min="436" max="436" customWidth="1" bestFit="1" width="3.0" style="1122"/>
    <col min="437" max="437" customWidth="1" bestFit="1" width="3.0" style="1122"/>
    <col min="438" max="438" customWidth="1" bestFit="1" width="3.0" style="1122"/>
    <col min="439" max="439" customWidth="1" bestFit="1" width="3.0" style="1122"/>
    <col min="440" max="440" customWidth="1" bestFit="1" width="3.0" style="1122"/>
    <col min="441" max="441" customWidth="1" bestFit="1" width="3.0" style="1122"/>
    <col min="442" max="442" customWidth="1" bestFit="1" width="3.0" style="1122"/>
    <col min="443" max="443" customWidth="1" bestFit="1" width="3.0" style="1122"/>
    <col min="444" max="444" customWidth="1" bestFit="1" width="3.0" style="1122"/>
    <col min="445" max="445" customWidth="1" bestFit="1" width="3.0" style="1122"/>
    <col min="446" max="446" customWidth="1" bestFit="1" width="3.0" style="1122"/>
    <col min="447" max="447" customWidth="1" bestFit="1" width="3.0" style="1122"/>
    <col min="448" max="448" customWidth="1" bestFit="1" width="3.0" style="1122"/>
    <col min="449" max="449" customWidth="1" bestFit="1" width="3.0" style="1122"/>
    <col min="450" max="450" customWidth="1" bestFit="1" width="3.0" style="1122"/>
    <col min="451" max="451" customWidth="1" bestFit="1" width="3.0" style="1122"/>
    <col min="452" max="452" customWidth="1" bestFit="1" width="3.0" style="1122"/>
    <col min="453" max="453" customWidth="1" bestFit="1" width="3.0" style="1122"/>
    <col min="454" max="454" customWidth="1" bestFit="1" width="3.0" style="1122"/>
    <col min="455" max="455" customWidth="1" bestFit="1" width="3.0" style="1122"/>
    <col min="456" max="456" customWidth="1" bestFit="1" width="3.0" style="1122"/>
    <col min="457" max="457" customWidth="1" bestFit="1" width="3.0" style="1122"/>
    <col min="458" max="458" customWidth="1" bestFit="1" width="3.0" style="1122"/>
    <col min="459" max="459" customWidth="1" bestFit="1" width="3.0" style="1122"/>
    <col min="460" max="460" customWidth="1" bestFit="1" width="3.0" style="1122"/>
    <col min="461" max="461" customWidth="1" bestFit="1" width="3.0" style="1122"/>
    <col min="462" max="462" customWidth="1" bestFit="1" width="3.0" style="1122"/>
    <col min="463" max="463" customWidth="1" bestFit="1" width="3.0" style="1122"/>
    <col min="464" max="464" customWidth="1" bestFit="1" width="3.0" style="1122"/>
    <col min="465" max="465" customWidth="1" bestFit="1" width="3.0" style="1122"/>
    <col min="466" max="466" customWidth="1" bestFit="1" width="3.0" style="1122"/>
    <col min="467" max="467" customWidth="1" bestFit="1" width="3.0" style="1122"/>
    <col min="468" max="468" customWidth="1" bestFit="1" width="3.0" style="1122"/>
    <col min="469" max="469" customWidth="1" bestFit="1" width="3.0" style="1122"/>
    <col min="470" max="470" customWidth="1" bestFit="1" width="3.0" style="1122"/>
    <col min="471" max="471" customWidth="1" bestFit="1" width="3.0" style="1122"/>
    <col min="472" max="472" customWidth="1" bestFit="1" width="3.0" style="1122"/>
    <col min="473" max="473" customWidth="1" bestFit="1" width="3.0" style="1122"/>
    <col min="474" max="474" customWidth="1" bestFit="1" width="3.0" style="1122"/>
    <col min="475" max="475" customWidth="1" bestFit="1" width="3.0" style="1122"/>
    <col min="476" max="476" customWidth="1" bestFit="1" width="3.0" style="1122"/>
    <col min="477" max="477" customWidth="1" bestFit="1" width="3.0" style="1122"/>
    <col min="478" max="478" customWidth="1" bestFit="1" width="3.0" style="1122"/>
    <col min="479" max="479" customWidth="1" bestFit="1" width="3.0" style="1122"/>
    <col min="480" max="480" customWidth="1" bestFit="1" width="3.0" style="1122"/>
    <col min="481" max="481" customWidth="1" bestFit="1" width="3.0" style="1122"/>
    <col min="482" max="482" customWidth="1" bestFit="1" width="3.0" style="1122"/>
    <col min="483" max="483" customWidth="1" bestFit="1" width="3.0" style="1122"/>
    <col min="484" max="484" customWidth="1" bestFit="1" width="3.0" style="1122"/>
    <col min="485" max="485" customWidth="1" bestFit="1" width="3.0" style="1122"/>
    <col min="486" max="486" customWidth="1" bestFit="1" width="3.0" style="1122"/>
    <col min="487" max="487" customWidth="1" bestFit="1" width="3.0" style="1122"/>
    <col min="488" max="488" customWidth="1" bestFit="1" width="3.0" style="1122"/>
    <col min="489" max="489" customWidth="1" bestFit="1" width="3.0" style="1122"/>
    <col min="490" max="490" customWidth="1" bestFit="1" width="3.0" style="1122"/>
    <col min="491" max="491" customWidth="1" bestFit="1" width="3.0" style="1122"/>
    <col min="492" max="492" customWidth="1" bestFit="1" width="3.0" style="1122"/>
    <col min="493" max="493" customWidth="1" bestFit="1" width="3.0" style="1122"/>
    <col min="494" max="494" customWidth="1" bestFit="1" width="3.0" style="1122"/>
    <col min="495" max="495" customWidth="1" bestFit="1" width="3.0" style="1122"/>
    <col min="496" max="496" customWidth="1" bestFit="1" width="3.0" style="1122"/>
    <col min="497" max="497" customWidth="1" bestFit="1" width="3.0" style="1122"/>
    <col min="498" max="498" customWidth="1" bestFit="1" width="3.0" style="1122"/>
    <col min="499" max="499" customWidth="1" bestFit="1" width="3.0" style="1122"/>
    <col min="500" max="500" customWidth="1" bestFit="1" width="3.0" style="1122"/>
    <col min="501" max="501" customWidth="1" bestFit="1" width="3.0" style="1122"/>
    <col min="502" max="502" customWidth="1" bestFit="1" width="3.0" style="1122"/>
    <col min="503" max="503" customWidth="1" bestFit="1" width="3.0" style="1122"/>
    <col min="504" max="504" customWidth="1" bestFit="1" width="3.0" style="1122"/>
    <col min="505" max="505" customWidth="1" bestFit="1" width="3.0" style="1122"/>
    <col min="506" max="506" customWidth="1" bestFit="1" width="3.0" style="1122"/>
    <col min="507" max="507" customWidth="1" bestFit="1" width="3.0" style="1122"/>
    <col min="508" max="508" customWidth="1" bestFit="1" width="3.0" style="1122"/>
    <col min="509" max="509" customWidth="1" bestFit="1" width="3.0" style="1122"/>
    <col min="510" max="510" customWidth="1" bestFit="1" width="3.0" style="1122"/>
    <col min="511" max="511" customWidth="1" bestFit="1" width="3.0" style="1122"/>
    <col min="512" max="512" customWidth="1" bestFit="1" width="3.0" style="1122"/>
    <col min="513" max="513" customWidth="1" bestFit="1" width="3.0" style="1122"/>
    <col min="514" max="514" customWidth="1" bestFit="1" width="3.0" style="1122"/>
    <col min="515" max="515" customWidth="1" bestFit="1" width="3.0" style="1122"/>
    <col min="516" max="516" customWidth="1" bestFit="1" width="3.0" style="1122"/>
    <col min="517" max="517" customWidth="1" bestFit="1" width="3.0" style="1122"/>
    <col min="518" max="518" customWidth="1" bestFit="1" width="3.0" style="1122"/>
    <col min="519" max="519" customWidth="1" bestFit="1" width="3.0" style="1122"/>
    <col min="520" max="520" customWidth="1" bestFit="1" width="3.0" style="1122"/>
    <col min="521" max="521" customWidth="1" bestFit="1" width="3.0" style="1122"/>
    <col min="522" max="522" customWidth="1" bestFit="1" width="3.0" style="1122"/>
    <col min="523" max="523" customWidth="1" bestFit="1" width="3.0" style="1122"/>
    <col min="524" max="524" customWidth="1" bestFit="1" width="3.0" style="1122"/>
    <col min="525" max="525" customWidth="1" bestFit="1" width="3.0" style="1122"/>
    <col min="526" max="526" customWidth="1" bestFit="1" width="3.0" style="1122"/>
    <col min="527" max="527" customWidth="1" bestFit="1" width="3.0" style="1122"/>
    <col min="528" max="528" customWidth="1" bestFit="1" width="3.0" style="1122"/>
    <col min="529" max="529" customWidth="1" bestFit="1" width="3.0" style="1122"/>
    <col min="530" max="530" customWidth="1" bestFit="1" width="3.0" style="1122"/>
    <col min="531" max="531" customWidth="1" bestFit="1" width="3.0" style="1122"/>
    <col min="532" max="532" customWidth="1" bestFit="1" width="3.0" style="1122"/>
    <col min="533" max="533" customWidth="1" bestFit="1" width="3.0" style="1122"/>
    <col min="534" max="534" customWidth="1" bestFit="1" width="3.0" style="1122"/>
    <col min="535" max="535" customWidth="1" bestFit="1" width="3.0" style="1122"/>
    <col min="536" max="536" customWidth="1" bestFit="1" width="3.0" style="1122"/>
    <col min="537" max="537" customWidth="1" bestFit="1" width="3.0" style="1122"/>
    <col min="538" max="538" customWidth="1" bestFit="1" width="3.0" style="1122"/>
    <col min="539" max="539" customWidth="1" bestFit="1" width="3.0" style="1122"/>
    <col min="540" max="540" customWidth="1" bestFit="1" width="3.0" style="1122"/>
    <col min="541" max="541" customWidth="1" bestFit="1" width="3.0" style="1122"/>
    <col min="542" max="542" customWidth="1" bestFit="1" width="3.0" style="1122"/>
    <col min="543" max="543" customWidth="1" bestFit="1" width="3.0" style="1122"/>
    <col min="544" max="544" customWidth="1" bestFit="1" width="3.0" style="1122"/>
    <col min="545" max="545" customWidth="1" bestFit="1" width="3.0" style="1122"/>
    <col min="546" max="546" customWidth="1" bestFit="1" width="3.0" style="1122"/>
    <col min="547" max="547" customWidth="1" bestFit="1" width="3.0" style="1122"/>
    <col min="548" max="548" customWidth="1" bestFit="1" width="3.0" style="1122"/>
    <col min="549" max="549" customWidth="1" bestFit="1" width="3.0" style="1122"/>
    <col min="550" max="550" customWidth="1" bestFit="1" width="3.0" style="1122"/>
    <col min="551" max="551" customWidth="1" bestFit="1" width="3.0" style="1122"/>
    <col min="552" max="552" customWidth="1" bestFit="1" width="3.0" style="1122"/>
    <col min="553" max="553" customWidth="1" bestFit="1" width="3.0" style="1122"/>
    <col min="554" max="554" customWidth="1" bestFit="1" width="3.0" style="1122"/>
    <col min="555" max="555" customWidth="1" bestFit="1" width="3.0" style="1122"/>
    <col min="556" max="556" customWidth="1" bestFit="1" width="3.0" style="1122"/>
    <col min="557" max="557" customWidth="1" bestFit="1" width="3.0" style="1122"/>
    <col min="558" max="558" customWidth="1" bestFit="1" width="3.0" style="1122"/>
    <col min="559" max="559" customWidth="1" bestFit="1" width="3.0" style="1122"/>
    <col min="560" max="560" customWidth="1" bestFit="1" width="3.0" style="1122"/>
    <col min="561" max="561" customWidth="1" bestFit="1" width="3.0" style="1122"/>
    <col min="562" max="562" customWidth="1" bestFit="1" width="3.0" style="1122"/>
    <col min="563" max="563" customWidth="1" bestFit="1" width="3.0" style="1122"/>
    <col min="564" max="564" customWidth="1" bestFit="1" width="3.0" style="1122"/>
    <col min="565" max="565" customWidth="1" bestFit="1" width="3.0" style="1122"/>
    <col min="566" max="566" customWidth="1" bestFit="1" width="3.0" style="1122"/>
    <col min="567" max="567" customWidth="1" bestFit="1" width="3.0" style="1122"/>
    <col min="568" max="568" customWidth="1" bestFit="1" width="3.0" style="1122"/>
    <col min="569" max="569" customWidth="1" bestFit="1" width="3.0" style="1122"/>
    <col min="570" max="570" customWidth="1" bestFit="1" width="3.0" style="1122"/>
    <col min="571" max="571" customWidth="1" bestFit="1" width="3.0" style="1122"/>
    <col min="572" max="572" customWidth="1" bestFit="1" width="3.0" style="1122"/>
    <col min="573" max="573" customWidth="1" bestFit="1" width="3.0" style="1122"/>
    <col min="574" max="574" customWidth="1" bestFit="1" width="3.0" style="1122"/>
    <col min="575" max="575" customWidth="1" bestFit="1" width="3.0" style="1122"/>
    <col min="576" max="576" customWidth="1" bestFit="1" width="3.0" style="1122"/>
    <col min="577" max="577" customWidth="1" bestFit="1" width="3.0" style="1122"/>
    <col min="578" max="578" customWidth="1" bestFit="1" width="3.0" style="1122"/>
    <col min="579" max="579" customWidth="1" bestFit="1" width="3.0" style="1122"/>
    <col min="580" max="580" customWidth="1" bestFit="1" width="3.0" style="1122"/>
    <col min="581" max="581" customWidth="1" bestFit="1" width="3.0" style="1122"/>
    <col min="582" max="582" customWidth="1" bestFit="1" width="3.0" style="1122"/>
    <col min="583" max="583" customWidth="1" bestFit="1" width="3.0" style="1122"/>
    <col min="584" max="584" customWidth="1" bestFit="1" width="3.0" style="1122"/>
    <col min="585" max="585" customWidth="1" bestFit="1" width="3.0" style="1122"/>
    <col min="586" max="586" customWidth="1" bestFit="1" width="3.0" style="1122"/>
    <col min="587" max="587" customWidth="1" bestFit="1" width="3.0" style="1122"/>
    <col min="588" max="588" customWidth="1" bestFit="1" width="3.0" style="1122"/>
    <col min="589" max="589" customWidth="1" bestFit="1" width="3.0" style="1122"/>
    <col min="590" max="590" customWidth="1" bestFit="1" width="3.0" style="1122"/>
    <col min="591" max="591" customWidth="1" bestFit="1" width="3.0" style="1122"/>
    <col min="592" max="592" customWidth="1" bestFit="1" width="3.0" style="1122"/>
    <col min="593" max="593" customWidth="1" bestFit="1" width="3.0" style="1122"/>
    <col min="594" max="594" customWidth="1" bestFit="1" width="3.0" style="1122"/>
    <col min="595" max="595" customWidth="1" bestFit="1" width="3.0" style="1122"/>
    <col min="596" max="596" customWidth="1" bestFit="1" width="3.0" style="1122"/>
    <col min="597" max="597" customWidth="1" bestFit="1" width="3.0" style="1122"/>
    <col min="598" max="598" customWidth="1" bestFit="1" width="3.0" style="1122"/>
    <col min="599" max="599" customWidth="1" bestFit="1" width="3.0" style="1122"/>
    <col min="600" max="600" customWidth="1" bestFit="1" width="3.0" style="1122"/>
    <col min="601" max="601" customWidth="1" bestFit="1" width="3.0" style="1122"/>
    <col min="602" max="602" customWidth="1" bestFit="1" width="3.0" style="1122"/>
    <col min="603" max="603" customWidth="1" bestFit="1" width="3.0" style="1122"/>
    <col min="604" max="604" customWidth="1" bestFit="1" width="3.0" style="1122"/>
    <col min="605" max="605" customWidth="1" bestFit="1" width="3.0" style="1122"/>
    <col min="606" max="606" customWidth="1" bestFit="1" width="3.0" style="1122"/>
    <col min="607" max="607" customWidth="1" bestFit="1" width="3.0" style="1122"/>
    <col min="608" max="608" customWidth="1" bestFit="1" width="3.0" style="1122"/>
    <col min="609" max="609" customWidth="1" bestFit="1" width="3.0" style="1122"/>
    <col min="610" max="610" customWidth="1" bestFit="1" width="3.0" style="1122"/>
    <col min="611" max="611" customWidth="1" bestFit="1" width="3.0" style="1122"/>
    <col min="612" max="612" customWidth="1" bestFit="1" width="3.0" style="1122"/>
    <col min="613" max="613" customWidth="1" bestFit="1" width="3.0" style="1122"/>
    <col min="614" max="614" customWidth="1" bestFit="1" width="3.0" style="1122"/>
    <col min="615" max="615" customWidth="1" bestFit="1" width="3.0" style="1122"/>
    <col min="616" max="616" customWidth="1" bestFit="1" width="3.0" style="1122"/>
    <col min="617" max="617" customWidth="1" bestFit="1" width="3.0" style="1122"/>
    <col min="618" max="618" customWidth="1" bestFit="1" width="3.0" style="1122"/>
    <col min="619" max="619" customWidth="1" bestFit="1" width="3.0" style="1122"/>
    <col min="620" max="620" customWidth="1" bestFit="1" width="3.0" style="1122"/>
    <col min="621" max="621" customWidth="1" bestFit="1" width="3.0" style="1122"/>
    <col min="622" max="622" customWidth="1" bestFit="1" width="3.0" style="1122"/>
    <col min="623" max="623" customWidth="1" bestFit="1" width="3.0" style="1122"/>
    <col min="624" max="624" customWidth="1" bestFit="1" width="3.0" style="1122"/>
    <col min="625" max="625" customWidth="1" bestFit="1" width="3.0" style="1122"/>
    <col min="626" max="626" customWidth="1" bestFit="1" width="3.0" style="1122"/>
    <col min="627" max="627" customWidth="1" bestFit="1" width="3.0" style="1122"/>
    <col min="628" max="628" customWidth="1" bestFit="1" width="3.0" style="1122"/>
    <col min="629" max="629" customWidth="1" bestFit="1" width="3.0" style="1122"/>
    <col min="630" max="630" customWidth="1" bestFit="1" width="3.0" style="1122"/>
    <col min="631" max="631" customWidth="1" bestFit="1" width="3.0" style="1122"/>
    <col min="632" max="632" customWidth="1" bestFit="1" width="3.0" style="1122"/>
    <col min="633" max="633" customWidth="1" bestFit="1" width="3.0" style="1122"/>
    <col min="634" max="634" customWidth="1" bestFit="1" width="3.0" style="1122"/>
    <col min="635" max="635" customWidth="1" bestFit="1" width="3.0" style="1122"/>
    <col min="636" max="636" customWidth="1" bestFit="1" width="3.0" style="1122"/>
    <col min="637" max="637" customWidth="1" bestFit="1" width="3.0" style="1122"/>
    <col min="638" max="638" customWidth="1" bestFit="1" width="3.0" style="1122"/>
    <col min="639" max="639" customWidth="1" bestFit="1" width="3.0" style="1122"/>
    <col min="640" max="640" customWidth="1" bestFit="1" width="3.0" style="1122"/>
    <col min="641" max="641" customWidth="1" bestFit="1" width="3.0" style="1122"/>
    <col min="642" max="642" customWidth="1" bestFit="1" width="3.0" style="1122"/>
    <col min="643" max="643" customWidth="1" bestFit="1" width="3.0" style="1122"/>
    <col min="644" max="644" customWidth="1" bestFit="1" width="3.0" style="1122"/>
    <col min="645" max="645" customWidth="1" bestFit="1" width="3.0" style="1122"/>
    <col min="646" max="646" customWidth="1" bestFit="1" width="3.0" style="1122"/>
    <col min="647" max="647" customWidth="1" bestFit="1" width="3.0" style="1122"/>
    <col min="648" max="648" customWidth="1" bestFit="1" width="3.0" style="1122"/>
    <col min="649" max="649" customWidth="1" bestFit="1" width="3.0" style="1122"/>
    <col min="650" max="650" customWidth="1" bestFit="1" width="3.0" style="1122"/>
    <col min="651" max="651" customWidth="1" bestFit="1" width="3.0" style="1122"/>
    <col min="652" max="652" customWidth="1" bestFit="1" width="3.0" style="1122"/>
    <col min="653" max="653" customWidth="1" bestFit="1" width="3.0" style="1122"/>
    <col min="654" max="654" customWidth="1" bestFit="1" width="3.0" style="1122"/>
    <col min="655" max="655" customWidth="1" bestFit="1" width="3.0" style="1122"/>
    <col min="656" max="656" customWidth="1" bestFit="1" width="3.0" style="1122"/>
    <col min="657" max="657" customWidth="1" bestFit="1" width="3.0" style="1122"/>
    <col min="658" max="658" customWidth="1" bestFit="1" width="3.0" style="1122"/>
    <col min="659" max="659" customWidth="1" bestFit="1" width="3.0" style="1122"/>
    <col min="660" max="660" customWidth="1" bestFit="1" width="3.0" style="1122"/>
    <col min="661" max="661" customWidth="1" bestFit="1" width="3.0" style="1122"/>
    <col min="662" max="662" customWidth="1" bestFit="1" width="3.0" style="1122"/>
    <col min="663" max="663" customWidth="1" bestFit="1" width="3.0" style="1122"/>
    <col min="664" max="664" customWidth="1" bestFit="1" width="3.0" style="1122"/>
    <col min="665" max="665" customWidth="1" bestFit="1" width="3.0" style="1122"/>
    <col min="666" max="666" customWidth="1" bestFit="1" width="3.0" style="1122"/>
    <col min="667" max="667" customWidth="1" bestFit="1" width="3.0" style="1122"/>
    <col min="668" max="668" customWidth="1" bestFit="1" width="3.0" style="1122"/>
    <col min="669" max="669" customWidth="1" bestFit="1" width="3.0" style="1122"/>
    <col min="670" max="670" customWidth="1" bestFit="1" width="3.0" style="1122"/>
    <col min="671" max="671" customWidth="1" bestFit="1" width="3.0" style="1122"/>
    <col min="672" max="672" customWidth="1" bestFit="1" width="3.0" style="1122"/>
    <col min="673" max="673" customWidth="1" bestFit="1" width="3.0" style="1122"/>
    <col min="674" max="674" customWidth="1" bestFit="1" width="3.0" style="1122"/>
    <col min="675" max="675" customWidth="1" bestFit="1" width="3.0" style="1122"/>
    <col min="676" max="676" customWidth="1" bestFit="1" width="3.0" style="1122"/>
    <col min="677" max="677" customWidth="1" bestFit="1" width="3.0" style="1122"/>
    <col min="678" max="678" customWidth="1" bestFit="1" width="3.0" style="1122"/>
    <col min="679" max="679" customWidth="1" bestFit="1" width="3.0" style="1122"/>
    <col min="680" max="680" customWidth="1" bestFit="1" width="3.0" style="1122"/>
    <col min="681" max="681" customWidth="1" bestFit="1" width="3.0" style="1122"/>
    <col min="682" max="682" customWidth="1" bestFit="1" width="3.0" style="1122"/>
    <col min="683" max="683" customWidth="1" bestFit="1" width="3.0" style="1122"/>
    <col min="684" max="684" customWidth="1" bestFit="1" width="3.0" style="1122"/>
    <col min="685" max="685" customWidth="1" bestFit="1" width="3.0" style="1122"/>
    <col min="686" max="686" customWidth="1" bestFit="1" width="3.0" style="1122"/>
    <col min="687" max="687" customWidth="1" bestFit="1" width="3.0" style="1122"/>
    <col min="688" max="688" customWidth="1" bestFit="1" width="3.0" style="1122"/>
    <col min="689" max="689" customWidth="1" bestFit="1" width="3.0" style="1122"/>
    <col min="690" max="690" customWidth="1" bestFit="1" width="3.0" style="1122"/>
    <col min="691" max="691" customWidth="1" bestFit="1" width="3.0" style="1122"/>
    <col min="692" max="692" customWidth="1" bestFit="1" width="3.0" style="1122"/>
    <col min="693" max="693" customWidth="1" bestFit="1" width="3.0" style="1122"/>
    <col min="694" max="694" customWidth="1" bestFit="1" width="3.0" style="1122"/>
    <col min="695" max="695" customWidth="1" bestFit="1" width="3.0" style="1122"/>
    <col min="696" max="696" customWidth="1" bestFit="1" width="3.0" style="1122"/>
    <col min="697" max="697" customWidth="1" bestFit="1" width="3.0" style="1122"/>
    <col min="698" max="698" customWidth="1" bestFit="1" width="3.0" style="1122"/>
    <col min="699" max="699" customWidth="1" bestFit="1" width="3.0" style="1122"/>
    <col min="700" max="700" customWidth="1" bestFit="1" width="3.0" style="1122"/>
    <col min="701" max="701" customWidth="1" bestFit="1" width="3.0" style="1122"/>
    <col min="702" max="702" customWidth="1" bestFit="1" width="3.0" style="1122"/>
    <col min="703" max="703" customWidth="1" bestFit="1" width="3.0" style="1122"/>
    <col min="704" max="704" customWidth="1" bestFit="1" width="3.0" style="1122"/>
    <col min="705" max="705" customWidth="1" bestFit="1" width="3.0" style="1122"/>
    <col min="706" max="706" customWidth="1" bestFit="1" width="3.0" style="1122"/>
    <col min="707" max="707" customWidth="1" bestFit="1" width="3.0" style="1122"/>
    <col min="708" max="708" customWidth="1" bestFit="1" width="3.0" style="1122"/>
    <col min="709" max="709" customWidth="1" bestFit="1" width="3.0" style="1122"/>
    <col min="710" max="710" customWidth="1" bestFit="1" width="3.0" style="1122"/>
    <col min="711" max="711" customWidth="1" bestFit="1" width="3.0" style="1122"/>
    <col min="712" max="712" customWidth="1" bestFit="1" width="3.0" style="1122"/>
    <col min="713" max="713" customWidth="1" bestFit="1" width="3.0" style="1122"/>
    <col min="714" max="714" customWidth="1" bestFit="1" width="3.0" style="1122"/>
    <col min="715" max="715" customWidth="1" bestFit="1" width="3.0" style="1122"/>
    <col min="716" max="716" customWidth="1" bestFit="1" width="3.0" style="1122"/>
    <col min="717" max="717" customWidth="1" bestFit="1" width="3.0" style="1122"/>
    <col min="718" max="718" customWidth="1" bestFit="1" width="3.0" style="1122"/>
    <col min="719" max="719" customWidth="1" bestFit="1" width="3.0" style="1122"/>
    <col min="720" max="720" customWidth="1" bestFit="1" width="3.0" style="1122"/>
    <col min="721" max="721" customWidth="1" bestFit="1" width="3.0" style="1122"/>
    <col min="722" max="722" customWidth="1" bestFit="1" width="3.0" style="1122"/>
    <col min="723" max="723" customWidth="1" bestFit="1" width="3.0" style="1122"/>
    <col min="724" max="724" customWidth="1" bestFit="1" width="3.0" style="1122"/>
    <col min="725" max="725" customWidth="1" bestFit="1" width="3.0" style="1122"/>
    <col min="726" max="726" customWidth="1" bestFit="1" width="3.0" style="1122"/>
    <col min="727" max="727" customWidth="1" bestFit="1" width="3.0" style="1122"/>
    <col min="728" max="728" customWidth="1" bestFit="1" width="3.0" style="1122"/>
    <col min="729" max="729" customWidth="1" bestFit="1" width="3.0" style="1122"/>
    <col min="730" max="730" customWidth="1" bestFit="1" width="3.0" style="1122"/>
    <col min="731" max="731" customWidth="1" bestFit="1" width="3.0" style="1122"/>
    <col min="732" max="732" customWidth="1" bestFit="1" width="3.0" style="1122"/>
    <col min="733" max="733" customWidth="1" bestFit="1" width="3.0" style="1122"/>
    <col min="734" max="734" customWidth="1" bestFit="1" width="3.0" style="1122"/>
    <col min="735" max="735" customWidth="1" bestFit="1" width="3.0" style="1122"/>
    <col min="736" max="736" customWidth="1" bestFit="1" width="3.0" style="1122"/>
    <col min="737" max="737" customWidth="1" bestFit="1" width="3.0" style="1122"/>
    <col min="738" max="738" customWidth="1" bestFit="1" width="3.0" style="1122"/>
    <col min="739" max="739" customWidth="1" bestFit="1" width="3.0" style="1122"/>
    <col min="740" max="740" customWidth="1" bestFit="1" width="3.0" style="1122"/>
    <col min="741" max="741" customWidth="1" bestFit="1" width="3.0" style="1122"/>
    <col min="742" max="742" customWidth="1" bestFit="1" width="3.0" style="1122"/>
    <col min="743" max="743" customWidth="1" bestFit="1" width="3.0" style="1122"/>
    <col min="744" max="744" customWidth="1" bestFit="1" width="3.0" style="1122"/>
    <col min="745" max="745" customWidth="1" bestFit="1" width="3.0" style="1122"/>
    <col min="746" max="746" customWidth="1" bestFit="1" width="3.0" style="1122"/>
    <col min="747" max="747" customWidth="1" bestFit="1" width="3.0" style="1122"/>
    <col min="748" max="748" customWidth="1" bestFit="1" width="3.0" style="1122"/>
    <col min="749" max="749" customWidth="1" bestFit="1" width="3.0" style="1122"/>
    <col min="750" max="750" customWidth="1" bestFit="1" width="3.0" style="1122"/>
    <col min="751" max="751" customWidth="1" bestFit="1" width="3.0" style="1122"/>
    <col min="752" max="752" customWidth="1" bestFit="1" width="3.0" style="1122"/>
    <col min="753" max="753" customWidth="1" bestFit="1" width="3.0" style="1122"/>
    <col min="754" max="754" customWidth="1" bestFit="1" width="3.0" style="1122"/>
    <col min="755" max="755" customWidth="1" bestFit="1" width="3.0" style="1122"/>
    <col min="756" max="756" customWidth="1" bestFit="1" width="3.0" style="1122"/>
    <col min="757" max="757" customWidth="1" bestFit="1" width="3.0" style="1122"/>
    <col min="758" max="758" customWidth="1" bestFit="1" width="3.0" style="1122"/>
    <col min="759" max="759" customWidth="1" bestFit="1" width="3.0" style="1122"/>
    <col min="760" max="760" customWidth="1" bestFit="1" width="3.0" style="1122"/>
    <col min="761" max="761" customWidth="1" bestFit="1" width="3.0" style="1122"/>
    <col min="762" max="762" customWidth="1" bestFit="1" width="3.0" style="1122"/>
    <col min="763" max="763" customWidth="1" bestFit="1" width="3.0" style="1122"/>
    <col min="764" max="764" customWidth="1" bestFit="1" width="3.0" style="1122"/>
    <col min="765" max="765" customWidth="1" bestFit="1" width="3.0" style="1122"/>
    <col min="766" max="766" customWidth="1" bestFit="1" width="3.0" style="1122"/>
    <col min="767" max="767" customWidth="1" bestFit="1" width="3.0" style="1122"/>
    <col min="768" max="768" customWidth="1" bestFit="1" width="3.0" style="1122"/>
    <col min="769" max="769" customWidth="1" bestFit="1" width="3.0" style="1122"/>
    <col min="770" max="770" customWidth="1" bestFit="1" width="3.0" style="1122"/>
    <col min="771" max="771" customWidth="1" bestFit="1" width="3.0" style="1122"/>
    <col min="772" max="772" customWidth="1" bestFit="1" width="3.0" style="1122"/>
    <col min="773" max="773" customWidth="1" bestFit="1" width="3.0" style="1122"/>
    <col min="774" max="774" customWidth="1" bestFit="1" width="3.0" style="1122"/>
    <col min="775" max="775" customWidth="1" bestFit="1" width="3.0" style="1122"/>
    <col min="776" max="776" customWidth="1" bestFit="1" width="3.0" style="1122"/>
    <col min="777" max="777" customWidth="1" bestFit="1" width="3.0" style="1122"/>
    <col min="778" max="778" customWidth="1" bestFit="1" width="3.0" style="1122"/>
    <col min="779" max="779" customWidth="1" bestFit="1" width="3.0" style="1122"/>
    <col min="780" max="780" customWidth="1" bestFit="1" width="3.0" style="1122"/>
    <col min="781" max="781" customWidth="1" bestFit="1" width="3.0" style="1122"/>
    <col min="782" max="782" customWidth="1" bestFit="1" width="3.0" style="1122"/>
    <col min="783" max="783" customWidth="1" bestFit="1" width="3.0" style="1122"/>
    <col min="784" max="784" customWidth="1" bestFit="1" width="3.0" style="1122"/>
    <col min="785" max="785" customWidth="1" bestFit="1" width="3.0" style="1122"/>
    <col min="786" max="786" customWidth="1" bestFit="1" width="3.0" style="1122"/>
    <col min="787" max="787" customWidth="1" bestFit="1" width="3.0" style="1122"/>
    <col min="788" max="788" customWidth="1" bestFit="1" width="3.0" style="1122"/>
    <col min="789" max="789" customWidth="1" bestFit="1" width="3.0" style="1122"/>
    <col min="790" max="790" customWidth="1" bestFit="1" width="3.0" style="1122"/>
    <col min="791" max="791" customWidth="1" bestFit="1" width="3.0" style="1122"/>
    <col min="792" max="792" customWidth="1" bestFit="1" width="3.0" style="1122"/>
    <col min="793" max="793" customWidth="1" bestFit="1" width="3.0" style="1122"/>
    <col min="794" max="794" customWidth="1" bestFit="1" width="3.0" style="1122"/>
    <col min="795" max="795" customWidth="1" bestFit="1" width="3.0" style="1122"/>
    <col min="796" max="796" customWidth="1" bestFit="1" width="3.0" style="1122"/>
    <col min="797" max="797" customWidth="1" bestFit="1" width="3.0" style="1122"/>
    <col min="798" max="798" customWidth="1" bestFit="1" width="3.0" style="1122"/>
    <col min="799" max="799" customWidth="1" bestFit="1" width="3.0" style="1122"/>
    <col min="800" max="800" customWidth="1" bestFit="1" width="3.0" style="1122"/>
    <col min="801" max="801" customWidth="1" bestFit="1" width="3.0" style="1122"/>
    <col min="802" max="802" customWidth="1" bestFit="1" width="3.0" style="1122"/>
    <col min="803" max="803" customWidth="1" bestFit="1" width="3.0" style="1122"/>
    <col min="804" max="804" customWidth="1" bestFit="1" width="3.0" style="1122"/>
    <col min="805" max="805" customWidth="1" bestFit="1" width="3.0" style="1122"/>
    <col min="806" max="806" customWidth="1" bestFit="1" width="3.0" style="1122"/>
    <col min="807" max="807" customWidth="1" bestFit="1" width="3.0" style="1122"/>
    <col min="808" max="808" customWidth="1" bestFit="1" width="3.0" style="1122"/>
    <col min="809" max="809" customWidth="1" bestFit="1" width="3.0" style="1122"/>
    <col min="810" max="810" customWidth="1" bestFit="1" width="3.0" style="1122"/>
    <col min="811" max="811" customWidth="1" bestFit="1" width="3.0" style="1122"/>
    <col min="812" max="812" customWidth="1" bestFit="1" width="3.0" style="1122"/>
    <col min="813" max="813" customWidth="1" bestFit="1" width="3.0" style="1122"/>
    <col min="814" max="814" customWidth="1" bestFit="1" width="3.0" style="1122"/>
    <col min="815" max="815" customWidth="1" bestFit="1" width="3.0" style="1122"/>
    <col min="816" max="816" customWidth="1" bestFit="1" width="3.0" style="1122"/>
    <col min="817" max="817" customWidth="1" bestFit="1" width="3.0" style="1122"/>
    <col min="818" max="818" customWidth="1" bestFit="1" width="3.0" style="1122"/>
    <col min="819" max="819" customWidth="1" bestFit="1" width="3.0" style="1122"/>
    <col min="820" max="820" customWidth="1" bestFit="1" width="3.0" style="1122"/>
    <col min="821" max="821" customWidth="1" bestFit="1" width="3.0" style="1122"/>
    <col min="822" max="822" customWidth="1" bestFit="1" width="3.0" style="1122"/>
    <col min="823" max="823" customWidth="1" bestFit="1" width="3.0" style="1122"/>
    <col min="824" max="824" customWidth="1" bestFit="1" width="3.0" style="1122"/>
    <col min="825" max="825" customWidth="1" bestFit="1" width="3.0" style="1122"/>
    <col min="826" max="826" customWidth="1" bestFit="1" width="3.0" style="1122"/>
    <col min="827" max="827" customWidth="1" bestFit="1" width="3.0" style="1122"/>
    <col min="828" max="828" customWidth="1" bestFit="1" width="3.0" style="1122"/>
    <col min="829" max="829" customWidth="1" bestFit="1" width="3.0" style="1122"/>
    <col min="830" max="830" customWidth="1" bestFit="1" width="3.0" style="1122"/>
    <col min="831" max="831" customWidth="1" bestFit="1" width="3.0" style="1122"/>
    <col min="832" max="832" customWidth="1" bestFit="1" width="3.0" style="1122"/>
    <col min="833" max="833" customWidth="1" bestFit="1" width="3.0" style="1122"/>
    <col min="834" max="834" customWidth="1" bestFit="1" width="3.0" style="1122"/>
    <col min="835" max="835" customWidth="1" bestFit="1" width="3.0" style="1122"/>
    <col min="836" max="836" customWidth="1" bestFit="1" width="3.0" style="1122"/>
    <col min="837" max="837" customWidth="1" bestFit="1" width="3.0" style="1122"/>
    <col min="838" max="838" customWidth="1" bestFit="1" width="3.0" style="1122"/>
    <col min="839" max="839" customWidth="1" bestFit="1" width="3.0" style="1122"/>
    <col min="840" max="840" customWidth="1" bestFit="1" width="3.0" style="1122"/>
    <col min="841" max="841" customWidth="1" bestFit="1" width="3.0" style="1122"/>
    <col min="842" max="842" customWidth="1" bestFit="1" width="3.0" style="1122"/>
    <col min="843" max="843" customWidth="1" bestFit="1" width="3.0" style="1122"/>
    <col min="844" max="844" customWidth="1" bestFit="1" width="3.0" style="1122"/>
    <col min="845" max="845" customWidth="1" bestFit="1" width="3.0" style="1122"/>
    <col min="846" max="846" customWidth="1" bestFit="1" width="3.0" style="1122"/>
    <col min="847" max="847" customWidth="1" bestFit="1" width="3.0" style="1122"/>
    <col min="848" max="848" customWidth="1" bestFit="1" width="3.0" style="1122"/>
    <col min="849" max="849" customWidth="1" bestFit="1" width="3.0" style="1122"/>
    <col min="850" max="850" customWidth="1" bestFit="1" width="3.0" style="1122"/>
    <col min="851" max="851" customWidth="1" bestFit="1" width="3.0" style="1122"/>
    <col min="852" max="852" customWidth="1" bestFit="1" width="3.0" style="1122"/>
    <col min="853" max="853" customWidth="1" bestFit="1" width="3.0" style="1122"/>
    <col min="854" max="854" customWidth="1" bestFit="1" width="3.0" style="1122"/>
    <col min="855" max="855" customWidth="1" bestFit="1" width="3.0" style="1122"/>
    <col min="856" max="856" customWidth="1" bestFit="1" width="3.0" style="1122"/>
    <col min="857" max="857" customWidth="1" bestFit="1" width="3.0" style="1122"/>
    <col min="858" max="858" customWidth="1" bestFit="1" width="3.0" style="1122"/>
    <col min="859" max="859" customWidth="1" bestFit="1" width="3.0" style="1122"/>
    <col min="860" max="860" customWidth="1" bestFit="1" width="3.0" style="1122"/>
    <col min="861" max="861" customWidth="1" bestFit="1" width="3.0" style="1122"/>
    <col min="862" max="862" customWidth="1" bestFit="1" width="3.0" style="1122"/>
    <col min="863" max="863" customWidth="1" bestFit="1" width="3.0" style="1122"/>
    <col min="864" max="864" customWidth="1" bestFit="1" width="3.0" style="1122"/>
    <col min="865" max="865" customWidth="1" bestFit="1" width="3.0" style="1122"/>
    <col min="866" max="866" customWidth="1" bestFit="1" width="3.0" style="1122"/>
    <col min="867" max="867" customWidth="1" bestFit="1" width="3.0" style="1122"/>
    <col min="868" max="868" customWidth="1" bestFit="1" width="3.0" style="1122"/>
    <col min="869" max="869" customWidth="1" bestFit="1" width="3.0" style="1122"/>
    <col min="870" max="870" customWidth="1" bestFit="1" width="3.0" style="1122"/>
    <col min="871" max="871" customWidth="1" bestFit="1" width="3.0" style="1122"/>
    <col min="872" max="872" customWidth="1" bestFit="1" width="3.0" style="1122"/>
    <col min="873" max="873" customWidth="1" bestFit="1" width="3.0" style="1122"/>
    <col min="874" max="874" customWidth="1" bestFit="1" width="3.0" style="1122"/>
    <col min="875" max="875" customWidth="1" bestFit="1" width="3.0" style="1122"/>
    <col min="876" max="876" customWidth="1" bestFit="1" width="3.0" style="1122"/>
    <col min="877" max="877" customWidth="1" bestFit="1" width="3.0" style="1122"/>
    <col min="878" max="878" customWidth="1" bestFit="1" width="3.0" style="1122"/>
    <col min="879" max="879" customWidth="1" bestFit="1" width="3.0" style="1122"/>
    <col min="880" max="880" customWidth="1" bestFit="1" width="3.0" style="1122"/>
    <col min="881" max="881" customWidth="1" bestFit="1" width="3.0" style="1122"/>
    <col min="882" max="882" customWidth="1" bestFit="1" width="3.0" style="1122"/>
    <col min="883" max="883" customWidth="1" bestFit="1" width="3.0" style="1122"/>
    <col min="884" max="884" customWidth="1" bestFit="1" width="3.0" style="1122"/>
    <col min="885" max="885" customWidth="1" bestFit="1" width="3.0" style="1122"/>
    <col min="886" max="886" customWidth="1" bestFit="1" width="3.0" style="1122"/>
    <col min="887" max="887" customWidth="1" bestFit="1" width="3.0" style="1122"/>
    <col min="888" max="888" customWidth="1" bestFit="1" width="3.0" style="1122"/>
    <col min="889" max="889" customWidth="1" bestFit="1" width="3.0" style="1122"/>
    <col min="890" max="890" customWidth="1" bestFit="1" width="3.0" style="1122"/>
    <col min="891" max="891" customWidth="1" bestFit="1" width="3.0" style="1122"/>
    <col min="892" max="892" customWidth="1" bestFit="1" width="3.0" style="1122"/>
    <col min="893" max="893" customWidth="1" bestFit="1" width="3.0" style="1122"/>
    <col min="894" max="894" customWidth="1" bestFit="1" width="3.0" style="1122"/>
    <col min="895" max="895" customWidth="1" bestFit="1" width="3.0" style="1122"/>
    <col min="896" max="896" customWidth="1" bestFit="1" width="3.0" style="1122"/>
    <col min="897" max="897" customWidth="1" bestFit="1" width="3.0" style="1122"/>
    <col min="898" max="898" customWidth="1" bestFit="1" width="3.0" style="1122"/>
    <col min="899" max="899" customWidth="1" bestFit="1" width="3.0" style="1122"/>
    <col min="900" max="900" customWidth="1" bestFit="1" width="3.0" style="1122"/>
    <col min="901" max="901" customWidth="1" bestFit="1" width="3.0" style="1122"/>
    <col min="902" max="902" customWidth="1" bestFit="1" width="3.0" style="1122"/>
    <col min="903" max="903" customWidth="1" bestFit="1" width="3.0" style="1122"/>
    <col min="904" max="904" customWidth="1" bestFit="1" width="3.0" style="1122"/>
    <col min="905" max="905" customWidth="1" bestFit="1" width="3.0" style="1122"/>
    <col min="906" max="906" customWidth="1" bestFit="1" width="3.0" style="1122"/>
    <col min="907" max="907" customWidth="1" bestFit="1" width="3.0" style="1122"/>
    <col min="908" max="908" customWidth="1" bestFit="1" width="3.0" style="1122"/>
    <col min="909" max="909" customWidth="1" bestFit="1" width="3.0" style="1122"/>
    <col min="910" max="910" customWidth="1" bestFit="1" width="3.0" style="1122"/>
    <col min="911" max="911" customWidth="1" bestFit="1" width="3.0" style="1122"/>
    <col min="912" max="912" customWidth="1" bestFit="1" width="3.0" style="1122"/>
    <col min="913" max="913" customWidth="1" bestFit="1" width="3.0" style="1122"/>
    <col min="914" max="914" customWidth="1" bestFit="1" width="3.0" style="1122"/>
    <col min="915" max="915" customWidth="1" bestFit="1" width="3.0" style="1122"/>
    <col min="916" max="916" customWidth="1" bestFit="1" width="3.0" style="1122"/>
    <col min="917" max="917" customWidth="1" bestFit="1" width="3.0" style="1122"/>
    <col min="918" max="918" customWidth="1" bestFit="1" width="3.0" style="1122"/>
    <col min="919" max="919" customWidth="1" bestFit="1" width="3.0" style="1122"/>
    <col min="920" max="920" customWidth="1" bestFit="1" width="3.0" style="1122"/>
    <col min="921" max="921" customWidth="1" bestFit="1" width="3.0" style="1122"/>
    <col min="922" max="922" customWidth="1" bestFit="1" width="3.0" style="1122"/>
    <col min="923" max="923" customWidth="1" bestFit="1" width="3.0" style="1122"/>
    <col min="924" max="924" customWidth="1" bestFit="1" width="3.0" style="1122"/>
    <col min="925" max="925" customWidth="1" bestFit="1" width="3.0" style="1122"/>
    <col min="926" max="926" customWidth="1" bestFit="1" width="3.0" style="1122"/>
    <col min="927" max="927" customWidth="1" bestFit="1" width="3.0" style="1122"/>
    <col min="928" max="928" customWidth="1" bestFit="1" width="3.0" style="1122"/>
    <col min="929" max="929" customWidth="1" bestFit="1" width="3.0" style="1122"/>
    <col min="930" max="930" customWidth="1" bestFit="1" width="3.0" style="1122"/>
    <col min="931" max="931" customWidth="1" bestFit="1" width="3.0" style="1122"/>
    <col min="932" max="932" customWidth="1" bestFit="1" width="3.0" style="1122"/>
    <col min="933" max="933" customWidth="1" bestFit="1" width="3.0" style="1122"/>
    <col min="934" max="934" customWidth="1" bestFit="1" width="3.0" style="1122"/>
    <col min="935" max="935" customWidth="1" bestFit="1" width="3.0" style="1122"/>
    <col min="936" max="936" customWidth="1" bestFit="1" width="3.0" style="1122"/>
    <col min="937" max="937" customWidth="1" bestFit="1" width="3.0" style="1122"/>
    <col min="938" max="938" customWidth="1" bestFit="1" width="3.0" style="1122"/>
    <col min="939" max="939" customWidth="1" bestFit="1" width="3.0" style="1122"/>
    <col min="940" max="940" customWidth="1" bestFit="1" width="3.0" style="1122"/>
    <col min="941" max="941" customWidth="1" bestFit="1" width="3.0" style="1122"/>
    <col min="942" max="942" customWidth="1" bestFit="1" width="3.0" style="1122"/>
    <col min="943" max="943" customWidth="1" bestFit="1" width="3.0" style="1122"/>
    <col min="944" max="944" customWidth="1" bestFit="1" width="3.0" style="1122"/>
    <col min="945" max="945" customWidth="1" bestFit="1" width="3.0" style="1122"/>
    <col min="946" max="946" customWidth="1" bestFit="1" width="3.0" style="1122"/>
    <col min="947" max="947" customWidth="1" bestFit="1" width="3.0" style="1122"/>
    <col min="948" max="948" customWidth="1" bestFit="1" width="3.0" style="1122"/>
    <col min="949" max="949" customWidth="1" bestFit="1" width="3.0" style="1122"/>
    <col min="950" max="950" customWidth="1" bestFit="1" width="3.0" style="1122"/>
    <col min="951" max="951" customWidth="1" bestFit="1" width="3.0" style="1122"/>
    <col min="952" max="952" customWidth="1" bestFit="1" width="3.0" style="1122"/>
    <col min="953" max="953" customWidth="1" bestFit="1" width="3.0" style="1122"/>
    <col min="954" max="954" customWidth="1" bestFit="1" width="3.0" style="1122"/>
    <col min="955" max="955" customWidth="1" bestFit="1" width="3.0" style="1122"/>
    <col min="956" max="956" customWidth="1" bestFit="1" width="3.0" style="1122"/>
    <col min="957" max="957" customWidth="1" bestFit="1" width="3.0" style="1122"/>
    <col min="958" max="958" customWidth="1" bestFit="1" width="3.0" style="1122"/>
    <col min="959" max="959" customWidth="1" bestFit="1" width="3.0" style="1122"/>
    <col min="960" max="960" customWidth="1" bestFit="1" width="3.0" style="1122"/>
    <col min="961" max="961" customWidth="1" bestFit="1" width="3.0" style="1122"/>
    <col min="962" max="962" customWidth="1" bestFit="1" width="3.0" style="1122"/>
    <col min="963" max="963" customWidth="1" bestFit="1" width="3.0" style="1122"/>
    <col min="964" max="964" customWidth="1" bestFit="1" width="3.0" style="1122"/>
    <col min="965" max="965" customWidth="1" bestFit="1" width="3.0" style="1122"/>
    <col min="966" max="966" customWidth="1" bestFit="1" width="3.0" style="1122"/>
    <col min="967" max="967" customWidth="1" bestFit="1" width="3.0" style="1122"/>
    <col min="968" max="968" customWidth="1" bestFit="1" width="3.0" style="1122"/>
    <col min="969" max="969" customWidth="1" bestFit="1" width="3.0" style="1122"/>
    <col min="970" max="970" customWidth="1" bestFit="1" width="3.0" style="1122"/>
    <col min="971" max="971" customWidth="1" bestFit="1" width="3.0" style="1122"/>
    <col min="972" max="972" customWidth="1" bestFit="1" width="3.0" style="1122"/>
    <col min="973" max="973" customWidth="1" bestFit="1" width="3.0" style="1122"/>
    <col min="974" max="974" customWidth="1" bestFit="1" width="3.0" style="1122"/>
    <col min="975" max="975" customWidth="1" bestFit="1" width="3.0" style="1122"/>
    <col min="976" max="976" customWidth="1" bestFit="1" width="3.0" style="1122"/>
    <col min="977" max="977" customWidth="1" bestFit="1" width="3.0" style="1122"/>
    <col min="978" max="978" customWidth="1" bestFit="1" width="3.0" style="1122"/>
    <col min="979" max="979" customWidth="1" bestFit="1" width="3.0" style="1122"/>
    <col min="980" max="980" customWidth="1" bestFit="1" width="3.0" style="1122"/>
    <col min="981" max="981" customWidth="1" bestFit="1" width="3.0" style="1122"/>
    <col min="982" max="982" customWidth="1" bestFit="1" width="3.0" style="1122"/>
    <col min="983" max="983" customWidth="1" bestFit="1" width="3.0" style="1122"/>
    <col min="984" max="984" customWidth="1" bestFit="1" width="3.0" style="1122"/>
    <col min="985" max="985" customWidth="1" bestFit="1" width="3.0" style="1122"/>
    <col min="986" max="986" customWidth="1" bestFit="1" width="3.0" style="1122"/>
    <col min="987" max="987" customWidth="1" bestFit="1" width="3.0" style="1122"/>
    <col min="988" max="988" customWidth="1" bestFit="1" width="3.0" style="1122"/>
    <col min="989" max="989" customWidth="1" bestFit="1" width="3.0" style="1122"/>
    <col min="990" max="990" customWidth="1" bestFit="1" width="3.0" style="1122"/>
    <col min="991" max="991" customWidth="1" bestFit="1" width="3.0" style="1122"/>
    <col min="992" max="992" customWidth="1" bestFit="1" width="3.0" style="1122"/>
    <col min="993" max="993" customWidth="1" bestFit="1" width="3.0" style="1122"/>
    <col min="994" max="994" customWidth="1" bestFit="1" width="3.0" style="1122"/>
    <col min="995" max="995" customWidth="1" bestFit="1" width="3.0" style="1122"/>
    <col min="996" max="996" customWidth="1" bestFit="1" width="3.0" style="1122"/>
    <col min="997" max="997" customWidth="1" bestFit="1" width="3.0" style="1122"/>
    <col min="998" max="998" customWidth="1" bestFit="1" width="3.0" style="1122"/>
    <col min="999" max="999" customWidth="1" bestFit="1" width="3.0" style="1122"/>
    <col min="1000" max="1000" customWidth="1" bestFit="1" width="3.0" style="1122"/>
    <col min="1001" max="1001" customWidth="1" bestFit="1" width="3.0" style="1122"/>
    <col min="1002" max="1002" customWidth="1" bestFit="1" width="3.0" style="1122"/>
    <col min="1003" max="1003" customWidth="1" bestFit="1" width="3.0" style="1122"/>
    <col min="1004" max="1004" customWidth="1" bestFit="1" width="3.0" style="1122"/>
    <col min="1005" max="1005" customWidth="1" bestFit="1" width="3.0" style="1122"/>
    <col min="1006" max="1006" customWidth="1" bestFit="1" width="3.0" style="1122"/>
    <col min="1007" max="1007" customWidth="1" bestFit="1" width="3.0" style="1122"/>
    <col min="1008" max="1008" customWidth="1" bestFit="1" width="3.0" style="1122"/>
    <col min="1009" max="1009" customWidth="1" bestFit="1" width="3.0" style="1122"/>
    <col min="1010" max="1010" customWidth="1" bestFit="1" width="3.0" style="1122"/>
    <col min="1011" max="1011" customWidth="1" bestFit="1" width="3.0" style="1122"/>
    <col min="1012" max="1012" customWidth="1" bestFit="1" width="3.0" style="1122"/>
    <col min="1013" max="1013" customWidth="1" bestFit="1" width="3.0" style="1122"/>
    <col min="1014" max="1014" customWidth="1" bestFit="1" width="3.0" style="1122"/>
    <col min="1015" max="1015" customWidth="1" bestFit="1" width="3.0" style="1122"/>
    <col min="1016" max="1016" customWidth="1" bestFit="1" width="3.0" style="1122"/>
    <col min="1017" max="1017" customWidth="1" bestFit="1" width="3.0" style="1122"/>
    <col min="1018" max="1018" customWidth="1" bestFit="1" width="3.0" style="1122"/>
    <col min="1019" max="1019" customWidth="1" bestFit="1" width="3.0" style="1122"/>
    <col min="1020" max="1020" customWidth="1" bestFit="1" width="3.0" style="1122"/>
    <col min="1021" max="1021" customWidth="1" bestFit="1" width="3.0" style="1122"/>
    <col min="1022" max="1022" customWidth="1" bestFit="1" width="3.0" style="1122"/>
    <col min="1023" max="1023" customWidth="1" bestFit="1" width="3.0" style="1122"/>
    <col min="1024" max="1024" customWidth="1" bestFit="1" width="3.0" style="1122"/>
    <col min="1025" max="1025" customWidth="1" bestFit="1" width="3.0" style="1122"/>
    <col min="1026" max="1026" customWidth="1" bestFit="1" width="3.0" style="1122"/>
    <col min="1027" max="1027" customWidth="1" bestFit="1" width="3.0" style="1122"/>
    <col min="1028" max="1028" customWidth="1" bestFit="1" width="3.0" style="1122"/>
    <col min="1029" max="1029" customWidth="1" bestFit="1" width="3.0" style="1122"/>
    <col min="1030" max="1030" customWidth="1" bestFit="1" width="3.0" style="1122"/>
    <col min="1031" max="1031" customWidth="1" bestFit="1" width="3.0" style="1122"/>
    <col min="1032" max="1032" customWidth="1" bestFit="1" width="3.0" style="1122"/>
    <col min="1033" max="1033" customWidth="1" bestFit="1" width="3.0" style="1122"/>
    <col min="1034" max="1034" customWidth="1" bestFit="1" width="3.0" style="1122"/>
    <col min="1035" max="1035" customWidth="1" bestFit="1" width="3.0" style="1122"/>
    <col min="1036" max="1036" customWidth="1" bestFit="1" width="3.0" style="1122"/>
    <col min="1037" max="1037" customWidth="1" bestFit="1" width="3.0" style="1122"/>
    <col min="1038" max="1038" customWidth="1" bestFit="1" width="3.0" style="1122"/>
    <col min="1039" max="1039" customWidth="1" bestFit="1" width="3.0" style="1122"/>
    <col min="1040" max="1040" customWidth="1" bestFit="1" width="3.0" style="1122"/>
    <col min="1041" max="1041" customWidth="1" bestFit="1" width="3.0" style="1122"/>
    <col min="1042" max="1042" customWidth="1" bestFit="1" width="3.0" style="1122"/>
    <col min="1043" max="1043" customWidth="1" bestFit="1" width="3.0" style="1122"/>
    <col min="1044" max="1044" customWidth="1" bestFit="1" width="3.0" style="1122"/>
    <col min="1045" max="1045" customWidth="1" bestFit="1" width="3.0" style="1122"/>
    <col min="1046" max="1046" customWidth="1" bestFit="1" width="3.0" style="1122"/>
    <col min="1047" max="1047" customWidth="1" bestFit="1" width="3.0" style="1122"/>
    <col min="1048" max="1048" customWidth="1" bestFit="1" width="3.0" style="1122"/>
    <col min="1049" max="1049" customWidth="1" bestFit="1" width="3.0" style="1122"/>
    <col min="1050" max="1050" customWidth="1" bestFit="1" width="3.0" style="1122"/>
    <col min="1051" max="1051" customWidth="1" bestFit="1" width="3.0" style="1122"/>
    <col min="1052" max="1052" customWidth="1" bestFit="1" width="3.0" style="1122"/>
    <col min="1053" max="1053" customWidth="1" bestFit="1" width="3.0" style="1122"/>
    <col min="1054" max="1054" customWidth="1" bestFit="1" width="3.0" style="1122"/>
    <col min="1055" max="1055" customWidth="1" bestFit="1" width="3.0" style="1122"/>
    <col min="1056" max="1056" customWidth="1" bestFit="1" width="3.0" style="1122"/>
    <col min="1057" max="1057" customWidth="1" bestFit="1" width="3.0" style="1122"/>
    <col min="1058" max="1058" customWidth="1" bestFit="1" width="3.0" style="1122"/>
    <col min="1059" max="1059" customWidth="1" bestFit="1" width="3.0" style="1122"/>
    <col min="1060" max="1060" customWidth="1" bestFit="1" width="3.0" style="1122"/>
    <col min="1061" max="1061" customWidth="1" bestFit="1" width="3.0" style="1122"/>
    <col min="1062" max="1062" customWidth="1" bestFit="1" width="3.0" style="1122"/>
    <col min="1063" max="1063" customWidth="1" bestFit="1" width="3.0" style="1122"/>
    <col min="1064" max="1064" customWidth="1" bestFit="1" width="3.0" style="1122"/>
    <col min="1065" max="1065" customWidth="1" bestFit="1" width="3.0" style="1122"/>
    <col min="1066" max="1066" customWidth="1" bestFit="1" width="3.0" style="1122"/>
    <col min="1067" max="1067" customWidth="1" bestFit="1" width="3.0" style="1122"/>
    <col min="1068" max="1068" customWidth="1" bestFit="1" width="3.0" style="1122"/>
    <col min="1069" max="1069" customWidth="1" bestFit="1" width="3.0" style="1122"/>
    <col min="1070" max="1070" customWidth="1" bestFit="1" width="3.0" style="1122"/>
    <col min="1071" max="1071" customWidth="1" bestFit="1" width="3.0" style="1122"/>
    <col min="1072" max="1072" customWidth="1" bestFit="1" width="3.0" style="1122"/>
    <col min="1073" max="1073" customWidth="1" bestFit="1" width="3.0" style="1122"/>
    <col min="1074" max="1074" customWidth="1" bestFit="1" width="3.0" style="1122"/>
    <col min="1075" max="1075" customWidth="1" bestFit="1" width="3.0" style="1122"/>
    <col min="1076" max="1076" customWidth="1" bestFit="1" width="3.0" style="1122"/>
    <col min="1077" max="1077" customWidth="1" bestFit="1" width="3.0" style="1122"/>
    <col min="1078" max="1078" customWidth="1" bestFit="1" width="3.0" style="1122"/>
    <col min="1079" max="1079" customWidth="1" bestFit="1" width="3.0" style="1122"/>
    <col min="1080" max="1080" customWidth="1" bestFit="1" width="3.0" style="1122"/>
    <col min="1081" max="1081" customWidth="1" bestFit="1" width="3.0" style="1122"/>
    <col min="1082" max="1082" customWidth="1" bestFit="1" width="3.0" style="1122"/>
    <col min="1083" max="1083" customWidth="1" bestFit="1" width="3.0" style="1122"/>
    <col min="1084" max="1084" customWidth="1" bestFit="1" width="3.0" style="1122"/>
    <col min="1085" max="1085" customWidth="1" bestFit="1" width="3.0" style="1122"/>
    <col min="1086" max="1086" customWidth="1" bestFit="1" width="3.0" style="1122"/>
    <col min="1087" max="1087" customWidth="1" bestFit="1" width="3.0" style="1122"/>
    <col min="1088" max="1088" customWidth="1" bestFit="1" width="3.0" style="1122"/>
    <col min="1089" max="1089" customWidth="1" bestFit="1" width="3.0" style="1122"/>
    <col min="1090" max="1090" customWidth="1" bestFit="1" width="3.0" style="1122"/>
    <col min="1091" max="1091" customWidth="1" bestFit="1" width="3.0" style="1122"/>
    <col min="1092" max="1092" customWidth="1" bestFit="1" width="3.0" style="1122"/>
    <col min="1093" max="1093" customWidth="1" bestFit="1" width="3.0" style="1122"/>
    <col min="1094" max="1094" customWidth="1" bestFit="1" width="3.0" style="1122"/>
    <col min="1095" max="1095" customWidth="1" bestFit="1" width="3.0" style="1122"/>
    <col min="1096" max="1096" customWidth="1" bestFit="1" width="3.0" style="1122"/>
    <col min="1097" max="1097" customWidth="1" bestFit="1" width="3.0" style="1122"/>
    <col min="1098" max="1098" customWidth="1" bestFit="1" width="3.0" style="1122"/>
    <col min="1099" max="1099" customWidth="1" bestFit="1" width="3.0" style="1122"/>
    <col min="1100" max="1100" customWidth="1" bestFit="1" width="3.0" style="1122"/>
    <col min="1101" max="1101" customWidth="1" bestFit="1" width="3.0" style="1122"/>
    <col min="1102" max="1102" customWidth="1" bestFit="1" width="3.0" style="1122"/>
    <col min="1103" max="1103" customWidth="1" bestFit="1" width="3.0" style="1122"/>
    <col min="1104" max="1104" customWidth="1" bestFit="1" width="3.0" style="1122"/>
    <col min="1105" max="1105" customWidth="1" bestFit="1" width="3.0" style="1122"/>
    <col min="1106" max="1106" customWidth="1" bestFit="1" width="3.0" style="1122"/>
    <col min="1107" max="1107" customWidth="1" bestFit="1" width="3.0" style="1122"/>
    <col min="1108" max="1108" customWidth="1" bestFit="1" width="3.0" style="1122"/>
    <col min="1109" max="1109" customWidth="1" bestFit="1" width="3.0" style="1122"/>
    <col min="1110" max="1110" customWidth="1" bestFit="1" width="3.0" style="1122"/>
    <col min="1111" max="1111" customWidth="1" bestFit="1" width="3.0" style="1122"/>
    <col min="1112" max="1112" customWidth="1" bestFit="1" width="3.0" style="1122"/>
    <col min="1113" max="1113" customWidth="1" bestFit="1" width="3.0" style="1122"/>
    <col min="1114" max="1114" customWidth="1" bestFit="1" width="3.0" style="1122"/>
    <col min="1115" max="1115" customWidth="1" bestFit="1" width="3.0" style="1122"/>
    <col min="1116" max="1116" customWidth="1" bestFit="1" width="3.0" style="1122"/>
    <col min="1117" max="1117" customWidth="1" bestFit="1" width="3.0" style="1122"/>
    <col min="1118" max="1118" customWidth="1" bestFit="1" width="3.0" style="1122"/>
    <col min="1119" max="1119" customWidth="1" bestFit="1" width="3.0" style="1122"/>
    <col min="1120" max="1120" customWidth="1" bestFit="1" width="3.0" style="1122"/>
    <col min="1121" max="1121" customWidth="1" bestFit="1" width="3.0" style="1122"/>
    <col min="1122" max="1122" customWidth="1" bestFit="1" width="3.0" style="1122"/>
    <col min="1123" max="1123" customWidth="1" bestFit="1" width="3.0" style="1122"/>
    <col min="1124" max="1124" customWidth="1" bestFit="1" width="3.0" style="1122"/>
    <col min="1125" max="1125" customWidth="1" bestFit="1" width="3.0" style="1122"/>
    <col min="1126" max="1126" customWidth="1" bestFit="1" width="3.0" style="1122"/>
    <col min="1127" max="1127" customWidth="1" bestFit="1" width="3.0" style="1122"/>
    <col min="1128" max="1128" customWidth="1" bestFit="1" width="3.0" style="1122"/>
    <col min="1129" max="1129" customWidth="1" bestFit="1" width="3.0" style="1122"/>
    <col min="1130" max="1130" customWidth="1" bestFit="1" width="3.0" style="1122"/>
    <col min="1131" max="1131" customWidth="1" bestFit="1" width="3.0" style="1122"/>
    <col min="1132" max="1132" customWidth="1" bestFit="1" width="3.0" style="1122"/>
    <col min="1133" max="1133" customWidth="1" bestFit="1" width="3.0" style="1122"/>
    <col min="1134" max="1134" customWidth="1" bestFit="1" width="3.0" style="1122"/>
    <col min="1135" max="1135" customWidth="1" bestFit="1" width="3.0" style="1122"/>
    <col min="1136" max="1136" customWidth="1" bestFit="1" width="3.0" style="1122"/>
    <col min="1137" max="1137" customWidth="1" bestFit="1" width="3.0" style="1122"/>
    <col min="1138" max="1138" customWidth="1" bestFit="1" width="3.0" style="1122"/>
    <col min="1139" max="1139" customWidth="1" bestFit="1" width="3.0" style="1122"/>
    <col min="1140" max="1140" customWidth="1" bestFit="1" width="3.0" style="1122"/>
    <col min="1141" max="1141" customWidth="1" bestFit="1" width="3.0" style="1122"/>
    <col min="1142" max="1142" customWidth="1" bestFit="1" width="3.0" style="1122"/>
    <col min="1143" max="1143" customWidth="1" bestFit="1" width="3.0" style="1122"/>
    <col min="1144" max="1144" customWidth="1" bestFit="1" width="3.0" style="1122"/>
    <col min="1145" max="1145" customWidth="1" bestFit="1" width="3.0" style="1122"/>
    <col min="1146" max="1146" customWidth="1" bestFit="1" width="3.0" style="1122"/>
    <col min="1147" max="1147" customWidth="1" bestFit="1" width="3.0" style="1122"/>
    <col min="1148" max="1148" customWidth="1" bestFit="1" width="3.0" style="1122"/>
    <col min="1149" max="1149" customWidth="1" bestFit="1" width="3.0" style="1122"/>
    <col min="1150" max="1150" customWidth="1" bestFit="1" width="3.0" style="1122"/>
    <col min="1151" max="1151" customWidth="1" bestFit="1" width="3.0" style="1122"/>
    <col min="1152" max="1152" customWidth="1" bestFit="1" width="3.0" style="1122"/>
    <col min="1153" max="1153" customWidth="1" bestFit="1" width="3.0" style="1122"/>
    <col min="1154" max="1154" customWidth="1" bestFit="1" width="3.0" style="1122"/>
    <col min="1155" max="1155" customWidth="1" bestFit="1" width="3.0" style="1122"/>
    <col min="1156" max="1156" customWidth="1" bestFit="1" width="3.0" style="1122"/>
    <col min="1157" max="1157" customWidth="1" bestFit="1" width="3.0" style="1122"/>
    <col min="1158" max="1158" customWidth="1" bestFit="1" width="3.0" style="1122"/>
    <col min="1159" max="1159" customWidth="1" bestFit="1" width="3.0" style="1122"/>
    <col min="1160" max="1160" customWidth="1" bestFit="1" width="3.0" style="1122"/>
    <col min="1161" max="1161" customWidth="1" bestFit="1" width="3.0" style="1122"/>
    <col min="1162" max="1162" customWidth="1" bestFit="1" width="3.0" style="1122"/>
    <col min="1163" max="1163" customWidth="1" bestFit="1" width="3.0" style="1122"/>
    <col min="1164" max="1164" customWidth="1" bestFit="1" width="3.0" style="1122"/>
    <col min="1165" max="1165" customWidth="1" bestFit="1" width="3.0" style="1122"/>
    <col min="1166" max="1166" customWidth="1" bestFit="1" width="3.0" style="1122"/>
    <col min="1167" max="1167" customWidth="1" bestFit="1" width="3.0" style="1122"/>
    <col min="1168" max="1168" customWidth="1" bestFit="1" width="3.0" style="1122"/>
    <col min="1169" max="1169" customWidth="1" bestFit="1" width="3.0" style="1122"/>
    <col min="1170" max="1170" customWidth="1" bestFit="1" width="3.0" style="1122"/>
    <col min="1171" max="1171" customWidth="1" bestFit="1" width="3.0" style="1122"/>
    <col min="1172" max="1172" customWidth="1" bestFit="1" width="3.0" style="1122"/>
    <col min="1173" max="1173" customWidth="1" bestFit="1" width="3.0" style="1122"/>
    <col min="1174" max="1174" customWidth="1" bestFit="1" width="3.0" style="1122"/>
    <col min="1175" max="1175" customWidth="1" bestFit="1" width="3.0" style="1122"/>
    <col min="1176" max="1176" customWidth="1" bestFit="1" width="3.0" style="1122"/>
    <col min="1177" max="1177" customWidth="1" bestFit="1" width="3.0" style="1122"/>
    <col min="1178" max="1178" customWidth="1" bestFit="1" width="3.0" style="1122"/>
    <col min="1179" max="1179" customWidth="1" bestFit="1" width="3.0" style="1122"/>
    <col min="1180" max="1180" customWidth="1" bestFit="1" width="3.0" style="1122"/>
    <col min="1181" max="1181" customWidth="1" bestFit="1" width="3.0" style="1122"/>
    <col min="1182" max="1182" customWidth="1" bestFit="1" width="3.0" style="1122"/>
    <col min="1183" max="1183" customWidth="1" bestFit="1" width="3.0" style="1122"/>
    <col min="1184" max="1184" customWidth="1" bestFit="1" width="3.0" style="1122"/>
    <col min="1185" max="1185" customWidth="1" bestFit="1" width="3.0" style="1122"/>
    <col min="1186" max="1186" customWidth="1" bestFit="1" width="3.0" style="1122"/>
    <col min="1187" max="1187" customWidth="1" bestFit="1" width="3.0" style="1122"/>
    <col min="1188" max="1188" customWidth="1" bestFit="1" width="3.0" style="1122"/>
    <col min="1189" max="1189" customWidth="1" bestFit="1" width="3.0" style="1122"/>
    <col min="1190" max="1190" customWidth="1" bestFit="1" width="3.0" style="1122"/>
    <col min="1191" max="1191" customWidth="1" bestFit="1" width="3.0" style="1122"/>
    <col min="1192" max="1192" customWidth="1" bestFit="1" width="3.0" style="1122"/>
    <col min="1193" max="1193" customWidth="1" bestFit="1" width="3.0" style="1122"/>
    <col min="1194" max="1194" customWidth="1" bestFit="1" width="3.0" style="1122"/>
    <col min="1195" max="1195" customWidth="1" bestFit="1" width="3.0" style="1122"/>
    <col min="1196" max="1196" customWidth="1" bestFit="1" width="3.0" style="1122"/>
    <col min="1197" max="1197" customWidth="1" bestFit="1" width="3.0" style="1122"/>
    <col min="1198" max="1198" customWidth="1" bestFit="1" width="3.0" style="1122"/>
    <col min="1199" max="1199" customWidth="1" bestFit="1" width="3.0" style="1122"/>
    <col min="1200" max="1200" customWidth="1" bestFit="1" width="3.0" style="1122"/>
    <col min="1201" max="1201" customWidth="1" bestFit="1" width="3.0" style="1122"/>
    <col min="1202" max="1202" customWidth="1" bestFit="1" width="3.0" style="1122"/>
    <col min="1203" max="1203" customWidth="1" bestFit="1" width="3.0" style="1122"/>
    <col min="1204" max="1204" customWidth="1" bestFit="1" width="3.0" style="1122"/>
    <col min="1205" max="1205" customWidth="1" bestFit="1" width="3.0" style="1122"/>
    <col min="1206" max="1206" customWidth="1" bestFit="1" width="3.0" style="1122"/>
    <col min="1207" max="1207" customWidth="1" bestFit="1" width="3.0" style="1122"/>
    <col min="1208" max="1208" customWidth="1" bestFit="1" width="3.0" style="1122"/>
    <col min="1209" max="1209" customWidth="1" bestFit="1" width="3.0" style="1122"/>
    <col min="1210" max="1210" customWidth="1" bestFit="1" width="3.0" style="1122"/>
    <col min="1211" max="1211" customWidth="1" bestFit="1" width="3.0" style="1122"/>
    <col min="1212" max="1212" customWidth="1" bestFit="1" width="3.0" style="1122"/>
    <col min="1213" max="1213" customWidth="1" bestFit="1" width="3.0" style="1122"/>
    <col min="1214" max="1214" customWidth="1" bestFit="1" width="3.0" style="1122"/>
    <col min="1215" max="1215" customWidth="1" bestFit="1" width="3.0" style="1122"/>
    <col min="1216" max="1216" customWidth="1" bestFit="1" width="3.0" style="1122"/>
    <col min="1217" max="1217" customWidth="1" bestFit="1" width="3.0" style="1122"/>
    <col min="1218" max="1218" customWidth="1" bestFit="1" width="3.0" style="1122"/>
    <col min="1219" max="1219" customWidth="1" bestFit="1" width="3.0" style="1122"/>
    <col min="1220" max="1220" customWidth="1" bestFit="1" width="3.0" style="1122"/>
    <col min="1221" max="1221" customWidth="1" bestFit="1" width="3.0" style="1122"/>
    <col min="1222" max="1222" customWidth="1" bestFit="1" width="3.0" style="1122"/>
    <col min="1223" max="1223" customWidth="1" bestFit="1" width="3.0" style="1122"/>
    <col min="1224" max="1224" customWidth="1" bestFit="1" width="3.0" style="1122"/>
    <col min="1225" max="1225" customWidth="1" bestFit="1" width="3.0" style="1122"/>
    <col min="1226" max="1226" customWidth="1" bestFit="1" width="3.0" style="1122"/>
    <col min="1227" max="1227" customWidth="1" bestFit="1" width="3.0" style="1122"/>
    <col min="1228" max="1228" customWidth="1" bestFit="1" width="3.0" style="1122"/>
    <col min="1229" max="1229" customWidth="1" bestFit="1" width="3.0" style="1122"/>
    <col min="1230" max="1230" customWidth="1" bestFit="1" width="3.0" style="1122"/>
    <col min="1231" max="1231" customWidth="1" bestFit="1" width="3.0" style="1122"/>
    <col min="1232" max="1232" customWidth="1" bestFit="1" width="3.0" style="1122"/>
    <col min="1233" max="1233" customWidth="1" bestFit="1" width="3.0" style="1122"/>
    <col min="1234" max="1234" customWidth="1" bestFit="1" width="3.0" style="1122"/>
    <col min="1235" max="1235" customWidth="1" bestFit="1" width="3.0" style="1122"/>
    <col min="1236" max="1236" customWidth="1" bestFit="1" width="3.0" style="1122"/>
    <col min="1237" max="1237" customWidth="1" bestFit="1" width="3.0" style="1122"/>
    <col min="1238" max="1238" customWidth="1" bestFit="1" width="3.0" style="1122"/>
    <col min="1239" max="1239" customWidth="1" bestFit="1" width="3.0" style="1122"/>
    <col min="1240" max="1240" customWidth="1" bestFit="1" width="3.0" style="1122"/>
    <col min="1241" max="1241" customWidth="1" bestFit="1" width="3.0" style="1122"/>
    <col min="1242" max="1242" customWidth="1" bestFit="1" width="3.0" style="1122"/>
    <col min="1243" max="1243" customWidth="1" bestFit="1" width="3.0" style="1122"/>
    <col min="1244" max="1244" customWidth="1" bestFit="1" width="3.0" style="1122"/>
    <col min="1245" max="1245" customWidth="1" bestFit="1" width="3.0" style="1122"/>
    <col min="1246" max="1246" customWidth="1" bestFit="1" width="3.0" style="1122"/>
    <col min="1247" max="1247" customWidth="1" bestFit="1" width="3.0" style="1122"/>
    <col min="1248" max="1248" customWidth="1" bestFit="1" width="3.0" style="1122"/>
    <col min="1249" max="1249" customWidth="1" bestFit="1" width="3.0" style="1122"/>
    <col min="1250" max="1250" customWidth="1" bestFit="1" width="3.0" style="1122"/>
    <col min="1251" max="1251" customWidth="1" bestFit="1" width="3.0" style="1122"/>
    <col min="1252" max="1252" customWidth="1" bestFit="1" width="3.0" style="1122"/>
    <col min="1253" max="1253" customWidth="1" bestFit="1" width="3.0" style="1122"/>
    <col min="1254" max="1254" customWidth="1" bestFit="1" width="3.0" style="1122"/>
    <col min="1255" max="1255" customWidth="1" bestFit="1" width="3.0" style="1122"/>
    <col min="1256" max="1256" customWidth="1" bestFit="1" width="3.0" style="1122"/>
    <col min="1257" max="1257" customWidth="1" bestFit="1" width="3.0" style="1122"/>
    <col min="1258" max="1258" customWidth="1" bestFit="1" width="3.0" style="1122"/>
    <col min="1259" max="1259" customWidth="1" bestFit="1" width="3.0" style="1122"/>
    <col min="1260" max="1260" customWidth="1" bestFit="1" width="3.0" style="1122"/>
    <col min="1261" max="1261" customWidth="1" bestFit="1" width="3.0" style="1122"/>
    <col min="1262" max="1262" customWidth="1" bestFit="1" width="3.0" style="1122"/>
    <col min="1263" max="1263" customWidth="1" bestFit="1" width="3.0" style="1122"/>
    <col min="1264" max="1264" customWidth="1" bestFit="1" width="3.0" style="1122"/>
    <col min="1265" max="1265" customWidth="1" bestFit="1" width="3.0" style="1122"/>
    <col min="1266" max="1266" customWidth="1" bestFit="1" width="3.0" style="1122"/>
    <col min="1267" max="1267" customWidth="1" bestFit="1" width="3.0" style="1122"/>
    <col min="1268" max="1268" customWidth="1" bestFit="1" width="3.0" style="1122"/>
    <col min="1269" max="1269" customWidth="1" bestFit="1" width="3.0" style="1122"/>
    <col min="1270" max="1270" customWidth="1" bestFit="1" width="3.0" style="1122"/>
    <col min="1271" max="1271" customWidth="1" bestFit="1" width="3.0" style="1122"/>
    <col min="1272" max="1272" customWidth="1" bestFit="1" width="3.0" style="1122"/>
    <col min="1273" max="1273" customWidth="1" bestFit="1" width="3.0" style="1122"/>
    <col min="1274" max="1274" customWidth="1" bestFit="1" width="3.0" style="1122"/>
    <col min="1275" max="1275" customWidth="1" bestFit="1" width="3.0" style="1122"/>
    <col min="1276" max="1276" customWidth="1" bestFit="1" width="3.0" style="1122"/>
    <col min="1277" max="1277" customWidth="1" bestFit="1" width="3.0" style="1122"/>
    <col min="1278" max="1278" customWidth="1" bestFit="1" width="3.0" style="1122"/>
    <col min="1279" max="1279" customWidth="1" bestFit="1" width="3.0" style="1122"/>
    <col min="1280" max="1280" customWidth="1" bestFit="1" width="3.0" style="1122"/>
    <col min="1281" max="1281" customWidth="1" bestFit="1" width="3.0" style="1122"/>
    <col min="1282" max="1282" customWidth="1" bestFit="1" width="3.0" style="1122"/>
    <col min="1283" max="1283" customWidth="1" bestFit="1" width="3.0" style="1122"/>
    <col min="1284" max="1284" customWidth="1" bestFit="1" width="3.0" style="1122"/>
    <col min="1285" max="1285" customWidth="1" bestFit="1" width="3.0" style="1122"/>
    <col min="1286" max="1286" customWidth="1" bestFit="1" width="3.0" style="1122"/>
    <col min="1287" max="1287" customWidth="1" bestFit="1" width="3.0" style="1122"/>
    <col min="1288" max="1288" customWidth="1" bestFit="1" width="3.0" style="1122"/>
    <col min="1289" max="1289" customWidth="1" bestFit="1" width="3.0" style="1122"/>
    <col min="1290" max="1290" customWidth="1" bestFit="1" width="3.0" style="1122"/>
    <col min="1291" max="1291" customWidth="1" bestFit="1" width="3.0" style="1122"/>
    <col min="1292" max="1292" customWidth="1" bestFit="1" width="3.0" style="1122"/>
    <col min="1293" max="1293" customWidth="1" bestFit="1" width="3.0" style="1122"/>
    <col min="1294" max="1294" customWidth="1" bestFit="1" width="3.0" style="1122"/>
    <col min="1295" max="1295" customWidth="1" bestFit="1" width="3.0" style="1122"/>
    <col min="1296" max="1296" customWidth="1" bestFit="1" width="3.0" style="1122"/>
    <col min="1297" max="1297" customWidth="1" bestFit="1" width="3.0" style="1122"/>
    <col min="1298" max="1298" customWidth="1" bestFit="1" width="3.0" style="1122"/>
    <col min="1299" max="1299" customWidth="1" bestFit="1" width="3.0" style="1122"/>
    <col min="1300" max="1300" customWidth="1" bestFit="1" width="3.0" style="1122"/>
    <col min="1301" max="1301" customWidth="1" bestFit="1" width="3.0" style="1122"/>
    <col min="1302" max="1302" customWidth="1" bestFit="1" width="3.0" style="1122"/>
    <col min="1303" max="1303" customWidth="1" bestFit="1" width="3.0" style="1122"/>
    <col min="1304" max="1304" customWidth="1" bestFit="1" width="3.0" style="1122"/>
    <col min="1305" max="1305" customWidth="1" bestFit="1" width="3.0" style="1122"/>
    <col min="1306" max="1306" customWidth="1" bestFit="1" width="3.0" style="1122"/>
    <col min="1307" max="1307" customWidth="1" bestFit="1" width="3.0" style="1122"/>
    <col min="1308" max="1308" customWidth="1" bestFit="1" width="3.0" style="1122"/>
    <col min="1309" max="1309" customWidth="1" bestFit="1" width="3.0" style="1122"/>
    <col min="1310" max="1310" customWidth="1" bestFit="1" width="3.0" style="1122"/>
    <col min="1311" max="1311" customWidth="1" bestFit="1" width="3.0" style="1122"/>
    <col min="1312" max="1312" customWidth="1" bestFit="1" width="3.0" style="1122"/>
    <col min="1313" max="1313" customWidth="1" bestFit="1" width="3.0" style="1122"/>
    <col min="1314" max="1314" customWidth="1" bestFit="1" width="3.0" style="1122"/>
    <col min="1315" max="1315" customWidth="1" bestFit="1" width="3.0" style="1122"/>
    <col min="1316" max="1316" customWidth="1" bestFit="1" width="3.0" style="1122"/>
    <col min="1317" max="1317" customWidth="1" bestFit="1" width="3.0" style="1122"/>
    <col min="1318" max="1318" customWidth="1" bestFit="1" width="3.0" style="1122"/>
    <col min="1319" max="1319" customWidth="1" bestFit="1" width="3.0" style="1122"/>
    <col min="1320" max="1320" customWidth="1" bestFit="1" width="3.0" style="1122"/>
    <col min="1321" max="1321" customWidth="1" bestFit="1" width="3.0" style="1122"/>
    <col min="1322" max="1322" customWidth="1" bestFit="1" width="3.0" style="1122"/>
    <col min="1323" max="1323" customWidth="1" bestFit="1" width="3.0" style="1122"/>
    <col min="1324" max="1324" customWidth="1" bestFit="1" width="3.0" style="1122"/>
    <col min="1325" max="1325" customWidth="1" bestFit="1" width="3.0" style="1122"/>
    <col min="1326" max="1326" customWidth="1" bestFit="1" width="3.0" style="1122"/>
    <col min="1327" max="1327" customWidth="1" bestFit="1" width="3.0" style="1122"/>
    <col min="1328" max="1328" customWidth="1" bestFit="1" width="3.0" style="1122"/>
    <col min="1329" max="1329" customWidth="1" bestFit="1" width="3.0" style="1122"/>
    <col min="1330" max="1330" customWidth="1" bestFit="1" width="3.0" style="1122"/>
    <col min="1331" max="1331" customWidth="1" bestFit="1" width="3.0" style="1122"/>
    <col min="1332" max="1332" customWidth="1" bestFit="1" width="3.0" style="1122"/>
    <col min="1333" max="1333" customWidth="1" bestFit="1" width="3.0" style="1122"/>
    <col min="1334" max="1334" customWidth="1" bestFit="1" width="3.0" style="1122"/>
    <col min="1335" max="1335" customWidth="1" bestFit="1" width="3.0" style="1122"/>
    <col min="1336" max="1336" customWidth="1" bestFit="1" width="3.0" style="1122"/>
    <col min="1337" max="1337" customWidth="1" bestFit="1" width="3.0" style="1122"/>
    <col min="1338" max="1338" customWidth="1" bestFit="1" width="3.0" style="1122"/>
    <col min="1339" max="1339" customWidth="1" bestFit="1" width="3.0" style="1122"/>
    <col min="1340" max="1340" customWidth="1" bestFit="1" width="3.0" style="1122"/>
    <col min="1341" max="1341" customWidth="1" bestFit="1" width="3.0" style="1122"/>
    <col min="1342" max="1342" customWidth="1" bestFit="1" width="3.0" style="1122"/>
    <col min="1343" max="1343" customWidth="1" bestFit="1" width="3.0" style="1122"/>
    <col min="1344" max="1344" customWidth="1" bestFit="1" width="3.0" style="1122"/>
    <col min="1345" max="1345" customWidth="1" bestFit="1" width="3.0" style="1122"/>
    <col min="1346" max="1346" customWidth="1" bestFit="1" width="3.0" style="1122"/>
    <col min="1347" max="1347" customWidth="1" bestFit="1" width="3.0" style="1122"/>
    <col min="1348" max="1348" customWidth="1" bestFit="1" width="3.0" style="1122"/>
    <col min="1349" max="1349" customWidth="1" bestFit="1" width="3.0" style="1122"/>
    <col min="1350" max="1350" customWidth="1" bestFit="1" width="3.0" style="1122"/>
    <col min="1351" max="1351" customWidth="1" bestFit="1" width="3.0" style="1122"/>
    <col min="1352" max="1352" customWidth="1" bestFit="1" width="3.0" style="1122"/>
    <col min="1353" max="1353" customWidth="1" bestFit="1" width="3.0" style="1122"/>
    <col min="1354" max="1354" customWidth="1" bestFit="1" width="3.0" style="1122"/>
    <col min="1355" max="1355" customWidth="1" bestFit="1" width="3.0" style="1122"/>
    <col min="1356" max="1356" customWidth="1" bestFit="1" width="3.0" style="1122"/>
    <col min="1357" max="1357" customWidth="1" bestFit="1" width="3.0" style="1122"/>
    <col min="1358" max="1358" customWidth="1" bestFit="1" width="3.0" style="1122"/>
    <col min="1359" max="1359" customWidth="1" bestFit="1" width="3.0" style="1122"/>
    <col min="1360" max="1360" customWidth="1" bestFit="1" width="3.0" style="1122"/>
    <col min="1361" max="1361" customWidth="1" bestFit="1" width="3.0" style="1122"/>
    <col min="1362" max="1362" customWidth="1" bestFit="1" width="3.0" style="1122"/>
    <col min="1363" max="1363" customWidth="1" bestFit="1" width="3.0" style="1122"/>
    <col min="1364" max="1364" customWidth="1" bestFit="1" width="3.0" style="1122"/>
    <col min="1365" max="1365" customWidth="1" bestFit="1" width="3.0" style="1122"/>
    <col min="1366" max="1366" customWidth="1" bestFit="1" width="3.0" style="1122"/>
    <col min="1367" max="1367" customWidth="1" bestFit="1" width="3.0" style="1122"/>
    <col min="1368" max="1368" customWidth="1" bestFit="1" width="3.0" style="1122"/>
    <col min="1369" max="1369" customWidth="1" bestFit="1" width="3.0" style="1122"/>
    <col min="1370" max="1370" customWidth="1" bestFit="1" width="3.0" style="1122"/>
    <col min="1371" max="1371" customWidth="1" bestFit="1" width="3.0" style="1122"/>
    <col min="1372" max="1372" customWidth="1" bestFit="1" width="3.0" style="1122"/>
    <col min="1373" max="1373" customWidth="1" bestFit="1" width="3.0" style="1122"/>
    <col min="1374" max="1374" customWidth="1" bestFit="1" width="3.0" style="1122"/>
    <col min="1375" max="1375" customWidth="1" bestFit="1" width="3.0" style="1122"/>
    <col min="1376" max="1376" customWidth="1" bestFit="1" width="3.0" style="1122"/>
    <col min="1377" max="1377" customWidth="1" bestFit="1" width="3.0" style="1122"/>
    <col min="1378" max="1378" customWidth="1" bestFit="1" width="3.0" style="1122"/>
    <col min="1379" max="1379" customWidth="1" bestFit="1" width="3.0" style="1122"/>
    <col min="1380" max="1380" customWidth="1" bestFit="1" width="3.0" style="1122"/>
    <col min="1381" max="1381" customWidth="1" bestFit="1" width="3.0" style="1122"/>
    <col min="1382" max="1382" customWidth="1" bestFit="1" width="3.0" style="1122"/>
    <col min="1383" max="1383" customWidth="1" bestFit="1" width="3.0" style="1122"/>
    <col min="1384" max="1384" customWidth="1" bestFit="1" width="3.0" style="1122"/>
    <col min="1385" max="1385" customWidth="1" bestFit="1" width="3.0" style="1122"/>
    <col min="1386" max="1386" customWidth="1" bestFit="1" width="3.0" style="1122"/>
    <col min="1387" max="1387" customWidth="1" bestFit="1" width="3.0" style="1122"/>
    <col min="1388" max="1388" customWidth="1" bestFit="1" width="3.0" style="1122"/>
    <col min="1389" max="1389" customWidth="1" bestFit="1" width="3.0" style="1122"/>
    <col min="1390" max="1390" customWidth="1" bestFit="1" width="3.0" style="1122"/>
    <col min="1391" max="1391" customWidth="1" bestFit="1" width="3.0" style="1122"/>
    <col min="1392" max="1392" customWidth="1" bestFit="1" width="3.0" style="1122"/>
    <col min="1393" max="1393" customWidth="1" bestFit="1" width="3.0" style="1122"/>
    <col min="1394" max="1394" customWidth="1" bestFit="1" width="3.0" style="1122"/>
    <col min="1395" max="1395" customWidth="1" bestFit="1" width="3.0" style="1122"/>
    <col min="1396" max="1396" customWidth="1" bestFit="1" width="3.0" style="1122"/>
    <col min="1397" max="1397" customWidth="1" bestFit="1" width="3.0" style="1122"/>
    <col min="1398" max="1398" customWidth="1" bestFit="1" width="3.0" style="1122"/>
    <col min="1399" max="1399" customWidth="1" bestFit="1" width="3.0" style="1122"/>
    <col min="1400" max="1400" customWidth="1" bestFit="1" width="3.0" style="1122"/>
    <col min="1401" max="1401" customWidth="1" bestFit="1" width="3.0" style="1122"/>
    <col min="1402" max="1402" customWidth="1" bestFit="1" width="3.0" style="1122"/>
    <col min="1403" max="1403" customWidth="1" bestFit="1" width="3.0" style="1122"/>
    <col min="1404" max="1404" customWidth="1" bestFit="1" width="3.0" style="1122"/>
    <col min="1405" max="1405" customWidth="1" bestFit="1" width="3.0" style="1122"/>
    <col min="1406" max="1406" customWidth="1" bestFit="1" width="3.0" style="1122"/>
    <col min="1407" max="1407" customWidth="1" bestFit="1" width="3.0" style="1122"/>
    <col min="1408" max="1408" customWidth="1" bestFit="1" width="3.0" style="1122"/>
    <col min="1409" max="1409" customWidth="1" bestFit="1" width="3.0" style="1122"/>
    <col min="1410" max="1410" customWidth="1" bestFit="1" width="3.0" style="1122"/>
    <col min="1411" max="1411" customWidth="1" bestFit="1" width="3.0" style="1122"/>
    <col min="1412" max="1412" customWidth="1" bestFit="1" width="3.0" style="1122"/>
    <col min="1413" max="1413" customWidth="1" bestFit="1" width="3.0" style="1122"/>
    <col min="1414" max="1414" customWidth="1" bestFit="1" width="3.0" style="1122"/>
    <col min="1415" max="1415" customWidth="1" bestFit="1" width="3.0" style="1122"/>
    <col min="1416" max="1416" customWidth="1" bestFit="1" width="3.0" style="1122"/>
    <col min="1417" max="1417" customWidth="1" bestFit="1" width="3.0" style="1122"/>
    <col min="1418" max="1418" customWidth="1" bestFit="1" width="3.0" style="1122"/>
    <col min="1419" max="1419" customWidth="1" bestFit="1" width="3.0" style="1122"/>
    <col min="1420" max="1420" customWidth="1" bestFit="1" width="3.0" style="1122"/>
    <col min="1421" max="1421" customWidth="1" bestFit="1" width="3.0" style="1122"/>
    <col min="1422" max="1422" customWidth="1" bestFit="1" width="3.0" style="1122"/>
    <col min="1423" max="1423" customWidth="1" bestFit="1" width="3.0" style="1122"/>
    <col min="1424" max="1424" customWidth="1" bestFit="1" width="3.0" style="1122"/>
    <col min="1425" max="1425" customWidth="1" bestFit="1" width="3.0" style="1122"/>
    <col min="1426" max="1426" customWidth="1" bestFit="1" width="3.0" style="1122"/>
    <col min="1427" max="1427" customWidth="1" bestFit="1" width="3.0" style="1122"/>
    <col min="1428" max="1428" customWidth="1" bestFit="1" width="3.0" style="1122"/>
    <col min="1429" max="1429" customWidth="1" bestFit="1" width="3.0" style="1122"/>
    <col min="1430" max="1430" customWidth="1" bestFit="1" width="3.0" style="1122"/>
    <col min="1431" max="1431" customWidth="1" bestFit="1" width="3.0" style="1122"/>
    <col min="1432" max="1432" customWidth="1" bestFit="1" width="3.0" style="1122"/>
    <col min="1433" max="1433" customWidth="1" bestFit="1" width="3.0" style="1122"/>
    <col min="1434" max="1434" customWidth="1" bestFit="1" width="3.0" style="1122"/>
    <col min="1435" max="1435" customWidth="1" bestFit="1" width="3.0" style="1122"/>
    <col min="1436" max="1436" customWidth="1" bestFit="1" width="3.0" style="1122"/>
    <col min="1437" max="1437" customWidth="1" bestFit="1" width="3.0" style="1122"/>
    <col min="1438" max="1438" customWidth="1" bestFit="1" width="3.0" style="1122"/>
    <col min="1439" max="1439" customWidth="1" bestFit="1" width="3.0" style="1122"/>
    <col min="1440" max="1440" customWidth="1" bestFit="1" width="3.0" style="1122"/>
    <col min="1441" max="1441" customWidth="1" bestFit="1" width="3.0" style="1122"/>
    <col min="1442" max="1442" customWidth="1" bestFit="1" width="3.0" style="1122"/>
    <col min="1443" max="1443" customWidth="1" bestFit="1" width="3.0" style="1122"/>
    <col min="1444" max="1444" customWidth="1" bestFit="1" width="3.0" style="1122"/>
    <col min="1445" max="1445" customWidth="1" bestFit="1" width="3.0" style="1122"/>
    <col min="1446" max="1446" customWidth="1" bestFit="1" width="3.0" style="1122"/>
    <col min="1447" max="1447" customWidth="1" bestFit="1" width="3.0" style="1122"/>
    <col min="1448" max="1448" customWidth="1" bestFit="1" width="3.0" style="1122"/>
    <col min="1449" max="1449" customWidth="1" bestFit="1" width="3.0" style="1122"/>
    <col min="1450" max="1450" customWidth="1" bestFit="1" width="3.0" style="1122"/>
    <col min="1451" max="1451" customWidth="1" bestFit="1" width="3.0" style="1122"/>
    <col min="1452" max="1452" customWidth="1" bestFit="1" width="3.0" style="1122"/>
    <col min="1453" max="1453" customWidth="1" bestFit="1" width="3.0" style="1122"/>
    <col min="1454" max="1454" customWidth="1" bestFit="1" width="3.0" style="1122"/>
    <col min="1455" max="1455" customWidth="1" bestFit="1" width="3.0" style="1122"/>
    <col min="1456" max="1456" customWidth="1" bestFit="1" width="3.0" style="1122"/>
    <col min="1457" max="1457" customWidth="1" bestFit="1" width="3.0" style="1122"/>
    <col min="1458" max="1458" customWidth="1" bestFit="1" width="3.0" style="1122"/>
    <col min="1459" max="1459" customWidth="1" bestFit="1" width="3.0" style="1122"/>
    <col min="1460" max="1460" customWidth="1" bestFit="1" width="3.0" style="1122"/>
    <col min="1461" max="1461" customWidth="1" bestFit="1" width="3.0" style="1122"/>
    <col min="1462" max="1462" customWidth="1" bestFit="1" width="3.0" style="1122"/>
    <col min="1463" max="1463" customWidth="1" bestFit="1" width="3.0" style="1122"/>
    <col min="1464" max="1464" customWidth="1" bestFit="1" width="3.0" style="1122"/>
    <col min="1465" max="1465" customWidth="1" bestFit="1" width="3.0" style="1122"/>
    <col min="1466" max="1466" customWidth="1" bestFit="1" width="3.0" style="1122"/>
    <col min="1467" max="1467" customWidth="1" bestFit="1" width="3.0" style="1122"/>
    <col min="1468" max="1468" customWidth="1" bestFit="1" width="3.0" style="1122"/>
    <col min="1469" max="1469" customWidth="1" bestFit="1" width="3.0" style="1122"/>
    <col min="1470" max="1470" customWidth="1" bestFit="1" width="3.0" style="1122"/>
    <col min="1471" max="1471" customWidth="1" bestFit="1" width="3.0" style="1122"/>
    <col min="1472" max="1472" customWidth="1" bestFit="1" width="3.0" style="1122"/>
    <col min="1473" max="1473" customWidth="1" bestFit="1" width="3.0" style="1122"/>
    <col min="1474" max="1474" customWidth="1" bestFit="1" width="3.0" style="1122"/>
    <col min="1475" max="1475" customWidth="1" bestFit="1" width="3.0" style="1122"/>
    <col min="1476" max="1476" customWidth="1" bestFit="1" width="3.0" style="1122"/>
    <col min="1477" max="1477" customWidth="1" bestFit="1" width="3.0" style="1122"/>
    <col min="1478" max="1478" customWidth="1" bestFit="1" width="3.0" style="1122"/>
    <col min="1479" max="1479" customWidth="1" bestFit="1" width="3.0" style="1122"/>
    <col min="1480" max="1480" customWidth="1" bestFit="1" width="3.0" style="1122"/>
    <col min="1481" max="1481" customWidth="1" bestFit="1" width="3.0" style="1122"/>
    <col min="1482" max="1482" customWidth="1" bestFit="1" width="3.0" style="1122"/>
    <col min="1483" max="1483" customWidth="1" bestFit="1" width="3.0" style="1122"/>
    <col min="1484" max="1484" customWidth="1" bestFit="1" width="3.0" style="1122"/>
    <col min="1485" max="1485" customWidth="1" bestFit="1" width="3.0" style="1122"/>
    <col min="1486" max="1486" customWidth="1" bestFit="1" width="3.0" style="1122"/>
    <col min="1487" max="1487" customWidth="1" bestFit="1" width="3.0" style="1122"/>
    <col min="1488" max="1488" customWidth="1" bestFit="1" width="3.0" style="1122"/>
    <col min="1489" max="1489" customWidth="1" bestFit="1" width="3.0" style="1122"/>
    <col min="1490" max="1490" customWidth="1" bestFit="1" width="3.0" style="1122"/>
    <col min="1491" max="1491" customWidth="1" bestFit="1" width="3.0" style="1122"/>
    <col min="1492" max="1492" customWidth="1" bestFit="1" width="3.0" style="1122"/>
    <col min="1493" max="1493" customWidth="1" bestFit="1" width="3.0" style="1122"/>
    <col min="1494" max="1494" customWidth="1" bestFit="1" width="3.0" style="1122"/>
    <col min="1495" max="1495" customWidth="1" bestFit="1" width="3.0" style="1122"/>
    <col min="1496" max="1496" customWidth="1" bestFit="1" width="3.0" style="1122"/>
    <col min="1497" max="1497" customWidth="1" bestFit="1" width="3.0" style="1122"/>
    <col min="1498" max="1498" customWidth="1" bestFit="1" width="3.0" style="1122"/>
    <col min="1499" max="1499" customWidth="1" bestFit="1" width="3.0" style="1122"/>
    <col min="1500" max="1500" customWidth="1" bestFit="1" width="3.0" style="1122"/>
    <col min="1501" max="1501" customWidth="1" bestFit="1" width="3.0" style="1122"/>
    <col min="1502" max="1502" customWidth="1" bestFit="1" width="3.0" style="1122"/>
    <col min="1503" max="1503" customWidth="1" bestFit="1" width="3.0" style="1122"/>
    <col min="1504" max="1504" customWidth="1" bestFit="1" width="3.0" style="1122"/>
    <col min="1505" max="1505" customWidth="1" bestFit="1" width="3.0" style="1122"/>
    <col min="1506" max="1506" customWidth="1" bestFit="1" width="3.0" style="1122"/>
    <col min="1507" max="1507" customWidth="1" bestFit="1" width="3.0" style="1122"/>
    <col min="1508" max="1508" customWidth="1" bestFit="1" width="3.0" style="1122"/>
    <col min="1509" max="1509" customWidth="1" bestFit="1" width="3.0" style="1122"/>
    <col min="1510" max="1510" customWidth="1" bestFit="1" width="3.0" style="1122"/>
    <col min="1511" max="1511" customWidth="1" bestFit="1" width="3.0" style="1122"/>
    <col min="1512" max="1512" customWidth="1" bestFit="1" width="3.0" style="1122"/>
    <col min="1513" max="1513" customWidth="1" bestFit="1" width="3.0" style="1122"/>
    <col min="1514" max="1514" customWidth="1" bestFit="1" width="3.0" style="1122"/>
    <col min="1515" max="1515" customWidth="1" bestFit="1" width="3.0" style="1122"/>
    <col min="1516" max="1516" customWidth="1" bestFit="1" width="3.0" style="1122"/>
    <col min="1517" max="1517" customWidth="1" bestFit="1" width="3.0" style="1122"/>
    <col min="1518" max="1518" customWidth="1" bestFit="1" width="3.0" style="1122"/>
    <col min="1519" max="1519" customWidth="1" bestFit="1" width="3.0" style="1122"/>
    <col min="1520" max="1520" customWidth="1" bestFit="1" width="3.0" style="1122"/>
    <col min="1521" max="1521" customWidth="1" bestFit="1" width="3.0" style="1122"/>
    <col min="1522" max="1522" customWidth="1" bestFit="1" width="3.0" style="1122"/>
    <col min="1523" max="1523" customWidth="1" bestFit="1" width="3.0" style="1122"/>
    <col min="1524" max="1524" customWidth="1" bestFit="1" width="3.0" style="1122"/>
    <col min="1525" max="1525" customWidth="1" bestFit="1" width="3.0" style="1122"/>
    <col min="1526" max="1526" customWidth="1" bestFit="1" width="3.0" style="1122"/>
    <col min="1527" max="1527" customWidth="1" bestFit="1" width="3.0" style="1122"/>
    <col min="1528" max="1528" customWidth="1" bestFit="1" width="3.0" style="1122"/>
    <col min="1529" max="1529" customWidth="1" bestFit="1" width="3.0" style="1122"/>
    <col min="1530" max="1530" customWidth="1" bestFit="1" width="3.0" style="1122"/>
    <col min="1531" max="1531" customWidth="1" bestFit="1" width="3.0" style="1122"/>
    <col min="1532" max="1532" customWidth="1" bestFit="1" width="3.0" style="1122"/>
    <col min="1533" max="1533" customWidth="1" bestFit="1" width="3.0" style="1122"/>
    <col min="1534" max="1534" customWidth="1" bestFit="1" width="3.0" style="1122"/>
    <col min="1535" max="1535" customWidth="1" bestFit="1" width="3.0" style="1122"/>
    <col min="1536" max="1536" customWidth="1" bestFit="1" width="3.0" style="1122"/>
    <col min="1537" max="1537" customWidth="1" bestFit="1" width="3.0" style="1122"/>
    <col min="1538" max="1538" customWidth="1" bestFit="1" width="3.0" style="1122"/>
    <col min="1539" max="1539" customWidth="1" bestFit="1" width="3.0" style="1122"/>
    <col min="1540" max="1540" customWidth="1" bestFit="1" width="3.0" style="1122"/>
    <col min="1541" max="1541" customWidth="1" bestFit="1" width="3.0" style="1122"/>
    <col min="1542" max="1542" customWidth="1" bestFit="1" width="3.0" style="1122"/>
    <col min="1543" max="1543" customWidth="1" bestFit="1" width="3.0" style="1122"/>
    <col min="1544" max="1544" customWidth="1" bestFit="1" width="3.0" style="1122"/>
    <col min="1545" max="1545" customWidth="1" bestFit="1" width="3.0" style="1122"/>
    <col min="1546" max="1546" customWidth="1" bestFit="1" width="3.0" style="1122"/>
    <col min="1547" max="1547" customWidth="1" bestFit="1" width="3.0" style="1122"/>
    <col min="1548" max="1548" customWidth="1" bestFit="1" width="3.0" style="1122"/>
    <col min="1549" max="1549" customWidth="1" bestFit="1" width="3.0" style="1122"/>
    <col min="1550" max="1550" customWidth="1" bestFit="1" width="3.0" style="1122"/>
    <col min="1551" max="1551" customWidth="1" bestFit="1" width="3.0" style="1122"/>
    <col min="1552" max="1552" customWidth="1" bestFit="1" width="3.0" style="1122"/>
    <col min="1553" max="1553" customWidth="1" bestFit="1" width="3.0" style="1122"/>
    <col min="1554" max="1554" customWidth="1" bestFit="1" width="3.0" style="1122"/>
    <col min="1555" max="1555" customWidth="1" bestFit="1" width="3.0" style="1122"/>
    <col min="1556" max="1556" customWidth="1" bestFit="1" width="3.0" style="1122"/>
    <col min="1557" max="1557" customWidth="1" bestFit="1" width="3.0" style="1122"/>
    <col min="1558" max="1558" customWidth="1" bestFit="1" width="3.0" style="1122"/>
    <col min="1559" max="1559" customWidth="1" bestFit="1" width="3.0" style="1122"/>
    <col min="1560" max="1560" customWidth="1" bestFit="1" width="3.0" style="1122"/>
    <col min="1561" max="1561" customWidth="1" bestFit="1" width="3.0" style="1122"/>
    <col min="1562" max="1562" customWidth="1" bestFit="1" width="3.0" style="1122"/>
    <col min="1563" max="1563" customWidth="1" bestFit="1" width="3.0" style="1122"/>
    <col min="1564" max="1564" customWidth="1" bestFit="1" width="3.0" style="1122"/>
    <col min="1565" max="1565" customWidth="1" bestFit="1" width="3.0" style="1122"/>
    <col min="1566" max="1566" customWidth="1" bestFit="1" width="3.0" style="1122"/>
    <col min="1567" max="1567" customWidth="1" bestFit="1" width="3.0" style="1122"/>
    <col min="1568" max="1568" customWidth="1" bestFit="1" width="3.0" style="1122"/>
    <col min="1569" max="1569" customWidth="1" bestFit="1" width="3.0" style="1122"/>
    <col min="1570" max="1570" customWidth="1" bestFit="1" width="3.0" style="1122"/>
    <col min="1571" max="1571" customWidth="1" bestFit="1" width="3.0" style="1122"/>
    <col min="1572" max="1572" customWidth="1" bestFit="1" width="3.0" style="1122"/>
    <col min="1573" max="1573" customWidth="1" bestFit="1" width="3.0" style="1122"/>
    <col min="1574" max="1574" customWidth="1" bestFit="1" width="3.0" style="1122"/>
    <col min="1575" max="1575" customWidth="1" bestFit="1" width="3.0" style="1122"/>
    <col min="1576" max="1576" customWidth="1" bestFit="1" width="3.0" style="1122"/>
    <col min="1577" max="1577" customWidth="1" bestFit="1" width="3.0" style="1122"/>
    <col min="1578" max="1578" customWidth="1" bestFit="1" width="3.0" style="1122"/>
    <col min="1579" max="1579" customWidth="1" bestFit="1" width="3.0" style="1122"/>
    <col min="1580" max="1580" customWidth="1" bestFit="1" width="3.0" style="1122"/>
    <col min="1581" max="1581" customWidth="1" bestFit="1" width="3.0" style="1122"/>
    <col min="1582" max="1582" customWidth="1" bestFit="1" width="3.0" style="1122"/>
    <col min="1583" max="1583" customWidth="1" bestFit="1" width="3.0" style="1122"/>
    <col min="1584" max="1584" customWidth="1" bestFit="1" width="3.0" style="1122"/>
    <col min="1585" max="1585" customWidth="1" bestFit="1" width="3.0" style="1122"/>
    <col min="1586" max="1586" customWidth="1" bestFit="1" width="3.0" style="1122"/>
    <col min="1587" max="1587" customWidth="1" bestFit="1" width="3.0" style="1122"/>
    <col min="1588" max="1588" customWidth="1" bestFit="1" width="3.0" style="1122"/>
    <col min="1589" max="1589" customWidth="1" bestFit="1" width="3.0" style="1122"/>
    <col min="1590" max="1590" customWidth="1" bestFit="1" width="3.0" style="1122"/>
    <col min="1591" max="1591" customWidth="1" bestFit="1" width="3.0" style="1122"/>
    <col min="1592" max="1592" customWidth="1" bestFit="1" width="3.0" style="1122"/>
    <col min="1593" max="1593" customWidth="1" bestFit="1" width="3.0" style="1122"/>
    <col min="1594" max="1594" customWidth="1" bestFit="1" width="3.0" style="1122"/>
    <col min="1595" max="1595" customWidth="1" bestFit="1" width="3.0" style="1122"/>
    <col min="1596" max="1596" customWidth="1" bestFit="1" width="3.0" style="1122"/>
    <col min="1597" max="1597" customWidth="1" bestFit="1" width="3.0" style="1122"/>
    <col min="1598" max="1598" customWidth="1" bestFit="1" width="3.0" style="1122"/>
    <col min="1599" max="1599" customWidth="1" bestFit="1" width="3.0" style="1122"/>
    <col min="1600" max="1600" customWidth="1" bestFit="1" width="3.0" style="1122"/>
    <col min="1601" max="1601" customWidth="1" bestFit="1" width="3.0" style="1122"/>
    <col min="1602" max="1602" customWidth="1" bestFit="1" width="3.0" style="1122"/>
    <col min="1603" max="1603" customWidth="1" bestFit="1" width="3.0" style="1122"/>
    <col min="1604" max="1604" customWidth="1" bestFit="1" width="3.0" style="1122"/>
    <col min="1605" max="1605" customWidth="1" bestFit="1" width="3.0" style="1122"/>
    <col min="1606" max="1606" customWidth="1" bestFit="1" width="3.0" style="1122"/>
    <col min="1607" max="1607" customWidth="1" bestFit="1" width="3.0" style="1122"/>
    <col min="1608" max="1608" customWidth="1" bestFit="1" width="3.0" style="1122"/>
    <col min="1609" max="1609" customWidth="1" bestFit="1" width="3.0" style="1122"/>
    <col min="1610" max="1610" customWidth="1" bestFit="1" width="3.0" style="1122"/>
    <col min="1611" max="1611" customWidth="1" bestFit="1" width="3.0" style="1122"/>
    <col min="1612" max="1612" customWidth="1" bestFit="1" width="3.0" style="1122"/>
    <col min="1613" max="1613" customWidth="1" bestFit="1" width="3.0" style="1122"/>
    <col min="1614" max="1614" customWidth="1" bestFit="1" width="3.0" style="1122"/>
    <col min="1615" max="1615" customWidth="1" bestFit="1" width="3.0" style="1122"/>
    <col min="1616" max="1616" customWidth="1" bestFit="1" width="3.0" style="1122"/>
    <col min="1617" max="1617" customWidth="1" bestFit="1" width="3.0" style="1122"/>
    <col min="1618" max="1618" customWidth="1" bestFit="1" width="3.0" style="1122"/>
    <col min="1619" max="1619" customWidth="1" bestFit="1" width="3.0" style="1122"/>
    <col min="1620" max="1620" customWidth="1" bestFit="1" width="3.0" style="1122"/>
    <col min="1621" max="1621" customWidth="1" bestFit="1" width="3.0" style="1122"/>
    <col min="1622" max="1622" customWidth="1" bestFit="1" width="3.0" style="1122"/>
    <col min="1623" max="1623" customWidth="1" bestFit="1" width="3.0" style="1122"/>
    <col min="1624" max="1624" customWidth="1" bestFit="1" width="3.0" style="1122"/>
    <col min="1625" max="1625" customWidth="1" bestFit="1" width="3.0" style="1122"/>
    <col min="1626" max="1626" customWidth="1" bestFit="1" width="3.0" style="1122"/>
    <col min="1627" max="1627" customWidth="1" bestFit="1" width="3.0" style="1122"/>
    <col min="1628" max="1628" customWidth="1" bestFit="1" width="3.0" style="1122"/>
    <col min="1629" max="1629" customWidth="1" bestFit="1" width="3.0" style="1122"/>
    <col min="1630" max="1630" customWidth="1" bestFit="1" width="3.0" style="1122"/>
    <col min="1631" max="1631" customWidth="1" bestFit="1" width="3.0" style="1122"/>
    <col min="1632" max="1632" customWidth="1" bestFit="1" width="3.0" style="1122"/>
    <col min="1633" max="1633" customWidth="1" bestFit="1" width="3.0" style="1122"/>
    <col min="1634" max="1634" customWidth="1" bestFit="1" width="3.0" style="1122"/>
    <col min="1635" max="1635" customWidth="1" bestFit="1" width="3.0" style="1122"/>
    <col min="1636" max="1636" customWidth="1" bestFit="1" width="3.0" style="1122"/>
    <col min="1637" max="1637" customWidth="1" bestFit="1" width="3.0" style="1122"/>
    <col min="1638" max="1638" customWidth="1" bestFit="1" width="3.0" style="1122"/>
    <col min="1639" max="1639" customWidth="1" bestFit="1" width="3.0" style="1122"/>
    <col min="1640" max="1640" customWidth="1" bestFit="1" width="3.0" style="1122"/>
    <col min="1641" max="1641" customWidth="1" bestFit="1" width="3.0" style="1122"/>
    <col min="1642" max="1642" customWidth="1" bestFit="1" width="3.0" style="1122"/>
    <col min="1643" max="1643" customWidth="1" bestFit="1" width="3.0" style="1122"/>
    <col min="1644" max="1644" customWidth="1" bestFit="1" width="3.0" style="1122"/>
    <col min="1645" max="1645" customWidth="1" bestFit="1" width="3.0" style="1122"/>
    <col min="1646" max="1646" customWidth="1" bestFit="1" width="3.0" style="1122"/>
    <col min="1647" max="1647" customWidth="1" bestFit="1" width="3.0" style="1122"/>
    <col min="1648" max="1648" customWidth="1" bestFit="1" width="3.0" style="1122"/>
    <col min="1649" max="1649" customWidth="1" bestFit="1" width="3.0" style="1122"/>
    <col min="1650" max="1650" customWidth="1" bestFit="1" width="3.0" style="1122"/>
    <col min="1651" max="1651" customWidth="1" bestFit="1" width="3.0" style="1122"/>
    <col min="1652" max="1652" customWidth="1" bestFit="1" width="3.0" style="1122"/>
    <col min="1653" max="1653" customWidth="1" bestFit="1" width="3.0" style="1122"/>
    <col min="1654" max="1654" customWidth="1" bestFit="1" width="3.0" style="1122"/>
    <col min="1655" max="1655" customWidth="1" bestFit="1" width="3.0" style="1122"/>
    <col min="1656" max="1656" customWidth="1" bestFit="1" width="3.0" style="1122"/>
    <col min="1657" max="1657" customWidth="1" bestFit="1" width="3.0" style="1122"/>
    <col min="1658" max="1658" customWidth="1" bestFit="1" width="3.0" style="1122"/>
    <col min="1659" max="1659" customWidth="1" bestFit="1" width="3.0" style="1122"/>
    <col min="1660" max="1660" customWidth="1" bestFit="1" width="3.0" style="1122"/>
    <col min="1661" max="1661" customWidth="1" bestFit="1" width="3.0" style="1122"/>
    <col min="1662" max="1662" customWidth="1" bestFit="1" width="3.0" style="1122"/>
    <col min="1663" max="1663" customWidth="1" bestFit="1" width="3.0" style="1122"/>
    <col min="1664" max="1664" customWidth="1" bestFit="1" width="3.0" style="1122"/>
    <col min="1665" max="1665" customWidth="1" bestFit="1" width="3.0" style="1122"/>
    <col min="1666" max="1666" customWidth="1" bestFit="1" width="3.0" style="1122"/>
    <col min="1667" max="1667" customWidth="1" bestFit="1" width="3.0" style="1122"/>
    <col min="1668" max="1668" customWidth="1" bestFit="1" width="3.0" style="1122"/>
    <col min="1669" max="1669" customWidth="1" bestFit="1" width="3.0" style="1122"/>
    <col min="1670" max="1670" customWidth="1" bestFit="1" width="3.0" style="1122"/>
    <col min="1671" max="1671" customWidth="1" bestFit="1" width="3.0" style="1122"/>
    <col min="1672" max="1672" customWidth="1" bestFit="1" width="3.0" style="1122"/>
    <col min="1673" max="1673" customWidth="1" bestFit="1" width="3.0" style="1122"/>
    <col min="1674" max="1674" customWidth="1" bestFit="1" width="3.0" style="1122"/>
    <col min="1675" max="1675" customWidth="1" bestFit="1" width="3.0" style="1122"/>
    <col min="1676" max="1676" customWidth="1" bestFit="1" width="3.0" style="1122"/>
    <col min="1677" max="1677" customWidth="1" bestFit="1" width="3.0" style="1122"/>
    <col min="1678" max="1678" customWidth="1" bestFit="1" width="3.0" style="1122"/>
    <col min="1679" max="1679" customWidth="1" bestFit="1" width="3.0" style="1122"/>
    <col min="1680" max="1680" customWidth="1" bestFit="1" width="3.0" style="1122"/>
    <col min="1681" max="1681" customWidth="1" bestFit="1" width="3.0" style="1122"/>
    <col min="1682" max="1682" customWidth="1" bestFit="1" width="3.0" style="1122"/>
    <col min="1683" max="1683" customWidth="1" bestFit="1" width="3.0" style="1122"/>
    <col min="1684" max="1684" customWidth="1" bestFit="1" width="3.0" style="1122"/>
    <col min="1685" max="1685" customWidth="1" bestFit="1" width="3.0" style="1122"/>
    <col min="1686" max="1686" customWidth="1" bestFit="1" width="3.0" style="1122"/>
    <col min="1687" max="1687" customWidth="1" bestFit="1" width="3.0" style="1122"/>
    <col min="1688" max="1688" customWidth="1" bestFit="1" width="3.0" style="1122"/>
    <col min="1689" max="1689" customWidth="1" bestFit="1" width="3.0" style="1122"/>
    <col min="1690" max="1690" customWidth="1" bestFit="1" width="3.0" style="1122"/>
    <col min="1691" max="1691" customWidth="1" bestFit="1" width="3.0" style="1122"/>
    <col min="1692" max="1692" customWidth="1" bestFit="1" width="3.0" style="1122"/>
    <col min="1693" max="1693" customWidth="1" bestFit="1" width="3.0" style="1122"/>
    <col min="1694" max="1694" customWidth="1" bestFit="1" width="3.0" style="1122"/>
    <col min="1695" max="1695" customWidth="1" bestFit="1" width="3.0" style="1122"/>
    <col min="1696" max="1696" customWidth="1" bestFit="1" width="3.0" style="1122"/>
    <col min="1697" max="1697" customWidth="1" bestFit="1" width="3.0" style="1122"/>
    <col min="1698" max="1698" customWidth="1" bestFit="1" width="3.0" style="1122"/>
    <col min="1699" max="1699" customWidth="1" bestFit="1" width="3.0" style="1122"/>
    <col min="1700" max="1700" customWidth="1" bestFit="1" width="3.0" style="1122"/>
    <col min="1701" max="1701" customWidth="1" bestFit="1" width="3.0" style="1122"/>
    <col min="1702" max="1702" customWidth="1" bestFit="1" width="3.0" style="1122"/>
    <col min="1703" max="1703" customWidth="1" bestFit="1" width="3.0" style="1122"/>
    <col min="1704" max="1704" customWidth="1" bestFit="1" width="3.0" style="1122"/>
    <col min="1705" max="1705" customWidth="1" bestFit="1" width="3.0" style="1122"/>
    <col min="1706" max="1706" customWidth="1" bestFit="1" width="3.0" style="1122"/>
    <col min="1707" max="1707" customWidth="1" bestFit="1" width="3.0" style="1122"/>
    <col min="1708" max="1708" customWidth="1" bestFit="1" width="3.0" style="1122"/>
    <col min="1709" max="1709" customWidth="1" bestFit="1" width="3.0" style="1122"/>
    <col min="1710" max="1710" customWidth="1" bestFit="1" width="3.0" style="1122"/>
    <col min="1711" max="1711" customWidth="1" bestFit="1" width="3.0" style="1122"/>
    <col min="1712" max="1712" customWidth="1" bestFit="1" width="3.0" style="1122"/>
    <col min="1713" max="1713" customWidth="1" bestFit="1" width="3.0" style="1122"/>
    <col min="1714" max="1714" customWidth="1" bestFit="1" width="3.0" style="1122"/>
    <col min="1715" max="1715" customWidth="1" bestFit="1" width="3.0" style="1122"/>
    <col min="1716" max="1716" customWidth="1" bestFit="1" width="3.0" style="1122"/>
    <col min="1717" max="1717" customWidth="1" bestFit="1" width="3.0" style="1122"/>
    <col min="1718" max="1718" customWidth="1" bestFit="1" width="3.0" style="1122"/>
    <col min="1719" max="1719" customWidth="1" bestFit="1" width="3.0" style="1122"/>
    <col min="1720" max="1720" customWidth="1" bestFit="1" width="3.0" style="1122"/>
    <col min="1721" max="1721" customWidth="1" bestFit="1" width="3.0" style="1122"/>
    <col min="1722" max="1722" customWidth="1" bestFit="1" width="3.0" style="1122"/>
    <col min="1723" max="1723" customWidth="1" bestFit="1" width="3.0" style="1122"/>
    <col min="1724" max="1724" customWidth="1" bestFit="1" width="3.0" style="1122"/>
    <col min="1725" max="1725" customWidth="1" bestFit="1" width="3.0" style="1122"/>
    <col min="1726" max="1726" customWidth="1" bestFit="1" width="3.0" style="1122"/>
    <col min="1727" max="1727" customWidth="1" bestFit="1" width="3.0" style="1122"/>
    <col min="1728" max="1728" customWidth="1" bestFit="1" width="3.0" style="1122"/>
    <col min="1729" max="1729" customWidth="1" bestFit="1" width="3.0" style="1122"/>
    <col min="1730" max="1730" customWidth="1" bestFit="1" width="3.0" style="1122"/>
    <col min="1731" max="1731" customWidth="1" bestFit="1" width="3.0" style="1122"/>
    <col min="1732" max="1732" customWidth="1" bestFit="1" width="3.0" style="1122"/>
    <col min="1733" max="1733" customWidth="1" bestFit="1" width="3.0" style="1122"/>
    <col min="1734" max="1734" customWidth="1" bestFit="1" width="3.0" style="1122"/>
    <col min="1735" max="1735" customWidth="1" bestFit="1" width="3.0" style="1122"/>
    <col min="1736" max="1736" customWidth="1" bestFit="1" width="3.0" style="1122"/>
    <col min="1737" max="1737" customWidth="1" bestFit="1" width="3.0" style="1122"/>
    <col min="1738" max="1738" customWidth="1" bestFit="1" width="3.0" style="1122"/>
    <col min="1739" max="1739" customWidth="1" bestFit="1" width="3.0" style="1122"/>
    <col min="1740" max="1740" customWidth="1" bestFit="1" width="3.0" style="1122"/>
    <col min="1741" max="1741" customWidth="1" bestFit="1" width="3.0" style="1122"/>
    <col min="1742" max="1742" customWidth="1" bestFit="1" width="3.0" style="1122"/>
    <col min="1743" max="1743" customWidth="1" bestFit="1" width="3.0" style="1122"/>
    <col min="1744" max="1744" customWidth="1" bestFit="1" width="3.0" style="1122"/>
    <col min="1745" max="1745" customWidth="1" bestFit="1" width="3.0" style="1122"/>
    <col min="1746" max="1746" customWidth="1" bestFit="1" width="3.0" style="1122"/>
    <col min="1747" max="1747" customWidth="1" bestFit="1" width="3.0" style="1122"/>
    <col min="1748" max="1748" customWidth="1" bestFit="1" width="3.0" style="1122"/>
    <col min="1749" max="1749" customWidth="1" bestFit="1" width="3.0" style="1122"/>
    <col min="1750" max="1750" customWidth="1" bestFit="1" width="3.0" style="1122"/>
    <col min="1751" max="1751" customWidth="1" bestFit="1" width="3.0" style="1122"/>
    <col min="1752" max="1752" customWidth="1" bestFit="1" width="3.0" style="1122"/>
    <col min="1753" max="1753" customWidth="1" bestFit="1" width="3.0" style="1122"/>
    <col min="1754" max="1754" customWidth="1" bestFit="1" width="3.0" style="1122"/>
    <col min="1755" max="1755" customWidth="1" bestFit="1" width="3.0" style="1122"/>
    <col min="1756" max="1756" customWidth="1" bestFit="1" width="3.0" style="1122"/>
    <col min="1757" max="1757" customWidth="1" bestFit="1" width="3.0" style="1122"/>
    <col min="1758" max="1758" customWidth="1" bestFit="1" width="3.0" style="1122"/>
    <col min="1759" max="1759" customWidth="1" bestFit="1" width="3.0" style="1122"/>
    <col min="1760" max="1760" customWidth="1" bestFit="1" width="3.0" style="1122"/>
    <col min="1761" max="1761" customWidth="1" bestFit="1" width="3.0" style="1122"/>
    <col min="1762" max="1762" customWidth="1" bestFit="1" width="3.0" style="1122"/>
    <col min="1763" max="1763" customWidth="1" bestFit="1" width="3.0" style="1122"/>
    <col min="1764" max="1764" customWidth="1" bestFit="1" width="3.0" style="1122"/>
    <col min="1765" max="1765" customWidth="1" bestFit="1" width="3.0" style="1122"/>
    <col min="1766" max="1766" customWidth="1" bestFit="1" width="3.0" style="1122"/>
    <col min="1767" max="1767" customWidth="1" bestFit="1" width="3.0" style="1122"/>
    <col min="1768" max="1768" customWidth="1" bestFit="1" width="3.0" style="1122"/>
    <col min="1769" max="1769" customWidth="1" bestFit="1" width="3.0" style="1122"/>
    <col min="1770" max="1770" customWidth="1" bestFit="1" width="3.0" style="1122"/>
    <col min="1771" max="1771" customWidth="1" bestFit="1" width="3.0" style="1122"/>
    <col min="1772" max="1772" customWidth="1" bestFit="1" width="3.0" style="1122"/>
    <col min="1773" max="1773" customWidth="1" bestFit="1" width="3.0" style="1122"/>
    <col min="1774" max="1774" customWidth="1" bestFit="1" width="3.0" style="1122"/>
    <col min="1775" max="1775" customWidth="1" bestFit="1" width="3.0" style="1122"/>
    <col min="1776" max="1776" customWidth="1" bestFit="1" width="3.0" style="1122"/>
    <col min="1777" max="1777" customWidth="1" bestFit="1" width="3.0" style="1122"/>
    <col min="1778" max="1778" customWidth="1" bestFit="1" width="3.0" style="1122"/>
    <col min="1779" max="1779" customWidth="1" bestFit="1" width="3.0" style="1122"/>
    <col min="1780" max="1780" customWidth="1" bestFit="1" width="3.0" style="1122"/>
    <col min="1781" max="1781" customWidth="1" bestFit="1" width="3.0" style="1122"/>
    <col min="1782" max="1782" customWidth="1" bestFit="1" width="3.0" style="1122"/>
    <col min="1783" max="1783" customWidth="1" bestFit="1" width="3.0" style="1122"/>
    <col min="1784" max="1784" customWidth="1" bestFit="1" width="3.0" style="1122"/>
    <col min="1785" max="1785" customWidth="1" bestFit="1" width="3.0" style="1122"/>
    <col min="1786" max="1786" customWidth="1" bestFit="1" width="3.0" style="1122"/>
    <col min="1787" max="1787" customWidth="1" bestFit="1" width="3.0" style="1122"/>
    <col min="1788" max="1788" customWidth="1" bestFit="1" width="3.0" style="1122"/>
    <col min="1789" max="1789" customWidth="1" bestFit="1" width="3.0" style="1122"/>
    <col min="1790" max="1790" customWidth="1" bestFit="1" width="3.0" style="1122"/>
    <col min="1791" max="1791" customWidth="1" bestFit="1" width="3.0" style="1122"/>
    <col min="1792" max="1792" customWidth="1" bestFit="1" width="3.0" style="1122"/>
    <col min="1793" max="1793" customWidth="1" bestFit="1" width="3.0" style="1122"/>
    <col min="1794" max="1794" customWidth="1" bestFit="1" width="3.0" style="1122"/>
    <col min="1795" max="1795" customWidth="1" bestFit="1" width="3.0" style="1122"/>
    <col min="1796" max="1796" customWidth="1" bestFit="1" width="3.0" style="1122"/>
    <col min="1797" max="1797" customWidth="1" bestFit="1" width="3.0" style="1122"/>
    <col min="1798" max="1798" customWidth="1" bestFit="1" width="3.0" style="1122"/>
    <col min="1799" max="1799" customWidth="1" bestFit="1" width="3.0" style="1122"/>
    <col min="1800" max="1800" customWidth="1" bestFit="1" width="3.0" style="1122"/>
    <col min="1801" max="1801" customWidth="1" bestFit="1" width="3.0" style="1122"/>
    <col min="1802" max="1802" customWidth="1" bestFit="1" width="3.0" style="1122"/>
    <col min="1803" max="1803" customWidth="1" bestFit="1" width="3.0" style="1122"/>
    <col min="1804" max="1804" customWidth="1" bestFit="1" width="3.0" style="1122"/>
    <col min="1805" max="1805" customWidth="1" bestFit="1" width="3.0" style="1122"/>
    <col min="1806" max="1806" customWidth="1" bestFit="1" width="3.0" style="1122"/>
    <col min="1807" max="1807" customWidth="1" bestFit="1" width="3.0" style="1122"/>
    <col min="1808" max="1808" customWidth="1" bestFit="1" width="3.0" style="1122"/>
    <col min="1809" max="1809" customWidth="1" bestFit="1" width="3.0" style="1122"/>
    <col min="1810" max="1810" customWidth="1" bestFit="1" width="3.0" style="1122"/>
    <col min="1811" max="1811" customWidth="1" bestFit="1" width="3.0" style="1122"/>
    <col min="1812" max="1812" customWidth="1" bestFit="1" width="3.0" style="1122"/>
    <col min="1813" max="1813" customWidth="1" bestFit="1" width="3.0" style="1122"/>
    <col min="1814" max="1814" customWidth="1" bestFit="1" width="3.0" style="1122"/>
    <col min="1815" max="1815" customWidth="1" bestFit="1" width="3.0" style="1122"/>
    <col min="1816" max="1816" customWidth="1" bestFit="1" width="3.0" style="1122"/>
    <col min="1817" max="1817" customWidth="1" bestFit="1" width="3.0" style="1122"/>
    <col min="1818" max="1818" customWidth="1" bestFit="1" width="3.0" style="1122"/>
    <col min="1819" max="1819" customWidth="1" bestFit="1" width="3.0" style="1122"/>
    <col min="1820" max="1820" customWidth="1" bestFit="1" width="3.0" style="1122"/>
    <col min="1821" max="1821" customWidth="1" bestFit="1" width="3.0" style="1122"/>
    <col min="1822" max="1822" customWidth="1" bestFit="1" width="3.0" style="1122"/>
    <col min="1823" max="1823" customWidth="1" bestFit="1" width="3.0" style="1122"/>
    <col min="1824" max="1824" customWidth="1" bestFit="1" width="3.0" style="1122"/>
    <col min="1825" max="1825" customWidth="1" bestFit="1" width="3.0" style="1122"/>
    <col min="1826" max="1826" customWidth="1" bestFit="1" width="3.0" style="1122"/>
    <col min="1827" max="1827" customWidth="1" bestFit="1" width="3.0" style="1122"/>
    <col min="1828" max="1828" customWidth="1" bestFit="1" width="3.0" style="1122"/>
    <col min="1829" max="1829" customWidth="1" bestFit="1" width="3.0" style="1122"/>
    <col min="1830" max="1830" customWidth="1" bestFit="1" width="3.0" style="1122"/>
    <col min="1831" max="1831" customWidth="1" bestFit="1" width="3.0" style="1122"/>
    <col min="1832" max="1832" customWidth="1" bestFit="1" width="3.0" style="1122"/>
    <col min="1833" max="1833" customWidth="1" bestFit="1" width="3.0" style="1122"/>
    <col min="1834" max="1834" customWidth="1" bestFit="1" width="3.0" style="1122"/>
    <col min="1835" max="1835" customWidth="1" bestFit="1" width="3.0" style="1122"/>
    <col min="1836" max="1836" customWidth="1" bestFit="1" width="3.0" style="1122"/>
    <col min="1837" max="1837" customWidth="1" bestFit="1" width="3.0" style="1122"/>
    <col min="1838" max="1838" customWidth="1" bestFit="1" width="3.0" style="1122"/>
    <col min="1839" max="1839" customWidth="1" bestFit="1" width="3.0" style="1122"/>
    <col min="1840" max="1840" customWidth="1" bestFit="1" width="3.0" style="1122"/>
    <col min="1841" max="1841" customWidth="1" bestFit="1" width="3.0" style="1122"/>
    <col min="1842" max="1842" customWidth="1" bestFit="1" width="3.0" style="1122"/>
    <col min="1843" max="1843" customWidth="1" bestFit="1" width="3.0" style="1122"/>
    <col min="1844" max="1844" customWidth="1" bestFit="1" width="3.0" style="1122"/>
    <col min="1845" max="1845" customWidth="1" bestFit="1" width="3.0" style="1122"/>
    <col min="1846" max="1846" customWidth="1" bestFit="1" width="3.0" style="1122"/>
    <col min="1847" max="1847" customWidth="1" bestFit="1" width="3.0" style="1122"/>
    <col min="1848" max="1848" customWidth="1" bestFit="1" width="3.0" style="1122"/>
    <col min="1849" max="1849" customWidth="1" bestFit="1" width="3.0" style="1122"/>
    <col min="1850" max="1850" customWidth="1" bestFit="1" width="3.0" style="1122"/>
    <col min="1851" max="1851" customWidth="1" bestFit="1" width="3.0" style="1122"/>
    <col min="1852" max="1852" customWidth="1" bestFit="1" width="3.0" style="1122"/>
    <col min="1853" max="1853" customWidth="1" bestFit="1" width="3.0" style="1122"/>
    <col min="1854" max="1854" customWidth="1" bestFit="1" width="3.0" style="1122"/>
    <col min="1855" max="1855" customWidth="1" bestFit="1" width="3.0" style="1122"/>
    <col min="1856" max="1856" customWidth="1" bestFit="1" width="3.0" style="1122"/>
    <col min="1857" max="1857" customWidth="1" bestFit="1" width="3.0" style="1122"/>
    <col min="1858" max="1858" customWidth="1" bestFit="1" width="3.0" style="1122"/>
    <col min="1859" max="1859" customWidth="1" bestFit="1" width="3.0" style="1122"/>
    <col min="1860" max="1860" customWidth="1" bestFit="1" width="3.0" style="1122"/>
    <col min="1861" max="1861" customWidth="1" bestFit="1" width="3.0" style="1122"/>
    <col min="1862" max="1862" customWidth="1" bestFit="1" width="3.0" style="1122"/>
    <col min="1863" max="1863" customWidth="1" bestFit="1" width="3.0" style="1122"/>
    <col min="1864" max="1864" customWidth="1" bestFit="1" width="3.0" style="1122"/>
    <col min="1865" max="1865" customWidth="1" bestFit="1" width="3.0" style="1122"/>
    <col min="1866" max="1866" customWidth="1" bestFit="1" width="3.0" style="1122"/>
    <col min="1867" max="1867" customWidth="1" bestFit="1" width="3.0" style="1122"/>
    <col min="1868" max="1868" customWidth="1" bestFit="1" width="3.0" style="1122"/>
    <col min="1869" max="1869" customWidth="1" bestFit="1" width="3.0" style="1122"/>
    <col min="1870" max="1870" customWidth="1" bestFit="1" width="3.0" style="1122"/>
    <col min="1871" max="1871" customWidth="1" bestFit="1" width="3.0" style="1122"/>
    <col min="1872" max="1872" customWidth="1" bestFit="1" width="3.0" style="1122"/>
    <col min="1873" max="1873" customWidth="1" bestFit="1" width="3.0" style="1122"/>
    <col min="1874" max="1874" customWidth="1" bestFit="1" width="3.0" style="1122"/>
    <col min="1875" max="1875" customWidth="1" bestFit="1" width="3.0" style="1122"/>
    <col min="1876" max="1876" customWidth="1" bestFit="1" width="3.0" style="1122"/>
    <col min="1877" max="1877" customWidth="1" bestFit="1" width="3.0" style="1122"/>
    <col min="1878" max="1878" customWidth="1" bestFit="1" width="3.0" style="1122"/>
    <col min="1879" max="1879" customWidth="1" bestFit="1" width="3.0" style="1122"/>
    <col min="1880" max="1880" customWidth="1" bestFit="1" width="3.0" style="1122"/>
    <col min="1881" max="1881" customWidth="1" bestFit="1" width="3.0" style="1122"/>
    <col min="1882" max="1882" customWidth="1" bestFit="1" width="3.0" style="1122"/>
    <col min="1883" max="1883" customWidth="1" bestFit="1" width="3.0" style="1122"/>
    <col min="1884" max="1884" customWidth="1" bestFit="1" width="3.0" style="1122"/>
    <col min="1885" max="1885" customWidth="1" bestFit="1" width="3.0" style="1122"/>
    <col min="1886" max="1886" customWidth="1" bestFit="1" width="3.0" style="1122"/>
    <col min="1887" max="1887" customWidth="1" bestFit="1" width="3.0" style="1122"/>
    <col min="1888" max="1888" customWidth="1" bestFit="1" width="3.0" style="1122"/>
    <col min="1889" max="1889" customWidth="1" bestFit="1" width="3.0" style="1122"/>
    <col min="1890" max="1890" customWidth="1" bestFit="1" width="3.0" style="1122"/>
    <col min="1891" max="1891" customWidth="1" bestFit="1" width="3.0" style="1122"/>
    <col min="1892" max="1892" customWidth="1" bestFit="1" width="3.0" style="1122"/>
    <col min="1893" max="1893" customWidth="1" bestFit="1" width="3.0" style="1122"/>
    <col min="1894" max="1894" customWidth="1" bestFit="1" width="3.0" style="1122"/>
    <col min="1895" max="1895" customWidth="1" bestFit="1" width="3.0" style="1122"/>
    <col min="1896" max="1896" customWidth="1" bestFit="1" width="3.0" style="1122"/>
    <col min="1897" max="1897" customWidth="1" bestFit="1" width="3.0" style="1122"/>
    <col min="1898" max="1898" customWidth="1" bestFit="1" width="3.0" style="1122"/>
    <col min="1899" max="1899" customWidth="1" bestFit="1" width="3.0" style="1122"/>
    <col min="1900" max="1900" customWidth="1" bestFit="1" width="3.0" style="1122"/>
    <col min="1901" max="1901" customWidth="1" bestFit="1" width="3.0" style="1122"/>
    <col min="1902" max="1902" customWidth="1" bestFit="1" width="3.0" style="1122"/>
    <col min="1903" max="1903" customWidth="1" bestFit="1" width="3.0" style="1122"/>
    <col min="1904" max="1904" customWidth="1" bestFit="1" width="3.0" style="1122"/>
    <col min="1905" max="1905" customWidth="1" bestFit="1" width="3.0" style="1122"/>
    <col min="1906" max="1906" customWidth="1" bestFit="1" width="3.0" style="1122"/>
    <col min="1907" max="1907" customWidth="1" bestFit="1" width="3.0" style="1122"/>
    <col min="1908" max="1908" customWidth="1" bestFit="1" width="3.0" style="1122"/>
    <col min="1909" max="1909" customWidth="1" bestFit="1" width="3.0" style="1122"/>
    <col min="1910" max="1910" customWidth="1" bestFit="1" width="3.0" style="1122"/>
    <col min="1911" max="1911" customWidth="1" bestFit="1" width="3.0" style="1122"/>
    <col min="1912" max="1912" customWidth="1" bestFit="1" width="3.0" style="1122"/>
    <col min="1913" max="1913" customWidth="1" bestFit="1" width="3.0" style="1122"/>
    <col min="1914" max="1914" customWidth="1" bestFit="1" width="3.0" style="1122"/>
    <col min="1915" max="1915" customWidth="1" bestFit="1" width="3.0" style="1122"/>
    <col min="1916" max="1916" customWidth="1" bestFit="1" width="3.0" style="1122"/>
    <col min="1917" max="1917" customWidth="1" bestFit="1" width="3.0" style="1122"/>
    <col min="1918" max="1918" customWidth="1" bestFit="1" width="3.0" style="1122"/>
    <col min="1919" max="1919" customWidth="1" bestFit="1" width="3.0" style="1122"/>
    <col min="1920" max="1920" customWidth="1" bestFit="1" width="3.0" style="1122"/>
    <col min="1921" max="1921" customWidth="1" bestFit="1" width="3.0" style="1122"/>
    <col min="1922" max="1922" customWidth="1" bestFit="1" width="3.0" style="1122"/>
    <col min="1923" max="1923" customWidth="1" bestFit="1" width="3.0" style="1122"/>
    <col min="1924" max="1924" customWidth="1" bestFit="1" width="3.0" style="1122"/>
    <col min="1925" max="1925" customWidth="1" bestFit="1" width="3.0" style="1122"/>
    <col min="1926" max="1926" customWidth="1" bestFit="1" width="3.0" style="1122"/>
    <col min="1927" max="1927" customWidth="1" bestFit="1" width="3.0" style="1122"/>
    <col min="1928" max="1928" customWidth="1" bestFit="1" width="3.0" style="1122"/>
    <col min="1929" max="1929" customWidth="1" bestFit="1" width="3.0" style="1122"/>
    <col min="1930" max="1930" customWidth="1" bestFit="1" width="3.0" style="1122"/>
    <col min="1931" max="1931" customWidth="1" bestFit="1" width="3.0" style="1122"/>
    <col min="1932" max="1932" customWidth="1" bestFit="1" width="3.0" style="1122"/>
    <col min="1933" max="1933" customWidth="1" bestFit="1" width="3.0" style="1122"/>
    <col min="1934" max="1934" customWidth="1" bestFit="1" width="3.0" style="1122"/>
    <col min="1935" max="1935" customWidth="1" bestFit="1" width="3.0" style="1122"/>
    <col min="1936" max="1936" customWidth="1" bestFit="1" width="3.0" style="1122"/>
    <col min="1937" max="1937" customWidth="1" bestFit="1" width="3.0" style="1122"/>
    <col min="1938" max="1938" customWidth="1" bestFit="1" width="3.0" style="1122"/>
    <col min="1939" max="1939" customWidth="1" bestFit="1" width="3.0" style="1122"/>
    <col min="1940" max="1940" customWidth="1" bestFit="1" width="3.0" style="1122"/>
    <col min="1941" max="1941" customWidth="1" bestFit="1" width="3.0" style="1122"/>
    <col min="1942" max="1942" customWidth="1" bestFit="1" width="3.0" style="1122"/>
    <col min="1943" max="1943" customWidth="1" bestFit="1" width="3.0" style="1122"/>
    <col min="1944" max="1944" customWidth="1" bestFit="1" width="3.0" style="1122"/>
    <col min="1945" max="1945" customWidth="1" bestFit="1" width="3.0" style="1122"/>
    <col min="1946" max="1946" customWidth="1" bestFit="1" width="3.0" style="1122"/>
    <col min="1947" max="1947" customWidth="1" bestFit="1" width="3.0" style="1122"/>
    <col min="1948" max="1948" customWidth="1" bestFit="1" width="3.0" style="1122"/>
    <col min="1949" max="1949" customWidth="1" bestFit="1" width="3.0" style="1122"/>
    <col min="1950" max="1950" customWidth="1" bestFit="1" width="3.0" style="1122"/>
    <col min="1951" max="1951" customWidth="1" bestFit="1" width="3.0" style="1122"/>
    <col min="1952" max="1952" customWidth="1" bestFit="1" width="3.0" style="1122"/>
    <col min="1953" max="1953" customWidth="1" bestFit="1" width="3.0" style="1122"/>
    <col min="1954" max="1954" customWidth="1" bestFit="1" width="3.0" style="1122"/>
    <col min="1955" max="1955" customWidth="1" bestFit="1" width="3.0" style="1122"/>
    <col min="1956" max="1956" customWidth="1" bestFit="1" width="3.0" style="1122"/>
    <col min="1957" max="1957" customWidth="1" bestFit="1" width="3.0" style="1122"/>
    <col min="1958" max="1958" customWidth="1" bestFit="1" width="3.0" style="1122"/>
    <col min="1959" max="1959" customWidth="1" bestFit="1" width="3.0" style="1122"/>
    <col min="1960" max="1960" customWidth="1" bestFit="1" width="3.0" style="1122"/>
    <col min="1961" max="1961" customWidth="1" bestFit="1" width="3.0" style="1122"/>
    <col min="1962" max="1962" customWidth="1" bestFit="1" width="3.0" style="1122"/>
    <col min="1963" max="1963" customWidth="1" bestFit="1" width="3.0" style="1122"/>
    <col min="1964" max="1964" customWidth="1" bestFit="1" width="3.0" style="1122"/>
    <col min="1965" max="1965" customWidth="1" bestFit="1" width="3.0" style="1122"/>
    <col min="1966" max="1966" customWidth="1" bestFit="1" width="3.0" style="1122"/>
    <col min="1967" max="1967" customWidth="1" bestFit="1" width="3.0" style="1122"/>
    <col min="1968" max="1968" customWidth="1" bestFit="1" width="3.0" style="1122"/>
    <col min="1969" max="1969" customWidth="1" bestFit="1" width="3.0" style="1122"/>
    <col min="1970" max="1970" customWidth="1" bestFit="1" width="3.0" style="1122"/>
    <col min="1971" max="1971" customWidth="1" bestFit="1" width="3.0" style="1122"/>
    <col min="1972" max="1972" customWidth="1" bestFit="1" width="3.0" style="1122"/>
    <col min="1973" max="1973" customWidth="1" bestFit="1" width="3.0" style="1122"/>
    <col min="1974" max="1974" customWidth="1" bestFit="1" width="3.0" style="1122"/>
    <col min="1975" max="1975" customWidth="1" bestFit="1" width="3.0" style="1122"/>
    <col min="1976" max="1976" customWidth="1" bestFit="1" width="3.0" style="1122"/>
    <col min="1977" max="1977" customWidth="1" bestFit="1" width="3.0" style="1122"/>
    <col min="1978" max="1978" customWidth="1" bestFit="1" width="3.0" style="1122"/>
    <col min="1979" max="1979" customWidth="1" bestFit="1" width="3.0" style="1122"/>
    <col min="1980" max="1980" customWidth="1" bestFit="1" width="3.0" style="1122"/>
    <col min="1981" max="1981" customWidth="1" bestFit="1" width="3.0" style="1122"/>
    <col min="1982" max="1982" customWidth="1" bestFit="1" width="3.0" style="1122"/>
    <col min="1983" max="1983" customWidth="1" bestFit="1" width="3.0" style="1122"/>
    <col min="1984" max="1984" customWidth="1" bestFit="1" width="3.0" style="1122"/>
    <col min="1985" max="1985" customWidth="1" bestFit="1" width="3.0" style="1122"/>
    <col min="1986" max="1986" customWidth="1" bestFit="1" width="3.0" style="1122"/>
    <col min="1987" max="1987" customWidth="1" bestFit="1" width="3.0" style="1122"/>
    <col min="1988" max="1988" customWidth="1" bestFit="1" width="3.0" style="1122"/>
    <col min="1989" max="1989" customWidth="1" bestFit="1" width="3.0" style="1122"/>
    <col min="1990" max="1990" customWidth="1" bestFit="1" width="3.0" style="1122"/>
    <col min="1991" max="1991" customWidth="1" bestFit="1" width="3.0" style="1122"/>
    <col min="1992" max="1992" customWidth="1" bestFit="1" width="3.0" style="1122"/>
    <col min="1993" max="1993" customWidth="1" bestFit="1" width="3.0" style="1122"/>
    <col min="1994" max="1994" customWidth="1" bestFit="1" width="3.0" style="1122"/>
    <col min="1995" max="1995" customWidth="1" bestFit="1" width="3.0" style="1122"/>
    <col min="1996" max="1996" customWidth="1" bestFit="1" width="3.0" style="1122"/>
    <col min="1997" max="1997" customWidth="1" bestFit="1" width="3.0" style="1122"/>
    <col min="1998" max="1998" customWidth="1" bestFit="1" width="3.0" style="1122"/>
    <col min="1999" max="1999" customWidth="1" bestFit="1" width="3.0" style="1122"/>
    <col min="2000" max="2000" customWidth="1" bestFit="1" width="3.0" style="1122"/>
    <col min="2001" max="2001" customWidth="1" bestFit="1" width="3.0" style="1122"/>
    <col min="2002" max="2002" customWidth="1" bestFit="1" width="3.0" style="1122"/>
    <col min="2003" max="2003" customWidth="1" bestFit="1" width="3.0" style="1122"/>
    <col min="2004" max="2004" customWidth="1" bestFit="1" width="3.0" style="1122"/>
    <col min="2005" max="2005" customWidth="1" bestFit="1" width="3.0" style="1122"/>
    <col min="2006" max="2006" customWidth="1" bestFit="1" width="3.0" style="1122"/>
    <col min="2007" max="2007" customWidth="1" bestFit="1" width="3.0" style="1122"/>
    <col min="2008" max="2008" customWidth="1" bestFit="1" width="3.0" style="1122"/>
    <col min="2009" max="2009" customWidth="1" bestFit="1" width="3.0" style="1122"/>
    <col min="2010" max="2010" customWidth="1" bestFit="1" width="3.0" style="1122"/>
    <col min="2011" max="2011" customWidth="1" bestFit="1" width="3.0" style="1122"/>
    <col min="2012" max="2012" customWidth="1" bestFit="1" width="3.0" style="1122"/>
    <col min="2013" max="2013" customWidth="1" bestFit="1" width="3.0" style="1122"/>
    <col min="2014" max="2014" customWidth="1" bestFit="1" width="3.0" style="1122"/>
    <col min="2015" max="2015" customWidth="1" bestFit="1" width="3.0" style="1122"/>
    <col min="2016" max="2016" customWidth="1" bestFit="1" width="3.0" style="1122"/>
    <col min="2017" max="2017" customWidth="1" bestFit="1" width="3.0" style="1122"/>
    <col min="2018" max="2018" customWidth="1" bestFit="1" width="3.0" style="1122"/>
    <col min="2019" max="2019" customWidth="1" bestFit="1" width="3.0" style="1122"/>
    <col min="2020" max="2020" customWidth="1" bestFit="1" width="3.0" style="1122"/>
    <col min="2021" max="2021" customWidth="1" bestFit="1" width="3.0" style="1122"/>
    <col min="2022" max="2022" customWidth="1" bestFit="1" width="3.0" style="1122"/>
    <col min="2023" max="2023" customWidth="1" bestFit="1" width="3.0" style="1122"/>
    <col min="2024" max="2024" customWidth="1" bestFit="1" width="3.0" style="1122"/>
    <col min="2025" max="2025" customWidth="1" bestFit="1" width="3.0" style="1122"/>
    <col min="2026" max="2026" customWidth="1" bestFit="1" width="3.0" style="1122"/>
    <col min="2027" max="2027" customWidth="1" bestFit="1" width="3.0" style="1122"/>
    <col min="2028" max="2028" customWidth="1" bestFit="1" width="3.0" style="1122"/>
    <col min="2029" max="2029" customWidth="1" bestFit="1" width="3.0" style="1122"/>
    <col min="2030" max="2030" customWidth="1" bestFit="1" width="3.0" style="1122"/>
    <col min="2031" max="2031" customWidth="1" bestFit="1" width="3.0" style="1122"/>
    <col min="2032" max="2032" customWidth="1" bestFit="1" width="3.0" style="1122"/>
    <col min="2033" max="2033" customWidth="1" bestFit="1" width="3.0" style="1122"/>
    <col min="2034" max="2034" customWidth="1" bestFit="1" width="3.0" style="1122"/>
    <col min="2035" max="2035" customWidth="1" bestFit="1" width="3.0" style="1122"/>
    <col min="2036" max="2036" customWidth="1" bestFit="1" width="3.0" style="1122"/>
    <col min="2037" max="2037" customWidth="1" bestFit="1" width="3.0" style="1122"/>
    <col min="2038" max="2038" customWidth="1" bestFit="1" width="3.0" style="1122"/>
    <col min="2039" max="2039" customWidth="1" bestFit="1" width="3.0" style="1122"/>
    <col min="2040" max="2040" customWidth="1" bestFit="1" width="3.0" style="1122"/>
    <col min="2041" max="2041" customWidth="1" bestFit="1" width="3.0" style="1122"/>
    <col min="2042" max="2042" customWidth="1" bestFit="1" width="3.0" style="1122"/>
    <col min="2043" max="2043" customWidth="1" bestFit="1" width="3.0" style="1122"/>
    <col min="2044" max="2044" customWidth="1" bestFit="1" width="3.0" style="1122"/>
    <col min="2045" max="2045" customWidth="1" bestFit="1" width="3.0" style="1122"/>
    <col min="2046" max="2046" customWidth="1" bestFit="1" width="3.0" style="1122"/>
    <col min="2047" max="2047" customWidth="1" bestFit="1" width="3.0" style="1122"/>
    <col min="2048" max="2048" customWidth="1" bestFit="1" width="3.0" style="1122"/>
    <col min="2049" max="2049" customWidth="1" bestFit="1" width="3.0" style="1122"/>
    <col min="2050" max="2050" customWidth="1" bestFit="1" width="3.0" style="1122"/>
    <col min="2051" max="2051" customWidth="1" bestFit="1" width="3.0" style="1122"/>
    <col min="2052" max="2052" customWidth="1" bestFit="1" width="3.0" style="1122"/>
    <col min="2053" max="2053" customWidth="1" bestFit="1" width="3.0" style="1122"/>
    <col min="2054" max="2054" customWidth="1" bestFit="1" width="3.0" style="1122"/>
    <col min="2055" max="2055" customWidth="1" bestFit="1" width="3.0" style="1122"/>
    <col min="2056" max="2056" customWidth="1" bestFit="1" width="3.0" style="1122"/>
    <col min="2057" max="2057" customWidth="1" bestFit="1" width="3.0" style="1122"/>
    <col min="2058" max="2058" customWidth="1" bestFit="1" width="3.0" style="1122"/>
    <col min="2059" max="2059" customWidth="1" bestFit="1" width="3.0" style="1122"/>
    <col min="2060" max="2060" customWidth="1" bestFit="1" width="3.0" style="1122"/>
    <col min="2061" max="2061" customWidth="1" bestFit="1" width="3.0" style="1122"/>
    <col min="2062" max="2062" customWidth="1" bestFit="1" width="3.0" style="1122"/>
    <col min="2063" max="2063" customWidth="1" bestFit="1" width="3.0" style="1122"/>
    <col min="2064" max="2064" customWidth="1" bestFit="1" width="3.0" style="1122"/>
    <col min="2065" max="2065" customWidth="1" bestFit="1" width="3.0" style="1122"/>
    <col min="2066" max="2066" customWidth="1" bestFit="1" width="3.0" style="1122"/>
    <col min="2067" max="2067" customWidth="1" bestFit="1" width="3.0" style="1122"/>
    <col min="2068" max="2068" customWidth="1" bestFit="1" width="3.0" style="1122"/>
    <col min="2069" max="2069" customWidth="1" bestFit="1" width="3.0" style="1122"/>
    <col min="2070" max="2070" customWidth="1" bestFit="1" width="3.0" style="1122"/>
    <col min="2071" max="2071" customWidth="1" bestFit="1" width="3.0" style="1122"/>
    <col min="2072" max="2072" customWidth="1" bestFit="1" width="3.0" style="1122"/>
    <col min="2073" max="2073" customWidth="1" bestFit="1" width="3.0" style="1122"/>
    <col min="2074" max="2074" customWidth="1" bestFit="1" width="3.0" style="1122"/>
    <col min="2075" max="2075" customWidth="1" bestFit="1" width="3.0" style="1122"/>
    <col min="2076" max="2076" customWidth="1" bestFit="1" width="3.0" style="1122"/>
    <col min="2077" max="2077" customWidth="1" bestFit="1" width="3.0" style="1122"/>
    <col min="2078" max="2078" customWidth="1" bestFit="1" width="3.0" style="1122"/>
    <col min="2079" max="2079" customWidth="1" bestFit="1" width="3.0" style="1122"/>
    <col min="2080" max="2080" customWidth="1" bestFit="1" width="3.0" style="1122"/>
    <col min="2081" max="2081" customWidth="1" bestFit="1" width="3.0" style="1122"/>
    <col min="2082" max="2082" customWidth="1" bestFit="1" width="3.0" style="1122"/>
    <col min="2083" max="2083" customWidth="1" bestFit="1" width="3.0" style="1122"/>
    <col min="2084" max="2084" customWidth="1" bestFit="1" width="3.0" style="1122"/>
    <col min="2085" max="2085" customWidth="1" bestFit="1" width="3.0" style="1122"/>
    <col min="2086" max="2086" customWidth="1" bestFit="1" width="3.0" style="1122"/>
    <col min="2087" max="2087" customWidth="1" bestFit="1" width="3.0" style="1122"/>
    <col min="2088" max="2088" customWidth="1" bestFit="1" width="3.0" style="1122"/>
    <col min="2089" max="2089" customWidth="1" bestFit="1" width="3.0" style="1122"/>
    <col min="2090" max="2090" customWidth="1" bestFit="1" width="3.0" style="1122"/>
    <col min="2091" max="2091" customWidth="1" bestFit="1" width="3.0" style="1122"/>
    <col min="2092" max="2092" customWidth="1" bestFit="1" width="3.0" style="1122"/>
    <col min="2093" max="2093" customWidth="1" bestFit="1" width="3.0" style="1122"/>
    <col min="2094" max="2094" customWidth="1" bestFit="1" width="3.0" style="1122"/>
    <col min="2095" max="2095" customWidth="1" bestFit="1" width="3.0" style="1122"/>
    <col min="2096" max="2096" customWidth="1" bestFit="1" width="3.0" style="1122"/>
    <col min="2097" max="2097" customWidth="1" bestFit="1" width="3.0" style="1122"/>
    <col min="2098" max="2098" customWidth="1" bestFit="1" width="3.0" style="1122"/>
    <col min="2099" max="2099" customWidth="1" bestFit="1" width="3.0" style="1122"/>
    <col min="2100" max="2100" customWidth="1" bestFit="1" width="3.0" style="1122"/>
    <col min="2101" max="2101" customWidth="1" bestFit="1" width="3.0" style="1122"/>
    <col min="2102" max="2102" customWidth="1" bestFit="1" width="3.0" style="1122"/>
    <col min="2103" max="2103" customWidth="1" bestFit="1" width="3.0" style="1122"/>
    <col min="2104" max="2104" customWidth="1" bestFit="1" width="3.0" style="1122"/>
    <col min="2105" max="2105" customWidth="1" bestFit="1" width="3.0" style="1122"/>
    <col min="2106" max="2106" customWidth="1" bestFit="1" width="3.0" style="1122"/>
    <col min="2107" max="2107" customWidth="1" bestFit="1" width="3.0" style="1122"/>
    <col min="2108" max="2108" customWidth="1" bestFit="1" width="3.0" style="1122"/>
    <col min="2109" max="2109" customWidth="1" bestFit="1" width="3.0" style="1122"/>
    <col min="2110" max="2110" customWidth="1" bestFit="1" width="3.0" style="1122"/>
    <col min="2111" max="2111" customWidth="1" bestFit="1" width="3.0" style="1122"/>
    <col min="2112" max="2112" customWidth="1" bestFit="1" width="3.0" style="1122"/>
    <col min="2113" max="2113" customWidth="1" bestFit="1" width="3.0" style="1122"/>
    <col min="2114" max="2114" customWidth="1" bestFit="1" width="3.0" style="1122"/>
    <col min="2115" max="2115" customWidth="1" bestFit="1" width="3.0" style="1122"/>
    <col min="2116" max="2116" customWidth="1" bestFit="1" width="3.0" style="1122"/>
    <col min="2117" max="2117" customWidth="1" bestFit="1" width="3.0" style="1122"/>
    <col min="2118" max="2118" customWidth="1" bestFit="1" width="3.0" style="1122"/>
    <col min="2119" max="2119" customWidth="1" bestFit="1" width="3.0" style="1122"/>
    <col min="2120" max="2120" customWidth="1" bestFit="1" width="3.0" style="1122"/>
    <col min="2121" max="2121" customWidth="1" bestFit="1" width="3.0" style="1122"/>
    <col min="2122" max="2122" customWidth="1" bestFit="1" width="3.0" style="1122"/>
    <col min="2123" max="2123" customWidth="1" bestFit="1" width="3.0" style="1122"/>
    <col min="2124" max="2124" customWidth="1" bestFit="1" width="3.0" style="1122"/>
    <col min="2125" max="2125" customWidth="1" bestFit="1" width="3.0" style="1122"/>
    <col min="2126" max="2126" customWidth="1" bestFit="1" width="3.0" style="1122"/>
    <col min="2127" max="2127" customWidth="1" bestFit="1" width="3.0" style="1122"/>
    <col min="2128" max="2128" customWidth="1" bestFit="1" width="3.0" style="1122"/>
    <col min="2129" max="2129" customWidth="1" bestFit="1" width="3.0" style="1122"/>
    <col min="2130" max="2130" customWidth="1" bestFit="1" width="3.0" style="1122"/>
    <col min="2131" max="2131" customWidth="1" bestFit="1" width="3.0" style="1122"/>
    <col min="2132" max="2132" customWidth="1" bestFit="1" width="3.0" style="1122"/>
    <col min="2133" max="2133" customWidth="1" bestFit="1" width="3.0" style="1122"/>
    <col min="2134" max="2134" customWidth="1" bestFit="1" width="3.0" style="1122"/>
    <col min="2135" max="2135" customWidth="1" bestFit="1" width="3.0" style="1122"/>
    <col min="2136" max="2136" customWidth="1" bestFit="1" width="3.0" style="1122"/>
    <col min="2137" max="2137" customWidth="1" bestFit="1" width="3.0" style="1122"/>
    <col min="2138" max="2138" customWidth="1" bestFit="1" width="3.0" style="1122"/>
    <col min="2139" max="2139" customWidth="1" bestFit="1" width="3.0" style="1122"/>
    <col min="2140" max="2140" customWidth="1" bestFit="1" width="3.0" style="1122"/>
    <col min="2141" max="2141" customWidth="1" bestFit="1" width="3.0" style="1122"/>
    <col min="2142" max="2142" customWidth="1" bestFit="1" width="3.0" style="1122"/>
    <col min="2143" max="2143" customWidth="1" bestFit="1" width="3.0" style="1122"/>
    <col min="2144" max="2144" customWidth="1" bestFit="1" width="3.0" style="1122"/>
    <col min="2145" max="2145" customWidth="1" bestFit="1" width="3.0" style="1122"/>
    <col min="2146" max="2146" customWidth="1" bestFit="1" width="3.0" style="1122"/>
    <col min="2147" max="2147" customWidth="1" bestFit="1" width="3.0" style="1122"/>
    <col min="2148" max="2148" customWidth="1" bestFit="1" width="3.0" style="1122"/>
    <col min="2149" max="2149" customWidth="1" bestFit="1" width="3.0" style="1122"/>
    <col min="2150" max="2150" customWidth="1" bestFit="1" width="3.0" style="1122"/>
    <col min="2151" max="2151" customWidth="1" bestFit="1" width="3.0" style="1122"/>
    <col min="2152" max="2152" customWidth="1" bestFit="1" width="3.0" style="1122"/>
    <col min="2153" max="2153" customWidth="1" bestFit="1" width="3.0" style="1122"/>
    <col min="2154" max="2154" customWidth="1" bestFit="1" width="3.0" style="1122"/>
    <col min="2155" max="2155" customWidth="1" bestFit="1" width="3.0" style="1122"/>
    <col min="2156" max="2156" customWidth="1" bestFit="1" width="3.0" style="1122"/>
    <col min="2157" max="2157" customWidth="1" bestFit="1" width="3.0" style="1122"/>
    <col min="2158" max="2158" customWidth="1" bestFit="1" width="3.0" style="1122"/>
    <col min="2159" max="2159" customWidth="1" bestFit="1" width="3.0" style="1122"/>
    <col min="2160" max="2160" customWidth="1" bestFit="1" width="3.0" style="1122"/>
    <col min="2161" max="2161" customWidth="1" bestFit="1" width="3.0" style="1122"/>
    <col min="2162" max="2162" customWidth="1" bestFit="1" width="3.0" style="1122"/>
    <col min="2163" max="2163" customWidth="1" bestFit="1" width="3.0" style="1122"/>
    <col min="2164" max="2164" customWidth="1" bestFit="1" width="3.0" style="1122"/>
    <col min="2165" max="2165" customWidth="1" bestFit="1" width="3.0" style="1122"/>
    <col min="2166" max="2166" customWidth="1" bestFit="1" width="3.0" style="1122"/>
    <col min="2167" max="2167" customWidth="1" bestFit="1" width="3.0" style="1122"/>
    <col min="2168" max="2168" customWidth="1" bestFit="1" width="3.0" style="1122"/>
    <col min="2169" max="2169" customWidth="1" bestFit="1" width="3.0" style="1122"/>
    <col min="2170" max="2170" customWidth="1" bestFit="1" width="3.0" style="1122"/>
    <col min="2171" max="2171" customWidth="1" bestFit="1" width="3.0" style="1122"/>
    <col min="2172" max="2172" customWidth="1" bestFit="1" width="3.0" style="1122"/>
    <col min="2173" max="2173" customWidth="1" bestFit="1" width="3.0" style="1122"/>
    <col min="2174" max="2174" customWidth="1" bestFit="1" width="3.0" style="1122"/>
    <col min="2175" max="2175" customWidth="1" bestFit="1" width="3.0" style="1122"/>
    <col min="2176" max="2176" customWidth="1" bestFit="1" width="3.0" style="1122"/>
    <col min="2177" max="2177" customWidth="1" bestFit="1" width="3.0" style="1122"/>
    <col min="2178" max="2178" customWidth="1" bestFit="1" width="3.0" style="1122"/>
    <col min="2179" max="2179" customWidth="1" bestFit="1" width="3.0" style="1122"/>
    <col min="2180" max="2180" customWidth="1" bestFit="1" width="3.0" style="1122"/>
    <col min="2181" max="2181" customWidth="1" bestFit="1" width="3.0" style="1122"/>
    <col min="2182" max="2182" customWidth="1" bestFit="1" width="3.0" style="1122"/>
    <col min="2183" max="2183" customWidth="1" bestFit="1" width="3.0" style="1122"/>
    <col min="2184" max="2184" customWidth="1" bestFit="1" width="3.0" style="1122"/>
    <col min="2185" max="2185" customWidth="1" bestFit="1" width="3.0" style="1122"/>
    <col min="2186" max="2186" customWidth="1" bestFit="1" width="3.0" style="1122"/>
    <col min="2187" max="2187" customWidth="1" bestFit="1" width="3.0" style="1122"/>
    <col min="2188" max="2188" customWidth="1" bestFit="1" width="3.0" style="1122"/>
    <col min="2189" max="2189" customWidth="1" bestFit="1" width="3.0" style="1122"/>
    <col min="2190" max="2190" customWidth="1" bestFit="1" width="3.0" style="1122"/>
    <col min="2191" max="2191" customWidth="1" bestFit="1" width="3.0" style="1122"/>
    <col min="2192" max="2192" customWidth="1" bestFit="1" width="3.0" style="1122"/>
    <col min="2193" max="2193" customWidth="1" bestFit="1" width="3.0" style="1122"/>
    <col min="2194" max="2194" customWidth="1" bestFit="1" width="3.0" style="1122"/>
    <col min="2195" max="2195" customWidth="1" bestFit="1" width="3.0" style="1122"/>
    <col min="2196" max="2196" customWidth="1" bestFit="1" width="3.0" style="1122"/>
    <col min="2197" max="2197" customWidth="1" bestFit="1" width="3.0" style="1122"/>
    <col min="2198" max="2198" customWidth="1" bestFit="1" width="3.0" style="1122"/>
    <col min="2199" max="2199" customWidth="1" bestFit="1" width="3.0" style="1122"/>
    <col min="2200" max="2200" customWidth="1" bestFit="1" width="3.0" style="1122"/>
    <col min="2201" max="2201" customWidth="1" bestFit="1" width="3.0" style="1122"/>
    <col min="2202" max="2202" customWidth="1" bestFit="1" width="3.0" style="1122"/>
    <col min="2203" max="2203" customWidth="1" bestFit="1" width="3.0" style="1122"/>
    <col min="2204" max="2204" customWidth="1" bestFit="1" width="3.0" style="1122"/>
    <col min="2205" max="2205" customWidth="1" bestFit="1" width="3.0" style="1122"/>
    <col min="2206" max="2206" customWidth="1" bestFit="1" width="3.0" style="1122"/>
    <col min="2207" max="2207" customWidth="1" bestFit="1" width="3.0" style="1122"/>
    <col min="2208" max="2208" customWidth="1" bestFit="1" width="3.0" style="1122"/>
    <col min="2209" max="2209" customWidth="1" bestFit="1" width="3.0" style="1122"/>
    <col min="2210" max="2210" customWidth="1" bestFit="1" width="3.0" style="1122"/>
    <col min="2211" max="2211" customWidth="1" bestFit="1" width="3.0" style="1122"/>
    <col min="2212" max="2212" customWidth="1" bestFit="1" width="3.0" style="1122"/>
    <col min="2213" max="2213" customWidth="1" bestFit="1" width="3.0" style="1122"/>
    <col min="2214" max="2214" customWidth="1" bestFit="1" width="3.0" style="1122"/>
    <col min="2215" max="2215" customWidth="1" bestFit="1" width="3.0" style="1122"/>
    <col min="2216" max="2216" customWidth="1" bestFit="1" width="3.0" style="1122"/>
    <col min="2217" max="2217" customWidth="1" bestFit="1" width="3.0" style="1122"/>
    <col min="2218" max="2218" customWidth="1" bestFit="1" width="3.0" style="1122"/>
    <col min="2219" max="2219" customWidth="1" bestFit="1" width="3.0" style="1122"/>
    <col min="2220" max="2220" customWidth="1" bestFit="1" width="3.0" style="1122"/>
    <col min="2221" max="2221" customWidth="1" bestFit="1" width="3.0" style="1122"/>
    <col min="2222" max="2222" customWidth="1" bestFit="1" width="3.0" style="1122"/>
    <col min="2223" max="2223" customWidth="1" bestFit="1" width="3.0" style="1122"/>
    <col min="2224" max="2224" customWidth="1" bestFit="1" width="3.0" style="1122"/>
    <col min="2225" max="2225" customWidth="1" bestFit="1" width="3.0" style="1122"/>
    <col min="2226" max="2226" customWidth="1" bestFit="1" width="3.0" style="1122"/>
    <col min="2227" max="2227" customWidth="1" bestFit="1" width="3.0" style="1122"/>
    <col min="2228" max="2228" customWidth="1" bestFit="1" width="3.0" style="1122"/>
    <col min="2229" max="2229" customWidth="1" bestFit="1" width="3.0" style="1122"/>
    <col min="2230" max="2230" customWidth="1" bestFit="1" width="3.0" style="1122"/>
    <col min="2231" max="2231" customWidth="1" bestFit="1" width="3.0" style="1122"/>
    <col min="2232" max="2232" customWidth="1" bestFit="1" width="3.0" style="1122"/>
    <col min="2233" max="2233" customWidth="1" bestFit="1" width="3.0" style="1122"/>
    <col min="2234" max="2234" customWidth="1" bestFit="1" width="3.0" style="1122"/>
    <col min="2235" max="2235" customWidth="1" bestFit="1" width="3.0" style="1122"/>
    <col min="2236" max="2236" customWidth="1" bestFit="1" width="3.0" style="1122"/>
    <col min="2237" max="2237" customWidth="1" bestFit="1" width="3.0" style="1122"/>
    <col min="2238" max="2238" customWidth="1" bestFit="1" width="3.0" style="1122"/>
    <col min="2239" max="2239" customWidth="1" bestFit="1" width="3.0" style="1122"/>
    <col min="2240" max="2240" customWidth="1" bestFit="1" width="3.0" style="1122"/>
    <col min="2241" max="2241" customWidth="1" bestFit="1" width="3.0" style="1122"/>
    <col min="2242" max="2242" customWidth="1" bestFit="1" width="3.0" style="1122"/>
    <col min="2243" max="2243" customWidth="1" bestFit="1" width="3.0" style="1122"/>
    <col min="2244" max="2244" customWidth="1" bestFit="1" width="3.0" style="1122"/>
    <col min="2245" max="2245" customWidth="1" bestFit="1" width="3.0" style="1122"/>
    <col min="2246" max="2246" customWidth="1" bestFit="1" width="3.0" style="1122"/>
    <col min="2247" max="2247" customWidth="1" bestFit="1" width="3.0" style="1122"/>
    <col min="2248" max="2248" customWidth="1" bestFit="1" width="3.0" style="1122"/>
    <col min="2249" max="2249" customWidth="1" bestFit="1" width="3.0" style="1122"/>
    <col min="2250" max="2250" customWidth="1" bestFit="1" width="3.0" style="1122"/>
    <col min="2251" max="2251" customWidth="1" bestFit="1" width="3.0" style="1122"/>
    <col min="2252" max="2252" customWidth="1" bestFit="1" width="3.0" style="1122"/>
    <col min="2253" max="2253" customWidth="1" bestFit="1" width="3.0" style="1122"/>
    <col min="2254" max="2254" customWidth="1" bestFit="1" width="3.0" style="1122"/>
    <col min="2255" max="2255" customWidth="1" bestFit="1" width="3.0" style="1122"/>
    <col min="2256" max="2256" customWidth="1" bestFit="1" width="3.0" style="1122"/>
    <col min="2257" max="2257" customWidth="1" bestFit="1" width="3.0" style="1122"/>
    <col min="2258" max="2258" customWidth="1" bestFit="1" width="3.0" style="1122"/>
    <col min="2259" max="2259" customWidth="1" bestFit="1" width="3.0" style="1122"/>
    <col min="2260" max="2260" customWidth="1" bestFit="1" width="3.0" style="1122"/>
    <col min="2261" max="2261" customWidth="1" bestFit="1" width="3.0" style="1122"/>
    <col min="2262" max="2262" customWidth="1" bestFit="1" width="3.0" style="1122"/>
    <col min="2263" max="2263" customWidth="1" bestFit="1" width="3.0" style="1122"/>
    <col min="2264" max="2264" customWidth="1" bestFit="1" width="3.0" style="1122"/>
    <col min="2265" max="2265" customWidth="1" bestFit="1" width="3.0" style="1122"/>
    <col min="2266" max="2266" customWidth="1" bestFit="1" width="3.0" style="1122"/>
    <col min="2267" max="2267" customWidth="1" bestFit="1" width="3.0" style="1122"/>
    <col min="2268" max="2268" customWidth="1" bestFit="1" width="3.0" style="1122"/>
    <col min="2269" max="2269" customWidth="1" bestFit="1" width="3.0" style="1122"/>
    <col min="2270" max="2270" customWidth="1" bestFit="1" width="3.0" style="1122"/>
    <col min="2271" max="2271" customWidth="1" bestFit="1" width="3.0" style="1122"/>
    <col min="2272" max="2272" customWidth="1" bestFit="1" width="3.0" style="1122"/>
    <col min="2273" max="2273" customWidth="1" bestFit="1" width="3.0" style="1122"/>
    <col min="2274" max="2274" customWidth="1" bestFit="1" width="3.0" style="1122"/>
    <col min="2275" max="2275" customWidth="1" bestFit="1" width="3.0" style="1122"/>
    <col min="2276" max="2276" customWidth="1" bestFit="1" width="3.0" style="1122"/>
    <col min="2277" max="2277" customWidth="1" bestFit="1" width="3.0" style="1122"/>
    <col min="2278" max="2278" customWidth="1" bestFit="1" width="3.0" style="1122"/>
    <col min="2279" max="2279" customWidth="1" bestFit="1" width="3.0" style="1122"/>
    <col min="2280" max="2280" customWidth="1" bestFit="1" width="3.0" style="1122"/>
    <col min="2281" max="2281" customWidth="1" bestFit="1" width="3.0" style="1122"/>
    <col min="2282" max="2282" customWidth="1" bestFit="1" width="3.0" style="1122"/>
    <col min="2283" max="2283" customWidth="1" bestFit="1" width="3.0" style="1122"/>
    <col min="2284" max="2284" customWidth="1" bestFit="1" width="3.0" style="1122"/>
    <col min="2285" max="2285" customWidth="1" bestFit="1" width="3.0" style="1122"/>
    <col min="2286" max="2286" customWidth="1" bestFit="1" width="3.0" style="1122"/>
    <col min="2287" max="2287" customWidth="1" bestFit="1" width="3.0" style="1122"/>
    <col min="2288" max="2288" customWidth="1" bestFit="1" width="3.0" style="1122"/>
    <col min="2289" max="2289" customWidth="1" bestFit="1" width="3.0" style="1122"/>
    <col min="2290" max="2290" customWidth="1" bestFit="1" width="3.0" style="1122"/>
    <col min="2291" max="2291" customWidth="1" bestFit="1" width="3.0" style="1122"/>
    <col min="2292" max="2292" customWidth="1" bestFit="1" width="3.0" style="1122"/>
    <col min="2293" max="2293" customWidth="1" bestFit="1" width="3.0" style="1122"/>
    <col min="2294" max="2294" customWidth="1" bestFit="1" width="3.0" style="1122"/>
    <col min="2295" max="2295" customWidth="1" bestFit="1" width="3.0" style="1122"/>
    <col min="2296" max="2296" customWidth="1" bestFit="1" width="3.0" style="1122"/>
    <col min="2297" max="2297" customWidth="1" bestFit="1" width="3.0" style="1122"/>
    <col min="2298" max="2298" customWidth="1" bestFit="1" width="3.0" style="1122"/>
    <col min="2299" max="2299" customWidth="1" bestFit="1" width="3.0" style="1122"/>
    <col min="2300" max="2300" customWidth="1" bestFit="1" width="3.0" style="1122"/>
    <col min="2301" max="2301" customWidth="1" bestFit="1" width="3.0" style="1122"/>
    <col min="2302" max="2302" customWidth="1" bestFit="1" width="3.0" style="1122"/>
    <col min="2303" max="2303" customWidth="1" bestFit="1" width="3.0" style="1122"/>
    <col min="2304" max="2304" customWidth="1" bestFit="1" width="3.0" style="1122"/>
    <col min="2305" max="2305" customWidth="1" bestFit="1" width="3.0" style="1122"/>
    <col min="2306" max="2306" customWidth="1" bestFit="1" width="3.0" style="1122"/>
    <col min="2307" max="2307" customWidth="1" bestFit="1" width="3.0" style="1122"/>
    <col min="2308" max="2308" customWidth="1" bestFit="1" width="3.0" style="1122"/>
    <col min="2309" max="2309" customWidth="1" bestFit="1" width="3.0" style="1122"/>
    <col min="2310" max="2310" customWidth="1" bestFit="1" width="3.0" style="1122"/>
    <col min="2311" max="2311" customWidth="1" bestFit="1" width="3.0" style="1122"/>
    <col min="2312" max="2312" customWidth="1" bestFit="1" width="3.0" style="1122"/>
    <col min="2313" max="2313" customWidth="1" bestFit="1" width="3.0" style="1122"/>
    <col min="2314" max="2314" customWidth="1" bestFit="1" width="3.0" style="1122"/>
    <col min="2315" max="2315" customWidth="1" bestFit="1" width="3.0" style="1122"/>
    <col min="2316" max="2316" customWidth="1" bestFit="1" width="3.0" style="1122"/>
    <col min="2317" max="2317" customWidth="1" bestFit="1" width="3.0" style="1122"/>
    <col min="2318" max="2318" customWidth="1" bestFit="1" width="3.0" style="1122"/>
    <col min="2319" max="2319" customWidth="1" bestFit="1" width="3.0" style="1122"/>
    <col min="2320" max="2320" customWidth="1" bestFit="1" width="3.0" style="1122"/>
    <col min="2321" max="2321" customWidth="1" bestFit="1" width="3.0" style="1122"/>
    <col min="2322" max="2322" customWidth="1" bestFit="1" width="3.0" style="1122"/>
    <col min="2323" max="2323" customWidth="1" bestFit="1" width="3.0" style="1122"/>
    <col min="2324" max="2324" customWidth="1" bestFit="1" width="3.0" style="1122"/>
    <col min="2325" max="2325" customWidth="1" bestFit="1" width="3.0" style="1122"/>
    <col min="2326" max="2326" customWidth="1" bestFit="1" width="3.0" style="1122"/>
    <col min="2327" max="2327" customWidth="1" bestFit="1" width="3.0" style="1122"/>
    <col min="2328" max="2328" customWidth="1" bestFit="1" width="3.0" style="1122"/>
    <col min="2329" max="2329" customWidth="1" bestFit="1" width="3.0" style="1122"/>
    <col min="2330" max="2330" customWidth="1" bestFit="1" width="3.0" style="1122"/>
    <col min="2331" max="2331" customWidth="1" bestFit="1" width="3.0" style="1122"/>
    <col min="2332" max="2332" customWidth="1" bestFit="1" width="3.0" style="1122"/>
    <col min="2333" max="2333" customWidth="1" bestFit="1" width="3.0" style="1122"/>
    <col min="2334" max="2334" customWidth="1" bestFit="1" width="3.0" style="1122"/>
    <col min="2335" max="2335" customWidth="1" bestFit="1" width="3.0" style="1122"/>
    <col min="2336" max="2336" customWidth="1" bestFit="1" width="3.0" style="1122"/>
    <col min="2337" max="2337" customWidth="1" bestFit="1" width="3.0" style="1122"/>
    <col min="2338" max="2338" customWidth="1" bestFit="1" width="3.0" style="1122"/>
    <col min="2339" max="2339" customWidth="1" bestFit="1" width="3.0" style="1122"/>
    <col min="2340" max="2340" customWidth="1" bestFit="1" width="3.0" style="1122"/>
    <col min="2341" max="2341" customWidth="1" bestFit="1" width="3.0" style="1122"/>
    <col min="2342" max="2342" customWidth="1" bestFit="1" width="3.0" style="1122"/>
    <col min="2343" max="2343" customWidth="1" bestFit="1" width="3.0" style="1122"/>
    <col min="2344" max="2344" customWidth="1" bestFit="1" width="3.0" style="1122"/>
    <col min="2345" max="2345" customWidth="1" bestFit="1" width="3.0" style="1122"/>
    <col min="2346" max="2346" customWidth="1" bestFit="1" width="3.0" style="1122"/>
    <col min="2347" max="2347" customWidth="1" bestFit="1" width="3.0" style="1122"/>
    <col min="2348" max="2348" customWidth="1" bestFit="1" width="3.0" style="1122"/>
    <col min="2349" max="2349" customWidth="1" bestFit="1" width="3.0" style="1122"/>
    <col min="2350" max="2350" customWidth="1" bestFit="1" width="3.0" style="1122"/>
    <col min="2351" max="2351" customWidth="1" bestFit="1" width="3.0" style="1122"/>
    <col min="2352" max="2352" customWidth="1" bestFit="1" width="3.0" style="1122"/>
    <col min="2353" max="2353" customWidth="1" bestFit="1" width="3.0" style="1122"/>
    <col min="2354" max="2354" customWidth="1" bestFit="1" width="3.0" style="1122"/>
    <col min="2355" max="2355" customWidth="1" bestFit="1" width="3.0" style="1122"/>
    <col min="2356" max="2356" customWidth="1" bestFit="1" width="3.0" style="1122"/>
    <col min="2357" max="2357" customWidth="1" bestFit="1" width="3.0" style="1122"/>
    <col min="2358" max="2358" customWidth="1" bestFit="1" width="3.0" style="1122"/>
    <col min="2359" max="2359" customWidth="1" bestFit="1" width="3.0" style="1122"/>
    <col min="2360" max="2360" customWidth="1" bestFit="1" width="3.0" style="1122"/>
    <col min="2361" max="2361" customWidth="1" bestFit="1" width="3.0" style="1122"/>
    <col min="2362" max="2362" customWidth="1" bestFit="1" width="3.0" style="1122"/>
    <col min="2363" max="2363" customWidth="1" bestFit="1" width="3.0" style="1122"/>
    <col min="2364" max="2364" customWidth="1" bestFit="1" width="3.0" style="1122"/>
    <col min="2365" max="2365" customWidth="1" bestFit="1" width="3.0" style="1122"/>
    <col min="2366" max="2366" customWidth="1" bestFit="1" width="3.0" style="1122"/>
    <col min="2367" max="2367" customWidth="1" bestFit="1" width="3.0" style="1122"/>
    <col min="2368" max="2368" customWidth="1" bestFit="1" width="3.0" style="1122"/>
    <col min="2369" max="2369" customWidth="1" bestFit="1" width="3.0" style="1122"/>
    <col min="2370" max="2370" customWidth="1" bestFit="1" width="3.0" style="1122"/>
    <col min="2371" max="2371" customWidth="1" bestFit="1" width="3.0" style="1122"/>
    <col min="2372" max="2372" customWidth="1" bestFit="1" width="3.0" style="1122"/>
    <col min="2373" max="2373" customWidth="1" bestFit="1" width="3.0" style="1122"/>
    <col min="2374" max="2374" customWidth="1" bestFit="1" width="3.0" style="1122"/>
    <col min="2375" max="2375" customWidth="1" bestFit="1" width="3.0" style="1122"/>
    <col min="2376" max="2376" customWidth="1" bestFit="1" width="3.0" style="1122"/>
    <col min="2377" max="2377" customWidth="1" bestFit="1" width="3.0" style="1122"/>
    <col min="2378" max="2378" customWidth="1" bestFit="1" width="3.0" style="1122"/>
    <col min="2379" max="2379" customWidth="1" bestFit="1" width="3.0" style="1122"/>
    <col min="2380" max="2380" customWidth="1" bestFit="1" width="3.0" style="1122"/>
    <col min="2381" max="2381" customWidth="1" bestFit="1" width="3.0" style="1122"/>
    <col min="2382" max="2382" customWidth="1" bestFit="1" width="3.0" style="1122"/>
    <col min="2383" max="2383" customWidth="1" bestFit="1" width="3.0" style="1122"/>
    <col min="2384" max="2384" customWidth="1" bestFit="1" width="3.0" style="1122"/>
    <col min="2385" max="2385" customWidth="1" bestFit="1" width="3.0" style="1122"/>
    <col min="2386" max="2386" customWidth="1" bestFit="1" width="3.0" style="1122"/>
    <col min="2387" max="2387" customWidth="1" bestFit="1" width="3.0" style="1122"/>
    <col min="2388" max="2388" customWidth="1" bestFit="1" width="3.0" style="1122"/>
    <col min="2389" max="2389" customWidth="1" bestFit="1" width="3.0" style="1122"/>
    <col min="2390" max="2390" customWidth="1" bestFit="1" width="3.0" style="1122"/>
    <col min="2391" max="2391" customWidth="1" bestFit="1" width="3.0" style="1122"/>
    <col min="2392" max="2392" customWidth="1" bestFit="1" width="3.0" style="1122"/>
    <col min="2393" max="2393" customWidth="1" bestFit="1" width="3.0" style="1122"/>
    <col min="2394" max="2394" customWidth="1" bestFit="1" width="3.0" style="1122"/>
    <col min="2395" max="2395" customWidth="1" bestFit="1" width="3.0" style="1122"/>
    <col min="2396" max="2396" customWidth="1" bestFit="1" width="3.0" style="1122"/>
    <col min="2397" max="2397" customWidth="1" bestFit="1" width="3.0" style="1122"/>
    <col min="2398" max="2398" customWidth="1" bestFit="1" width="3.0" style="1122"/>
    <col min="2399" max="2399" customWidth="1" bestFit="1" width="3.0" style="1122"/>
    <col min="2400" max="2400" customWidth="1" bestFit="1" width="3.0" style="1122"/>
    <col min="2401" max="2401" customWidth="1" bestFit="1" width="3.0" style="1122"/>
    <col min="2402" max="2402" customWidth="1" bestFit="1" width="3.0" style="1122"/>
    <col min="2403" max="2403" customWidth="1" bestFit="1" width="3.0" style="1122"/>
    <col min="2404" max="2404" customWidth="1" bestFit="1" width="3.0" style="1122"/>
    <col min="2405" max="2405" customWidth="1" bestFit="1" width="3.0" style="1122"/>
    <col min="2406" max="2406" customWidth="1" bestFit="1" width="3.0" style="1122"/>
    <col min="2407" max="2407" customWidth="1" bestFit="1" width="3.0" style="1122"/>
    <col min="2408" max="2408" customWidth="1" bestFit="1" width="3.0" style="1122"/>
    <col min="2409" max="2409" customWidth="1" bestFit="1" width="3.0" style="1122"/>
    <col min="2410" max="2410" customWidth="1" bestFit="1" width="3.0" style="1122"/>
    <col min="2411" max="2411" customWidth="1" bestFit="1" width="3.0" style="1122"/>
    <col min="2412" max="2412" customWidth="1" bestFit="1" width="3.0" style="1122"/>
    <col min="2413" max="2413" customWidth="1" bestFit="1" width="3.0" style="1122"/>
    <col min="2414" max="2414" customWidth="1" bestFit="1" width="3.0" style="1122"/>
    <col min="2415" max="2415" customWidth="1" bestFit="1" width="3.0" style="1122"/>
    <col min="2416" max="2416" customWidth="1" bestFit="1" width="3.0" style="1122"/>
    <col min="2417" max="2417" customWidth="1" bestFit="1" width="3.0" style="1122"/>
    <col min="2418" max="2418" customWidth="1" bestFit="1" width="3.0" style="1122"/>
    <col min="2419" max="2419" customWidth="1" bestFit="1" width="3.0" style="1122"/>
    <col min="2420" max="2420" customWidth="1" bestFit="1" width="3.0" style="1122"/>
    <col min="2421" max="2421" customWidth="1" bestFit="1" width="3.0" style="1122"/>
    <col min="2422" max="2422" customWidth="1" bestFit="1" width="3.0" style="1122"/>
    <col min="2423" max="2423" customWidth="1" bestFit="1" width="3.0" style="1122"/>
    <col min="2424" max="2424" customWidth="1" bestFit="1" width="3.0" style="1122"/>
    <col min="2425" max="2425" customWidth="1" bestFit="1" width="3.0" style="1122"/>
    <col min="2426" max="2426" customWidth="1" bestFit="1" width="3.0" style="1122"/>
    <col min="2427" max="2427" customWidth="1" bestFit="1" width="3.0" style="1122"/>
    <col min="2428" max="2428" customWidth="1" bestFit="1" width="3.0" style="1122"/>
    <col min="2429" max="2429" customWidth="1" bestFit="1" width="3.0" style="1122"/>
    <col min="2430" max="2430" customWidth="1" bestFit="1" width="3.0" style="1122"/>
    <col min="2431" max="2431" customWidth="1" bestFit="1" width="3.0" style="1122"/>
    <col min="2432" max="2432" customWidth="1" bestFit="1" width="3.0" style="1122"/>
    <col min="2433" max="2433" customWidth="1" bestFit="1" width="3.0" style="1122"/>
    <col min="2434" max="2434" customWidth="1" bestFit="1" width="3.0" style="1122"/>
    <col min="2435" max="2435" customWidth="1" bestFit="1" width="3.0" style="1122"/>
    <col min="2436" max="2436" customWidth="1" bestFit="1" width="3.0" style="1122"/>
    <col min="2437" max="2437" customWidth="1" bestFit="1" width="3.0" style="1122"/>
    <col min="2438" max="2438" customWidth="1" bestFit="1" width="3.0" style="1122"/>
    <col min="2439" max="2439" customWidth="1" bestFit="1" width="3.0" style="1122"/>
    <col min="2440" max="2440" customWidth="1" bestFit="1" width="3.0" style="1122"/>
    <col min="2441" max="2441" customWidth="1" bestFit="1" width="3.0" style="1122"/>
    <col min="2442" max="2442" customWidth="1" bestFit="1" width="3.0" style="1122"/>
    <col min="2443" max="2443" customWidth="1" bestFit="1" width="3.0" style="1122"/>
    <col min="2444" max="2444" customWidth="1" bestFit="1" width="3.0" style="1122"/>
    <col min="2445" max="2445" customWidth="1" bestFit="1" width="3.0" style="1122"/>
    <col min="2446" max="2446" customWidth="1" bestFit="1" width="3.0" style="1122"/>
    <col min="2447" max="2447" customWidth="1" bestFit="1" width="3.0" style="1122"/>
    <col min="2448" max="2448" customWidth="1" bestFit="1" width="3.0" style="1122"/>
    <col min="2449" max="2449" customWidth="1" bestFit="1" width="3.0" style="1122"/>
    <col min="2450" max="2450" customWidth="1" bestFit="1" width="3.0" style="1122"/>
    <col min="2451" max="2451" customWidth="1" bestFit="1" width="3.0" style="1122"/>
    <col min="2452" max="2452" customWidth="1" bestFit="1" width="3.0" style="1122"/>
    <col min="2453" max="2453" customWidth="1" bestFit="1" width="3.0" style="1122"/>
    <col min="2454" max="2454" customWidth="1" bestFit="1" width="3.0" style="1122"/>
    <col min="2455" max="2455" customWidth="1" bestFit="1" width="3.0" style="1122"/>
    <col min="2456" max="2456" customWidth="1" bestFit="1" width="3.0" style="1122"/>
    <col min="2457" max="2457" customWidth="1" bestFit="1" width="3.0" style="1122"/>
    <col min="2458" max="2458" customWidth="1" bestFit="1" width="3.0" style="1122"/>
    <col min="2459" max="2459" customWidth="1" bestFit="1" width="3.0" style="1122"/>
    <col min="2460" max="2460" customWidth="1" bestFit="1" width="3.0" style="1122"/>
    <col min="2461" max="2461" customWidth="1" bestFit="1" width="3.0" style="1122"/>
    <col min="2462" max="2462" customWidth="1" bestFit="1" width="3.0" style="1122"/>
    <col min="2463" max="2463" customWidth="1" bestFit="1" width="3.0" style="1122"/>
    <col min="2464" max="2464" customWidth="1" bestFit="1" width="3.0" style="1122"/>
    <col min="2465" max="2465" customWidth="1" bestFit="1" width="3.0" style="1122"/>
    <col min="2466" max="2466" customWidth="1" bestFit="1" width="3.0" style="1122"/>
    <col min="2467" max="2467" customWidth="1" bestFit="1" width="3.0" style="1122"/>
    <col min="2468" max="2468" customWidth="1" bestFit="1" width="3.0" style="1122"/>
    <col min="2469" max="2469" customWidth="1" bestFit="1" width="3.0" style="1122"/>
    <col min="2470" max="2470" customWidth="1" bestFit="1" width="3.0" style="1122"/>
    <col min="2471" max="2471" customWidth="1" bestFit="1" width="3.0" style="1122"/>
    <col min="2472" max="2472" customWidth="1" bestFit="1" width="3.0" style="1122"/>
    <col min="2473" max="2473" customWidth="1" bestFit="1" width="3.0" style="1122"/>
    <col min="2474" max="2474" customWidth="1" bestFit="1" width="3.0" style="1122"/>
    <col min="2475" max="2475" customWidth="1" bestFit="1" width="3.0" style="1122"/>
    <col min="2476" max="2476" customWidth="1" bestFit="1" width="3.0" style="1122"/>
    <col min="2477" max="2477" customWidth="1" bestFit="1" width="3.0" style="1122"/>
    <col min="2478" max="2478" customWidth="1" bestFit="1" width="3.0" style="1122"/>
    <col min="2479" max="2479" customWidth="1" bestFit="1" width="3.0" style="1122"/>
    <col min="2480" max="2480" customWidth="1" bestFit="1" width="3.0" style="1122"/>
    <col min="2481" max="2481" customWidth="1" bestFit="1" width="3.0" style="1122"/>
    <col min="2482" max="2482" customWidth="1" bestFit="1" width="3.0" style="1122"/>
    <col min="2483" max="2483" customWidth="1" bestFit="1" width="3.0" style="1122"/>
    <col min="2484" max="2484" customWidth="1" bestFit="1" width="3.0" style="1122"/>
    <col min="2485" max="2485" customWidth="1" bestFit="1" width="3.0" style="1122"/>
    <col min="2486" max="2486" customWidth="1" bestFit="1" width="3.0" style="1122"/>
    <col min="2487" max="2487" customWidth="1" bestFit="1" width="3.0" style="1122"/>
    <col min="2488" max="2488" customWidth="1" bestFit="1" width="3.0" style="1122"/>
    <col min="2489" max="2489" customWidth="1" bestFit="1" width="3.0" style="1122"/>
    <col min="2490" max="2490" customWidth="1" bestFit="1" width="3.0" style="1122"/>
    <col min="2491" max="2491" customWidth="1" bestFit="1" width="3.0" style="1122"/>
    <col min="2492" max="2492" customWidth="1" bestFit="1" width="3.0" style="1122"/>
    <col min="2493" max="2493" customWidth="1" bestFit="1" width="3.0" style="1122"/>
    <col min="2494" max="2494" customWidth="1" bestFit="1" width="3.0" style="1122"/>
    <col min="2495" max="2495" customWidth="1" bestFit="1" width="3.0" style="1122"/>
    <col min="2496" max="2496" customWidth="1" bestFit="1" width="3.0" style="1122"/>
    <col min="2497" max="2497" customWidth="1" bestFit="1" width="3.0" style="1122"/>
    <col min="2498" max="2498" customWidth="1" bestFit="1" width="3.0" style="1122"/>
    <col min="2499" max="2499" customWidth="1" bestFit="1" width="3.0" style="1122"/>
    <col min="2500" max="2500" customWidth="1" bestFit="1" width="3.0" style="1122"/>
    <col min="2501" max="2501" customWidth="1" bestFit="1" width="3.0" style="1122"/>
    <col min="2502" max="2502" customWidth="1" bestFit="1" width="3.0" style="1122"/>
    <col min="2503" max="2503" customWidth="1" bestFit="1" width="3.0" style="1122"/>
    <col min="2504" max="2504" customWidth="1" bestFit="1" width="3.0" style="1122"/>
    <col min="2505" max="2505" customWidth="1" bestFit="1" width="3.0" style="1122"/>
    <col min="2506" max="2506" customWidth="1" bestFit="1" width="3.0" style="1122"/>
    <col min="2507" max="2507" customWidth="1" bestFit="1" width="3.0" style="1122"/>
    <col min="2508" max="2508" customWidth="1" bestFit="1" width="3.0" style="1122"/>
    <col min="2509" max="2509" customWidth="1" bestFit="1" width="3.0" style="1122"/>
    <col min="2510" max="2510" customWidth="1" bestFit="1" width="3.0" style="1122"/>
    <col min="2511" max="2511" customWidth="1" bestFit="1" width="3.0" style="1122"/>
    <col min="2512" max="2512" customWidth="1" bestFit="1" width="3.0" style="1122"/>
    <col min="2513" max="2513" customWidth="1" bestFit="1" width="3.0" style="1122"/>
    <col min="2514" max="2514" customWidth="1" bestFit="1" width="3.0" style="1122"/>
    <col min="2515" max="2515" customWidth="1" bestFit="1" width="3.0" style="1122"/>
    <col min="2516" max="2516" customWidth="1" bestFit="1" width="3.0" style="1122"/>
    <col min="2517" max="2517" customWidth="1" bestFit="1" width="3.0" style="1122"/>
    <col min="2518" max="2518" customWidth="1" bestFit="1" width="3.0" style="1122"/>
    <col min="2519" max="2519" customWidth="1" bestFit="1" width="3.0" style="1122"/>
    <col min="2520" max="2520" customWidth="1" bestFit="1" width="3.0" style="1122"/>
    <col min="2521" max="2521" customWidth="1" bestFit="1" width="3.0" style="1122"/>
    <col min="2522" max="2522" customWidth="1" bestFit="1" width="3.0" style="1122"/>
    <col min="2523" max="2523" customWidth="1" bestFit="1" width="3.0" style="1122"/>
    <col min="2524" max="2524" customWidth="1" bestFit="1" width="3.0" style="1122"/>
    <col min="2525" max="2525" customWidth="1" bestFit="1" width="3.0" style="1122"/>
    <col min="2526" max="2526" customWidth="1" bestFit="1" width="3.0" style="1122"/>
    <col min="2527" max="2527" customWidth="1" bestFit="1" width="3.0" style="1122"/>
    <col min="2528" max="2528" customWidth="1" bestFit="1" width="3.0" style="1122"/>
    <col min="2529" max="2529" customWidth="1" bestFit="1" width="3.0" style="1122"/>
    <col min="2530" max="2530" customWidth="1" bestFit="1" width="3.0" style="1122"/>
    <col min="2531" max="2531" customWidth="1" bestFit="1" width="3.0" style="1122"/>
    <col min="2532" max="2532" customWidth="1" bestFit="1" width="3.0" style="1122"/>
    <col min="2533" max="2533" customWidth="1" bestFit="1" width="3.0" style="1122"/>
    <col min="2534" max="2534" customWidth="1" bestFit="1" width="3.0" style="1122"/>
    <col min="2535" max="2535" customWidth="1" bestFit="1" width="3.0" style="1122"/>
    <col min="2536" max="2536" customWidth="1" bestFit="1" width="3.0" style="1122"/>
    <col min="2537" max="2537" customWidth="1" bestFit="1" width="3.0" style="1122"/>
    <col min="2538" max="2538" customWidth="1" bestFit="1" width="3.0" style="1122"/>
    <col min="2539" max="2539" customWidth="1" bestFit="1" width="3.0" style="1122"/>
    <col min="2540" max="2540" customWidth="1" bestFit="1" width="3.0" style="1122"/>
    <col min="2541" max="2541" customWidth="1" bestFit="1" width="3.0" style="1122"/>
    <col min="2542" max="2542" customWidth="1" bestFit="1" width="3.0" style="1122"/>
    <col min="2543" max="2543" customWidth="1" bestFit="1" width="3.0" style="1122"/>
    <col min="2544" max="2544" customWidth="1" bestFit="1" width="3.0" style="1122"/>
    <col min="2545" max="2545" customWidth="1" bestFit="1" width="3.0" style="1122"/>
    <col min="2546" max="2546" customWidth="1" bestFit="1" width="3.0" style="1122"/>
    <col min="2547" max="2547" customWidth="1" bestFit="1" width="3.0" style="1122"/>
    <col min="2548" max="2548" customWidth="1" bestFit="1" width="3.0" style="1122"/>
    <col min="2549" max="2549" customWidth="1" bestFit="1" width="3.0" style="1122"/>
    <col min="2550" max="2550" customWidth="1" bestFit="1" width="3.0" style="1122"/>
    <col min="2551" max="2551" customWidth="1" bestFit="1" width="3.0" style="1122"/>
    <col min="2552" max="2552" customWidth="1" bestFit="1" width="3.0" style="1122"/>
    <col min="2553" max="2553" customWidth="1" bestFit="1" width="3.0" style="1122"/>
    <col min="2554" max="2554" customWidth="1" bestFit="1" width="3.0" style="1122"/>
    <col min="2555" max="2555" customWidth="1" bestFit="1" width="3.0" style="1122"/>
    <col min="2556" max="2556" customWidth="1" bestFit="1" width="3.0" style="1122"/>
    <col min="2557" max="2557" customWidth="1" bestFit="1" width="3.0" style="1122"/>
    <col min="2558" max="2558" customWidth="1" bestFit="1" width="3.0" style="1122"/>
    <col min="2559" max="2559" customWidth="1" bestFit="1" width="3.0" style="1122"/>
    <col min="2560" max="2560" customWidth="1" bestFit="1" width="3.0" style="1122"/>
    <col min="2561" max="2561" customWidth="1" bestFit="1" width="3.0" style="1122"/>
    <col min="2562" max="2562" customWidth="1" bestFit="1" width="3.0" style="1122"/>
    <col min="2563" max="2563" customWidth="1" bestFit="1" width="3.0" style="1122"/>
    <col min="2564" max="2564" customWidth="1" bestFit="1" width="3.0" style="1122"/>
    <col min="2565" max="2565" customWidth="1" bestFit="1" width="3.0" style="1122"/>
    <col min="2566" max="2566" customWidth="1" bestFit="1" width="3.0" style="1122"/>
    <col min="2567" max="2567" customWidth="1" bestFit="1" width="3.0" style="1122"/>
    <col min="2568" max="2568" customWidth="1" bestFit="1" width="3.0" style="1122"/>
    <col min="2569" max="2569" customWidth="1" bestFit="1" width="3.0" style="1122"/>
    <col min="2570" max="2570" customWidth="1" bestFit="1" width="3.0" style="1122"/>
    <col min="2571" max="2571" customWidth="1" bestFit="1" width="3.0" style="1122"/>
    <col min="2572" max="2572" customWidth="1" bestFit="1" width="3.0" style="1122"/>
    <col min="2573" max="2573" customWidth="1" bestFit="1" width="3.0" style="1122"/>
    <col min="2574" max="2574" customWidth="1" bestFit="1" width="3.0" style="1122"/>
    <col min="2575" max="2575" customWidth="1" bestFit="1" width="3.0" style="1122"/>
    <col min="2576" max="2576" customWidth="1" bestFit="1" width="3.0" style="1122"/>
    <col min="2577" max="2577" customWidth="1" bestFit="1" width="3.0" style="1122"/>
    <col min="2578" max="2578" customWidth="1" bestFit="1" width="3.0" style="1122"/>
    <col min="2579" max="2579" customWidth="1" bestFit="1" width="3.0" style="1122"/>
    <col min="2580" max="2580" customWidth="1" bestFit="1" width="3.0" style="1122"/>
    <col min="2581" max="2581" customWidth="1" bestFit="1" width="3.0" style="1122"/>
    <col min="2582" max="2582" customWidth="1" bestFit="1" width="3.0" style="1122"/>
    <col min="2583" max="2583" customWidth="1" bestFit="1" width="3.0" style="1122"/>
    <col min="2584" max="2584" customWidth="1" bestFit="1" width="3.0" style="1122"/>
    <col min="2585" max="2585" customWidth="1" bestFit="1" width="3.0" style="1122"/>
    <col min="2586" max="2586" customWidth="1" bestFit="1" width="3.0" style="1122"/>
    <col min="2587" max="2587" customWidth="1" bestFit="1" width="3.0" style="1122"/>
    <col min="2588" max="2588" customWidth="1" bestFit="1" width="3.0" style="1122"/>
    <col min="2589" max="2589" customWidth="1" bestFit="1" width="3.0" style="1122"/>
    <col min="2590" max="2590" customWidth="1" bestFit="1" width="3.0" style="1122"/>
    <col min="2591" max="2591" customWidth="1" bestFit="1" width="3.0" style="1122"/>
    <col min="2592" max="2592" customWidth="1" bestFit="1" width="3.0" style="1122"/>
    <col min="2593" max="2593" customWidth="1" bestFit="1" width="3.0" style="1122"/>
    <col min="2594" max="2594" customWidth="1" bestFit="1" width="3.0" style="1122"/>
    <col min="2595" max="2595" customWidth="1" bestFit="1" width="3.0" style="1122"/>
    <col min="2596" max="2596" customWidth="1" bestFit="1" width="3.0" style="1122"/>
    <col min="2597" max="2597" customWidth="1" bestFit="1" width="3.0" style="1122"/>
    <col min="2598" max="2598" customWidth="1" bestFit="1" width="3.0" style="1122"/>
    <col min="2599" max="2599" customWidth="1" bestFit="1" width="3.0" style="1122"/>
    <col min="2600" max="2600" customWidth="1" bestFit="1" width="3.0" style="1122"/>
    <col min="2601" max="2601" customWidth="1" bestFit="1" width="3.0" style="1122"/>
    <col min="2602" max="2602" customWidth="1" bestFit="1" width="3.0" style="1122"/>
    <col min="2603" max="2603" customWidth="1" bestFit="1" width="3.0" style="1122"/>
    <col min="2604" max="2604" customWidth="1" bestFit="1" width="3.0" style="1122"/>
    <col min="2605" max="2605" customWidth="1" bestFit="1" width="3.0" style="1122"/>
    <col min="2606" max="2606" customWidth="1" bestFit="1" width="3.0" style="1122"/>
    <col min="2607" max="2607" customWidth="1" bestFit="1" width="3.0" style="1122"/>
    <col min="2608" max="2608" customWidth="1" bestFit="1" width="3.0" style="1122"/>
    <col min="2609" max="2609" customWidth="1" bestFit="1" width="3.0" style="1122"/>
    <col min="2610" max="2610" customWidth="1" bestFit="1" width="3.0" style="1122"/>
    <col min="2611" max="2611" customWidth="1" bestFit="1" width="3.0" style="1122"/>
    <col min="2612" max="2612" customWidth="1" bestFit="1" width="3.0" style="1122"/>
    <col min="2613" max="2613" customWidth="1" bestFit="1" width="3.0" style="1122"/>
    <col min="2614" max="2614" customWidth="1" bestFit="1" width="3.0" style="1122"/>
    <col min="2615" max="2615" customWidth="1" bestFit="1" width="3.0" style="1122"/>
    <col min="2616" max="2616" customWidth="1" bestFit="1" width="3.0" style="1122"/>
    <col min="2617" max="2617" customWidth="1" bestFit="1" width="3.0" style="1122"/>
    <col min="2618" max="2618" customWidth="1" bestFit="1" width="3.0" style="1122"/>
    <col min="2619" max="2619" customWidth="1" bestFit="1" width="3.0" style="1122"/>
    <col min="2620" max="2620" customWidth="1" bestFit="1" width="3.0" style="1122"/>
    <col min="2621" max="2621" customWidth="1" bestFit="1" width="3.0" style="1122"/>
    <col min="2622" max="2622" customWidth="1" bestFit="1" width="3.0" style="1122"/>
    <col min="2623" max="2623" customWidth="1" bestFit="1" width="3.0" style="1122"/>
    <col min="2624" max="2624" customWidth="1" bestFit="1" width="3.0" style="1122"/>
    <col min="2625" max="2625" customWidth="1" bestFit="1" width="3.0" style="1122"/>
    <col min="2626" max="2626" customWidth="1" bestFit="1" width="3.0" style="1122"/>
    <col min="2627" max="2627" customWidth="1" bestFit="1" width="3.0" style="1122"/>
    <col min="2628" max="2628" customWidth="1" bestFit="1" width="3.0" style="1122"/>
    <col min="2629" max="2629" customWidth="1" bestFit="1" width="3.0" style="1122"/>
    <col min="2630" max="2630" customWidth="1" bestFit="1" width="3.0" style="1122"/>
    <col min="2631" max="2631" customWidth="1" bestFit="1" width="3.0" style="1122"/>
    <col min="2632" max="2632" customWidth="1" bestFit="1" width="3.0" style="1122"/>
    <col min="2633" max="2633" customWidth="1" bestFit="1" width="3.0" style="1122"/>
    <col min="2634" max="2634" customWidth="1" bestFit="1" width="3.0" style="1122"/>
    <col min="2635" max="2635" customWidth="1" bestFit="1" width="3.0" style="1122"/>
    <col min="2636" max="2636" customWidth="1" bestFit="1" width="3.0" style="1122"/>
    <col min="2637" max="2637" customWidth="1" bestFit="1" width="3.0" style="1122"/>
    <col min="2638" max="2638" customWidth="1" bestFit="1" width="3.0" style="1122"/>
    <col min="2639" max="2639" customWidth="1" bestFit="1" width="3.0" style="1122"/>
    <col min="2640" max="2640" customWidth="1" bestFit="1" width="3.0" style="1122"/>
    <col min="2641" max="2641" customWidth="1" bestFit="1" width="3.0" style="1122"/>
    <col min="2642" max="2642" customWidth="1" bestFit="1" width="3.0" style="1122"/>
    <col min="2643" max="2643" customWidth="1" bestFit="1" width="3.0" style="1122"/>
    <col min="2644" max="2644" customWidth="1" bestFit="1" width="3.0" style="1122"/>
    <col min="2645" max="2645" customWidth="1" bestFit="1" width="3.0" style="1122"/>
    <col min="2646" max="2646" customWidth="1" bestFit="1" width="3.0" style="1122"/>
    <col min="2647" max="2647" customWidth="1" bestFit="1" width="3.0" style="1122"/>
    <col min="2648" max="2648" customWidth="1" bestFit="1" width="3.0" style="1122"/>
    <col min="2649" max="2649" customWidth="1" bestFit="1" width="3.0" style="1122"/>
    <col min="2650" max="2650" customWidth="1" bestFit="1" width="3.0" style="1122"/>
    <col min="2651" max="2651" customWidth="1" bestFit="1" width="3.0" style="1122"/>
    <col min="2652" max="2652" customWidth="1" bestFit="1" width="3.0" style="1122"/>
    <col min="2653" max="2653" customWidth="1" bestFit="1" width="3.0" style="1122"/>
    <col min="2654" max="2654" customWidth="1" bestFit="1" width="3.0" style="1122"/>
    <col min="2655" max="2655" customWidth="1" bestFit="1" width="3.0" style="1122"/>
    <col min="2656" max="2656" customWidth="1" bestFit="1" width="3.0" style="1122"/>
    <col min="2657" max="2657" customWidth="1" bestFit="1" width="3.0" style="1122"/>
    <col min="2658" max="2658" customWidth="1" bestFit="1" width="3.0" style="1122"/>
    <col min="2659" max="2659" customWidth="1" bestFit="1" width="3.0" style="1122"/>
    <col min="2660" max="2660" customWidth="1" bestFit="1" width="3.0" style="1122"/>
    <col min="2661" max="2661" customWidth="1" bestFit="1" width="3.0" style="1122"/>
    <col min="2662" max="2662" customWidth="1" bestFit="1" width="3.0" style="1122"/>
    <col min="2663" max="2663" customWidth="1" bestFit="1" width="3.0" style="1122"/>
    <col min="2664" max="2664" customWidth="1" bestFit="1" width="3.0" style="1122"/>
    <col min="2665" max="2665" customWidth="1" bestFit="1" width="3.0" style="1122"/>
    <col min="2666" max="2666" customWidth="1" bestFit="1" width="3.0" style="1122"/>
    <col min="2667" max="2667" customWidth="1" bestFit="1" width="3.0" style="1122"/>
    <col min="2668" max="2668" customWidth="1" bestFit="1" width="3.0" style="1122"/>
    <col min="2669" max="2669" customWidth="1" bestFit="1" width="3.0" style="1122"/>
    <col min="2670" max="2670" customWidth="1" bestFit="1" width="3.0" style="1122"/>
    <col min="2671" max="2671" customWidth="1" bestFit="1" width="3.0" style="1122"/>
    <col min="2672" max="2672" customWidth="1" bestFit="1" width="3.0" style="1122"/>
    <col min="2673" max="2673" customWidth="1" bestFit="1" width="3.0" style="1122"/>
    <col min="2674" max="2674" customWidth="1" bestFit="1" width="3.0" style="1122"/>
    <col min="2675" max="2675" customWidth="1" bestFit="1" width="3.0" style="1122"/>
    <col min="2676" max="2676" customWidth="1" bestFit="1" width="3.0" style="1122"/>
    <col min="2677" max="2677" customWidth="1" bestFit="1" width="3.0" style="1122"/>
    <col min="2678" max="2678" customWidth="1" bestFit="1" width="3.0" style="1122"/>
    <col min="2679" max="2679" customWidth="1" bestFit="1" width="3.0" style="1122"/>
    <col min="2680" max="2680" customWidth="1" bestFit="1" width="3.0" style="1122"/>
    <col min="2681" max="2681" customWidth="1" bestFit="1" width="3.0" style="1122"/>
    <col min="2682" max="2682" customWidth="1" bestFit="1" width="3.0" style="1122"/>
    <col min="2683" max="2683" customWidth="1" bestFit="1" width="3.0" style="1122"/>
    <col min="2684" max="2684" customWidth="1" bestFit="1" width="3.0" style="1122"/>
    <col min="2685" max="2685" customWidth="1" bestFit="1" width="3.0" style="1122"/>
    <col min="2686" max="2686" customWidth="1" bestFit="1" width="3.0" style="1122"/>
    <col min="2687" max="2687" customWidth="1" bestFit="1" width="3.0" style="1122"/>
    <col min="2688" max="2688" customWidth="1" bestFit="1" width="3.0" style="1122"/>
    <col min="2689" max="2689" customWidth="1" bestFit="1" width="3.0" style="1122"/>
    <col min="2690" max="2690" customWidth="1" bestFit="1" width="3.0" style="1122"/>
    <col min="2691" max="2691" customWidth="1" bestFit="1" width="3.0" style="1122"/>
    <col min="2692" max="2692" customWidth="1" bestFit="1" width="3.0" style="1122"/>
    <col min="2693" max="2693" customWidth="1" bestFit="1" width="3.0" style="1122"/>
    <col min="2694" max="2694" customWidth="1" bestFit="1" width="3.0" style="1122"/>
    <col min="2695" max="2695" customWidth="1" bestFit="1" width="3.0" style="1122"/>
    <col min="2696" max="2696" customWidth="1" bestFit="1" width="3.0" style="1122"/>
    <col min="2697" max="2697" customWidth="1" bestFit="1" width="3.0" style="1122"/>
    <col min="2698" max="2698" customWidth="1" bestFit="1" width="3.0" style="1122"/>
    <col min="2699" max="2699" customWidth="1" bestFit="1" width="3.0" style="1122"/>
    <col min="2700" max="2700" customWidth="1" bestFit="1" width="3.0" style="1122"/>
    <col min="2701" max="2701" customWidth="1" bestFit="1" width="3.0" style="1122"/>
    <col min="2702" max="2702" customWidth="1" bestFit="1" width="3.0" style="1122"/>
    <col min="2703" max="2703" customWidth="1" bestFit="1" width="3.0" style="1122"/>
    <col min="2704" max="2704" customWidth="1" bestFit="1" width="3.0" style="1122"/>
    <col min="2705" max="2705" customWidth="1" bestFit="1" width="3.0" style="1122"/>
    <col min="2706" max="2706" customWidth="1" bestFit="1" width="3.0" style="1122"/>
    <col min="2707" max="2707" customWidth="1" bestFit="1" width="3.0" style="1122"/>
    <col min="2708" max="2708" customWidth="1" bestFit="1" width="3.0" style="1122"/>
    <col min="2709" max="2709" customWidth="1" bestFit="1" width="3.0" style="1122"/>
    <col min="2710" max="2710" customWidth="1" bestFit="1" width="3.0" style="1122"/>
    <col min="2711" max="2711" customWidth="1" bestFit="1" width="3.0" style="1122"/>
    <col min="2712" max="2712" customWidth="1" bestFit="1" width="3.0" style="1122"/>
    <col min="2713" max="2713" customWidth="1" bestFit="1" width="3.0" style="1122"/>
    <col min="2714" max="2714" customWidth="1" bestFit="1" width="3.0" style="1122"/>
    <col min="2715" max="2715" customWidth="1" bestFit="1" width="3.0" style="1122"/>
    <col min="2716" max="2716" customWidth="1" bestFit="1" width="3.0" style="1122"/>
    <col min="2717" max="2717" customWidth="1" bestFit="1" width="3.0" style="1122"/>
    <col min="2718" max="2718" customWidth="1" bestFit="1" width="3.0" style="1122"/>
    <col min="2719" max="2719" customWidth="1" bestFit="1" width="3.0" style="1122"/>
    <col min="2720" max="2720" customWidth="1" bestFit="1" width="3.0" style="1122"/>
    <col min="2721" max="2721" customWidth="1" bestFit="1" width="3.0" style="1122"/>
    <col min="2722" max="2722" customWidth="1" bestFit="1" width="3.0" style="1122"/>
    <col min="2723" max="2723" customWidth="1" bestFit="1" width="3.0" style="1122"/>
    <col min="2724" max="2724" customWidth="1" bestFit="1" width="3.0" style="1122"/>
    <col min="2725" max="2725" customWidth="1" bestFit="1" width="3.0" style="1122"/>
    <col min="2726" max="2726" customWidth="1" bestFit="1" width="3.0" style="1122"/>
    <col min="2727" max="2727" customWidth="1" bestFit="1" width="3.0" style="1122"/>
    <col min="2728" max="2728" customWidth="1" bestFit="1" width="3.0" style="1122"/>
    <col min="2729" max="2729" customWidth="1" bestFit="1" width="3.0" style="1122"/>
    <col min="2730" max="2730" customWidth="1" bestFit="1" width="3.0" style="1122"/>
    <col min="2731" max="2731" customWidth="1" bestFit="1" width="3.0" style="1122"/>
    <col min="2732" max="2732" customWidth="1" bestFit="1" width="3.0" style="1122"/>
    <col min="2733" max="2733" customWidth="1" bestFit="1" width="3.0" style="1122"/>
    <col min="2734" max="2734" customWidth="1" bestFit="1" width="3.0" style="1122"/>
    <col min="2735" max="2735" customWidth="1" bestFit="1" width="3.0" style="1122"/>
    <col min="2736" max="2736" customWidth="1" bestFit="1" width="3.0" style="1122"/>
    <col min="2737" max="2737" customWidth="1" bestFit="1" width="3.0" style="1122"/>
    <col min="2738" max="2738" customWidth="1" bestFit="1" width="3.0" style="1122"/>
    <col min="2739" max="2739" customWidth="1" bestFit="1" width="3.0" style="1122"/>
    <col min="2740" max="2740" customWidth="1" bestFit="1" width="3.0" style="1122"/>
    <col min="2741" max="2741" customWidth="1" bestFit="1" width="3.0" style="1122"/>
    <col min="2742" max="2742" customWidth="1" bestFit="1" width="3.0" style="1122"/>
    <col min="2743" max="2743" customWidth="1" bestFit="1" width="3.0" style="1122"/>
    <col min="2744" max="2744" customWidth="1" bestFit="1" width="3.0" style="1122"/>
    <col min="2745" max="2745" customWidth="1" bestFit="1" width="3.0" style="1122"/>
    <col min="2746" max="2746" customWidth="1" bestFit="1" width="3.0" style="1122"/>
    <col min="2747" max="2747" customWidth="1" bestFit="1" width="3.0" style="1122"/>
    <col min="2748" max="2748" customWidth="1" bestFit="1" width="3.0" style="1122"/>
    <col min="2749" max="2749" customWidth="1" bestFit="1" width="3.0" style="1122"/>
    <col min="2750" max="2750" customWidth="1" bestFit="1" width="3.0" style="1122"/>
    <col min="2751" max="2751" customWidth="1" bestFit="1" width="3.0" style="1122"/>
    <col min="2752" max="2752" customWidth="1" bestFit="1" width="3.0" style="1122"/>
    <col min="2753" max="2753" customWidth="1" bestFit="1" width="3.0" style="1122"/>
    <col min="2754" max="2754" customWidth="1" bestFit="1" width="3.0" style="1122"/>
    <col min="2755" max="2755" customWidth="1" bestFit="1" width="3.0" style="1122"/>
    <col min="2756" max="2756" customWidth="1" bestFit="1" width="3.0" style="1122"/>
    <col min="2757" max="2757" customWidth="1" bestFit="1" width="3.0" style="1122"/>
    <col min="2758" max="2758" customWidth="1" bestFit="1" width="3.0" style="1122"/>
    <col min="2759" max="2759" customWidth="1" bestFit="1" width="3.0" style="1122"/>
    <col min="2760" max="2760" customWidth="1" bestFit="1" width="3.0" style="1122"/>
    <col min="2761" max="2761" customWidth="1" bestFit="1" width="3.0" style="1122"/>
    <col min="2762" max="2762" customWidth="1" bestFit="1" width="3.0" style="1122"/>
    <col min="2763" max="2763" customWidth="1" bestFit="1" width="3.0" style="1122"/>
    <col min="2764" max="2764" customWidth="1" bestFit="1" width="3.0" style="1122"/>
    <col min="2765" max="2765" customWidth="1" bestFit="1" width="3.0" style="1122"/>
    <col min="2766" max="2766" customWidth="1" bestFit="1" width="3.0" style="1122"/>
    <col min="2767" max="2767" customWidth="1" bestFit="1" width="3.0" style="1122"/>
    <col min="2768" max="2768" customWidth="1" bestFit="1" width="3.0" style="1122"/>
    <col min="2769" max="2769" customWidth="1" bestFit="1" width="3.0" style="1122"/>
    <col min="2770" max="2770" customWidth="1" bestFit="1" width="3.0" style="1122"/>
    <col min="2771" max="2771" customWidth="1" bestFit="1" width="3.0" style="1122"/>
    <col min="2772" max="2772" customWidth="1" bestFit="1" width="3.0" style="1122"/>
    <col min="2773" max="2773" customWidth="1" bestFit="1" width="3.0" style="1122"/>
    <col min="2774" max="2774" customWidth="1" bestFit="1" width="3.0" style="1122"/>
    <col min="2775" max="2775" customWidth="1" bestFit="1" width="3.0" style="1122"/>
    <col min="2776" max="2776" customWidth="1" bestFit="1" width="3.0" style="1122"/>
    <col min="2777" max="2777" customWidth="1" bestFit="1" width="3.0" style="1122"/>
    <col min="2778" max="2778" customWidth="1" bestFit="1" width="3.0" style="1122"/>
    <col min="2779" max="2779" customWidth="1" bestFit="1" width="3.0" style="1122"/>
    <col min="2780" max="2780" customWidth="1" bestFit="1" width="3.0" style="1122"/>
    <col min="2781" max="2781" customWidth="1" bestFit="1" width="3.0" style="1122"/>
    <col min="2782" max="2782" customWidth="1" bestFit="1" width="3.0" style="1122"/>
    <col min="2783" max="2783" customWidth="1" bestFit="1" width="3.0" style="1122"/>
    <col min="2784" max="2784" customWidth="1" bestFit="1" width="3.0" style="1122"/>
    <col min="2785" max="2785" customWidth="1" bestFit="1" width="3.0" style="1122"/>
    <col min="2786" max="2786" customWidth="1" bestFit="1" width="3.0" style="1122"/>
    <col min="2787" max="2787" customWidth="1" bestFit="1" width="3.0" style="1122"/>
    <col min="2788" max="2788" customWidth="1" bestFit="1" width="3.0" style="1122"/>
    <col min="2789" max="2789" customWidth="1" bestFit="1" width="3.0" style="1122"/>
    <col min="2790" max="2790" customWidth="1" bestFit="1" width="3.0" style="1122"/>
    <col min="2791" max="2791" customWidth="1" bestFit="1" width="3.0" style="1122"/>
    <col min="2792" max="2792" customWidth="1" bestFit="1" width="3.0" style="1122"/>
    <col min="2793" max="2793" customWidth="1" bestFit="1" width="3.0" style="1122"/>
    <col min="2794" max="2794" customWidth="1" bestFit="1" width="3.0" style="1122"/>
    <col min="2795" max="2795" customWidth="1" bestFit="1" width="3.0" style="1122"/>
    <col min="2796" max="2796" customWidth="1" bestFit="1" width="3.0" style="1122"/>
    <col min="2797" max="2797" customWidth="1" bestFit="1" width="3.0" style="1122"/>
    <col min="2798" max="2798" customWidth="1" bestFit="1" width="3.0" style="1122"/>
    <col min="2799" max="2799" customWidth="1" bestFit="1" width="3.0" style="1122"/>
    <col min="2800" max="2800" customWidth="1" bestFit="1" width="3.0" style="1122"/>
    <col min="2801" max="2801" customWidth="1" bestFit="1" width="3.0" style="1122"/>
    <col min="2802" max="2802" customWidth="1" bestFit="1" width="3.0" style="1122"/>
    <col min="2803" max="2803" customWidth="1" bestFit="1" width="3.0" style="1122"/>
    <col min="2804" max="2804" customWidth="1" bestFit="1" width="3.0" style="1122"/>
    <col min="2805" max="2805" customWidth="1" bestFit="1" width="3.0" style="1122"/>
    <col min="2806" max="2806" customWidth="1" bestFit="1" width="3.0" style="1122"/>
    <col min="2807" max="2807" customWidth="1" bestFit="1" width="3.0" style="1122"/>
    <col min="2808" max="2808" customWidth="1" bestFit="1" width="3.0" style="1122"/>
    <col min="2809" max="2809" customWidth="1" bestFit="1" width="3.0" style="1122"/>
    <col min="2810" max="2810" customWidth="1" bestFit="1" width="3.0" style="1122"/>
    <col min="2811" max="2811" customWidth="1" bestFit="1" width="3.0" style="1122"/>
    <col min="2812" max="2812" customWidth="1" bestFit="1" width="3.0" style="1122"/>
    <col min="2813" max="2813" customWidth="1" bestFit="1" width="3.0" style="1122"/>
    <col min="2814" max="2814" customWidth="1" bestFit="1" width="3.0" style="1122"/>
    <col min="2815" max="2815" customWidth="1" bestFit="1" width="3.0" style="1122"/>
    <col min="2816" max="2816" customWidth="1" bestFit="1" width="3.0" style="1122"/>
    <col min="2817" max="2817" customWidth="1" bestFit="1" width="3.0" style="1122"/>
    <col min="2818" max="2818" customWidth="1" bestFit="1" width="3.0" style="1122"/>
    <col min="2819" max="2819" customWidth="1" bestFit="1" width="3.0" style="1122"/>
    <col min="2820" max="2820" customWidth="1" bestFit="1" width="3.0" style="1122"/>
    <col min="2821" max="2821" customWidth="1" bestFit="1" width="3.0" style="1122"/>
    <col min="2822" max="2822" customWidth="1" bestFit="1" width="3.0" style="1122"/>
    <col min="2823" max="2823" customWidth="1" bestFit="1" width="3.0" style="1122"/>
    <col min="2824" max="2824" customWidth="1" bestFit="1" width="3.0" style="1122"/>
    <col min="2825" max="2825" customWidth="1" bestFit="1" width="3.0" style="1122"/>
    <col min="2826" max="2826" customWidth="1" bestFit="1" width="3.0" style="1122"/>
    <col min="2827" max="2827" customWidth="1" bestFit="1" width="3.0" style="1122"/>
    <col min="2828" max="2828" customWidth="1" bestFit="1" width="3.0" style="1122"/>
    <col min="2829" max="2829" customWidth="1" bestFit="1" width="3.0" style="1122"/>
    <col min="2830" max="2830" customWidth="1" bestFit="1" width="3.0" style="1122"/>
    <col min="2831" max="2831" customWidth="1" bestFit="1" width="3.0" style="1122"/>
    <col min="2832" max="2832" customWidth="1" bestFit="1" width="3.0" style="1122"/>
    <col min="2833" max="2833" customWidth="1" bestFit="1" width="3.0" style="1122"/>
    <col min="2834" max="2834" customWidth="1" bestFit="1" width="3.0" style="1122"/>
    <col min="2835" max="2835" customWidth="1" bestFit="1" width="3.0" style="1122"/>
    <col min="2836" max="2836" customWidth="1" bestFit="1" width="3.0" style="1122"/>
    <col min="2837" max="2837" customWidth="1" bestFit="1" width="3.0" style="1122"/>
    <col min="2838" max="2838" customWidth="1" bestFit="1" width="3.0" style="1122"/>
    <col min="2839" max="2839" customWidth="1" bestFit="1" width="3.0" style="1122"/>
    <col min="2840" max="2840" customWidth="1" bestFit="1" width="3.0" style="1122"/>
    <col min="2841" max="2841" customWidth="1" bestFit="1" width="3.0" style="1122"/>
    <col min="2842" max="2842" customWidth="1" bestFit="1" width="3.0" style="1122"/>
    <col min="2843" max="2843" customWidth="1" bestFit="1" width="3.0" style="1122"/>
    <col min="2844" max="2844" customWidth="1" bestFit="1" width="3.0" style="1122"/>
    <col min="2845" max="2845" customWidth="1" bestFit="1" width="3.0" style="1122"/>
    <col min="2846" max="2846" customWidth="1" bestFit="1" width="3.0" style="1122"/>
    <col min="2847" max="2847" customWidth="1" bestFit="1" width="3.0" style="1122"/>
    <col min="2848" max="2848" customWidth="1" bestFit="1" width="3.0" style="1122"/>
    <col min="2849" max="2849" customWidth="1" bestFit="1" width="3.0" style="1122"/>
    <col min="2850" max="2850" customWidth="1" bestFit="1" width="3.0" style="1122"/>
    <col min="2851" max="2851" customWidth="1" bestFit="1" width="3.0" style="1122"/>
    <col min="2852" max="2852" customWidth="1" bestFit="1" width="3.0" style="1122"/>
    <col min="2853" max="2853" customWidth="1" bestFit="1" width="3.0" style="1122"/>
    <col min="2854" max="2854" customWidth="1" bestFit="1" width="3.0" style="1122"/>
    <col min="2855" max="2855" customWidth="1" bestFit="1" width="3.0" style="1122"/>
    <col min="2856" max="2856" customWidth="1" bestFit="1" width="3.0" style="1122"/>
    <col min="2857" max="2857" customWidth="1" bestFit="1" width="3.0" style="1122"/>
    <col min="2858" max="2858" customWidth="1" bestFit="1" width="3.0" style="1122"/>
    <col min="2859" max="2859" customWidth="1" bestFit="1" width="3.0" style="1122"/>
    <col min="2860" max="2860" customWidth="1" bestFit="1" width="3.0" style="1122"/>
    <col min="2861" max="2861" customWidth="1" bestFit="1" width="3.0" style="1122"/>
    <col min="2862" max="2862" customWidth="1" bestFit="1" width="3.0" style="1122"/>
    <col min="2863" max="2863" customWidth="1" bestFit="1" width="3.0" style="1122"/>
    <col min="2864" max="2864" customWidth="1" bestFit="1" width="3.0" style="1122"/>
    <col min="2865" max="2865" customWidth="1" bestFit="1" width="3.0" style="1122"/>
    <col min="2866" max="2866" customWidth="1" bestFit="1" width="3.0" style="1122"/>
    <col min="2867" max="2867" customWidth="1" bestFit="1" width="3.0" style="1122"/>
    <col min="2868" max="2868" customWidth="1" bestFit="1" width="3.0" style="1122"/>
    <col min="2869" max="2869" customWidth="1" bestFit="1" width="3.0" style="1122"/>
    <col min="2870" max="2870" customWidth="1" bestFit="1" width="3.0" style="1122"/>
    <col min="2871" max="2871" customWidth="1" bestFit="1" width="3.0" style="1122"/>
    <col min="2872" max="2872" customWidth="1" bestFit="1" width="3.0" style="1122"/>
    <col min="2873" max="2873" customWidth="1" bestFit="1" width="3.0" style="1122"/>
    <col min="2874" max="2874" customWidth="1" bestFit="1" width="3.0" style="1122"/>
    <col min="2875" max="2875" customWidth="1" bestFit="1" width="3.0" style="1122"/>
    <col min="2876" max="2876" customWidth="1" bestFit="1" width="3.0" style="1122"/>
    <col min="2877" max="2877" customWidth="1" bestFit="1" width="3.0" style="1122"/>
    <col min="2878" max="2878" customWidth="1" bestFit="1" width="3.0" style="1122"/>
    <col min="2879" max="2879" customWidth="1" bestFit="1" width="3.0" style="1122"/>
    <col min="2880" max="2880" customWidth="1" bestFit="1" width="3.0" style="1122"/>
    <col min="2881" max="2881" customWidth="1" bestFit="1" width="3.0" style="1122"/>
    <col min="2882" max="2882" customWidth="1" bestFit="1" width="3.0" style="1122"/>
    <col min="2883" max="2883" customWidth="1" bestFit="1" width="3.0" style="1122"/>
    <col min="2884" max="2884" customWidth="1" bestFit="1" width="3.0" style="1122"/>
    <col min="2885" max="2885" customWidth="1" bestFit="1" width="3.0" style="1122"/>
    <col min="2886" max="2886" customWidth="1" bestFit="1" width="3.0" style="1122"/>
    <col min="2887" max="2887" customWidth="1" bestFit="1" width="3.0" style="1122"/>
    <col min="2888" max="2888" customWidth="1" bestFit="1" width="3.0" style="1122"/>
    <col min="2889" max="2889" customWidth="1" bestFit="1" width="3.0" style="1122"/>
    <col min="2890" max="2890" customWidth="1" bestFit="1" width="3.0" style="1122"/>
    <col min="2891" max="2891" customWidth="1" bestFit="1" width="3.0" style="1122"/>
    <col min="2892" max="2892" customWidth="1" bestFit="1" width="3.0" style="1122"/>
    <col min="2893" max="2893" customWidth="1" bestFit="1" width="3.0" style="1122"/>
    <col min="2894" max="2894" customWidth="1" bestFit="1" width="3.0" style="1122"/>
    <col min="2895" max="2895" customWidth="1" bestFit="1" width="3.0" style="1122"/>
    <col min="2896" max="2896" customWidth="1" bestFit="1" width="3.0" style="1122"/>
    <col min="2897" max="2897" customWidth="1" bestFit="1" width="3.0" style="1122"/>
    <col min="2898" max="2898" customWidth="1" bestFit="1" width="3.0" style="1122"/>
    <col min="2899" max="2899" customWidth="1" bestFit="1" width="3.0" style="1122"/>
    <col min="2900" max="2900" customWidth="1" bestFit="1" width="3.0" style="1122"/>
    <col min="2901" max="2901" customWidth="1" bestFit="1" width="3.0" style="1122"/>
    <col min="2902" max="2902" customWidth="1" bestFit="1" width="3.0" style="1122"/>
    <col min="2903" max="2903" customWidth="1" bestFit="1" width="3.0" style="1122"/>
    <col min="2904" max="2904" customWidth="1" bestFit="1" width="3.0" style="1122"/>
    <col min="2905" max="2905" customWidth="1" bestFit="1" width="3.0" style="1122"/>
    <col min="2906" max="2906" customWidth="1" bestFit="1" width="3.0" style="1122"/>
    <col min="2907" max="2907" customWidth="1" bestFit="1" width="3.0" style="1122"/>
    <col min="2908" max="2908" customWidth="1" bestFit="1" width="3.0" style="1122"/>
    <col min="2909" max="2909" customWidth="1" bestFit="1" width="3.0" style="1122"/>
    <col min="2910" max="2910" customWidth="1" bestFit="1" width="3.0" style="1122"/>
    <col min="2911" max="2911" customWidth="1" bestFit="1" width="3.0" style="1122"/>
    <col min="2912" max="2912" customWidth="1" bestFit="1" width="3.0" style="1122"/>
    <col min="2913" max="2913" customWidth="1" bestFit="1" width="3.0" style="1122"/>
    <col min="2914" max="2914" customWidth="1" bestFit="1" width="3.0" style="1122"/>
    <col min="2915" max="2915" customWidth="1" bestFit="1" width="3.0" style="1122"/>
    <col min="2916" max="2916" customWidth="1" bestFit="1" width="3.0" style="1122"/>
    <col min="2917" max="2917" customWidth="1" bestFit="1" width="3.0" style="1122"/>
    <col min="2918" max="2918" customWidth="1" bestFit="1" width="3.0" style="1122"/>
    <col min="2919" max="2919" customWidth="1" bestFit="1" width="3.0" style="1122"/>
    <col min="2920" max="2920" customWidth="1" bestFit="1" width="3.0" style="1122"/>
    <col min="2921" max="2921" customWidth="1" bestFit="1" width="3.0" style="1122"/>
    <col min="2922" max="2922" customWidth="1" bestFit="1" width="3.0" style="1122"/>
    <col min="2923" max="2923" customWidth="1" bestFit="1" width="3.0" style="1122"/>
    <col min="2924" max="2924" customWidth="1" bestFit="1" width="3.0" style="1122"/>
    <col min="2925" max="2925" customWidth="1" bestFit="1" width="3.0" style="1122"/>
    <col min="2926" max="2926" customWidth="1" bestFit="1" width="3.0" style="1122"/>
    <col min="2927" max="2927" customWidth="1" bestFit="1" width="3.0" style="1122"/>
    <col min="2928" max="2928" customWidth="1" bestFit="1" width="3.0" style="1122"/>
    <col min="2929" max="2929" customWidth="1" bestFit="1" width="3.0" style="1122"/>
    <col min="2930" max="2930" customWidth="1" bestFit="1" width="3.0" style="1122"/>
    <col min="2931" max="2931" customWidth="1" bestFit="1" width="3.0" style="1122"/>
    <col min="2932" max="2932" customWidth="1" bestFit="1" width="3.0" style="1122"/>
    <col min="2933" max="2933" customWidth="1" bestFit="1" width="3.0" style="1122"/>
    <col min="2934" max="2934" customWidth="1" bestFit="1" width="3.0" style="1122"/>
    <col min="2935" max="2935" customWidth="1" bestFit="1" width="3.0" style="1122"/>
    <col min="2936" max="2936" customWidth="1" bestFit="1" width="3.0" style="1122"/>
    <col min="2937" max="2937" customWidth="1" bestFit="1" width="3.0" style="1122"/>
    <col min="2938" max="2938" customWidth="1" bestFit="1" width="3.0" style="1122"/>
    <col min="2939" max="2939" customWidth="1" bestFit="1" width="3.0" style="1122"/>
    <col min="2940" max="2940" customWidth="1" bestFit="1" width="3.0" style="1122"/>
    <col min="2941" max="2941" customWidth="1" bestFit="1" width="3.0" style="1122"/>
    <col min="2942" max="2942" customWidth="1" bestFit="1" width="3.0" style="1122"/>
    <col min="2943" max="2943" customWidth="1" bestFit="1" width="3.0" style="1122"/>
    <col min="2944" max="2944" customWidth="1" bestFit="1" width="3.0" style="1122"/>
    <col min="2945" max="2945" customWidth="1" bestFit="1" width="3.0" style="1122"/>
    <col min="2946" max="2946" customWidth="1" bestFit="1" width="3.0" style="1122"/>
    <col min="2947" max="2947" customWidth="1" bestFit="1" width="3.0" style="1122"/>
    <col min="2948" max="2948" customWidth="1" bestFit="1" width="3.0" style="1122"/>
    <col min="2949" max="2949" customWidth="1" bestFit="1" width="3.0" style="1122"/>
    <col min="2950" max="2950" customWidth="1" bestFit="1" width="3.0" style="1122"/>
    <col min="2951" max="2951" customWidth="1" bestFit="1" width="3.0" style="1122"/>
    <col min="2952" max="2952" customWidth="1" bestFit="1" width="3.0" style="1122"/>
    <col min="2953" max="2953" customWidth="1" bestFit="1" width="3.0" style="1122"/>
    <col min="2954" max="2954" customWidth="1" bestFit="1" width="3.0" style="1122"/>
    <col min="2955" max="2955" customWidth="1" bestFit="1" width="3.0" style="1122"/>
    <col min="2956" max="2956" customWidth="1" bestFit="1" width="3.0" style="1122"/>
    <col min="2957" max="2957" customWidth="1" bestFit="1" width="3.0" style="1122"/>
    <col min="2958" max="2958" customWidth="1" bestFit="1" width="3.0" style="1122"/>
    <col min="2959" max="2959" customWidth="1" bestFit="1" width="3.0" style="1122"/>
    <col min="2960" max="2960" customWidth="1" bestFit="1" width="3.0" style="1122"/>
    <col min="2961" max="2961" customWidth="1" bestFit="1" width="3.0" style="1122"/>
    <col min="2962" max="2962" customWidth="1" bestFit="1" width="3.0" style="1122"/>
    <col min="2963" max="2963" customWidth="1" bestFit="1" width="3.0" style="1122"/>
    <col min="2964" max="2964" customWidth="1" bestFit="1" width="3.0" style="1122"/>
    <col min="2965" max="2965" customWidth="1" bestFit="1" width="3.0" style="1122"/>
    <col min="2966" max="2966" customWidth="1" bestFit="1" width="3.0" style="1122"/>
    <col min="2967" max="2967" customWidth="1" bestFit="1" width="3.0" style="1122"/>
    <col min="2968" max="2968" customWidth="1" bestFit="1" width="3.0" style="1122"/>
    <col min="2969" max="2969" customWidth="1" bestFit="1" width="3.0" style="1122"/>
    <col min="2970" max="2970" customWidth="1" bestFit="1" width="3.0" style="1122"/>
    <col min="2971" max="2971" customWidth="1" bestFit="1" width="3.0" style="1122"/>
    <col min="2972" max="2972" customWidth="1" bestFit="1" width="3.0" style="1122"/>
    <col min="2973" max="2973" customWidth="1" bestFit="1" width="3.0" style="1122"/>
    <col min="2974" max="2974" customWidth="1" bestFit="1" width="3.0" style="1122"/>
    <col min="2975" max="2975" customWidth="1" bestFit="1" width="3.0" style="1122"/>
    <col min="2976" max="2976" customWidth="1" bestFit="1" width="3.0" style="1122"/>
    <col min="2977" max="2977" customWidth="1" bestFit="1" width="3.0" style="1122"/>
    <col min="2978" max="2978" customWidth="1" bestFit="1" width="3.0" style="1122"/>
    <col min="2979" max="2979" customWidth="1" bestFit="1" width="3.0" style="1122"/>
    <col min="2980" max="2980" customWidth="1" bestFit="1" width="3.0" style="1122"/>
    <col min="2981" max="2981" customWidth="1" bestFit="1" width="3.0" style="1122"/>
    <col min="2982" max="2982" customWidth="1" bestFit="1" width="3.0" style="1122"/>
    <col min="2983" max="2983" customWidth="1" bestFit="1" width="3.0" style="1122"/>
    <col min="2984" max="2984" customWidth="1" bestFit="1" width="3.0" style="1122"/>
    <col min="2985" max="2985" customWidth="1" bestFit="1" width="3.0" style="1122"/>
    <col min="2986" max="2986" customWidth="1" bestFit="1" width="3.0" style="1122"/>
    <col min="2987" max="2987" customWidth="1" bestFit="1" width="3.0" style="1122"/>
    <col min="2988" max="2988" customWidth="1" bestFit="1" width="3.0" style="1122"/>
    <col min="2989" max="2989" customWidth="1" bestFit="1" width="3.0" style="1122"/>
    <col min="2990" max="2990" customWidth="1" bestFit="1" width="3.0" style="1122"/>
    <col min="2991" max="2991" customWidth="1" bestFit="1" width="3.0" style="1122"/>
    <col min="2992" max="2992" customWidth="1" bestFit="1" width="3.0" style="1122"/>
    <col min="2993" max="2993" customWidth="1" bestFit="1" width="3.0" style="1122"/>
    <col min="2994" max="2994" customWidth="1" bestFit="1" width="3.0" style="1122"/>
    <col min="2995" max="2995" customWidth="1" bestFit="1" width="3.0" style="1122"/>
    <col min="2996" max="2996" customWidth="1" bestFit="1" width="3.0" style="1122"/>
    <col min="2997" max="2997" customWidth="1" bestFit="1" width="3.0" style="1122"/>
    <col min="2998" max="2998" customWidth="1" bestFit="1" width="3.0" style="1122"/>
    <col min="2999" max="2999" customWidth="1" bestFit="1" width="3.0" style="1122"/>
    <col min="3000" max="3000" customWidth="1" bestFit="1" width="3.0" style="1122"/>
    <col min="3001" max="3001" customWidth="1" bestFit="1" width="3.0" style="1122"/>
    <col min="3002" max="3002" customWidth="1" bestFit="1" width="3.0" style="1122"/>
    <col min="3003" max="3003" customWidth="1" bestFit="1" width="3.0" style="1122"/>
    <col min="3004" max="3004" customWidth="1" bestFit="1" width="3.0" style="1122"/>
    <col min="3005" max="3005" customWidth="1" bestFit="1" width="3.0" style="1122"/>
    <col min="3006" max="3006" customWidth="1" bestFit="1" width="3.0" style="1122"/>
    <col min="3007" max="3007" customWidth="1" bestFit="1" width="3.0" style="1122"/>
    <col min="3008" max="3008" customWidth="1" bestFit="1" width="3.0" style="1122"/>
    <col min="3009" max="3009" customWidth="1" bestFit="1" width="3.0" style="1122"/>
    <col min="3010" max="3010" customWidth="1" bestFit="1" width="3.0" style="1122"/>
    <col min="3011" max="3011" customWidth="1" bestFit="1" width="3.0" style="1122"/>
    <col min="3012" max="3012" customWidth="1" bestFit="1" width="3.0" style="1122"/>
    <col min="3013" max="3013" customWidth="1" bestFit="1" width="3.0" style="1122"/>
    <col min="3014" max="3014" customWidth="1" bestFit="1" width="3.0" style="1122"/>
    <col min="3015" max="3015" customWidth="1" bestFit="1" width="3.0" style="1122"/>
    <col min="3016" max="3016" customWidth="1" bestFit="1" width="3.0" style="1122"/>
    <col min="3017" max="3017" customWidth="1" bestFit="1" width="3.0" style="1122"/>
    <col min="3018" max="3018" customWidth="1" bestFit="1" width="3.0" style="1122"/>
    <col min="3019" max="3019" customWidth="1" bestFit="1" width="3.0" style="1122"/>
    <col min="3020" max="3020" customWidth="1" bestFit="1" width="3.0" style="1122"/>
    <col min="3021" max="3021" customWidth="1" bestFit="1" width="3.0" style="1122"/>
    <col min="3022" max="3022" customWidth="1" bestFit="1" width="3.0" style="1122"/>
    <col min="3023" max="3023" customWidth="1" bestFit="1" width="3.0" style="1122"/>
    <col min="3024" max="3024" customWidth="1" bestFit="1" width="3.0" style="1122"/>
    <col min="3025" max="3025" customWidth="1" bestFit="1" width="3.0" style="1122"/>
    <col min="3026" max="3026" customWidth="1" bestFit="1" width="3.0" style="1122"/>
    <col min="3027" max="3027" customWidth="1" bestFit="1" width="3.0" style="1122"/>
    <col min="3028" max="3028" customWidth="1" bestFit="1" width="3.0" style="1122"/>
    <col min="3029" max="3029" customWidth="1" bestFit="1" width="3.0" style="1122"/>
    <col min="3030" max="3030" customWidth="1" bestFit="1" width="3.0" style="1122"/>
    <col min="3031" max="3031" customWidth="1" bestFit="1" width="3.0" style="1122"/>
    <col min="3032" max="3032" customWidth="1" bestFit="1" width="3.0" style="1122"/>
    <col min="3033" max="3033" customWidth="1" bestFit="1" width="3.0" style="1122"/>
    <col min="3034" max="3034" customWidth="1" bestFit="1" width="3.0" style="1122"/>
    <col min="3035" max="3035" customWidth="1" bestFit="1" width="3.0" style="1122"/>
    <col min="3036" max="3036" customWidth="1" bestFit="1" width="3.0" style="1122"/>
    <col min="3037" max="3037" customWidth="1" bestFit="1" width="3.0" style="1122"/>
    <col min="3038" max="3038" customWidth="1" bestFit="1" width="3.0" style="1122"/>
    <col min="3039" max="3039" customWidth="1" bestFit="1" width="3.0" style="1122"/>
    <col min="3040" max="3040" customWidth="1" bestFit="1" width="3.0" style="1122"/>
    <col min="3041" max="3041" customWidth="1" bestFit="1" width="3.0" style="1122"/>
    <col min="3042" max="3042" customWidth="1" bestFit="1" width="3.0" style="1122"/>
    <col min="3043" max="3043" customWidth="1" bestFit="1" width="3.0" style="1122"/>
    <col min="3044" max="3044" customWidth="1" bestFit="1" width="3.0" style="1122"/>
    <col min="3045" max="3045" customWidth="1" bestFit="1" width="3.0" style="1122"/>
    <col min="3046" max="3046" customWidth="1" bestFit="1" width="3.0" style="1122"/>
    <col min="3047" max="3047" customWidth="1" bestFit="1" width="3.0" style="1122"/>
    <col min="3048" max="3048" customWidth="1" bestFit="1" width="3.0" style="1122"/>
    <col min="3049" max="3049" customWidth="1" bestFit="1" width="3.0" style="1122"/>
    <col min="3050" max="3050" customWidth="1" bestFit="1" width="3.0" style="1122"/>
    <col min="3051" max="3051" customWidth="1" bestFit="1" width="3.0" style="1122"/>
    <col min="3052" max="3052" customWidth="1" bestFit="1" width="3.0" style="1122"/>
    <col min="3053" max="3053" customWidth="1" bestFit="1" width="3.0" style="1122"/>
    <col min="3054" max="3054" customWidth="1" bestFit="1" width="3.0" style="1122"/>
    <col min="3055" max="3055" customWidth="1" bestFit="1" width="3.0" style="1122"/>
    <col min="3056" max="3056" customWidth="1" bestFit="1" width="3.0" style="1122"/>
    <col min="3057" max="3057" customWidth="1" bestFit="1" width="3.0" style="1122"/>
    <col min="3058" max="3058" customWidth="1" bestFit="1" width="3.0" style="1122"/>
    <col min="3059" max="3059" customWidth="1" bestFit="1" width="3.0" style="1122"/>
    <col min="3060" max="3060" customWidth="1" bestFit="1" width="3.0" style="1122"/>
    <col min="3061" max="3061" customWidth="1" bestFit="1" width="3.0" style="1122"/>
    <col min="3062" max="3062" customWidth="1" bestFit="1" width="3.0" style="1122"/>
    <col min="3063" max="3063" customWidth="1" bestFit="1" width="3.0" style="1122"/>
    <col min="3064" max="3064" customWidth="1" bestFit="1" width="3.0" style="1122"/>
    <col min="3065" max="3065" customWidth="1" bestFit="1" width="3.0" style="1122"/>
    <col min="3066" max="3066" customWidth="1" bestFit="1" width="3.0" style="1122"/>
    <col min="3067" max="3067" customWidth="1" bestFit="1" width="3.0" style="1122"/>
    <col min="3068" max="3068" customWidth="1" bestFit="1" width="3.0" style="1122"/>
    <col min="3069" max="3069" customWidth="1" bestFit="1" width="3.0" style="1122"/>
    <col min="3070" max="3070" customWidth="1" bestFit="1" width="3.0" style="1122"/>
    <col min="3071" max="3071" customWidth="1" bestFit="1" width="3.0" style="1122"/>
    <col min="3072" max="3072" customWidth="1" bestFit="1" width="3.0" style="1122"/>
    <col min="3073" max="3073" customWidth="1" bestFit="1" width="3.0" style="1122"/>
    <col min="3074" max="3074" customWidth="1" bestFit="1" width="3.0" style="1122"/>
    <col min="3075" max="3075" customWidth="1" bestFit="1" width="3.0" style="1122"/>
    <col min="3076" max="3076" customWidth="1" bestFit="1" width="3.0" style="1122"/>
    <col min="3077" max="3077" customWidth="1" bestFit="1" width="3.0" style="1122"/>
    <col min="3078" max="3078" customWidth="1" bestFit="1" width="3.0" style="1122"/>
    <col min="3079" max="3079" customWidth="1" bestFit="1" width="3.0" style="1122"/>
    <col min="3080" max="3080" customWidth="1" bestFit="1" width="3.0" style="1122"/>
    <col min="3081" max="3081" customWidth="1" bestFit="1" width="3.0" style="1122"/>
    <col min="3082" max="3082" customWidth="1" bestFit="1" width="3.0" style="1122"/>
    <col min="3083" max="3083" customWidth="1" bestFit="1" width="3.0" style="1122"/>
    <col min="3084" max="3084" customWidth="1" bestFit="1" width="3.0" style="1122"/>
    <col min="3085" max="3085" customWidth="1" bestFit="1" width="3.0" style="1122"/>
    <col min="3086" max="3086" customWidth="1" bestFit="1" width="3.0" style="1122"/>
    <col min="3087" max="3087" customWidth="1" bestFit="1" width="3.0" style="1122"/>
    <col min="3088" max="3088" customWidth="1" bestFit="1" width="3.0" style="1122"/>
    <col min="3089" max="3089" customWidth="1" bestFit="1" width="3.0" style="1122"/>
    <col min="3090" max="3090" customWidth="1" bestFit="1" width="3.0" style="1122"/>
    <col min="3091" max="3091" customWidth="1" bestFit="1" width="3.0" style="1122"/>
    <col min="3092" max="3092" customWidth="1" bestFit="1" width="3.0" style="1122"/>
    <col min="3093" max="3093" customWidth="1" bestFit="1" width="3.0" style="1122"/>
    <col min="3094" max="3094" customWidth="1" bestFit="1" width="3.0" style="1122"/>
    <col min="3095" max="3095" customWidth="1" bestFit="1" width="3.0" style="1122"/>
    <col min="3096" max="3096" customWidth="1" bestFit="1" width="3.0" style="1122"/>
    <col min="3097" max="3097" customWidth="1" bestFit="1" width="3.0" style="1122"/>
    <col min="3098" max="3098" customWidth="1" bestFit="1" width="3.0" style="1122"/>
    <col min="3099" max="3099" customWidth="1" bestFit="1" width="3.0" style="1122"/>
    <col min="3100" max="3100" customWidth="1" bestFit="1" width="3.0" style="1122"/>
    <col min="3101" max="3101" customWidth="1" bestFit="1" width="3.0" style="1122"/>
    <col min="3102" max="3102" customWidth="1" bestFit="1" width="3.0" style="1122"/>
    <col min="3103" max="3103" customWidth="1" bestFit="1" width="3.0" style="1122"/>
    <col min="3104" max="3104" customWidth="1" bestFit="1" width="3.0" style="1122"/>
    <col min="3105" max="3105" customWidth="1" bestFit="1" width="3.0" style="1122"/>
    <col min="3106" max="3106" customWidth="1" bestFit="1" width="3.0" style="1122"/>
    <col min="3107" max="3107" customWidth="1" bestFit="1" width="3.0" style="1122"/>
    <col min="3108" max="3108" customWidth="1" bestFit="1" width="3.0" style="1122"/>
    <col min="3109" max="3109" customWidth="1" bestFit="1" width="3.0" style="1122"/>
    <col min="3110" max="3110" customWidth="1" bestFit="1" width="3.0" style="1122"/>
    <col min="3111" max="3111" customWidth="1" bestFit="1" width="3.0" style="1122"/>
    <col min="3112" max="3112" customWidth="1" bestFit="1" width="3.0" style="1122"/>
    <col min="3113" max="3113" customWidth="1" bestFit="1" width="3.0" style="1122"/>
    <col min="3114" max="3114" customWidth="1" bestFit="1" width="3.0" style="1122"/>
    <col min="3115" max="3115" customWidth="1" bestFit="1" width="3.0" style="1122"/>
    <col min="3116" max="3116" customWidth="1" bestFit="1" width="3.0" style="1122"/>
    <col min="3117" max="3117" customWidth="1" bestFit="1" width="3.0" style="1122"/>
    <col min="3118" max="3118" customWidth="1" bestFit="1" width="3.0" style="1122"/>
    <col min="3119" max="3119" customWidth="1" bestFit="1" width="3.0" style="1122"/>
    <col min="3120" max="3120" customWidth="1" bestFit="1" width="3.0" style="1122"/>
    <col min="3121" max="3121" customWidth="1" bestFit="1" width="3.0" style="1122"/>
    <col min="3122" max="3122" customWidth="1" bestFit="1" width="3.0" style="1122"/>
    <col min="3123" max="3123" customWidth="1" bestFit="1" width="3.0" style="1122"/>
    <col min="3124" max="3124" customWidth="1" bestFit="1" width="3.0" style="1122"/>
    <col min="3125" max="3125" customWidth="1" bestFit="1" width="3.0" style="1122"/>
    <col min="3126" max="3126" customWidth="1" bestFit="1" width="3.0" style="1122"/>
    <col min="3127" max="3127" customWidth="1" bestFit="1" width="3.0" style="1122"/>
    <col min="3128" max="3128" customWidth="1" bestFit="1" width="3.0" style="1122"/>
    <col min="3129" max="3129" customWidth="1" bestFit="1" width="3.0" style="1122"/>
    <col min="3130" max="3130" customWidth="1" bestFit="1" width="3.0" style="1122"/>
    <col min="3131" max="3131" customWidth="1" bestFit="1" width="3.0" style="1122"/>
    <col min="3132" max="3132" customWidth="1" bestFit="1" width="3.0" style="1122"/>
    <col min="3133" max="3133" customWidth="1" bestFit="1" width="3.0" style="1122"/>
    <col min="3134" max="3134" customWidth="1" bestFit="1" width="3.0" style="1122"/>
    <col min="3135" max="3135" customWidth="1" bestFit="1" width="3.0" style="1122"/>
    <col min="3136" max="3136" customWidth="1" bestFit="1" width="3.0" style="1122"/>
    <col min="3137" max="3137" customWidth="1" bestFit="1" width="3.0" style="1122"/>
    <col min="3138" max="3138" customWidth="1" bestFit="1" width="3.0" style="1122"/>
    <col min="3139" max="3139" customWidth="1" bestFit="1" width="3.0" style="1122"/>
    <col min="3140" max="3140" customWidth="1" bestFit="1" width="3.0" style="1122"/>
    <col min="3141" max="3141" customWidth="1" bestFit="1" width="3.0" style="1122"/>
    <col min="3142" max="3142" customWidth="1" bestFit="1" width="3.0" style="1122"/>
    <col min="3143" max="3143" customWidth="1" bestFit="1" width="3.0" style="1122"/>
    <col min="3144" max="3144" customWidth="1" bestFit="1" width="3.0" style="1122"/>
    <col min="3145" max="3145" customWidth="1" bestFit="1" width="3.0" style="1122"/>
    <col min="3146" max="3146" customWidth="1" bestFit="1" width="3.0" style="1122"/>
    <col min="3147" max="3147" customWidth="1" bestFit="1" width="3.0" style="1122"/>
    <col min="3148" max="3148" customWidth="1" bestFit="1" width="3.0" style="1122"/>
    <col min="3149" max="3149" customWidth="1" bestFit="1" width="3.0" style="1122"/>
    <col min="3150" max="3150" customWidth="1" bestFit="1" width="3.0" style="1122"/>
    <col min="3151" max="3151" customWidth="1" bestFit="1" width="3.0" style="1122"/>
    <col min="3152" max="3152" customWidth="1" bestFit="1" width="3.0" style="1122"/>
    <col min="3153" max="3153" customWidth="1" bestFit="1" width="3.0" style="1122"/>
    <col min="3154" max="3154" customWidth="1" bestFit="1" width="3.0" style="1122"/>
    <col min="3155" max="3155" customWidth="1" bestFit="1" width="3.0" style="1122"/>
    <col min="3156" max="3156" customWidth="1" bestFit="1" width="3.0" style="1122"/>
    <col min="3157" max="3157" customWidth="1" bestFit="1" width="3.0" style="1122"/>
    <col min="3158" max="3158" customWidth="1" bestFit="1" width="3.0" style="1122"/>
    <col min="3159" max="3159" customWidth="1" bestFit="1" width="3.0" style="1122"/>
    <col min="3160" max="3160" customWidth="1" bestFit="1" width="3.0" style="1122"/>
    <col min="3161" max="3161" customWidth="1" bestFit="1" width="3.0" style="1122"/>
    <col min="3162" max="3162" customWidth="1" bestFit="1" width="3.0" style="1122"/>
    <col min="3163" max="3163" customWidth="1" bestFit="1" width="3.0" style="1122"/>
    <col min="3164" max="3164" customWidth="1" bestFit="1" width="3.0" style="1122"/>
    <col min="3165" max="3165" customWidth="1" bestFit="1" width="3.0" style="1122"/>
    <col min="3166" max="3166" customWidth="1" bestFit="1" width="3.0" style="1122"/>
    <col min="3167" max="3167" customWidth="1" bestFit="1" width="3.0" style="1122"/>
    <col min="3168" max="3168" customWidth="1" bestFit="1" width="3.0" style="1122"/>
    <col min="3169" max="3169" customWidth="1" bestFit="1" width="3.0" style="1122"/>
    <col min="3170" max="3170" customWidth="1" bestFit="1" width="3.0" style="1122"/>
    <col min="3171" max="3171" customWidth="1" bestFit="1" width="3.0" style="1122"/>
    <col min="3172" max="3172" customWidth="1" bestFit="1" width="3.0" style="1122"/>
    <col min="3173" max="3173" customWidth="1" bestFit="1" width="3.0" style="1122"/>
    <col min="3174" max="3174" customWidth="1" bestFit="1" width="3.0" style="1122"/>
    <col min="3175" max="3175" customWidth="1" bestFit="1" width="3.0" style="1122"/>
    <col min="3176" max="3176" customWidth="1" bestFit="1" width="3.0" style="1122"/>
    <col min="3177" max="3177" customWidth="1" bestFit="1" width="3.0" style="1122"/>
    <col min="3178" max="3178" customWidth="1" bestFit="1" width="3.0" style="1122"/>
    <col min="3179" max="3179" customWidth="1" bestFit="1" width="3.0" style="1122"/>
    <col min="3180" max="3180" customWidth="1" bestFit="1" width="3.0" style="1122"/>
    <col min="3181" max="3181" customWidth="1" bestFit="1" width="3.0" style="1122"/>
    <col min="3182" max="3182" customWidth="1" bestFit="1" width="3.0" style="1122"/>
    <col min="3183" max="3183" customWidth="1" bestFit="1" width="3.0" style="1122"/>
    <col min="3184" max="3184" customWidth="1" bestFit="1" width="3.0" style="1122"/>
    <col min="3185" max="3185" customWidth="1" bestFit="1" width="3.0" style="1122"/>
    <col min="3186" max="3186" customWidth="1" bestFit="1" width="3.0" style="1122"/>
    <col min="3187" max="3187" customWidth="1" bestFit="1" width="3.0" style="1122"/>
    <col min="3188" max="3188" customWidth="1" bestFit="1" width="3.0" style="1122"/>
    <col min="3189" max="3189" customWidth="1" bestFit="1" width="3.0" style="1122"/>
    <col min="3190" max="3190" customWidth="1" bestFit="1" width="3.0" style="1122"/>
    <col min="3191" max="3191" customWidth="1" bestFit="1" width="3.0" style="1122"/>
    <col min="3192" max="3192" customWidth="1" bestFit="1" width="3.0" style="1122"/>
    <col min="3193" max="3193" customWidth="1" bestFit="1" width="3.0" style="1122"/>
    <col min="3194" max="3194" customWidth="1" bestFit="1" width="3.0" style="1122"/>
    <col min="3195" max="3195" customWidth="1" bestFit="1" width="3.0" style="1122"/>
    <col min="3196" max="3196" customWidth="1" bestFit="1" width="3.0" style="1122"/>
    <col min="3197" max="3197" customWidth="1" bestFit="1" width="3.0" style="1122"/>
    <col min="3198" max="3198" customWidth="1" bestFit="1" width="3.0" style="1122"/>
    <col min="3199" max="3199" customWidth="1" bestFit="1" width="3.0" style="1122"/>
    <col min="3200" max="3200" customWidth="1" bestFit="1" width="3.0" style="1122"/>
    <col min="3201" max="3201" customWidth="1" bestFit="1" width="3.0" style="1122"/>
    <col min="3202" max="3202" customWidth="1" bestFit="1" width="3.0" style="1122"/>
    <col min="3203" max="3203" customWidth="1" bestFit="1" width="3.0" style="1122"/>
    <col min="3204" max="3204" customWidth="1" bestFit="1" width="3.0" style="1122"/>
    <col min="3205" max="3205" customWidth="1" bestFit="1" width="3.0" style="1122"/>
    <col min="3206" max="3206" customWidth="1" bestFit="1" width="3.0" style="1122"/>
    <col min="3207" max="3207" customWidth="1" bestFit="1" width="3.0" style="1122"/>
    <col min="3208" max="3208" customWidth="1" bestFit="1" width="3.0" style="1122"/>
    <col min="3209" max="3209" customWidth="1" bestFit="1" width="3.0" style="1122"/>
    <col min="3210" max="3210" customWidth="1" bestFit="1" width="3.0" style="1122"/>
    <col min="3211" max="3211" customWidth="1" bestFit="1" width="3.0" style="1122"/>
    <col min="3212" max="3212" customWidth="1" bestFit="1" width="3.0" style="1122"/>
    <col min="3213" max="3213" customWidth="1" bestFit="1" width="3.0" style="1122"/>
    <col min="3214" max="3214" customWidth="1" bestFit="1" width="3.0" style="1122"/>
    <col min="3215" max="3215" customWidth="1" bestFit="1" width="3.0" style="1122"/>
    <col min="3216" max="3216" customWidth="1" bestFit="1" width="3.0" style="1122"/>
    <col min="3217" max="3217" customWidth="1" bestFit="1" width="3.0" style="1122"/>
    <col min="3218" max="3218" customWidth="1" bestFit="1" width="3.0" style="1122"/>
    <col min="3219" max="3219" customWidth="1" bestFit="1" width="3.0" style="1122"/>
    <col min="3220" max="3220" customWidth="1" bestFit="1" width="3.0" style="1122"/>
    <col min="3221" max="3221" customWidth="1" bestFit="1" width="3.0" style="1122"/>
    <col min="3222" max="3222" customWidth="1" bestFit="1" width="3.0" style="1122"/>
    <col min="3223" max="3223" customWidth="1" bestFit="1" width="3.0" style="1122"/>
    <col min="3224" max="3224" customWidth="1" bestFit="1" width="3.0" style="1122"/>
    <col min="3225" max="3225" customWidth="1" bestFit="1" width="3.0" style="1122"/>
    <col min="3226" max="3226" customWidth="1" bestFit="1" width="3.0" style="1122"/>
    <col min="3227" max="3227" customWidth="1" bestFit="1" width="3.0" style="1122"/>
    <col min="3228" max="3228" customWidth="1" bestFit="1" width="3.0" style="1122"/>
    <col min="3229" max="3229" customWidth="1" bestFit="1" width="3.0" style="1122"/>
    <col min="3230" max="3230" customWidth="1" bestFit="1" width="3.0" style="1122"/>
    <col min="3231" max="3231" customWidth="1" bestFit="1" width="3.0" style="1122"/>
    <col min="3232" max="3232" customWidth="1" bestFit="1" width="3.0" style="1122"/>
    <col min="3233" max="3233" customWidth="1" bestFit="1" width="3.0" style="1122"/>
    <col min="3234" max="3234" customWidth="1" bestFit="1" width="3.0" style="1122"/>
    <col min="3235" max="3235" customWidth="1" bestFit="1" width="3.0" style="1122"/>
    <col min="3236" max="3236" customWidth="1" bestFit="1" width="3.0" style="1122"/>
    <col min="3237" max="3237" customWidth="1" bestFit="1" width="3.0" style="1122"/>
    <col min="3238" max="3238" customWidth="1" bestFit="1" width="3.0" style="1122"/>
    <col min="3239" max="3239" customWidth="1" bestFit="1" width="3.0" style="1122"/>
    <col min="3240" max="3240" customWidth="1" bestFit="1" width="3.0" style="1122"/>
    <col min="3241" max="3241" customWidth="1" bestFit="1" width="3.0" style="1122"/>
    <col min="3242" max="3242" customWidth="1" bestFit="1" width="3.0" style="1122"/>
    <col min="3243" max="3243" customWidth="1" bestFit="1" width="3.0" style="1122"/>
    <col min="3244" max="3244" customWidth="1" bestFit="1" width="3.0" style="1122"/>
    <col min="3245" max="3245" customWidth="1" bestFit="1" width="3.0" style="1122"/>
    <col min="3246" max="3246" customWidth="1" bestFit="1" width="3.0" style="1122"/>
    <col min="3247" max="3247" customWidth="1" bestFit="1" width="3.0" style="1122"/>
    <col min="3248" max="3248" customWidth="1" bestFit="1" width="3.0" style="1122"/>
    <col min="3249" max="3249" customWidth="1" bestFit="1" width="3.0" style="1122"/>
    <col min="3250" max="3250" customWidth="1" bestFit="1" width="3.0" style="1122"/>
    <col min="3251" max="3251" customWidth="1" bestFit="1" width="3.0" style="1122"/>
    <col min="3252" max="3252" customWidth="1" bestFit="1" width="3.0" style="1122"/>
    <col min="3253" max="3253" customWidth="1" bestFit="1" width="3.0" style="1122"/>
    <col min="3254" max="3254" customWidth="1" bestFit="1" width="3.0" style="1122"/>
    <col min="3255" max="3255" customWidth="1" bestFit="1" width="3.0" style="1122"/>
    <col min="3256" max="3256" customWidth="1" bestFit="1" width="3.0" style="1122"/>
    <col min="3257" max="3257" customWidth="1" bestFit="1" width="3.0" style="1122"/>
    <col min="3258" max="3258" customWidth="1" bestFit="1" width="3.0" style="1122"/>
    <col min="3259" max="3259" customWidth="1" bestFit="1" width="3.0" style="1122"/>
    <col min="3260" max="3260" customWidth="1" bestFit="1" width="3.0" style="1122"/>
    <col min="3261" max="3261" customWidth="1" bestFit="1" width="3.0" style="1122"/>
    <col min="3262" max="3262" customWidth="1" bestFit="1" width="3.0" style="1122"/>
    <col min="3263" max="3263" customWidth="1" bestFit="1" width="3.0" style="1122"/>
    <col min="3264" max="3264" customWidth="1" bestFit="1" width="3.0" style="1122"/>
    <col min="3265" max="3265" customWidth="1" bestFit="1" width="3.0" style="1122"/>
    <col min="3266" max="3266" customWidth="1" bestFit="1" width="3.0" style="1122"/>
    <col min="3267" max="3267" customWidth="1" bestFit="1" width="3.0" style="1122"/>
    <col min="3268" max="3268" customWidth="1" bestFit="1" width="3.0" style="1122"/>
    <col min="3269" max="3269" customWidth="1" bestFit="1" width="3.0" style="1122"/>
    <col min="3270" max="3270" customWidth="1" bestFit="1" width="3.0" style="1122"/>
    <col min="3271" max="3271" customWidth="1" bestFit="1" width="3.0" style="1122"/>
    <col min="3272" max="3272" customWidth="1" bestFit="1" width="3.0" style="1122"/>
    <col min="3273" max="3273" customWidth="1" bestFit="1" width="3.0" style="1122"/>
    <col min="3274" max="3274" customWidth="1" bestFit="1" width="3.0" style="1122"/>
    <col min="3275" max="3275" customWidth="1" bestFit="1" width="3.0" style="1122"/>
    <col min="3276" max="3276" customWidth="1" bestFit="1" width="3.0" style="1122"/>
    <col min="3277" max="3277" customWidth="1" bestFit="1" width="3.0" style="1122"/>
    <col min="3278" max="3278" customWidth="1" bestFit="1" width="3.0" style="1122"/>
    <col min="3279" max="3279" customWidth="1" bestFit="1" width="3.0" style="1122"/>
    <col min="3280" max="3280" customWidth="1" bestFit="1" width="3.0" style="1122"/>
    <col min="3281" max="3281" customWidth="1" bestFit="1" width="3.0" style="1122"/>
    <col min="3282" max="3282" customWidth="1" bestFit="1" width="3.0" style="1122"/>
    <col min="3283" max="3283" customWidth="1" bestFit="1" width="3.0" style="1122"/>
    <col min="3284" max="3284" customWidth="1" bestFit="1" width="3.0" style="1122"/>
    <col min="3285" max="3285" customWidth="1" bestFit="1" width="3.0" style="1122"/>
    <col min="3286" max="3286" customWidth="1" bestFit="1" width="3.0" style="1122"/>
    <col min="3287" max="3287" customWidth="1" bestFit="1" width="3.0" style="1122"/>
    <col min="3288" max="3288" customWidth="1" bestFit="1" width="3.0" style="1122"/>
    <col min="3289" max="3289" customWidth="1" bestFit="1" width="3.0" style="1122"/>
    <col min="3290" max="3290" customWidth="1" bestFit="1" width="3.0" style="1122"/>
    <col min="3291" max="3291" customWidth="1" bestFit="1" width="3.0" style="1122"/>
    <col min="3292" max="3292" customWidth="1" bestFit="1" width="3.0" style="1122"/>
    <col min="3293" max="3293" customWidth="1" bestFit="1" width="3.0" style="1122"/>
    <col min="3294" max="3294" customWidth="1" bestFit="1" width="3.0" style="1122"/>
    <col min="3295" max="3295" customWidth="1" bestFit="1" width="3.0" style="1122"/>
    <col min="3296" max="3296" customWidth="1" bestFit="1" width="3.0" style="1122"/>
    <col min="3297" max="3297" customWidth="1" bestFit="1" width="3.0" style="1122"/>
    <col min="3298" max="3298" customWidth="1" bestFit="1" width="3.0" style="1122"/>
    <col min="3299" max="3299" customWidth="1" bestFit="1" width="3.0" style="1122"/>
    <col min="3300" max="3300" customWidth="1" bestFit="1" width="3.0" style="1122"/>
    <col min="3301" max="3301" customWidth="1" bestFit="1" width="3.0" style="1122"/>
    <col min="3302" max="3302" customWidth="1" bestFit="1" width="3.0" style="1122"/>
    <col min="3303" max="3303" customWidth="1" bestFit="1" width="3.0" style="1122"/>
    <col min="3304" max="3304" customWidth="1" bestFit="1" width="3.0" style="1122"/>
    <col min="3305" max="3305" customWidth="1" bestFit="1" width="3.0" style="1122"/>
    <col min="3306" max="3306" customWidth="1" bestFit="1" width="3.0" style="1122"/>
    <col min="3307" max="3307" customWidth="1" bestFit="1" width="3.0" style="1122"/>
    <col min="3308" max="3308" customWidth="1" bestFit="1" width="3.0" style="1122"/>
    <col min="3309" max="3309" customWidth="1" bestFit="1" width="3.0" style="1122"/>
    <col min="3310" max="3310" customWidth="1" bestFit="1" width="3.0" style="1122"/>
    <col min="3311" max="3311" customWidth="1" bestFit="1" width="3.0" style="1122"/>
    <col min="3312" max="3312" customWidth="1" bestFit="1" width="3.0" style="1122"/>
    <col min="3313" max="3313" customWidth="1" bestFit="1" width="3.0" style="1122"/>
    <col min="3314" max="3314" customWidth="1" bestFit="1" width="3.0" style="1122"/>
    <col min="3315" max="3315" customWidth="1" bestFit="1" width="3.0" style="1122"/>
    <col min="3316" max="3316" customWidth="1" bestFit="1" width="3.0" style="1122"/>
    <col min="3317" max="3317" customWidth="1" bestFit="1" width="3.0" style="1122"/>
    <col min="3318" max="3318" customWidth="1" bestFit="1" width="3.0" style="1122"/>
    <col min="3319" max="3319" customWidth="1" bestFit="1" width="3.0" style="1122"/>
    <col min="3320" max="3320" customWidth="1" bestFit="1" width="3.0" style="1122"/>
    <col min="3321" max="3321" customWidth="1" bestFit="1" width="3.0" style="1122"/>
    <col min="3322" max="3322" customWidth="1" bestFit="1" width="3.0" style="1122"/>
    <col min="3323" max="3323" customWidth="1" bestFit="1" width="3.0" style="1122"/>
    <col min="3324" max="3324" customWidth="1" bestFit="1" width="3.0" style="1122"/>
    <col min="3325" max="3325" customWidth="1" bestFit="1" width="3.0" style="1122"/>
    <col min="3326" max="3326" customWidth="1" bestFit="1" width="3.0" style="1122"/>
    <col min="3327" max="3327" customWidth="1" bestFit="1" width="3.0" style="1122"/>
    <col min="3328" max="3328" customWidth="1" bestFit="1" width="3.0" style="1122"/>
    <col min="3329" max="3329" customWidth="1" bestFit="1" width="3.0" style="1122"/>
    <col min="3330" max="3330" customWidth="1" bestFit="1" width="3.0" style="1122"/>
    <col min="3331" max="3331" customWidth="1" bestFit="1" width="3.0" style="1122"/>
    <col min="3332" max="3332" customWidth="1" bestFit="1" width="3.0" style="1122"/>
    <col min="3333" max="3333" customWidth="1" bestFit="1" width="3.0" style="1122"/>
    <col min="3334" max="3334" customWidth="1" bestFit="1" width="3.0" style="1122"/>
    <col min="3335" max="3335" customWidth="1" bestFit="1" width="3.0" style="1122"/>
    <col min="3336" max="3336" customWidth="1" bestFit="1" width="3.0" style="1122"/>
    <col min="3337" max="3337" customWidth="1" bestFit="1" width="3.0" style="1122"/>
    <col min="3338" max="3338" customWidth="1" bestFit="1" width="3.0" style="1122"/>
    <col min="3339" max="3339" customWidth="1" bestFit="1" width="3.0" style="1122"/>
    <col min="3340" max="3340" customWidth="1" bestFit="1" width="3.0" style="1122"/>
    <col min="3341" max="3341" customWidth="1" bestFit="1" width="3.0" style="1122"/>
    <col min="3342" max="3342" customWidth="1" bestFit="1" width="3.0" style="1122"/>
    <col min="3343" max="3343" customWidth="1" bestFit="1" width="3.0" style="1122"/>
    <col min="3344" max="3344" customWidth="1" bestFit="1" width="3.0" style="1122"/>
    <col min="3345" max="3345" customWidth="1" bestFit="1" width="3.0" style="1122"/>
    <col min="3346" max="3346" customWidth="1" bestFit="1" width="3.0" style="1122"/>
    <col min="3347" max="3347" customWidth="1" bestFit="1" width="3.0" style="1122"/>
    <col min="3348" max="3348" customWidth="1" bestFit="1" width="3.0" style="1122"/>
    <col min="3349" max="3349" customWidth="1" bestFit="1" width="3.0" style="1122"/>
    <col min="3350" max="3350" customWidth="1" bestFit="1" width="3.0" style="1122"/>
    <col min="3351" max="3351" customWidth="1" bestFit="1" width="3.0" style="1122"/>
    <col min="3352" max="3352" customWidth="1" bestFit="1" width="3.0" style="1122"/>
    <col min="3353" max="3353" customWidth="1" bestFit="1" width="3.0" style="1122"/>
    <col min="3354" max="3354" customWidth="1" bestFit="1" width="3.0" style="1122"/>
    <col min="3355" max="3355" customWidth="1" bestFit="1" width="3.0" style="1122"/>
    <col min="3356" max="3356" customWidth="1" bestFit="1" width="3.0" style="1122"/>
    <col min="3357" max="3357" customWidth="1" bestFit="1" width="3.0" style="1122"/>
    <col min="3358" max="3358" customWidth="1" bestFit="1" width="3.0" style="1122"/>
    <col min="3359" max="3359" customWidth="1" bestFit="1" width="3.0" style="1122"/>
    <col min="3360" max="3360" customWidth="1" bestFit="1" width="3.0" style="1122"/>
    <col min="3361" max="3361" customWidth="1" bestFit="1" width="3.0" style="1122"/>
    <col min="3362" max="3362" customWidth="1" bestFit="1" width="3.0" style="1122"/>
    <col min="3363" max="3363" customWidth="1" bestFit="1" width="3.0" style="1122"/>
    <col min="3364" max="3364" customWidth="1" bestFit="1" width="3.0" style="1122"/>
    <col min="3365" max="3365" customWidth="1" bestFit="1" width="3.0" style="1122"/>
    <col min="3366" max="3366" customWidth="1" bestFit="1" width="3.0" style="1122"/>
    <col min="3367" max="3367" customWidth="1" bestFit="1" width="3.0" style="1122"/>
    <col min="3368" max="3368" customWidth="1" bestFit="1" width="3.0" style="1122"/>
    <col min="3369" max="3369" customWidth="1" bestFit="1" width="3.0" style="1122"/>
    <col min="3370" max="3370" customWidth="1" bestFit="1" width="3.0" style="1122"/>
    <col min="3371" max="3371" customWidth="1" bestFit="1" width="3.0" style="1122"/>
    <col min="3372" max="3372" customWidth="1" bestFit="1" width="3.0" style="1122"/>
    <col min="3373" max="3373" customWidth="1" bestFit="1" width="3.0" style="1122"/>
    <col min="3374" max="3374" customWidth="1" bestFit="1" width="3.0" style="1122"/>
    <col min="3375" max="3375" customWidth="1" bestFit="1" width="3.0" style="1122"/>
    <col min="3376" max="3376" customWidth="1" bestFit="1" width="3.0" style="1122"/>
    <col min="3377" max="3377" customWidth="1" bestFit="1" width="3.0" style="1122"/>
    <col min="3378" max="3378" customWidth="1" bestFit="1" width="3.0" style="1122"/>
    <col min="3379" max="3379" customWidth="1" bestFit="1" width="3.0" style="1122"/>
    <col min="3380" max="3380" customWidth="1" bestFit="1" width="3.0" style="1122"/>
    <col min="3381" max="3381" customWidth="1" bestFit="1" width="3.0" style="1122"/>
    <col min="3382" max="3382" customWidth="1" bestFit="1" width="3.0" style="1122"/>
    <col min="3383" max="3383" customWidth="1" bestFit="1" width="3.0" style="1122"/>
    <col min="3384" max="3384" customWidth="1" bestFit="1" width="3.0" style="1122"/>
    <col min="3385" max="3385" customWidth="1" bestFit="1" width="3.0" style="1122"/>
    <col min="3386" max="3386" customWidth="1" bestFit="1" width="3.0" style="1122"/>
    <col min="3387" max="3387" customWidth="1" bestFit="1" width="3.0" style="1122"/>
    <col min="3388" max="3388" customWidth="1" bestFit="1" width="3.0" style="1122"/>
    <col min="3389" max="3389" customWidth="1" bestFit="1" width="3.0" style="1122"/>
    <col min="3390" max="3390" customWidth="1" bestFit="1" width="3.0" style="1122"/>
    <col min="3391" max="3391" customWidth="1" bestFit="1" width="3.0" style="1122"/>
    <col min="3392" max="3392" customWidth="1" bestFit="1" width="3.0" style="1122"/>
    <col min="3393" max="3393" customWidth="1" bestFit="1" width="3.0" style="1122"/>
    <col min="3394" max="3394" customWidth="1" bestFit="1" width="3.0" style="1122"/>
    <col min="3395" max="3395" customWidth="1" bestFit="1" width="3.0" style="1122"/>
    <col min="3396" max="3396" customWidth="1" bestFit="1" width="3.0" style="1122"/>
    <col min="3397" max="3397" customWidth="1" bestFit="1" width="3.0" style="1122"/>
    <col min="3398" max="3398" customWidth="1" bestFit="1" width="3.0" style="1122"/>
    <col min="3399" max="3399" customWidth="1" bestFit="1" width="3.0" style="1122"/>
    <col min="3400" max="3400" customWidth="1" bestFit="1" width="3.0" style="1122"/>
    <col min="3401" max="3401" customWidth="1" bestFit="1" width="3.0" style="1122"/>
    <col min="3402" max="3402" customWidth="1" bestFit="1" width="3.0" style="1122"/>
    <col min="3403" max="3403" customWidth="1" bestFit="1" width="3.0" style="1122"/>
    <col min="3404" max="3404" customWidth="1" bestFit="1" width="3.0" style="1122"/>
    <col min="3405" max="3405" customWidth="1" bestFit="1" width="3.0" style="1122"/>
    <col min="3406" max="3406" customWidth="1" bestFit="1" width="3.0" style="1122"/>
    <col min="3407" max="3407" customWidth="1" bestFit="1" width="3.0" style="1122"/>
    <col min="3408" max="3408" customWidth="1" bestFit="1" width="3.0" style="1122"/>
    <col min="3409" max="3409" customWidth="1" bestFit="1" width="3.0" style="1122"/>
    <col min="3410" max="3410" customWidth="1" bestFit="1" width="3.0" style="1122"/>
    <col min="3411" max="3411" customWidth="1" bestFit="1" width="3.0" style="1122"/>
    <col min="3412" max="3412" customWidth="1" bestFit="1" width="3.0" style="1122"/>
    <col min="3413" max="3413" customWidth="1" bestFit="1" width="3.0" style="1122"/>
    <col min="3414" max="3414" customWidth="1" bestFit="1" width="3.0" style="1122"/>
    <col min="3415" max="3415" customWidth="1" bestFit="1" width="3.0" style="1122"/>
    <col min="3416" max="3416" customWidth="1" bestFit="1" width="3.0" style="1122"/>
    <col min="3417" max="3417" customWidth="1" bestFit="1" width="3.0" style="1122"/>
    <col min="3418" max="3418" customWidth="1" bestFit="1" width="3.0" style="1122"/>
    <col min="3419" max="3419" customWidth="1" bestFit="1" width="3.0" style="1122"/>
    <col min="3420" max="3420" customWidth="1" bestFit="1" width="3.0" style="1122"/>
    <col min="3421" max="3421" customWidth="1" bestFit="1" width="3.0" style="1122"/>
    <col min="3422" max="3422" customWidth="1" bestFit="1" width="3.0" style="1122"/>
    <col min="3423" max="3423" customWidth="1" bestFit="1" width="3.0" style="1122"/>
    <col min="3424" max="3424" customWidth="1" bestFit="1" width="3.0" style="1122"/>
    <col min="3425" max="3425" customWidth="1" bestFit="1" width="3.0" style="1122"/>
    <col min="3426" max="3426" customWidth="1" bestFit="1" width="3.0" style="1122"/>
    <col min="3427" max="3427" customWidth="1" bestFit="1" width="3.0" style="1122"/>
    <col min="3428" max="3428" customWidth="1" bestFit="1" width="3.0" style="1122"/>
    <col min="3429" max="3429" customWidth="1" bestFit="1" width="3.0" style="1122"/>
    <col min="3430" max="3430" customWidth="1" bestFit="1" width="3.0" style="1122"/>
    <col min="3431" max="3431" customWidth="1" bestFit="1" width="3.0" style="1122"/>
    <col min="3432" max="3432" customWidth="1" bestFit="1" width="3.0" style="1122"/>
    <col min="3433" max="3433" customWidth="1" bestFit="1" width="3.0" style="1122"/>
    <col min="3434" max="3434" customWidth="1" bestFit="1" width="3.0" style="1122"/>
    <col min="3435" max="3435" customWidth="1" bestFit="1" width="3.0" style="1122"/>
    <col min="3436" max="3436" customWidth="1" bestFit="1" width="3.0" style="1122"/>
    <col min="3437" max="3437" customWidth="1" bestFit="1" width="3.0" style="1122"/>
    <col min="3438" max="3438" customWidth="1" bestFit="1" width="3.0" style="1122"/>
    <col min="3439" max="3439" customWidth="1" bestFit="1" width="3.0" style="1122"/>
    <col min="3440" max="3440" customWidth="1" bestFit="1" width="3.0" style="1122"/>
    <col min="3441" max="3441" customWidth="1" bestFit="1" width="3.0" style="1122"/>
    <col min="3442" max="3442" customWidth="1" bestFit="1" width="3.0" style="1122"/>
    <col min="3443" max="3443" customWidth="1" bestFit="1" width="3.0" style="1122"/>
    <col min="3444" max="3444" customWidth="1" bestFit="1" width="3.0" style="1122"/>
    <col min="3445" max="3445" customWidth="1" bestFit="1" width="3.0" style="1122"/>
    <col min="3446" max="3446" customWidth="1" bestFit="1" width="3.0" style="1122"/>
    <col min="3447" max="3447" customWidth="1" bestFit="1" width="3.0" style="1122"/>
    <col min="3448" max="3448" customWidth="1" bestFit="1" width="3.0" style="1122"/>
    <col min="3449" max="3449" customWidth="1" bestFit="1" width="3.0" style="1122"/>
    <col min="3450" max="3450" customWidth="1" bestFit="1" width="3.0" style="1122"/>
    <col min="3451" max="3451" customWidth="1" bestFit="1" width="3.0" style="1122"/>
    <col min="3452" max="3452" customWidth="1" bestFit="1" width="3.0" style="1122"/>
    <col min="3453" max="3453" customWidth="1" bestFit="1" width="3.0" style="1122"/>
    <col min="3454" max="3454" customWidth="1" bestFit="1" width="3.0" style="1122"/>
    <col min="3455" max="3455" customWidth="1" bestFit="1" width="3.0" style="1122"/>
    <col min="3456" max="3456" customWidth="1" bestFit="1" width="3.0" style="1122"/>
    <col min="3457" max="3457" customWidth="1" bestFit="1" width="3.0" style="1122"/>
    <col min="3458" max="3458" customWidth="1" bestFit="1" width="3.0" style="1122"/>
    <col min="3459" max="3459" customWidth="1" bestFit="1" width="3.0" style="1122"/>
    <col min="3460" max="3460" customWidth="1" bestFit="1" width="3.0" style="1122"/>
    <col min="3461" max="3461" customWidth="1" bestFit="1" width="3.0" style="1122"/>
    <col min="3462" max="3462" customWidth="1" bestFit="1" width="3.0" style="1122"/>
    <col min="3463" max="3463" customWidth="1" bestFit="1" width="3.0" style="1122"/>
    <col min="3464" max="3464" customWidth="1" bestFit="1" width="3.0" style="1122"/>
    <col min="3465" max="3465" customWidth="1" bestFit="1" width="3.0" style="1122"/>
    <col min="3466" max="3466" customWidth="1" bestFit="1" width="3.0" style="1122"/>
    <col min="3467" max="3467" customWidth="1" bestFit="1" width="3.0" style="1122"/>
    <col min="3468" max="3468" customWidth="1" bestFit="1" width="3.0" style="1122"/>
    <col min="3469" max="3469" customWidth="1" bestFit="1" width="3.0" style="1122"/>
    <col min="3470" max="3470" customWidth="1" bestFit="1" width="3.0" style="1122"/>
    <col min="3471" max="3471" customWidth="1" bestFit="1" width="3.0" style="1122"/>
    <col min="3472" max="3472" customWidth="1" bestFit="1" width="3.0" style="1122"/>
    <col min="3473" max="3473" customWidth="1" bestFit="1" width="3.0" style="1122"/>
    <col min="3474" max="3474" customWidth="1" bestFit="1" width="3.0" style="1122"/>
    <col min="3475" max="3475" customWidth="1" bestFit="1" width="3.0" style="1122"/>
    <col min="3476" max="3476" customWidth="1" bestFit="1" width="3.0" style="1122"/>
    <col min="3477" max="3477" customWidth="1" bestFit="1" width="3.0" style="1122"/>
    <col min="3478" max="3478" customWidth="1" bestFit="1" width="3.0" style="1122"/>
    <col min="3479" max="3479" customWidth="1" bestFit="1" width="3.0" style="1122"/>
    <col min="3480" max="3480" customWidth="1" bestFit="1" width="3.0" style="1122"/>
    <col min="3481" max="3481" customWidth="1" bestFit="1" width="3.0" style="1122"/>
    <col min="3482" max="3482" customWidth="1" bestFit="1" width="3.0" style="1122"/>
    <col min="3483" max="3483" customWidth="1" bestFit="1" width="3.0" style="1122"/>
    <col min="3484" max="3484" customWidth="1" bestFit="1" width="3.0" style="1122"/>
    <col min="3485" max="3485" customWidth="1" bestFit="1" width="3.0" style="1122"/>
    <col min="3486" max="3486" customWidth="1" bestFit="1" width="3.0" style="1122"/>
    <col min="3487" max="3487" customWidth="1" bestFit="1" width="3.0" style="1122"/>
    <col min="3488" max="3488" customWidth="1" bestFit="1" width="3.0" style="1122"/>
    <col min="3489" max="3489" customWidth="1" bestFit="1" width="3.0" style="1122"/>
    <col min="3490" max="3490" customWidth="1" bestFit="1" width="3.0" style="1122"/>
    <col min="3491" max="3491" customWidth="1" bestFit="1" width="3.0" style="1122"/>
    <col min="3492" max="3492" customWidth="1" bestFit="1" width="3.0" style="1122"/>
    <col min="3493" max="3493" customWidth="1" bestFit="1" width="3.0" style="1122"/>
    <col min="3494" max="3494" customWidth="1" bestFit="1" width="3.0" style="1122"/>
    <col min="3495" max="3495" customWidth="1" bestFit="1" width="3.0" style="1122"/>
    <col min="3496" max="3496" customWidth="1" bestFit="1" width="3.0" style="1122"/>
    <col min="3497" max="3497" customWidth="1" bestFit="1" width="3.0" style="1122"/>
    <col min="3498" max="3498" customWidth="1" bestFit="1" width="3.0" style="1122"/>
    <col min="3499" max="3499" customWidth="1" bestFit="1" width="3.0" style="1122"/>
    <col min="3500" max="3500" customWidth="1" bestFit="1" width="3.0" style="1122"/>
    <col min="3501" max="3501" customWidth="1" bestFit="1" width="3.0" style="1122"/>
    <col min="3502" max="3502" customWidth="1" bestFit="1" width="3.0" style="1122"/>
    <col min="3503" max="3503" customWidth="1" bestFit="1" width="3.0" style="1122"/>
    <col min="3504" max="3504" customWidth="1" bestFit="1" width="3.0" style="1122"/>
    <col min="3505" max="3505" customWidth="1" bestFit="1" width="3.0" style="1122"/>
    <col min="3506" max="3506" customWidth="1" bestFit="1" width="3.0" style="1122"/>
    <col min="3507" max="3507" customWidth="1" bestFit="1" width="3.0" style="1122"/>
    <col min="3508" max="3508" customWidth="1" bestFit="1" width="3.0" style="1122"/>
    <col min="3509" max="3509" customWidth="1" bestFit="1" width="3.0" style="1122"/>
    <col min="3510" max="3510" customWidth="1" bestFit="1" width="3.0" style="1122"/>
    <col min="3511" max="3511" customWidth="1" bestFit="1" width="3.0" style="1122"/>
    <col min="3512" max="3512" customWidth="1" bestFit="1" width="3.0" style="1122"/>
    <col min="3513" max="3513" customWidth="1" bestFit="1" width="3.0" style="1122"/>
    <col min="3514" max="3514" customWidth="1" bestFit="1" width="3.0" style="1122"/>
    <col min="3515" max="3515" customWidth="1" bestFit="1" width="3.0" style="1122"/>
    <col min="3516" max="3516" customWidth="1" bestFit="1" width="3.0" style="1122"/>
    <col min="3517" max="3517" customWidth="1" bestFit="1" width="3.0" style="1122"/>
    <col min="3518" max="3518" customWidth="1" bestFit="1" width="3.0" style="1122"/>
    <col min="3519" max="3519" customWidth="1" bestFit="1" width="3.0" style="1122"/>
    <col min="3520" max="3520" customWidth="1" bestFit="1" width="3.0" style="1122"/>
    <col min="3521" max="3521" customWidth="1" bestFit="1" width="3.0" style="1122"/>
    <col min="3522" max="3522" customWidth="1" bestFit="1" width="3.0" style="1122"/>
    <col min="3523" max="3523" customWidth="1" bestFit="1" width="3.0" style="1122"/>
    <col min="3524" max="3524" customWidth="1" bestFit="1" width="3.0" style="1122"/>
    <col min="3525" max="3525" customWidth="1" bestFit="1" width="3.0" style="1122"/>
    <col min="3526" max="3526" customWidth="1" bestFit="1" width="3.0" style="1122"/>
    <col min="3527" max="3527" customWidth="1" bestFit="1" width="3.0" style="1122"/>
    <col min="3528" max="3528" customWidth="1" bestFit="1" width="3.0" style="1122"/>
    <col min="3529" max="3529" customWidth="1" bestFit="1" width="3.0" style="1122"/>
    <col min="3530" max="3530" customWidth="1" bestFit="1" width="3.0" style="1122"/>
    <col min="3531" max="3531" customWidth="1" bestFit="1" width="3.0" style="1122"/>
    <col min="3532" max="3532" customWidth="1" bestFit="1" width="3.0" style="1122"/>
    <col min="3533" max="3533" customWidth="1" bestFit="1" width="3.0" style="1122"/>
    <col min="3534" max="3534" customWidth="1" bestFit="1" width="3.0" style="1122"/>
    <col min="3535" max="3535" customWidth="1" bestFit="1" width="3.0" style="1122"/>
    <col min="3536" max="3536" customWidth="1" bestFit="1" width="3.0" style="1122"/>
    <col min="3537" max="3537" customWidth="1" bestFit="1" width="3.0" style="1122"/>
    <col min="3538" max="3538" customWidth="1" bestFit="1" width="3.0" style="1122"/>
    <col min="3539" max="3539" customWidth="1" bestFit="1" width="3.0" style="1122"/>
    <col min="3540" max="3540" customWidth="1" bestFit="1" width="3.0" style="1122"/>
    <col min="3541" max="3541" customWidth="1" bestFit="1" width="3.0" style="1122"/>
    <col min="3542" max="3542" customWidth="1" bestFit="1" width="3.0" style="1122"/>
    <col min="3543" max="3543" customWidth="1" bestFit="1" width="3.0" style="1122"/>
    <col min="3544" max="3544" customWidth="1" bestFit="1" width="3.0" style="1122"/>
    <col min="3545" max="3545" customWidth="1" bestFit="1" width="3.0" style="1122"/>
    <col min="3546" max="3546" customWidth="1" bestFit="1" width="3.0" style="1122"/>
    <col min="3547" max="3547" customWidth="1" bestFit="1" width="3.0" style="1122"/>
    <col min="3548" max="3548" customWidth="1" bestFit="1" width="3.0" style="1122"/>
    <col min="3549" max="3549" customWidth="1" bestFit="1" width="3.0" style="1122"/>
    <col min="3550" max="3550" customWidth="1" bestFit="1" width="3.0" style="1122"/>
    <col min="3551" max="3551" customWidth="1" bestFit="1" width="3.0" style="1122"/>
    <col min="3552" max="3552" customWidth="1" bestFit="1" width="3.0" style="1122"/>
    <col min="3553" max="3553" customWidth="1" bestFit="1" width="3.0" style="1122"/>
    <col min="3554" max="3554" customWidth="1" bestFit="1" width="3.0" style="1122"/>
    <col min="3555" max="3555" customWidth="1" bestFit="1" width="3.0" style="1122"/>
    <col min="3556" max="3556" customWidth="1" bestFit="1" width="3.0" style="1122"/>
    <col min="3557" max="3557" customWidth="1" bestFit="1" width="3.0" style="1122"/>
    <col min="3558" max="3558" customWidth="1" bestFit="1" width="3.0" style="1122"/>
    <col min="3559" max="3559" customWidth="1" bestFit="1" width="3.0" style="1122"/>
    <col min="3560" max="3560" customWidth="1" bestFit="1" width="3.0" style="1122"/>
    <col min="3561" max="3561" customWidth="1" bestFit="1" width="3.0" style="1122"/>
    <col min="3562" max="3562" customWidth="1" bestFit="1" width="3.0" style="1122"/>
    <col min="3563" max="3563" customWidth="1" bestFit="1" width="3.0" style="1122"/>
    <col min="3564" max="3564" customWidth="1" bestFit="1" width="3.0" style="1122"/>
    <col min="3565" max="3565" customWidth="1" bestFit="1" width="3.0" style="1122"/>
    <col min="3566" max="3566" customWidth="1" bestFit="1" width="3.0" style="1122"/>
    <col min="3567" max="3567" customWidth="1" bestFit="1" width="3.0" style="1122"/>
    <col min="3568" max="3568" customWidth="1" bestFit="1" width="3.0" style="1122"/>
    <col min="3569" max="3569" customWidth="1" bestFit="1" width="3.0" style="1122"/>
    <col min="3570" max="3570" customWidth="1" bestFit="1" width="3.0" style="1122"/>
    <col min="3571" max="3571" customWidth="1" bestFit="1" width="3.0" style="1122"/>
    <col min="3572" max="3572" customWidth="1" bestFit="1" width="3.0" style="1122"/>
    <col min="3573" max="3573" customWidth="1" bestFit="1" width="3.0" style="1122"/>
    <col min="3574" max="3574" customWidth="1" bestFit="1" width="3.0" style="1122"/>
    <col min="3575" max="3575" customWidth="1" bestFit="1" width="3.0" style="1122"/>
    <col min="3576" max="3576" customWidth="1" bestFit="1" width="3.0" style="1122"/>
    <col min="3577" max="3577" customWidth="1" bestFit="1" width="3.0" style="1122"/>
    <col min="3578" max="3578" customWidth="1" bestFit="1" width="3.0" style="1122"/>
    <col min="3579" max="3579" customWidth="1" bestFit="1" width="3.0" style="1122"/>
    <col min="3580" max="3580" customWidth="1" bestFit="1" width="3.0" style="1122"/>
    <col min="3581" max="3581" customWidth="1" bestFit="1" width="3.0" style="1122"/>
    <col min="3582" max="3582" customWidth="1" bestFit="1" width="3.0" style="1122"/>
    <col min="3583" max="3583" customWidth="1" bestFit="1" width="3.0" style="1122"/>
    <col min="3584" max="3584" customWidth="1" bestFit="1" width="3.0" style="1122"/>
    <col min="3585" max="3585" customWidth="1" bestFit="1" width="3.0" style="1122"/>
    <col min="3586" max="3586" customWidth="1" bestFit="1" width="3.0" style="1122"/>
    <col min="3587" max="3587" customWidth="1" bestFit="1" width="3.0" style="1122"/>
    <col min="3588" max="3588" customWidth="1" bestFit="1" width="3.0" style="1122"/>
    <col min="3589" max="3589" customWidth="1" bestFit="1" width="3.0" style="1122"/>
    <col min="3590" max="3590" customWidth="1" bestFit="1" width="3.0" style="1122"/>
    <col min="3591" max="3591" customWidth="1" bestFit="1" width="3.0" style="1122"/>
    <col min="3592" max="3592" customWidth="1" bestFit="1" width="3.0" style="1122"/>
    <col min="3593" max="3593" customWidth="1" bestFit="1" width="3.0" style="1122"/>
    <col min="3594" max="3594" customWidth="1" bestFit="1" width="3.0" style="1122"/>
    <col min="3595" max="3595" customWidth="1" bestFit="1" width="3.0" style="1122"/>
    <col min="3596" max="3596" customWidth="1" bestFit="1" width="3.0" style="1122"/>
    <col min="3597" max="3597" customWidth="1" bestFit="1" width="3.0" style="1122"/>
    <col min="3598" max="3598" customWidth="1" bestFit="1" width="3.0" style="1122"/>
    <col min="3599" max="3599" customWidth="1" bestFit="1" width="3.0" style="1122"/>
    <col min="3600" max="3600" customWidth="1" bestFit="1" width="3.0" style="1122"/>
    <col min="3601" max="3601" customWidth="1" bestFit="1" width="3.0" style="1122"/>
    <col min="3602" max="3602" customWidth="1" bestFit="1" width="3.0" style="1122"/>
    <col min="3603" max="3603" customWidth="1" bestFit="1" width="3.0" style="1122"/>
    <col min="3604" max="3604" customWidth="1" bestFit="1" width="3.0" style="1122"/>
    <col min="3605" max="3605" customWidth="1" bestFit="1" width="3.0" style="1122"/>
    <col min="3606" max="3606" customWidth="1" bestFit="1" width="3.0" style="1122"/>
    <col min="3607" max="3607" customWidth="1" bestFit="1" width="3.0" style="1122"/>
    <col min="3608" max="3608" customWidth="1" bestFit="1" width="3.0" style="1122"/>
    <col min="3609" max="3609" customWidth="1" bestFit="1" width="3.0" style="1122"/>
    <col min="3610" max="3610" customWidth="1" bestFit="1" width="3.0" style="1122"/>
    <col min="3611" max="3611" customWidth="1" bestFit="1" width="3.0" style="1122"/>
    <col min="3612" max="3612" customWidth="1" bestFit="1" width="3.0" style="1122"/>
    <col min="3613" max="3613" customWidth="1" bestFit="1" width="3.0" style="1122"/>
    <col min="3614" max="3614" customWidth="1" bestFit="1" width="3.0" style="1122"/>
    <col min="3615" max="3615" customWidth="1" bestFit="1" width="3.0" style="1122"/>
    <col min="3616" max="3616" customWidth="1" bestFit="1" width="3.0" style="1122"/>
    <col min="3617" max="3617" customWidth="1" bestFit="1" width="3.0" style="1122"/>
    <col min="3618" max="3618" customWidth="1" bestFit="1" width="3.0" style="1122"/>
    <col min="3619" max="3619" customWidth="1" bestFit="1" width="3.0" style="1122"/>
    <col min="3620" max="3620" customWidth="1" bestFit="1" width="3.0" style="1122"/>
    <col min="3621" max="3621" customWidth="1" bestFit="1" width="3.0" style="1122"/>
    <col min="3622" max="3622" customWidth="1" bestFit="1" width="3.0" style="1122"/>
    <col min="3623" max="3623" customWidth="1" bestFit="1" width="3.0" style="1122"/>
    <col min="3624" max="3624" customWidth="1" bestFit="1" width="3.0" style="1122"/>
    <col min="3625" max="3625" customWidth="1" bestFit="1" width="3.0" style="1122"/>
    <col min="3626" max="3626" customWidth="1" bestFit="1" width="3.0" style="1122"/>
    <col min="3627" max="3627" customWidth="1" bestFit="1" width="3.0" style="1122"/>
    <col min="3628" max="3628" customWidth="1" bestFit="1" width="3.0" style="1122"/>
    <col min="3629" max="3629" customWidth="1" bestFit="1" width="3.0" style="1122"/>
    <col min="3630" max="3630" customWidth="1" bestFit="1" width="3.0" style="1122"/>
    <col min="3631" max="3631" customWidth="1" bestFit="1" width="3.0" style="1122"/>
    <col min="3632" max="3632" customWidth="1" bestFit="1" width="3.0" style="1122"/>
    <col min="3633" max="3633" customWidth="1" bestFit="1" width="3.0" style="1122"/>
    <col min="3634" max="3634" customWidth="1" bestFit="1" width="3.0" style="1122"/>
    <col min="3635" max="3635" customWidth="1" bestFit="1" width="3.0" style="1122"/>
    <col min="3636" max="3636" customWidth="1" bestFit="1" width="3.0" style="1122"/>
    <col min="3637" max="3637" customWidth="1" bestFit="1" width="3.0" style="1122"/>
    <col min="3638" max="3638" customWidth="1" bestFit="1" width="3.0" style="1122"/>
    <col min="3639" max="3639" customWidth="1" bestFit="1" width="3.0" style="1122"/>
    <col min="3640" max="3640" customWidth="1" bestFit="1" width="3.0" style="1122"/>
    <col min="3641" max="3641" customWidth="1" bestFit="1" width="3.0" style="1122"/>
    <col min="3642" max="3642" customWidth="1" bestFit="1" width="3.0" style="1122"/>
    <col min="3643" max="3643" customWidth="1" bestFit="1" width="3.0" style="1122"/>
    <col min="3644" max="3644" customWidth="1" bestFit="1" width="3.0" style="1122"/>
    <col min="3645" max="3645" customWidth="1" bestFit="1" width="3.0" style="1122"/>
    <col min="3646" max="3646" customWidth="1" bestFit="1" width="3.0" style="1122"/>
    <col min="3647" max="3647" customWidth="1" bestFit="1" width="3.0" style="1122"/>
    <col min="3648" max="3648" customWidth="1" bestFit="1" width="3.0" style="1122"/>
    <col min="3649" max="3649" customWidth="1" bestFit="1" width="3.0" style="1122"/>
    <col min="3650" max="3650" customWidth="1" bestFit="1" width="3.0" style="1122"/>
    <col min="3651" max="3651" customWidth="1" bestFit="1" width="3.0" style="1122"/>
    <col min="3652" max="3652" customWidth="1" bestFit="1" width="3.0" style="1122"/>
    <col min="3653" max="3653" customWidth="1" bestFit="1" width="3.0" style="1122"/>
    <col min="3654" max="3654" customWidth="1" bestFit="1" width="3.0" style="1122"/>
    <col min="3655" max="3655" customWidth="1" bestFit="1" width="3.0" style="1122"/>
    <col min="3656" max="3656" customWidth="1" bestFit="1" width="3.0" style="1122"/>
    <col min="3657" max="3657" customWidth="1" bestFit="1" width="3.0" style="1122"/>
    <col min="3658" max="3658" customWidth="1" bestFit="1" width="3.0" style="1122"/>
    <col min="3659" max="3659" customWidth="1" bestFit="1" width="3.0" style="1122"/>
    <col min="3660" max="3660" customWidth="1" bestFit="1" width="3.0" style="1122"/>
    <col min="3661" max="3661" customWidth="1" bestFit="1" width="3.0" style="1122"/>
    <col min="3662" max="3662" customWidth="1" bestFit="1" width="3.0" style="1122"/>
    <col min="3663" max="3663" customWidth="1" bestFit="1" width="3.0" style="1122"/>
    <col min="3664" max="3664" customWidth="1" bestFit="1" width="3.0" style="1122"/>
    <col min="3665" max="3665" customWidth="1" bestFit="1" width="3.0" style="1122"/>
    <col min="3666" max="3666" customWidth="1" bestFit="1" width="3.0" style="1122"/>
    <col min="3667" max="3667" customWidth="1" bestFit="1" width="3.0" style="1122"/>
    <col min="3668" max="3668" customWidth="1" bestFit="1" width="3.0" style="1122"/>
    <col min="3669" max="3669" customWidth="1" bestFit="1" width="3.0" style="1122"/>
    <col min="3670" max="3670" customWidth="1" bestFit="1" width="3.0" style="1122"/>
    <col min="3671" max="3671" customWidth="1" bestFit="1" width="3.0" style="1122"/>
    <col min="3672" max="3672" customWidth="1" bestFit="1" width="3.0" style="1122"/>
    <col min="3673" max="3673" customWidth="1" bestFit="1" width="3.0" style="1122"/>
    <col min="3674" max="3674" customWidth="1" bestFit="1" width="3.0" style="1122"/>
    <col min="3675" max="3675" customWidth="1" bestFit="1" width="3.0" style="1122"/>
    <col min="3676" max="3676" customWidth="1" bestFit="1" width="3.0" style="1122"/>
    <col min="3677" max="3677" customWidth="1" bestFit="1" width="3.0" style="1122"/>
    <col min="3678" max="3678" customWidth="1" bestFit="1" width="3.0" style="1122"/>
    <col min="3679" max="3679" customWidth="1" bestFit="1" width="3.0" style="1122"/>
    <col min="3680" max="3680" customWidth="1" bestFit="1" width="3.0" style="1122"/>
    <col min="3681" max="3681" customWidth="1" bestFit="1" width="3.0" style="1122"/>
    <col min="3682" max="3682" customWidth="1" bestFit="1" width="3.0" style="1122"/>
    <col min="3683" max="3683" customWidth="1" bestFit="1" width="3.0" style="1122"/>
    <col min="3684" max="3684" customWidth="1" bestFit="1" width="3.0" style="1122"/>
    <col min="3685" max="3685" customWidth="1" bestFit="1" width="3.0" style="1122"/>
    <col min="3686" max="3686" customWidth="1" bestFit="1" width="3.0" style="1122"/>
    <col min="3687" max="3687" customWidth="1" bestFit="1" width="3.0" style="1122"/>
    <col min="3688" max="3688" customWidth="1" bestFit="1" width="3.0" style="1122"/>
    <col min="3689" max="3689" customWidth="1" bestFit="1" width="3.0" style="1122"/>
    <col min="3690" max="3690" customWidth="1" bestFit="1" width="3.0" style="1122"/>
    <col min="3691" max="3691" customWidth="1" bestFit="1" width="3.0" style="1122"/>
    <col min="3692" max="3692" customWidth="1" bestFit="1" width="3.0" style="1122"/>
    <col min="3693" max="3693" customWidth="1" bestFit="1" width="3.0" style="1122"/>
    <col min="3694" max="3694" customWidth="1" bestFit="1" width="3.0" style="1122"/>
    <col min="3695" max="3695" customWidth="1" bestFit="1" width="3.0" style="1122"/>
    <col min="3696" max="3696" customWidth="1" bestFit="1" width="3.0" style="1122"/>
    <col min="3697" max="3697" customWidth="1" bestFit="1" width="3.0" style="1122"/>
    <col min="3698" max="3698" customWidth="1" bestFit="1" width="3.0" style="1122"/>
    <col min="3699" max="3699" customWidth="1" bestFit="1" width="3.0" style="1122"/>
    <col min="3700" max="3700" customWidth="1" bestFit="1" width="3.0" style="1122"/>
    <col min="3701" max="3701" customWidth="1" bestFit="1" width="3.0" style="1122"/>
    <col min="3702" max="3702" customWidth="1" bestFit="1" width="3.0" style="1122"/>
    <col min="3703" max="3703" customWidth="1" bestFit="1" width="3.0" style="1122"/>
    <col min="3704" max="3704" customWidth="1" bestFit="1" width="3.0" style="1122"/>
    <col min="3705" max="3705" customWidth="1" bestFit="1" width="3.0" style="1122"/>
    <col min="3706" max="3706" customWidth="1" bestFit="1" width="3.0" style="1122"/>
    <col min="3707" max="3707" customWidth="1" bestFit="1" width="3.0" style="1122"/>
    <col min="3708" max="3708" customWidth="1" bestFit="1" width="3.0" style="1122"/>
    <col min="3709" max="3709" customWidth="1" bestFit="1" width="3.0" style="1122"/>
    <col min="3710" max="3710" customWidth="1" bestFit="1" width="3.0" style="1122"/>
    <col min="3711" max="3711" customWidth="1" bestFit="1" width="3.0" style="1122"/>
    <col min="3712" max="3712" customWidth="1" bestFit="1" width="3.0" style="1122"/>
    <col min="3713" max="3713" customWidth="1" bestFit="1" width="3.0" style="1122"/>
    <col min="3714" max="3714" customWidth="1" bestFit="1" width="3.0" style="1122"/>
    <col min="3715" max="3715" customWidth="1" bestFit="1" width="3.0" style="1122"/>
    <col min="3716" max="3716" customWidth="1" bestFit="1" width="3.0" style="1122"/>
    <col min="3717" max="3717" customWidth="1" bestFit="1" width="3.0" style="1122"/>
    <col min="3718" max="3718" customWidth="1" bestFit="1" width="3.0" style="1122"/>
    <col min="3719" max="3719" customWidth="1" bestFit="1" width="3.0" style="1122"/>
    <col min="3720" max="3720" customWidth="1" bestFit="1" width="3.0" style="1122"/>
    <col min="3721" max="3721" customWidth="1" bestFit="1" width="3.0" style="1122"/>
    <col min="3722" max="3722" customWidth="1" bestFit="1" width="3.0" style="1122"/>
    <col min="3723" max="3723" customWidth="1" bestFit="1" width="3.0" style="1122"/>
    <col min="3724" max="3724" customWidth="1" bestFit="1" width="3.0" style="1122"/>
    <col min="3725" max="3725" customWidth="1" bestFit="1" width="3.0" style="1122"/>
    <col min="3726" max="3726" customWidth="1" bestFit="1" width="3.0" style="1122"/>
    <col min="3727" max="3727" customWidth="1" bestFit="1" width="3.0" style="1122"/>
    <col min="3728" max="3728" customWidth="1" bestFit="1" width="3.0" style="1122"/>
    <col min="3729" max="3729" customWidth="1" bestFit="1" width="3.0" style="1122"/>
    <col min="3730" max="3730" customWidth="1" bestFit="1" width="3.0" style="1122"/>
    <col min="3731" max="3731" customWidth="1" bestFit="1" width="3.0" style="1122"/>
    <col min="3732" max="3732" customWidth="1" bestFit="1" width="3.0" style="1122"/>
    <col min="3733" max="3733" customWidth="1" bestFit="1" width="3.0" style="1122"/>
    <col min="3734" max="3734" customWidth="1" bestFit="1" width="3.0" style="1122"/>
    <col min="3735" max="3735" customWidth="1" bestFit="1" width="3.0" style="1122"/>
    <col min="3736" max="3736" customWidth="1" bestFit="1" width="3.0" style="1122"/>
    <col min="3737" max="3737" customWidth="1" bestFit="1" width="3.0" style="1122"/>
    <col min="3738" max="3738" customWidth="1" bestFit="1" width="3.0" style="1122"/>
    <col min="3739" max="3739" customWidth="1" bestFit="1" width="3.0" style="1122"/>
    <col min="3740" max="3740" customWidth="1" bestFit="1" width="3.0" style="1122"/>
    <col min="3741" max="3741" customWidth="1" bestFit="1" width="3.0" style="1122"/>
    <col min="3742" max="3742" customWidth="1" bestFit="1" width="3.0" style="1122"/>
    <col min="3743" max="3743" customWidth="1" bestFit="1" width="3.0" style="1122"/>
    <col min="3744" max="3744" customWidth="1" bestFit="1" width="3.0" style="1122"/>
    <col min="3745" max="3745" customWidth="1" bestFit="1" width="3.0" style="1122"/>
    <col min="3746" max="3746" customWidth="1" bestFit="1" width="3.0" style="1122"/>
    <col min="3747" max="3747" customWidth="1" bestFit="1" width="3.0" style="1122"/>
    <col min="3748" max="3748" customWidth="1" bestFit="1" width="3.0" style="1122"/>
    <col min="3749" max="3749" customWidth="1" bestFit="1" width="3.0" style="1122"/>
    <col min="3750" max="3750" customWidth="1" bestFit="1" width="3.0" style="1122"/>
    <col min="3751" max="3751" customWidth="1" bestFit="1" width="3.0" style="1122"/>
    <col min="3752" max="3752" customWidth="1" bestFit="1" width="3.0" style="1122"/>
    <col min="3753" max="3753" customWidth="1" bestFit="1" width="3.0" style="1122"/>
    <col min="3754" max="3754" customWidth="1" bestFit="1" width="3.0" style="1122"/>
    <col min="3755" max="3755" customWidth="1" bestFit="1" width="3.0" style="1122"/>
    <col min="3756" max="3756" customWidth="1" bestFit="1" width="3.0" style="1122"/>
    <col min="3757" max="3757" customWidth="1" bestFit="1" width="3.0" style="1122"/>
    <col min="3758" max="3758" customWidth="1" bestFit="1" width="3.0" style="1122"/>
    <col min="3759" max="3759" customWidth="1" bestFit="1" width="3.0" style="1122"/>
    <col min="3760" max="3760" customWidth="1" bestFit="1" width="3.0" style="1122"/>
    <col min="3761" max="3761" customWidth="1" bestFit="1" width="3.0" style="1122"/>
    <col min="3762" max="3762" customWidth="1" bestFit="1" width="3.0" style="1122"/>
    <col min="3763" max="3763" customWidth="1" bestFit="1" width="3.0" style="1122"/>
    <col min="3764" max="3764" customWidth="1" bestFit="1" width="3.0" style="1122"/>
    <col min="3765" max="3765" customWidth="1" bestFit="1" width="3.0" style="1122"/>
    <col min="3766" max="3766" customWidth="1" bestFit="1" width="3.0" style="1122"/>
    <col min="3767" max="3767" customWidth="1" bestFit="1" width="3.0" style="1122"/>
    <col min="3768" max="3768" customWidth="1" bestFit="1" width="3.0" style="1122"/>
    <col min="3769" max="3769" customWidth="1" bestFit="1" width="3.0" style="1122"/>
    <col min="3770" max="3770" customWidth="1" bestFit="1" width="3.0" style="1122"/>
    <col min="3771" max="3771" customWidth="1" bestFit="1" width="3.0" style="1122"/>
    <col min="3772" max="3772" customWidth="1" bestFit="1" width="3.0" style="1122"/>
    <col min="3773" max="3773" customWidth="1" bestFit="1" width="3.0" style="1122"/>
    <col min="3774" max="3774" customWidth="1" bestFit="1" width="3.0" style="1122"/>
    <col min="3775" max="3775" customWidth="1" bestFit="1" width="3.0" style="1122"/>
    <col min="3776" max="3776" customWidth="1" bestFit="1" width="3.0" style="1122"/>
    <col min="3777" max="3777" customWidth="1" bestFit="1" width="3.0" style="1122"/>
    <col min="3778" max="3778" customWidth="1" bestFit="1" width="3.0" style="1122"/>
    <col min="3779" max="3779" customWidth="1" bestFit="1" width="3.0" style="1122"/>
    <col min="3780" max="3780" customWidth="1" bestFit="1" width="3.0" style="1122"/>
    <col min="3781" max="3781" customWidth="1" bestFit="1" width="3.0" style="1122"/>
    <col min="3782" max="3782" customWidth="1" bestFit="1" width="3.0" style="1122"/>
    <col min="3783" max="3783" customWidth="1" bestFit="1" width="3.0" style="1122"/>
    <col min="3784" max="3784" customWidth="1" bestFit="1" width="3.0" style="1122"/>
    <col min="3785" max="3785" customWidth="1" bestFit="1" width="3.0" style="1122"/>
    <col min="3786" max="3786" customWidth="1" bestFit="1" width="3.0" style="1122"/>
    <col min="3787" max="3787" customWidth="1" bestFit="1" width="3.0" style="1122"/>
    <col min="3788" max="3788" customWidth="1" bestFit="1" width="3.0" style="1122"/>
    <col min="3789" max="3789" customWidth="1" bestFit="1" width="3.0" style="1122"/>
    <col min="3790" max="3790" customWidth="1" bestFit="1" width="3.0" style="1122"/>
    <col min="3791" max="3791" customWidth="1" bestFit="1" width="3.0" style="1122"/>
    <col min="3792" max="3792" customWidth="1" bestFit="1" width="3.0" style="1122"/>
    <col min="3793" max="3793" customWidth="1" bestFit="1" width="3.0" style="1122"/>
    <col min="3794" max="3794" customWidth="1" bestFit="1" width="3.0" style="1122"/>
    <col min="3795" max="3795" customWidth="1" bestFit="1" width="3.0" style="1122"/>
    <col min="3796" max="3796" customWidth="1" bestFit="1" width="3.0" style="1122"/>
    <col min="3797" max="3797" customWidth="1" bestFit="1" width="3.0" style="1122"/>
    <col min="3798" max="3798" customWidth="1" bestFit="1" width="3.0" style="1122"/>
    <col min="3799" max="3799" customWidth="1" bestFit="1" width="3.0" style="1122"/>
    <col min="3800" max="3800" customWidth="1" bestFit="1" width="3.0" style="1122"/>
    <col min="3801" max="3801" customWidth="1" bestFit="1" width="3.0" style="1122"/>
    <col min="3802" max="3802" customWidth="1" bestFit="1" width="3.0" style="1122"/>
    <col min="3803" max="3803" customWidth="1" bestFit="1" width="3.0" style="1122"/>
    <col min="3804" max="3804" customWidth="1" bestFit="1" width="3.0" style="1122"/>
    <col min="3805" max="3805" customWidth="1" bestFit="1" width="3.0" style="1122"/>
    <col min="3806" max="3806" customWidth="1" bestFit="1" width="3.0" style="1122"/>
    <col min="3807" max="3807" customWidth="1" bestFit="1" width="3.0" style="1122"/>
    <col min="3808" max="3808" customWidth="1" bestFit="1" width="3.0" style="1122"/>
    <col min="3809" max="3809" customWidth="1" bestFit="1" width="3.0" style="1122"/>
    <col min="3810" max="3810" customWidth="1" bestFit="1" width="3.0" style="1122"/>
    <col min="3811" max="3811" customWidth="1" bestFit="1" width="3.0" style="1122"/>
    <col min="3812" max="3812" customWidth="1" bestFit="1" width="3.0" style="1122"/>
    <col min="3813" max="3813" customWidth="1" bestFit="1" width="3.0" style="1122"/>
    <col min="3814" max="3814" customWidth="1" bestFit="1" width="3.0" style="1122"/>
    <col min="3815" max="3815" customWidth="1" bestFit="1" width="3.0" style="1122"/>
    <col min="3816" max="3816" customWidth="1" bestFit="1" width="3.0" style="1122"/>
    <col min="3817" max="3817" customWidth="1" bestFit="1" width="3.0" style="1122"/>
    <col min="3818" max="3818" customWidth="1" bestFit="1" width="3.0" style="1122"/>
    <col min="3819" max="3819" customWidth="1" bestFit="1" width="3.0" style="1122"/>
    <col min="3820" max="3820" customWidth="1" bestFit="1" width="3.0" style="1122"/>
    <col min="3821" max="3821" customWidth="1" bestFit="1" width="3.0" style="1122"/>
    <col min="3822" max="3822" customWidth="1" bestFit="1" width="3.0" style="1122"/>
    <col min="3823" max="3823" customWidth="1" bestFit="1" width="3.0" style="1122"/>
    <col min="3824" max="3824" customWidth="1" bestFit="1" width="3.0" style="1122"/>
    <col min="3825" max="3825" customWidth="1" bestFit="1" width="3.0" style="1122"/>
    <col min="3826" max="3826" customWidth="1" bestFit="1" width="3.0" style="1122"/>
    <col min="3827" max="3827" customWidth="1" bestFit="1" width="3.0" style="1122"/>
    <col min="3828" max="3828" customWidth="1" bestFit="1" width="3.0" style="1122"/>
    <col min="3829" max="3829" customWidth="1" bestFit="1" width="3.0" style="1122"/>
    <col min="3830" max="3830" customWidth="1" bestFit="1" width="3.0" style="1122"/>
    <col min="3831" max="3831" customWidth="1" bestFit="1" width="3.0" style="1122"/>
    <col min="3832" max="3832" customWidth="1" bestFit="1" width="3.0" style="1122"/>
    <col min="3833" max="3833" customWidth="1" bestFit="1" width="3.0" style="1122"/>
    <col min="3834" max="3834" customWidth="1" bestFit="1" width="3.0" style="1122"/>
    <col min="3835" max="3835" customWidth="1" bestFit="1" width="3.0" style="1122"/>
    <col min="3836" max="3836" customWidth="1" bestFit="1" width="3.0" style="1122"/>
    <col min="3837" max="3837" customWidth="1" bestFit="1" width="3.0" style="1122"/>
    <col min="3838" max="3838" customWidth="1" bestFit="1" width="3.0" style="1122"/>
    <col min="3839" max="3839" customWidth="1" bestFit="1" width="3.0" style="1122"/>
    <col min="3840" max="3840" customWidth="1" bestFit="1" width="3.0" style="1122"/>
    <col min="3841" max="3841" customWidth="1" bestFit="1" width="3.0" style="1122"/>
    <col min="3842" max="3842" customWidth="1" bestFit="1" width="3.0" style="1122"/>
    <col min="3843" max="3843" customWidth="1" bestFit="1" width="3.0" style="1122"/>
    <col min="3844" max="3844" customWidth="1" bestFit="1" width="3.0" style="1122"/>
    <col min="3845" max="3845" customWidth="1" bestFit="1" width="3.0" style="1122"/>
    <col min="3846" max="3846" customWidth="1" bestFit="1" width="3.0" style="1122"/>
    <col min="3847" max="3847" customWidth="1" bestFit="1" width="3.0" style="1122"/>
    <col min="3848" max="3848" customWidth="1" bestFit="1" width="3.0" style="1122"/>
    <col min="3849" max="3849" customWidth="1" bestFit="1" width="3.0" style="1122"/>
    <col min="3850" max="3850" customWidth="1" bestFit="1" width="3.0" style="1122"/>
    <col min="3851" max="3851" customWidth="1" bestFit="1" width="3.0" style="1122"/>
    <col min="3852" max="3852" customWidth="1" bestFit="1" width="3.0" style="1122"/>
    <col min="3853" max="3853" customWidth="1" bestFit="1" width="3.0" style="1122"/>
    <col min="3854" max="3854" customWidth="1" bestFit="1" width="3.0" style="1122"/>
    <col min="3855" max="3855" customWidth="1" bestFit="1" width="3.0" style="1122"/>
    <col min="3856" max="3856" customWidth="1" bestFit="1" width="3.0" style="1122"/>
    <col min="3857" max="3857" customWidth="1" bestFit="1" width="3.0" style="1122"/>
    <col min="3858" max="3858" customWidth="1" bestFit="1" width="3.0" style="1122"/>
    <col min="3859" max="3859" customWidth="1" bestFit="1" width="3.0" style="1122"/>
    <col min="3860" max="3860" customWidth="1" bestFit="1" width="3.0" style="1122"/>
    <col min="3861" max="3861" customWidth="1" bestFit="1" width="3.0" style="1122"/>
    <col min="3862" max="3862" customWidth="1" bestFit="1" width="3.0" style="1122"/>
    <col min="3863" max="3863" customWidth="1" bestFit="1" width="3.0" style="1122"/>
    <col min="3864" max="3864" customWidth="1" bestFit="1" width="3.0" style="1122"/>
    <col min="3865" max="3865" customWidth="1" bestFit="1" width="3.0" style="1122"/>
    <col min="3866" max="3866" customWidth="1" bestFit="1" width="3.0" style="1122"/>
    <col min="3867" max="3867" customWidth="1" bestFit="1" width="3.0" style="1122"/>
    <col min="3868" max="3868" customWidth="1" bestFit="1" width="3.0" style="1122"/>
    <col min="3869" max="3869" customWidth="1" bestFit="1" width="3.0" style="1122"/>
    <col min="3870" max="3870" customWidth="1" bestFit="1" width="3.0" style="1122"/>
    <col min="3871" max="3871" customWidth="1" bestFit="1" width="3.0" style="1122"/>
    <col min="3872" max="3872" customWidth="1" bestFit="1" width="3.0" style="1122"/>
    <col min="3873" max="3873" customWidth="1" bestFit="1" width="3.0" style="1122"/>
    <col min="3874" max="3874" customWidth="1" bestFit="1" width="3.0" style="1122"/>
    <col min="3875" max="3875" customWidth="1" bestFit="1" width="3.0" style="1122"/>
    <col min="3876" max="3876" customWidth="1" bestFit="1" width="3.0" style="1122"/>
    <col min="3877" max="3877" customWidth="1" bestFit="1" width="3.0" style="1122"/>
    <col min="3878" max="3878" customWidth="1" bestFit="1" width="3.0" style="1122"/>
    <col min="3879" max="3879" customWidth="1" bestFit="1" width="3.0" style="1122"/>
    <col min="3880" max="3880" customWidth="1" bestFit="1" width="3.0" style="1122"/>
    <col min="3881" max="3881" customWidth="1" bestFit="1" width="3.0" style="1122"/>
    <col min="3882" max="3882" customWidth="1" bestFit="1" width="3.0" style="1122"/>
    <col min="3883" max="3883" customWidth="1" bestFit="1" width="3.0" style="1122"/>
    <col min="3884" max="3884" customWidth="1" bestFit="1" width="3.0" style="1122"/>
    <col min="3885" max="3885" customWidth="1" bestFit="1" width="3.0" style="1122"/>
    <col min="3886" max="3886" customWidth="1" bestFit="1" width="3.0" style="1122"/>
    <col min="3887" max="3887" customWidth="1" bestFit="1" width="3.0" style="1122"/>
    <col min="3888" max="3888" customWidth="1" bestFit="1" width="3.0" style="1122"/>
    <col min="3889" max="3889" customWidth="1" bestFit="1" width="3.0" style="1122"/>
    <col min="3890" max="3890" customWidth="1" bestFit="1" width="3.0" style="1122"/>
    <col min="3891" max="3891" customWidth="1" bestFit="1" width="3.0" style="1122"/>
    <col min="3892" max="3892" customWidth="1" bestFit="1" width="3.0" style="1122"/>
    <col min="3893" max="3893" customWidth="1" bestFit="1" width="3.0" style="1122"/>
    <col min="3894" max="3894" customWidth="1" bestFit="1" width="3.0" style="1122"/>
    <col min="3895" max="3895" customWidth="1" bestFit="1" width="3.0" style="1122"/>
    <col min="3896" max="3896" customWidth="1" bestFit="1" width="3.0" style="1122"/>
    <col min="3897" max="3897" customWidth="1" bestFit="1" width="3.0" style="1122"/>
    <col min="3898" max="3898" customWidth="1" bestFit="1" width="3.0" style="1122"/>
    <col min="3899" max="3899" customWidth="1" bestFit="1" width="3.0" style="1122"/>
    <col min="3900" max="3900" customWidth="1" bestFit="1" width="3.0" style="1122"/>
    <col min="3901" max="3901" customWidth="1" bestFit="1" width="3.0" style="1122"/>
    <col min="3902" max="3902" customWidth="1" bestFit="1" width="3.0" style="1122"/>
    <col min="3903" max="3903" customWidth="1" bestFit="1" width="3.0" style="1122"/>
    <col min="3904" max="3904" customWidth="1" bestFit="1" width="3.0" style="1122"/>
    <col min="3905" max="3905" customWidth="1" bestFit="1" width="3.0" style="1122"/>
    <col min="3906" max="3906" customWidth="1" bestFit="1" width="3.0" style="1122"/>
    <col min="3907" max="3907" customWidth="1" bestFit="1" width="3.0" style="1122"/>
    <col min="3908" max="3908" customWidth="1" bestFit="1" width="3.0" style="1122"/>
    <col min="3909" max="3909" customWidth="1" bestFit="1" width="3.0" style="1122"/>
    <col min="3910" max="3910" customWidth="1" bestFit="1" width="3.0" style="1122"/>
    <col min="3911" max="3911" customWidth="1" bestFit="1" width="3.0" style="1122"/>
    <col min="3912" max="3912" customWidth="1" bestFit="1" width="3.0" style="1122"/>
    <col min="3913" max="3913" customWidth="1" bestFit="1" width="3.0" style="1122"/>
    <col min="3914" max="3914" customWidth="1" bestFit="1" width="3.0" style="1122"/>
    <col min="3915" max="3915" customWidth="1" bestFit="1" width="3.0" style="1122"/>
    <col min="3916" max="3916" customWidth="1" bestFit="1" width="3.0" style="1122"/>
    <col min="3917" max="3917" customWidth="1" bestFit="1" width="3.0" style="1122"/>
    <col min="3918" max="3918" customWidth="1" bestFit="1" width="3.0" style="1122"/>
    <col min="3919" max="3919" customWidth="1" bestFit="1" width="3.0" style="1122"/>
    <col min="3920" max="3920" customWidth="1" bestFit="1" width="3.0" style="1122"/>
    <col min="3921" max="3921" customWidth="1" bestFit="1" width="3.0" style="1122"/>
    <col min="3922" max="3922" customWidth="1" bestFit="1" width="3.0" style="1122"/>
    <col min="3923" max="3923" customWidth="1" bestFit="1" width="3.0" style="1122"/>
    <col min="3924" max="3924" customWidth="1" bestFit="1" width="3.0" style="1122"/>
    <col min="3925" max="3925" customWidth="1" bestFit="1" width="3.0" style="1122"/>
    <col min="3926" max="3926" customWidth="1" bestFit="1" width="3.0" style="1122"/>
    <col min="3927" max="3927" customWidth="1" bestFit="1" width="3.0" style="1122"/>
    <col min="3928" max="3928" customWidth="1" bestFit="1" width="3.0" style="1122"/>
    <col min="3929" max="3929" customWidth="1" bestFit="1" width="3.0" style="1122"/>
    <col min="3930" max="3930" customWidth="1" bestFit="1" width="3.0" style="1122"/>
    <col min="3931" max="3931" customWidth="1" bestFit="1" width="3.0" style="1122"/>
    <col min="3932" max="3932" customWidth="1" bestFit="1" width="3.0" style="1122"/>
    <col min="3933" max="3933" customWidth="1" bestFit="1" width="3.0" style="1122"/>
    <col min="3934" max="3934" customWidth="1" bestFit="1" width="3.0" style="1122"/>
    <col min="3935" max="3935" customWidth="1" bestFit="1" width="3.0" style="1122"/>
    <col min="3936" max="3936" customWidth="1" bestFit="1" width="3.0" style="1122"/>
    <col min="3937" max="3937" customWidth="1" bestFit="1" width="3.0" style="1122"/>
    <col min="3938" max="3938" customWidth="1" bestFit="1" width="3.0" style="1122"/>
    <col min="3939" max="3939" customWidth="1" bestFit="1" width="3.0" style="1122"/>
    <col min="3940" max="3940" customWidth="1" bestFit="1" width="3.0" style="1122"/>
    <col min="3941" max="3941" customWidth="1" bestFit="1" width="3.0" style="1122"/>
    <col min="3942" max="3942" customWidth="1" bestFit="1" width="3.0" style="1122"/>
    <col min="3943" max="3943" customWidth="1" bestFit="1" width="3.0" style="1122"/>
    <col min="3944" max="3944" customWidth="1" bestFit="1" width="3.0" style="1122"/>
    <col min="3945" max="3945" customWidth="1" bestFit="1" width="3.0" style="1122"/>
    <col min="3946" max="3946" customWidth="1" bestFit="1" width="3.0" style="1122"/>
    <col min="3947" max="3947" customWidth="1" bestFit="1" width="3.0" style="1122"/>
    <col min="3948" max="3948" customWidth="1" bestFit="1" width="3.0" style="1122"/>
    <col min="3949" max="3949" customWidth="1" bestFit="1" width="3.0" style="1122"/>
    <col min="3950" max="3950" customWidth="1" bestFit="1" width="3.0" style="1122"/>
    <col min="3951" max="3951" customWidth="1" bestFit="1" width="3.0" style="1122"/>
    <col min="3952" max="3952" customWidth="1" bestFit="1" width="3.0" style="1122"/>
    <col min="3953" max="3953" customWidth="1" bestFit="1" width="3.0" style="1122"/>
    <col min="3954" max="3954" customWidth="1" bestFit="1" width="3.0" style="1122"/>
    <col min="3955" max="3955" customWidth="1" bestFit="1" width="3.0" style="1122"/>
    <col min="3956" max="3956" customWidth="1" bestFit="1" width="3.0" style="1122"/>
    <col min="3957" max="3957" customWidth="1" bestFit="1" width="3.0" style="1122"/>
    <col min="3958" max="3958" customWidth="1" bestFit="1" width="3.0" style="1122"/>
    <col min="3959" max="3959" customWidth="1" bestFit="1" width="3.0" style="1122"/>
    <col min="3960" max="3960" customWidth="1" bestFit="1" width="3.0" style="1122"/>
    <col min="3961" max="3961" customWidth="1" bestFit="1" width="3.0" style="1122"/>
    <col min="3962" max="3962" customWidth="1" bestFit="1" width="3.0" style="1122"/>
    <col min="3963" max="3963" customWidth="1" bestFit="1" width="3.0" style="1122"/>
    <col min="3964" max="3964" customWidth="1" bestFit="1" width="3.0" style="1122"/>
    <col min="3965" max="3965" customWidth="1" bestFit="1" width="3.0" style="1122"/>
    <col min="3966" max="3966" customWidth="1" bestFit="1" width="3.0" style="1122"/>
    <col min="3967" max="3967" customWidth="1" bestFit="1" width="3.0" style="1122"/>
    <col min="3968" max="3968" customWidth="1" bestFit="1" width="3.0" style="1122"/>
    <col min="3969" max="3969" customWidth="1" bestFit="1" width="3.0" style="1122"/>
    <col min="3970" max="3970" customWidth="1" bestFit="1" width="3.0" style="1122"/>
    <col min="3971" max="3971" customWidth="1" bestFit="1" width="3.0" style="1122"/>
    <col min="3972" max="3972" customWidth="1" bestFit="1" width="3.0" style="1122"/>
    <col min="3973" max="3973" customWidth="1" bestFit="1" width="3.0" style="1122"/>
    <col min="3974" max="3974" customWidth="1" bestFit="1" width="3.0" style="1122"/>
    <col min="3975" max="3975" customWidth="1" bestFit="1" width="3.0" style="1122"/>
    <col min="3976" max="3976" customWidth="1" bestFit="1" width="3.0" style="1122"/>
    <col min="3977" max="3977" customWidth="1" bestFit="1" width="3.0" style="1122"/>
    <col min="3978" max="3978" customWidth="1" bestFit="1" width="3.0" style="1122"/>
    <col min="3979" max="3979" customWidth="1" bestFit="1" width="3.0" style="1122"/>
    <col min="3980" max="3980" customWidth="1" bestFit="1" width="3.0" style="1122"/>
    <col min="3981" max="3981" customWidth="1" bestFit="1" width="3.0" style="1122"/>
    <col min="3982" max="3982" customWidth="1" bestFit="1" width="3.0" style="1122"/>
    <col min="3983" max="3983" customWidth="1" bestFit="1" width="3.0" style="1122"/>
    <col min="3984" max="3984" customWidth="1" bestFit="1" width="3.0" style="1122"/>
    <col min="3985" max="3985" customWidth="1" bestFit="1" width="3.0" style="1122"/>
    <col min="3986" max="3986" customWidth="1" bestFit="1" width="3.0" style="1122"/>
    <col min="3987" max="3987" customWidth="1" bestFit="1" width="3.0" style="1122"/>
    <col min="3988" max="3988" customWidth="1" bestFit="1" width="3.0" style="1122"/>
    <col min="3989" max="3989" customWidth="1" bestFit="1" width="3.0" style="1122"/>
    <col min="3990" max="3990" customWidth="1" bestFit="1" width="3.0" style="1122"/>
    <col min="3991" max="3991" customWidth="1" bestFit="1" width="3.0" style="1122"/>
    <col min="3992" max="3992" customWidth="1" bestFit="1" width="3.0" style="1122"/>
    <col min="3993" max="3993" customWidth="1" bestFit="1" width="3.0" style="1122"/>
    <col min="3994" max="3994" customWidth="1" bestFit="1" width="3.0" style="1122"/>
    <col min="3995" max="3995" customWidth="1" bestFit="1" width="3.0" style="1122"/>
    <col min="3996" max="3996" customWidth="1" bestFit="1" width="3.0" style="1122"/>
    <col min="3997" max="3997" customWidth="1" bestFit="1" width="3.0" style="1122"/>
    <col min="3998" max="3998" customWidth="1" bestFit="1" width="3.0" style="1122"/>
    <col min="3999" max="3999" customWidth="1" bestFit="1" width="3.0" style="1122"/>
    <col min="4000" max="4000" customWidth="1" bestFit="1" width="3.0" style="1122"/>
    <col min="4001" max="4001" customWidth="1" bestFit="1" width="3.0" style="1122"/>
    <col min="4002" max="4002" customWidth="1" bestFit="1" width="3.0" style="1122"/>
    <col min="4003" max="4003" customWidth="1" bestFit="1" width="3.0" style="1122"/>
    <col min="4004" max="4004" customWidth="1" bestFit="1" width="3.0" style="1122"/>
    <col min="4005" max="4005" customWidth="1" bestFit="1" width="3.0" style="1122"/>
    <col min="4006" max="4006" customWidth="1" bestFit="1" width="3.0" style="1122"/>
    <col min="4007" max="4007" customWidth="1" bestFit="1" width="3.0" style="1122"/>
    <col min="4008" max="4008" customWidth="1" bestFit="1" width="3.0" style="1122"/>
    <col min="4009" max="4009" customWidth="1" bestFit="1" width="3.0" style="1122"/>
    <col min="4010" max="4010" customWidth="1" bestFit="1" width="3.0" style="1122"/>
    <col min="4011" max="4011" customWidth="1" bestFit="1" width="3.0" style="1122"/>
    <col min="4012" max="4012" customWidth="1" bestFit="1" width="3.0" style="1122"/>
    <col min="4013" max="4013" customWidth="1" bestFit="1" width="3.0" style="1122"/>
    <col min="4014" max="4014" customWidth="1" bestFit="1" width="3.0" style="1122"/>
    <col min="4015" max="4015" customWidth="1" bestFit="1" width="3.0" style="1122"/>
    <col min="4016" max="4016" customWidth="1" bestFit="1" width="3.0" style="1122"/>
    <col min="4017" max="4017" customWidth="1" bestFit="1" width="3.0" style="1122"/>
    <col min="4018" max="4018" customWidth="1" bestFit="1" width="3.0" style="1122"/>
    <col min="4019" max="4019" customWidth="1" bestFit="1" width="3.0" style="1122"/>
    <col min="4020" max="4020" customWidth="1" bestFit="1" width="3.0" style="1122"/>
    <col min="4021" max="4021" customWidth="1" bestFit="1" width="3.0" style="1122"/>
    <col min="4022" max="4022" customWidth="1" bestFit="1" width="3.0" style="1122"/>
    <col min="4023" max="4023" customWidth="1" bestFit="1" width="3.0" style="1122"/>
    <col min="4024" max="4024" customWidth="1" bestFit="1" width="3.0" style="1122"/>
    <col min="4025" max="4025" customWidth="1" bestFit="1" width="3.0" style="1122"/>
    <col min="4026" max="4026" customWidth="1" bestFit="1" width="3.0" style="1122"/>
    <col min="4027" max="4027" customWidth="1" bestFit="1" width="3.0" style="1122"/>
    <col min="4028" max="4028" customWidth="1" bestFit="1" width="3.0" style="1122"/>
    <col min="4029" max="4029" customWidth="1" bestFit="1" width="3.0" style="1122"/>
    <col min="4030" max="4030" customWidth="1" bestFit="1" width="3.0" style="1122"/>
    <col min="4031" max="4031" customWidth="1" bestFit="1" width="3.0" style="1122"/>
    <col min="4032" max="4032" customWidth="1" bestFit="1" width="3.0" style="1122"/>
    <col min="4033" max="4033" customWidth="1" bestFit="1" width="3.0" style="1122"/>
    <col min="4034" max="4034" customWidth="1" bestFit="1" width="3.0" style="1122"/>
    <col min="4035" max="4035" customWidth="1" bestFit="1" width="3.0" style="1122"/>
    <col min="4036" max="4036" customWidth="1" bestFit="1" width="3.0" style="1122"/>
    <col min="4037" max="4037" customWidth="1" bestFit="1" width="3.0" style="1122"/>
    <col min="4038" max="4038" customWidth="1" bestFit="1" width="3.0" style="1122"/>
    <col min="4039" max="4039" customWidth="1" bestFit="1" width="3.0" style="1122"/>
    <col min="4040" max="4040" customWidth="1" bestFit="1" width="3.0" style="1122"/>
    <col min="4041" max="4041" customWidth="1" bestFit="1" width="3.0" style="1122"/>
    <col min="4042" max="4042" customWidth="1" bestFit="1" width="3.0" style="1122"/>
    <col min="4043" max="4043" customWidth="1" bestFit="1" width="3.0" style="1122"/>
    <col min="4044" max="4044" customWidth="1" bestFit="1" width="3.0" style="1122"/>
    <col min="4045" max="4045" customWidth="1" bestFit="1" width="3.0" style="1122"/>
    <col min="4046" max="4046" customWidth="1" bestFit="1" width="3.0" style="1122"/>
    <col min="4047" max="4047" customWidth="1" bestFit="1" width="3.0" style="1122"/>
    <col min="4048" max="4048" customWidth="1" bestFit="1" width="3.0" style="1122"/>
    <col min="4049" max="4049" customWidth="1" bestFit="1" width="3.0" style="1122"/>
    <col min="4050" max="4050" customWidth="1" bestFit="1" width="3.0" style="1122"/>
    <col min="4051" max="4051" customWidth="1" bestFit="1" width="3.0" style="1122"/>
    <col min="4052" max="4052" customWidth="1" bestFit="1" width="3.0" style="1122"/>
    <col min="4053" max="4053" customWidth="1" bestFit="1" width="3.0" style="1122"/>
    <col min="4054" max="4054" customWidth="1" bestFit="1" width="3.0" style="1122"/>
    <col min="4055" max="4055" customWidth="1" bestFit="1" width="3.0" style="1122"/>
    <col min="4056" max="4056" customWidth="1" bestFit="1" width="3.0" style="1122"/>
    <col min="4057" max="4057" customWidth="1" bestFit="1" width="3.0" style="1122"/>
    <col min="4058" max="4058" customWidth="1" bestFit="1" width="3.0" style="1122"/>
    <col min="4059" max="4059" customWidth="1" bestFit="1" width="3.0" style="1122"/>
    <col min="4060" max="4060" customWidth="1" bestFit="1" width="3.0" style="1122"/>
    <col min="4061" max="4061" customWidth="1" bestFit="1" width="3.0" style="1122"/>
    <col min="4062" max="4062" customWidth="1" bestFit="1" width="3.0" style="1122"/>
    <col min="4063" max="4063" customWidth="1" bestFit="1" width="3.0" style="1122"/>
    <col min="4064" max="4064" customWidth="1" bestFit="1" width="3.0" style="1122"/>
    <col min="4065" max="4065" customWidth="1" bestFit="1" width="3.0" style="1122"/>
    <col min="4066" max="4066" customWidth="1" bestFit="1" width="3.0" style="1122"/>
    <col min="4067" max="4067" customWidth="1" bestFit="1" width="3.0" style="1122"/>
    <col min="4068" max="4068" customWidth="1" bestFit="1" width="3.0" style="1122"/>
    <col min="4069" max="4069" customWidth="1" bestFit="1" width="3.0" style="1122"/>
    <col min="4070" max="4070" customWidth="1" bestFit="1" width="3.0" style="1122"/>
    <col min="4071" max="4071" customWidth="1" bestFit="1" width="3.0" style="1122"/>
    <col min="4072" max="4072" customWidth="1" bestFit="1" width="3.0" style="1122"/>
    <col min="4073" max="4073" customWidth="1" bestFit="1" width="3.0" style="1122"/>
    <col min="4074" max="4074" customWidth="1" bestFit="1" width="3.0" style="1122"/>
    <col min="4075" max="4075" customWidth="1" bestFit="1" width="3.0" style="1122"/>
    <col min="4076" max="4076" customWidth="1" bestFit="1" width="3.0" style="1122"/>
    <col min="4077" max="4077" customWidth="1" bestFit="1" width="3.0" style="1122"/>
    <col min="4078" max="4078" customWidth="1" bestFit="1" width="3.0" style="1122"/>
    <col min="4079" max="4079" customWidth="1" bestFit="1" width="3.0" style="1122"/>
    <col min="4080" max="4080" customWidth="1" bestFit="1" width="3.0" style="1122"/>
    <col min="4081" max="4081" customWidth="1" bestFit="1" width="3.0" style="1122"/>
    <col min="4082" max="4082" customWidth="1" bestFit="1" width="3.0" style="1122"/>
    <col min="4083" max="4083" customWidth="1" bestFit="1" width="3.0" style="1122"/>
    <col min="4084" max="4084" customWidth="1" bestFit="1" width="3.0" style="1122"/>
    <col min="4085" max="4085" customWidth="1" bestFit="1" width="3.0" style="1122"/>
    <col min="4086" max="4086" customWidth="1" bestFit="1" width="3.0" style="1122"/>
    <col min="4087" max="4087" customWidth="1" bestFit="1" width="3.0" style="1122"/>
    <col min="4088" max="4088" customWidth="1" bestFit="1" width="3.0" style="1122"/>
    <col min="4089" max="4089" customWidth="1" bestFit="1" width="3.0" style="1122"/>
    <col min="4090" max="4090" customWidth="1" bestFit="1" width="3.0" style="1122"/>
    <col min="4091" max="4091" customWidth="1" bestFit="1" width="3.0" style="1122"/>
    <col min="4092" max="4092" customWidth="1" bestFit="1" width="3.0" style="1122"/>
    <col min="4093" max="4093" customWidth="1" bestFit="1" width="3.0" style="1122"/>
    <col min="4094" max="4094" customWidth="1" bestFit="1" width="3.0" style="1122"/>
    <col min="4095" max="4095" customWidth="1" bestFit="1" width="3.0" style="1122"/>
    <col min="4096" max="4096" customWidth="1" bestFit="1" width="3.0" style="1122"/>
    <col min="4097" max="4097" customWidth="1" bestFit="1" width="3.0" style="1122"/>
    <col min="4098" max="4098" customWidth="1" bestFit="1" width="3.0" style="1122"/>
    <col min="4099" max="4099" customWidth="1" bestFit="1" width="3.0" style="1122"/>
    <col min="4100" max="4100" customWidth="1" bestFit="1" width="3.0" style="1122"/>
    <col min="4101" max="4101" customWidth="1" bestFit="1" width="3.0" style="1122"/>
    <col min="4102" max="4102" customWidth="1" bestFit="1" width="3.0" style="1122"/>
    <col min="4103" max="4103" customWidth="1" bestFit="1" width="3.0" style="1122"/>
    <col min="4104" max="4104" customWidth="1" bestFit="1" width="3.0" style="1122"/>
    <col min="4105" max="4105" customWidth="1" bestFit="1" width="3.0" style="1122"/>
    <col min="4106" max="4106" customWidth="1" bestFit="1" width="3.0" style="1122"/>
    <col min="4107" max="4107" customWidth="1" bestFit="1" width="3.0" style="1122"/>
    <col min="4108" max="4108" customWidth="1" bestFit="1" width="3.0" style="1122"/>
    <col min="4109" max="4109" customWidth="1" bestFit="1" width="3.0" style="1122"/>
    <col min="4110" max="4110" customWidth="1" bestFit="1" width="3.0" style="1122"/>
    <col min="4111" max="4111" customWidth="1" bestFit="1" width="3.0" style="1122"/>
    <col min="4112" max="4112" customWidth="1" bestFit="1" width="3.0" style="1122"/>
    <col min="4113" max="4113" customWidth="1" bestFit="1" width="3.0" style="1122"/>
    <col min="4114" max="4114" customWidth="1" bestFit="1" width="3.0" style="1122"/>
    <col min="4115" max="4115" customWidth="1" bestFit="1" width="3.0" style="1122"/>
    <col min="4116" max="4116" customWidth="1" bestFit="1" width="3.0" style="1122"/>
    <col min="4117" max="4117" customWidth="1" bestFit="1" width="3.0" style="1122"/>
    <col min="4118" max="4118" customWidth="1" bestFit="1" width="3.0" style="1122"/>
    <col min="4119" max="4119" customWidth="1" bestFit="1" width="3.0" style="1122"/>
    <col min="4120" max="4120" customWidth="1" bestFit="1" width="3.0" style="1122"/>
    <col min="4121" max="4121" customWidth="1" bestFit="1" width="3.0" style="1122"/>
    <col min="4122" max="4122" customWidth="1" bestFit="1" width="3.0" style="1122"/>
    <col min="4123" max="4123" customWidth="1" bestFit="1" width="3.0" style="1122"/>
    <col min="4124" max="4124" customWidth="1" bestFit="1" width="3.0" style="1122"/>
    <col min="4125" max="4125" customWidth="1" bestFit="1" width="3.0" style="1122"/>
    <col min="4126" max="4126" customWidth="1" bestFit="1" width="3.0" style="1122"/>
    <col min="4127" max="4127" customWidth="1" bestFit="1" width="3.0" style="1122"/>
    <col min="4128" max="4128" customWidth="1" bestFit="1" width="3.0" style="1122"/>
    <col min="4129" max="4129" customWidth="1" bestFit="1" width="3.0" style="1122"/>
    <col min="4130" max="4130" customWidth="1" bestFit="1" width="3.0" style="1122"/>
    <col min="4131" max="4131" customWidth="1" bestFit="1" width="3.0" style="1122"/>
    <col min="4132" max="4132" customWidth="1" bestFit="1" width="3.0" style="1122"/>
    <col min="4133" max="4133" customWidth="1" bestFit="1" width="3.0" style="1122"/>
    <col min="4134" max="4134" customWidth="1" bestFit="1" width="3.0" style="1122"/>
    <col min="4135" max="4135" customWidth="1" bestFit="1" width="3.0" style="1122"/>
    <col min="4136" max="4136" customWidth="1" bestFit="1" width="3.0" style="1122"/>
    <col min="4137" max="4137" customWidth="1" bestFit="1" width="3.0" style="1122"/>
    <col min="4138" max="4138" customWidth="1" bestFit="1" width="3.0" style="1122"/>
    <col min="4139" max="4139" customWidth="1" bestFit="1" width="3.0" style="1122"/>
    <col min="4140" max="4140" customWidth="1" bestFit="1" width="3.0" style="1122"/>
    <col min="4141" max="4141" customWidth="1" bestFit="1" width="3.0" style="1122"/>
    <col min="4142" max="4142" customWidth="1" bestFit="1" width="3.0" style="1122"/>
    <col min="4143" max="4143" customWidth="1" bestFit="1" width="3.0" style="1122"/>
    <col min="4144" max="4144" customWidth="1" bestFit="1" width="3.0" style="1122"/>
    <col min="4145" max="4145" customWidth="1" bestFit="1" width="3.0" style="1122"/>
    <col min="4146" max="4146" customWidth="1" bestFit="1" width="3.0" style="1122"/>
    <col min="4147" max="4147" customWidth="1" bestFit="1" width="3.0" style="1122"/>
    <col min="4148" max="4148" customWidth="1" bestFit="1" width="3.0" style="1122"/>
    <col min="4149" max="4149" customWidth="1" bestFit="1" width="3.0" style="1122"/>
    <col min="4150" max="4150" customWidth="1" bestFit="1" width="3.0" style="1122"/>
    <col min="4151" max="4151" customWidth="1" bestFit="1" width="3.0" style="1122"/>
    <col min="4152" max="4152" customWidth="1" bestFit="1" width="3.0" style="1122"/>
    <col min="4153" max="4153" customWidth="1" bestFit="1" width="3.0" style="1122"/>
    <col min="4154" max="4154" customWidth="1" bestFit="1" width="3.0" style="1122"/>
    <col min="4155" max="4155" customWidth="1" bestFit="1" width="3.0" style="1122"/>
    <col min="4156" max="4156" customWidth="1" bestFit="1" width="3.0" style="1122"/>
    <col min="4157" max="4157" customWidth="1" bestFit="1" width="3.0" style="1122"/>
    <col min="4158" max="4158" customWidth="1" bestFit="1" width="3.0" style="1122"/>
    <col min="4159" max="4159" customWidth="1" bestFit="1" width="3.0" style="1122"/>
    <col min="4160" max="4160" customWidth="1" bestFit="1" width="3.0" style="1122"/>
    <col min="4161" max="4161" customWidth="1" bestFit="1" width="3.0" style="1122"/>
    <col min="4162" max="4162" customWidth="1" bestFit="1" width="3.0" style="1122"/>
    <col min="4163" max="4163" customWidth="1" bestFit="1" width="3.0" style="1122"/>
    <col min="4164" max="4164" customWidth="1" bestFit="1" width="3.0" style="1122"/>
    <col min="4165" max="4165" customWidth="1" bestFit="1" width="3.0" style="1122"/>
    <col min="4166" max="4166" customWidth="1" bestFit="1" width="3.0" style="1122"/>
    <col min="4167" max="4167" customWidth="1" bestFit="1" width="3.0" style="1122"/>
    <col min="4168" max="4168" customWidth="1" bestFit="1" width="3.0" style="1122"/>
    <col min="4169" max="4169" customWidth="1" bestFit="1" width="3.0" style="1122"/>
    <col min="4170" max="4170" customWidth="1" bestFit="1" width="3.0" style="1122"/>
    <col min="4171" max="4171" customWidth="1" bestFit="1" width="3.0" style="1122"/>
    <col min="4172" max="4172" customWidth="1" bestFit="1" width="3.0" style="1122"/>
    <col min="4173" max="4173" customWidth="1" bestFit="1" width="3.0" style="1122"/>
    <col min="4174" max="4174" customWidth="1" bestFit="1" width="3.0" style="1122"/>
    <col min="4175" max="4175" customWidth="1" bestFit="1" width="3.0" style="1122"/>
    <col min="4176" max="4176" customWidth="1" bestFit="1" width="3.0" style="1122"/>
    <col min="4177" max="4177" customWidth="1" bestFit="1" width="3.0" style="1122"/>
    <col min="4178" max="4178" customWidth="1" bestFit="1" width="3.0" style="1122"/>
    <col min="4179" max="4179" customWidth="1" bestFit="1" width="3.0" style="1122"/>
    <col min="4180" max="4180" customWidth="1" bestFit="1" width="3.0" style="1122"/>
    <col min="4181" max="4181" customWidth="1" bestFit="1" width="3.0" style="1122"/>
    <col min="4182" max="4182" customWidth="1" bestFit="1" width="3.0" style="1122"/>
    <col min="4183" max="4183" customWidth="1" bestFit="1" width="3.0" style="1122"/>
    <col min="4184" max="4184" customWidth="1" bestFit="1" width="3.0" style="1122"/>
    <col min="4185" max="4185" customWidth="1" bestFit="1" width="3.0" style="1122"/>
    <col min="4186" max="4186" customWidth="1" bestFit="1" width="3.0" style="1122"/>
    <col min="4187" max="4187" customWidth="1" bestFit="1" width="3.0" style="1122"/>
    <col min="4188" max="4188" customWidth="1" bestFit="1" width="3.0" style="1122"/>
    <col min="4189" max="4189" customWidth="1" bestFit="1" width="3.0" style="1122"/>
    <col min="4190" max="4190" customWidth="1" bestFit="1" width="3.0" style="1122"/>
    <col min="4191" max="4191" customWidth="1" bestFit="1" width="3.0" style="1122"/>
    <col min="4192" max="4192" customWidth="1" bestFit="1" width="3.0" style="1122"/>
    <col min="4193" max="4193" customWidth="1" bestFit="1" width="3.0" style="1122"/>
    <col min="4194" max="4194" customWidth="1" bestFit="1" width="3.0" style="1122"/>
    <col min="4195" max="4195" customWidth="1" bestFit="1" width="3.0" style="1122"/>
    <col min="4196" max="4196" customWidth="1" bestFit="1" width="3.0" style="1122"/>
    <col min="4197" max="4197" customWidth="1" bestFit="1" width="3.0" style="1122"/>
    <col min="4198" max="4198" customWidth="1" bestFit="1" width="3.0" style="1122"/>
    <col min="4199" max="4199" customWidth="1" bestFit="1" width="3.0" style="1122"/>
    <col min="4200" max="4200" customWidth="1" bestFit="1" width="3.0" style="1122"/>
    <col min="4201" max="4201" customWidth="1" bestFit="1" width="3.0" style="1122"/>
    <col min="4202" max="4202" customWidth="1" bestFit="1" width="3.0" style="1122"/>
    <col min="4203" max="4203" customWidth="1" bestFit="1" width="3.0" style="1122"/>
    <col min="4204" max="4204" customWidth="1" bestFit="1" width="3.0" style="1122"/>
    <col min="4205" max="4205" customWidth="1" bestFit="1" width="3.0" style="1122"/>
    <col min="4206" max="4206" customWidth="1" bestFit="1" width="3.0" style="1122"/>
    <col min="4207" max="4207" customWidth="1" bestFit="1" width="3.0" style="1122"/>
    <col min="4208" max="4208" customWidth="1" bestFit="1" width="3.0" style="1122"/>
    <col min="4209" max="4209" customWidth="1" bestFit="1" width="3.0" style="1122"/>
    <col min="4210" max="4210" customWidth="1" bestFit="1" width="3.0" style="1122"/>
    <col min="4211" max="4211" customWidth="1" bestFit="1" width="3.0" style="1122"/>
    <col min="4212" max="4212" customWidth="1" bestFit="1" width="3.0" style="1122"/>
    <col min="4213" max="4213" customWidth="1" bestFit="1" width="3.0" style="1122"/>
    <col min="4214" max="4214" customWidth="1" bestFit="1" width="3.0" style="1122"/>
    <col min="4215" max="4215" customWidth="1" bestFit="1" width="3.0" style="1122"/>
    <col min="4216" max="4216" customWidth="1" bestFit="1" width="3.0" style="1122"/>
    <col min="4217" max="4217" customWidth="1" bestFit="1" width="3.0" style="1122"/>
    <col min="4218" max="4218" customWidth="1" bestFit="1" width="3.0" style="1122"/>
    <col min="4219" max="4219" customWidth="1" bestFit="1" width="3.0" style="1122"/>
    <col min="4220" max="4220" customWidth="1" bestFit="1" width="3.0" style="1122"/>
    <col min="4221" max="4221" customWidth="1" bestFit="1" width="3.0" style="1122"/>
    <col min="4222" max="4222" customWidth="1" bestFit="1" width="3.0" style="1122"/>
    <col min="4223" max="4223" customWidth="1" bestFit="1" width="3.0" style="1122"/>
    <col min="4224" max="4224" customWidth="1" bestFit="1" width="3.0" style="1122"/>
    <col min="4225" max="4225" customWidth="1" bestFit="1" width="3.0" style="1122"/>
    <col min="4226" max="4226" customWidth="1" bestFit="1" width="3.0" style="1122"/>
    <col min="4227" max="4227" customWidth="1" bestFit="1" width="3.0" style="1122"/>
    <col min="4228" max="4228" customWidth="1" bestFit="1" width="3.0" style="1122"/>
    <col min="4229" max="4229" customWidth="1" bestFit="1" width="3.0" style="1122"/>
    <col min="4230" max="4230" customWidth="1" bestFit="1" width="3.0" style="1122"/>
    <col min="4231" max="4231" customWidth="1" bestFit="1" width="3.0" style="1122"/>
    <col min="4232" max="4232" customWidth="1" bestFit="1" width="3.0" style="1122"/>
    <col min="4233" max="4233" customWidth="1" bestFit="1" width="3.0" style="1122"/>
    <col min="4234" max="4234" customWidth="1" bestFit="1" width="3.0" style="1122"/>
    <col min="4235" max="4235" customWidth="1" bestFit="1" width="3.0" style="1122"/>
    <col min="4236" max="4236" customWidth="1" bestFit="1" width="3.0" style="1122"/>
    <col min="4237" max="4237" customWidth="1" bestFit="1" width="3.0" style="1122"/>
    <col min="4238" max="4238" customWidth="1" bestFit="1" width="3.0" style="1122"/>
    <col min="4239" max="4239" customWidth="1" bestFit="1" width="3.0" style="1122"/>
    <col min="4240" max="4240" customWidth="1" bestFit="1" width="3.0" style="1122"/>
    <col min="4241" max="4241" customWidth="1" bestFit="1" width="3.0" style="1122"/>
    <col min="4242" max="4242" customWidth="1" bestFit="1" width="3.0" style="1122"/>
    <col min="4243" max="4243" customWidth="1" bestFit="1" width="3.0" style="1122"/>
    <col min="4244" max="4244" customWidth="1" bestFit="1" width="3.0" style="1122"/>
    <col min="4245" max="4245" customWidth="1" bestFit="1" width="3.0" style="1122"/>
    <col min="4246" max="4246" customWidth="1" bestFit="1" width="3.0" style="1122"/>
    <col min="4247" max="4247" customWidth="1" bestFit="1" width="3.0" style="1122"/>
    <col min="4248" max="4248" customWidth="1" bestFit="1" width="3.0" style="1122"/>
    <col min="4249" max="4249" customWidth="1" bestFit="1" width="3.0" style="1122"/>
    <col min="4250" max="4250" customWidth="1" bestFit="1" width="3.0" style="1122"/>
    <col min="4251" max="4251" customWidth="1" bestFit="1" width="3.0" style="1122"/>
    <col min="4252" max="4252" customWidth="1" bestFit="1" width="3.0" style="1122"/>
    <col min="4253" max="4253" customWidth="1" bestFit="1" width="3.0" style="1122"/>
    <col min="4254" max="4254" customWidth="1" bestFit="1" width="3.0" style="1122"/>
    <col min="4255" max="4255" customWidth="1" bestFit="1" width="3.0" style="1122"/>
    <col min="4256" max="4256" customWidth="1" bestFit="1" width="3.0" style="1122"/>
    <col min="4257" max="4257" customWidth="1" bestFit="1" width="3.0" style="1122"/>
    <col min="4258" max="4258" customWidth="1" bestFit="1" width="3.0" style="1122"/>
    <col min="4259" max="4259" customWidth="1" bestFit="1" width="3.0" style="1122"/>
    <col min="4260" max="4260" customWidth="1" bestFit="1" width="3.0" style="1122"/>
    <col min="4261" max="4261" customWidth="1" bestFit="1" width="3.0" style="1122"/>
    <col min="4262" max="4262" customWidth="1" bestFit="1" width="3.0" style="1122"/>
    <col min="4263" max="4263" customWidth="1" bestFit="1" width="3.0" style="1122"/>
    <col min="4264" max="4264" customWidth="1" bestFit="1" width="3.0" style="1122"/>
    <col min="4265" max="4265" customWidth="1" bestFit="1" width="3.0" style="1122"/>
    <col min="4266" max="4266" customWidth="1" bestFit="1" width="3.0" style="1122"/>
    <col min="4267" max="4267" customWidth="1" bestFit="1" width="3.0" style="1122"/>
    <col min="4268" max="4268" customWidth="1" bestFit="1" width="3.0" style="1122"/>
    <col min="4269" max="4269" customWidth="1" bestFit="1" width="3.0" style="1122"/>
    <col min="4270" max="4270" customWidth="1" bestFit="1" width="3.0" style="1122"/>
    <col min="4271" max="4271" customWidth="1" bestFit="1" width="3.0" style="1122"/>
    <col min="4272" max="4272" customWidth="1" bestFit="1" width="3.0" style="1122"/>
    <col min="4273" max="4273" customWidth="1" bestFit="1" width="3.0" style="1122"/>
    <col min="4274" max="4274" customWidth="1" bestFit="1" width="3.0" style="1122"/>
    <col min="4275" max="4275" customWidth="1" bestFit="1" width="3.0" style="1122"/>
    <col min="4276" max="4276" customWidth="1" bestFit="1" width="3.0" style="1122"/>
    <col min="4277" max="4277" customWidth="1" bestFit="1" width="3.0" style="1122"/>
    <col min="4278" max="4278" customWidth="1" bestFit="1" width="3.0" style="1122"/>
    <col min="4279" max="4279" customWidth="1" bestFit="1" width="3.0" style="1122"/>
    <col min="4280" max="4280" customWidth="1" bestFit="1" width="3.0" style="1122"/>
    <col min="4281" max="4281" customWidth="1" bestFit="1" width="3.0" style="1122"/>
    <col min="4282" max="4282" customWidth="1" bestFit="1" width="3.0" style="1122"/>
    <col min="4283" max="4283" customWidth="1" bestFit="1" width="3.0" style="1122"/>
    <col min="4284" max="4284" customWidth="1" bestFit="1" width="3.0" style="1122"/>
    <col min="4285" max="4285" customWidth="1" bestFit="1" width="3.0" style="1122"/>
    <col min="4286" max="4286" customWidth="1" bestFit="1" width="3.0" style="1122"/>
    <col min="4287" max="4287" customWidth="1" bestFit="1" width="3.0" style="1122"/>
    <col min="4288" max="4288" customWidth="1" bestFit="1" width="3.0" style="1122"/>
    <col min="4289" max="4289" customWidth="1" bestFit="1" width="3.0" style="1122"/>
    <col min="4290" max="4290" customWidth="1" bestFit="1" width="3.0" style="1122"/>
    <col min="4291" max="4291" customWidth="1" bestFit="1" width="3.0" style="1122"/>
    <col min="4292" max="4292" customWidth="1" bestFit="1" width="3.0" style="1122"/>
    <col min="4293" max="4293" customWidth="1" bestFit="1" width="3.0" style="1122"/>
    <col min="4294" max="4294" customWidth="1" bestFit="1" width="3.0" style="1122"/>
    <col min="4295" max="4295" customWidth="1" bestFit="1" width="3.0" style="1122"/>
    <col min="4296" max="4296" customWidth="1" bestFit="1" width="3.0" style="1122"/>
    <col min="4297" max="4297" customWidth="1" bestFit="1" width="3.0" style="1122"/>
    <col min="4298" max="4298" customWidth="1" bestFit="1" width="3.0" style="1122"/>
    <col min="4299" max="4299" customWidth="1" bestFit="1" width="3.0" style="1122"/>
    <col min="4300" max="4300" customWidth="1" bestFit="1" width="3.0" style="1122"/>
    <col min="4301" max="4301" customWidth="1" bestFit="1" width="3.0" style="1122"/>
    <col min="4302" max="4302" customWidth="1" bestFit="1" width="3.0" style="1122"/>
    <col min="4303" max="4303" customWidth="1" bestFit="1" width="3.0" style="1122"/>
    <col min="4304" max="4304" customWidth="1" bestFit="1" width="3.0" style="1122"/>
    <col min="4305" max="4305" customWidth="1" bestFit="1" width="3.0" style="1122"/>
    <col min="4306" max="4306" customWidth="1" bestFit="1" width="3.0" style="1122"/>
    <col min="4307" max="4307" customWidth="1" bestFit="1" width="3.0" style="1122"/>
    <col min="4308" max="4308" customWidth="1" bestFit="1" width="3.0" style="1122"/>
    <col min="4309" max="4309" customWidth="1" bestFit="1" width="3.0" style="1122"/>
    <col min="4310" max="4310" customWidth="1" bestFit="1" width="3.0" style="1122"/>
    <col min="4311" max="4311" customWidth="1" bestFit="1" width="3.0" style="1122"/>
    <col min="4312" max="4312" customWidth="1" bestFit="1" width="3.0" style="1122"/>
    <col min="4313" max="4313" customWidth="1" bestFit="1" width="3.0" style="1122"/>
    <col min="4314" max="4314" customWidth="1" bestFit="1" width="3.0" style="1122"/>
    <col min="4315" max="4315" customWidth="1" bestFit="1" width="3.0" style="1122"/>
    <col min="4316" max="4316" customWidth="1" bestFit="1" width="3.0" style="1122"/>
    <col min="4317" max="4317" customWidth="1" bestFit="1" width="3.0" style="1122"/>
    <col min="4318" max="4318" customWidth="1" bestFit="1" width="3.0" style="1122"/>
    <col min="4319" max="4319" customWidth="1" bestFit="1" width="3.0" style="1122"/>
    <col min="4320" max="4320" customWidth="1" bestFit="1" width="3.0" style="1122"/>
    <col min="4321" max="4321" customWidth="1" bestFit="1" width="3.0" style="1122"/>
    <col min="4322" max="4322" customWidth="1" bestFit="1" width="3.0" style="1122"/>
    <col min="4323" max="4323" customWidth="1" bestFit="1" width="3.0" style="1122"/>
    <col min="4324" max="4324" customWidth="1" bestFit="1" width="3.0" style="1122"/>
    <col min="4325" max="4325" customWidth="1" bestFit="1" width="3.0" style="1122"/>
    <col min="4326" max="4326" customWidth="1" bestFit="1" width="3.0" style="1122"/>
    <col min="4327" max="4327" customWidth="1" bestFit="1" width="3.0" style="1122"/>
    <col min="4328" max="4328" customWidth="1" bestFit="1" width="3.0" style="1122"/>
    <col min="4329" max="4329" customWidth="1" bestFit="1" width="3.0" style="1122"/>
    <col min="4330" max="4330" customWidth="1" bestFit="1" width="3.0" style="1122"/>
    <col min="4331" max="4331" customWidth="1" bestFit="1" width="3.0" style="1122"/>
    <col min="4332" max="4332" customWidth="1" bestFit="1" width="3.0" style="1122"/>
    <col min="4333" max="4333" customWidth="1" bestFit="1" width="3.0" style="1122"/>
    <col min="4334" max="4334" customWidth="1" bestFit="1" width="3.0" style="1122"/>
    <col min="4335" max="4335" customWidth="1" bestFit="1" width="3.0" style="1122"/>
    <col min="4336" max="4336" customWidth="1" bestFit="1" width="3.0" style="1122"/>
    <col min="4337" max="4337" customWidth="1" bestFit="1" width="3.0" style="1122"/>
    <col min="4338" max="4338" customWidth="1" bestFit="1" width="3.0" style="1122"/>
    <col min="4339" max="4339" customWidth="1" bestFit="1" width="3.0" style="1122"/>
    <col min="4340" max="4340" customWidth="1" bestFit="1" width="3.0" style="1122"/>
    <col min="4341" max="4341" customWidth="1" bestFit="1" width="3.0" style="1122"/>
    <col min="4342" max="4342" customWidth="1" bestFit="1" width="3.0" style="1122"/>
    <col min="4343" max="4343" customWidth="1" bestFit="1" width="3.0" style="1122"/>
    <col min="4344" max="4344" customWidth="1" bestFit="1" width="3.0" style="1122"/>
    <col min="4345" max="4345" customWidth="1" bestFit="1" width="3.0" style="1122"/>
    <col min="4346" max="4346" customWidth="1" bestFit="1" width="3.0" style="1122"/>
    <col min="4347" max="4347" customWidth="1" bestFit="1" width="3.0" style="1122"/>
    <col min="4348" max="4348" customWidth="1" bestFit="1" width="3.0" style="1122"/>
    <col min="4349" max="4349" customWidth="1" bestFit="1" width="3.0" style="1122"/>
    <col min="4350" max="4350" customWidth="1" bestFit="1" width="3.0" style="1122"/>
    <col min="4351" max="4351" customWidth="1" bestFit="1" width="3.0" style="1122"/>
    <col min="4352" max="4352" customWidth="1" bestFit="1" width="3.0" style="1122"/>
    <col min="4353" max="4353" customWidth="1" bestFit="1" width="3.0" style="1122"/>
    <col min="4354" max="4354" customWidth="1" bestFit="1" width="3.0" style="1122"/>
    <col min="4355" max="4355" customWidth="1" bestFit="1" width="3.0" style="1122"/>
    <col min="4356" max="4356" customWidth="1" bestFit="1" width="3.0" style="1122"/>
    <col min="4357" max="4357" customWidth="1" bestFit="1" width="3.0" style="1122"/>
    <col min="4358" max="4358" customWidth="1" bestFit="1" width="3.0" style="1122"/>
    <col min="4359" max="4359" customWidth="1" bestFit="1" width="3.0" style="1122"/>
    <col min="4360" max="4360" customWidth="1" bestFit="1" width="3.0" style="1122"/>
    <col min="4361" max="4361" customWidth="1" bestFit="1" width="3.0" style="1122"/>
    <col min="4362" max="4362" customWidth="1" bestFit="1" width="3.0" style="1122"/>
    <col min="4363" max="4363" customWidth="1" bestFit="1" width="3.0" style="1122"/>
    <col min="4364" max="4364" customWidth="1" bestFit="1" width="3.0" style="1122"/>
    <col min="4365" max="4365" customWidth="1" bestFit="1" width="3.0" style="1122"/>
    <col min="4366" max="4366" customWidth="1" bestFit="1" width="3.0" style="1122"/>
    <col min="4367" max="4367" customWidth="1" bestFit="1" width="3.0" style="1122"/>
    <col min="4368" max="4368" customWidth="1" bestFit="1" width="3.0" style="1122"/>
    <col min="4369" max="4369" customWidth="1" bestFit="1" width="3.0" style="1122"/>
    <col min="4370" max="4370" customWidth="1" bestFit="1" width="3.0" style="1122"/>
    <col min="4371" max="4371" customWidth="1" bestFit="1" width="3.0" style="1122"/>
    <col min="4372" max="4372" customWidth="1" bestFit="1" width="3.0" style="1122"/>
    <col min="4373" max="4373" customWidth="1" bestFit="1" width="3.0" style="1122"/>
    <col min="4374" max="4374" customWidth="1" bestFit="1" width="3.0" style="1122"/>
    <col min="4375" max="4375" customWidth="1" bestFit="1" width="3.0" style="1122"/>
    <col min="4376" max="4376" customWidth="1" bestFit="1" width="3.0" style="1122"/>
    <col min="4377" max="4377" customWidth="1" bestFit="1" width="3.0" style="1122"/>
    <col min="4378" max="4378" customWidth="1" bestFit="1" width="3.0" style="1122"/>
    <col min="4379" max="4379" customWidth="1" bestFit="1" width="3.0" style="1122"/>
    <col min="4380" max="4380" customWidth="1" bestFit="1" width="3.0" style="1122"/>
    <col min="4381" max="4381" customWidth="1" bestFit="1" width="3.0" style="1122"/>
    <col min="4382" max="4382" customWidth="1" bestFit="1" width="3.0" style="1122"/>
    <col min="4383" max="4383" customWidth="1" bestFit="1" width="3.0" style="1122"/>
    <col min="4384" max="4384" customWidth="1" bestFit="1" width="3.0" style="1122"/>
    <col min="4385" max="4385" customWidth="1" bestFit="1" width="3.0" style="1122"/>
    <col min="4386" max="4386" customWidth="1" bestFit="1" width="3.0" style="1122"/>
    <col min="4387" max="4387" customWidth="1" bestFit="1" width="3.0" style="1122"/>
    <col min="4388" max="4388" customWidth="1" bestFit="1" width="3.0" style="1122"/>
    <col min="4389" max="4389" customWidth="1" bestFit="1" width="3.0" style="1122"/>
    <col min="4390" max="4390" customWidth="1" bestFit="1" width="3.0" style="1122"/>
    <col min="4391" max="4391" customWidth="1" bestFit="1" width="3.0" style="1122"/>
    <col min="4392" max="4392" customWidth="1" bestFit="1" width="3.0" style="1122"/>
    <col min="4393" max="4393" customWidth="1" bestFit="1" width="3.0" style="1122"/>
    <col min="4394" max="4394" customWidth="1" bestFit="1" width="3.0" style="1122"/>
    <col min="4395" max="4395" customWidth="1" bestFit="1" width="3.0" style="1122"/>
    <col min="4396" max="4396" customWidth="1" bestFit="1" width="3.0" style="1122"/>
    <col min="4397" max="4397" customWidth="1" bestFit="1" width="3.0" style="1122"/>
    <col min="4398" max="4398" customWidth="1" bestFit="1" width="3.0" style="1122"/>
    <col min="4399" max="4399" customWidth="1" bestFit="1" width="3.0" style="1122"/>
    <col min="4400" max="4400" customWidth="1" bestFit="1" width="3.0" style="1122"/>
    <col min="4401" max="4401" customWidth="1" bestFit="1" width="3.0" style="1122"/>
    <col min="4402" max="4402" customWidth="1" bestFit="1" width="3.0" style="1122"/>
    <col min="4403" max="4403" customWidth="1" bestFit="1" width="3.0" style="1122"/>
    <col min="4404" max="4404" customWidth="1" bestFit="1" width="3.0" style="1122"/>
    <col min="4405" max="4405" customWidth="1" bestFit="1" width="3.0" style="1122"/>
    <col min="4406" max="4406" customWidth="1" bestFit="1" width="3.0" style="1122"/>
    <col min="4407" max="4407" customWidth="1" bestFit="1" width="3.0" style="1122"/>
    <col min="4408" max="4408" customWidth="1" bestFit="1" width="3.0" style="1122"/>
    <col min="4409" max="4409" customWidth="1" bestFit="1" width="3.0" style="1122"/>
    <col min="4410" max="4410" customWidth="1" bestFit="1" width="3.0" style="1122"/>
    <col min="4411" max="4411" customWidth="1" bestFit="1" width="3.0" style="1122"/>
    <col min="4412" max="4412" customWidth="1" bestFit="1" width="3.0" style="1122"/>
    <col min="4413" max="4413" customWidth="1" bestFit="1" width="3.0" style="1122"/>
    <col min="4414" max="4414" customWidth="1" bestFit="1" width="3.0" style="1122"/>
    <col min="4415" max="4415" customWidth="1" bestFit="1" width="3.0" style="1122"/>
    <col min="4416" max="4416" customWidth="1" bestFit="1" width="3.0" style="1122"/>
    <col min="4417" max="4417" customWidth="1" bestFit="1" width="3.0" style="1122"/>
    <col min="4418" max="4418" customWidth="1" bestFit="1" width="3.0" style="1122"/>
    <col min="4419" max="4419" customWidth="1" bestFit="1" width="3.0" style="1122"/>
    <col min="4420" max="4420" customWidth="1" bestFit="1" width="3.0" style="1122"/>
    <col min="4421" max="4421" customWidth="1" bestFit="1" width="3.0" style="1122"/>
    <col min="4422" max="4422" customWidth="1" bestFit="1" width="3.0" style="1122"/>
    <col min="4423" max="4423" customWidth="1" bestFit="1" width="3.0" style="1122"/>
    <col min="4424" max="4424" customWidth="1" bestFit="1" width="3.0" style="1122"/>
    <col min="4425" max="4425" customWidth="1" bestFit="1" width="3.0" style="1122"/>
    <col min="4426" max="4426" customWidth="1" bestFit="1" width="3.0" style="1122"/>
    <col min="4427" max="4427" customWidth="1" bestFit="1" width="3.0" style="1122"/>
    <col min="4428" max="4428" customWidth="1" bestFit="1" width="3.0" style="1122"/>
    <col min="4429" max="4429" customWidth="1" bestFit="1" width="3.0" style="1122"/>
    <col min="4430" max="4430" customWidth="1" bestFit="1" width="3.0" style="1122"/>
    <col min="4431" max="4431" customWidth="1" bestFit="1" width="3.0" style="1122"/>
    <col min="4432" max="4432" customWidth="1" bestFit="1" width="3.0" style="1122"/>
    <col min="4433" max="4433" customWidth="1" bestFit="1" width="3.0" style="1122"/>
    <col min="4434" max="4434" customWidth="1" bestFit="1" width="3.0" style="1122"/>
    <col min="4435" max="4435" customWidth="1" bestFit="1" width="3.0" style="1122"/>
    <col min="4436" max="4436" customWidth="1" bestFit="1" width="3.0" style="1122"/>
    <col min="4437" max="4437" customWidth="1" bestFit="1" width="3.0" style="1122"/>
    <col min="4438" max="4438" customWidth="1" bestFit="1" width="3.0" style="1122"/>
    <col min="4439" max="4439" customWidth="1" bestFit="1" width="3.0" style="1122"/>
    <col min="4440" max="4440" customWidth="1" bestFit="1" width="3.0" style="1122"/>
    <col min="4441" max="4441" customWidth="1" bestFit="1" width="3.0" style="1122"/>
    <col min="4442" max="4442" customWidth="1" bestFit="1" width="3.0" style="1122"/>
    <col min="4443" max="4443" customWidth="1" bestFit="1" width="3.0" style="1122"/>
    <col min="4444" max="4444" customWidth="1" bestFit="1" width="3.0" style="1122"/>
    <col min="4445" max="4445" customWidth="1" bestFit="1" width="3.0" style="1122"/>
    <col min="4446" max="4446" customWidth="1" bestFit="1" width="3.0" style="1122"/>
    <col min="4447" max="4447" customWidth="1" bestFit="1" width="3.0" style="1122"/>
    <col min="4448" max="4448" customWidth="1" bestFit="1" width="3.0" style="1122"/>
    <col min="4449" max="4449" customWidth="1" bestFit="1" width="3.0" style="1122"/>
    <col min="4450" max="4450" customWidth="1" bestFit="1" width="3.0" style="1122"/>
    <col min="4451" max="4451" customWidth="1" bestFit="1" width="3.0" style="1122"/>
    <col min="4452" max="4452" customWidth="1" bestFit="1" width="3.0" style="1122"/>
    <col min="4453" max="4453" customWidth="1" bestFit="1" width="3.0" style="1122"/>
    <col min="4454" max="4454" customWidth="1" bestFit="1" width="3.0" style="1122"/>
    <col min="4455" max="4455" customWidth="1" bestFit="1" width="3.0" style="1122"/>
    <col min="4456" max="4456" customWidth="1" bestFit="1" width="3.0" style="1122"/>
    <col min="4457" max="4457" customWidth="1" bestFit="1" width="3.0" style="1122"/>
    <col min="4458" max="4458" customWidth="1" bestFit="1" width="3.0" style="1122"/>
    <col min="4459" max="4459" customWidth="1" bestFit="1" width="3.0" style="1122"/>
    <col min="4460" max="4460" customWidth="1" bestFit="1" width="3.0" style="1122"/>
    <col min="4461" max="4461" customWidth="1" bestFit="1" width="3.0" style="1122"/>
    <col min="4462" max="4462" customWidth="1" bestFit="1" width="3.0" style="1122"/>
    <col min="4463" max="4463" customWidth="1" bestFit="1" width="3.0" style="1122"/>
    <col min="4464" max="4464" customWidth="1" bestFit="1" width="3.0" style="1122"/>
    <col min="4465" max="4465" customWidth="1" bestFit="1" width="3.0" style="1122"/>
    <col min="4466" max="4466" customWidth="1" bestFit="1" width="3.0" style="1122"/>
    <col min="4467" max="4467" customWidth="1" bestFit="1" width="3.0" style="1122"/>
    <col min="4468" max="4468" customWidth="1" bestFit="1" width="3.0" style="1122"/>
    <col min="4469" max="4469" customWidth="1" bestFit="1" width="3.0" style="1122"/>
    <col min="4470" max="4470" customWidth="1" bestFit="1" width="3.0" style="1122"/>
    <col min="4471" max="4471" customWidth="1" bestFit="1" width="3.0" style="1122"/>
    <col min="4472" max="4472" customWidth="1" bestFit="1" width="3.0" style="1122"/>
    <col min="4473" max="4473" customWidth="1" bestFit="1" width="3.0" style="1122"/>
    <col min="4474" max="4474" customWidth="1" bestFit="1" width="3.0" style="1122"/>
    <col min="4475" max="4475" customWidth="1" bestFit="1" width="3.0" style="1122"/>
    <col min="4476" max="4476" customWidth="1" bestFit="1" width="3.0" style="1122"/>
    <col min="4477" max="4477" customWidth="1" bestFit="1" width="3.0" style="1122"/>
    <col min="4478" max="4478" customWidth="1" bestFit="1" width="3.0" style="1122"/>
    <col min="4479" max="4479" customWidth="1" bestFit="1" width="3.0" style="1122"/>
    <col min="4480" max="4480" customWidth="1" bestFit="1" width="3.0" style="1122"/>
    <col min="4481" max="4481" customWidth="1" bestFit="1" width="3.0" style="1122"/>
    <col min="4482" max="4482" customWidth="1" bestFit="1" width="3.0" style="1122"/>
    <col min="4483" max="4483" customWidth="1" bestFit="1" width="3.0" style="1122"/>
    <col min="4484" max="4484" customWidth="1" bestFit="1" width="3.0" style="1122"/>
    <col min="4485" max="4485" customWidth="1" bestFit="1" width="3.0" style="1122"/>
    <col min="4486" max="4486" customWidth="1" bestFit="1" width="3.0" style="1122"/>
    <col min="4487" max="4487" customWidth="1" bestFit="1" width="3.0" style="1122"/>
    <col min="4488" max="4488" customWidth="1" bestFit="1" width="3.0" style="1122"/>
    <col min="4489" max="4489" customWidth="1" bestFit="1" width="3.0" style="1122"/>
    <col min="4490" max="4490" customWidth="1" bestFit="1" width="3.0" style="1122"/>
    <col min="4491" max="4491" customWidth="1" bestFit="1" width="3.0" style="1122"/>
    <col min="4492" max="4492" customWidth="1" bestFit="1" width="3.0" style="1122"/>
    <col min="4493" max="4493" customWidth="1" bestFit="1" width="3.0" style="1122"/>
    <col min="4494" max="4494" customWidth="1" bestFit="1" width="3.0" style="1122"/>
    <col min="4495" max="4495" customWidth="1" bestFit="1" width="3.0" style="1122"/>
    <col min="4496" max="4496" customWidth="1" bestFit="1" width="3.0" style="1122"/>
    <col min="4497" max="4497" customWidth="1" bestFit="1" width="3.0" style="1122"/>
    <col min="4498" max="4498" customWidth="1" bestFit="1" width="3.0" style="1122"/>
    <col min="4499" max="4499" customWidth="1" bestFit="1" width="3.0" style="1122"/>
    <col min="4500" max="4500" customWidth="1" bestFit="1" width="3.0" style="1122"/>
    <col min="4501" max="4501" customWidth="1" bestFit="1" width="3.0" style="1122"/>
    <col min="4502" max="4502" customWidth="1" bestFit="1" width="3.0" style="1122"/>
    <col min="4503" max="4503" customWidth="1" bestFit="1" width="3.0" style="1122"/>
    <col min="4504" max="4504" customWidth="1" bestFit="1" width="3.0" style="1122"/>
    <col min="4505" max="4505" customWidth="1" bestFit="1" width="3.0" style="1122"/>
    <col min="4506" max="4506" customWidth="1" bestFit="1" width="3.0" style="1122"/>
    <col min="4507" max="4507" customWidth="1" bestFit="1" width="3.0" style="1122"/>
    <col min="4508" max="4508" customWidth="1" bestFit="1" width="3.0" style="1122"/>
    <col min="4509" max="4509" customWidth="1" bestFit="1" width="3.0" style="1122"/>
    <col min="4510" max="4510" customWidth="1" bestFit="1" width="3.0" style="1122"/>
    <col min="4511" max="4511" customWidth="1" bestFit="1" width="3.0" style="1122"/>
    <col min="4512" max="4512" customWidth="1" bestFit="1" width="3.0" style="1122"/>
    <col min="4513" max="4513" customWidth="1" bestFit="1" width="3.0" style="1122"/>
    <col min="4514" max="4514" customWidth="1" bestFit="1" width="3.0" style="1122"/>
    <col min="4515" max="4515" customWidth="1" bestFit="1" width="3.0" style="1122"/>
    <col min="4516" max="4516" customWidth="1" bestFit="1" width="3.0" style="1122"/>
    <col min="4517" max="4517" customWidth="1" bestFit="1" width="3.0" style="1122"/>
    <col min="4518" max="4518" customWidth="1" bestFit="1" width="3.0" style="1122"/>
    <col min="4519" max="4519" customWidth="1" bestFit="1" width="3.0" style="1122"/>
    <col min="4520" max="4520" customWidth="1" bestFit="1" width="3.0" style="1122"/>
    <col min="4521" max="4521" customWidth="1" bestFit="1" width="3.0" style="1122"/>
    <col min="4522" max="4522" customWidth="1" bestFit="1" width="3.0" style="1122"/>
    <col min="4523" max="4523" customWidth="1" bestFit="1" width="3.0" style="1122"/>
    <col min="4524" max="4524" customWidth="1" bestFit="1" width="3.0" style="1122"/>
    <col min="4525" max="4525" customWidth="1" bestFit="1" width="3.0" style="1122"/>
    <col min="4526" max="4526" customWidth="1" bestFit="1" width="3.0" style="1122"/>
    <col min="4527" max="4527" customWidth="1" bestFit="1" width="3.0" style="1122"/>
    <col min="4528" max="4528" customWidth="1" bestFit="1" width="3.0" style="1122"/>
    <col min="4529" max="4529" customWidth="1" bestFit="1" width="3.0" style="1122"/>
    <col min="4530" max="4530" customWidth="1" bestFit="1" width="3.0" style="1122"/>
    <col min="4531" max="4531" customWidth="1" bestFit="1" width="3.0" style="1122"/>
    <col min="4532" max="4532" customWidth="1" bestFit="1" width="3.0" style="1122"/>
    <col min="4533" max="4533" customWidth="1" bestFit="1" width="3.0" style="1122"/>
    <col min="4534" max="4534" customWidth="1" bestFit="1" width="3.0" style="1122"/>
    <col min="4535" max="4535" customWidth="1" bestFit="1" width="3.0" style="1122"/>
    <col min="4536" max="4536" customWidth="1" bestFit="1" width="3.0" style="1122"/>
    <col min="4537" max="4537" customWidth="1" bestFit="1" width="3.0" style="1122"/>
    <col min="4538" max="4538" customWidth="1" bestFit="1" width="3.0" style="1122"/>
    <col min="4539" max="4539" customWidth="1" bestFit="1" width="3.0" style="1122"/>
    <col min="4540" max="4540" customWidth="1" bestFit="1" width="3.0" style="1122"/>
    <col min="4541" max="4541" customWidth="1" bestFit="1" width="3.0" style="1122"/>
    <col min="4542" max="4542" customWidth="1" bestFit="1" width="3.0" style="1122"/>
    <col min="4543" max="4543" customWidth="1" bestFit="1" width="3.0" style="1122"/>
    <col min="4544" max="4544" customWidth="1" bestFit="1" width="3.0" style="1122"/>
    <col min="4545" max="4545" customWidth="1" bestFit="1" width="3.0" style="1122"/>
    <col min="4546" max="4546" customWidth="1" bestFit="1" width="3.0" style="1122"/>
    <col min="4547" max="4547" customWidth="1" bestFit="1" width="3.0" style="1122"/>
    <col min="4548" max="4548" customWidth="1" bestFit="1" width="3.0" style="1122"/>
    <col min="4549" max="4549" customWidth="1" bestFit="1" width="3.0" style="1122"/>
    <col min="4550" max="4550" customWidth="1" bestFit="1" width="3.0" style="1122"/>
    <col min="4551" max="4551" customWidth="1" bestFit="1" width="3.0" style="1122"/>
    <col min="4552" max="4552" customWidth="1" bestFit="1" width="3.0" style="1122"/>
    <col min="4553" max="4553" customWidth="1" bestFit="1" width="3.0" style="1122"/>
    <col min="4554" max="4554" customWidth="1" bestFit="1" width="3.0" style="1122"/>
    <col min="4555" max="4555" customWidth="1" bestFit="1" width="3.0" style="1122"/>
    <col min="4556" max="4556" customWidth="1" bestFit="1" width="3.0" style="1122"/>
    <col min="4557" max="4557" customWidth="1" bestFit="1" width="3.0" style="1122"/>
    <col min="4558" max="4558" customWidth="1" bestFit="1" width="3.0" style="1122"/>
    <col min="4559" max="4559" customWidth="1" bestFit="1" width="3.0" style="1122"/>
    <col min="4560" max="4560" customWidth="1" bestFit="1" width="3.0" style="1122"/>
    <col min="4561" max="4561" customWidth="1" bestFit="1" width="3.0" style="1122"/>
    <col min="4562" max="4562" customWidth="1" bestFit="1" width="3.0" style="1122"/>
    <col min="4563" max="4563" customWidth="1" bestFit="1" width="3.0" style="1122"/>
    <col min="4564" max="4564" customWidth="1" bestFit="1" width="3.0" style="1122"/>
    <col min="4565" max="4565" customWidth="1" bestFit="1" width="3.0" style="1122"/>
    <col min="4566" max="4566" customWidth="1" bestFit="1" width="3.0" style="1122"/>
    <col min="4567" max="4567" customWidth="1" bestFit="1" width="3.0" style="1122"/>
    <col min="4568" max="4568" customWidth="1" bestFit="1" width="3.0" style="1122"/>
    <col min="4569" max="4569" customWidth="1" bestFit="1" width="3.0" style="1122"/>
    <col min="4570" max="4570" customWidth="1" bestFit="1" width="3.0" style="1122"/>
    <col min="4571" max="4571" customWidth="1" bestFit="1" width="3.0" style="1122"/>
    <col min="4572" max="4572" customWidth="1" bestFit="1" width="3.0" style="1122"/>
    <col min="4573" max="4573" customWidth="1" bestFit="1" width="3.0" style="1122"/>
    <col min="4574" max="4574" customWidth="1" bestFit="1" width="3.0" style="1122"/>
    <col min="4575" max="4575" customWidth="1" bestFit="1" width="3.0" style="1122"/>
    <col min="4576" max="4576" customWidth="1" bestFit="1" width="3.0" style="1122"/>
    <col min="4577" max="4577" customWidth="1" bestFit="1" width="3.0" style="1122"/>
    <col min="4578" max="4578" customWidth="1" bestFit="1" width="3.0" style="1122"/>
    <col min="4579" max="4579" customWidth="1" bestFit="1" width="3.0" style="1122"/>
    <col min="4580" max="4580" customWidth="1" bestFit="1" width="3.0" style="1122"/>
    <col min="4581" max="4581" customWidth="1" bestFit="1" width="3.0" style="1122"/>
    <col min="4582" max="4582" customWidth="1" bestFit="1" width="3.0" style="1122"/>
    <col min="4583" max="4583" customWidth="1" bestFit="1" width="3.0" style="1122"/>
    <col min="4584" max="4584" customWidth="1" bestFit="1" width="3.0" style="1122"/>
    <col min="4585" max="4585" customWidth="1" bestFit="1" width="3.0" style="1122"/>
    <col min="4586" max="4586" customWidth="1" bestFit="1" width="3.0" style="1122"/>
    <col min="4587" max="4587" customWidth="1" bestFit="1" width="3.0" style="1122"/>
    <col min="4588" max="4588" customWidth="1" bestFit="1" width="3.0" style="1122"/>
    <col min="4589" max="4589" customWidth="1" bestFit="1" width="3.0" style="1122"/>
    <col min="4590" max="4590" customWidth="1" bestFit="1" width="3.0" style="1122"/>
    <col min="4591" max="4591" customWidth="1" bestFit="1" width="3.0" style="1122"/>
    <col min="4592" max="4592" customWidth="1" bestFit="1" width="3.0" style="1122"/>
    <col min="4593" max="4593" customWidth="1" bestFit="1" width="3.0" style="1122"/>
    <col min="4594" max="4594" customWidth="1" bestFit="1" width="3.0" style="1122"/>
    <col min="4595" max="4595" customWidth="1" bestFit="1" width="3.0" style="1122"/>
    <col min="4596" max="4596" customWidth="1" bestFit="1" width="3.0" style="1122"/>
    <col min="4597" max="4597" customWidth="1" bestFit="1" width="3.0" style="1122"/>
    <col min="4598" max="4598" customWidth="1" bestFit="1" width="3.0" style="1122"/>
    <col min="4599" max="4599" customWidth="1" bestFit="1" width="3.0" style="1122"/>
    <col min="4600" max="4600" customWidth="1" bestFit="1" width="3.0" style="1122"/>
    <col min="4601" max="4601" customWidth="1" bestFit="1" width="3.0" style="1122"/>
    <col min="4602" max="4602" customWidth="1" bestFit="1" width="3.0" style="1122"/>
    <col min="4603" max="4603" customWidth="1" bestFit="1" width="3.0" style="1122"/>
    <col min="4604" max="4604" customWidth="1" bestFit="1" width="3.0" style="1122"/>
    <col min="4605" max="4605" customWidth="1" bestFit="1" width="3.0" style="1122"/>
    <col min="4606" max="4606" customWidth="1" bestFit="1" width="3.0" style="1122"/>
    <col min="4607" max="4607" customWidth="1" bestFit="1" width="3.0" style="1122"/>
    <col min="4608" max="4608" customWidth="1" bestFit="1" width="3.0" style="1122"/>
    <col min="4609" max="4609" customWidth="1" bestFit="1" width="3.0" style="1122"/>
    <col min="4610" max="4610" customWidth="1" bestFit="1" width="3.0" style="1122"/>
    <col min="4611" max="4611" customWidth="1" bestFit="1" width="3.0" style="1122"/>
    <col min="4612" max="4612" customWidth="1" bestFit="1" width="3.0" style="1122"/>
    <col min="4613" max="4613" customWidth="1" bestFit="1" width="3.0" style="1122"/>
    <col min="4614" max="4614" customWidth="1" bestFit="1" width="3.0" style="1122"/>
    <col min="4615" max="4615" customWidth="1" bestFit="1" width="3.0" style="1122"/>
    <col min="4616" max="4616" customWidth="1" bestFit="1" width="3.0" style="1122"/>
    <col min="4617" max="4617" customWidth="1" bestFit="1" width="3.0" style="1122"/>
    <col min="4618" max="4618" customWidth="1" bestFit="1" width="3.0" style="1122"/>
    <col min="4619" max="4619" customWidth="1" bestFit="1" width="3.0" style="1122"/>
    <col min="4620" max="4620" customWidth="1" bestFit="1" width="3.0" style="1122"/>
    <col min="4621" max="4621" customWidth="1" bestFit="1" width="3.0" style="1122"/>
    <col min="4622" max="4622" customWidth="1" bestFit="1" width="3.0" style="1122"/>
    <col min="4623" max="4623" customWidth="1" bestFit="1" width="3.0" style="1122"/>
    <col min="4624" max="4624" customWidth="1" bestFit="1" width="3.0" style="1122"/>
    <col min="4625" max="4625" customWidth="1" bestFit="1" width="3.0" style="1122"/>
    <col min="4626" max="4626" customWidth="1" bestFit="1" width="3.0" style="1122"/>
    <col min="4627" max="4627" customWidth="1" bestFit="1" width="3.0" style="1122"/>
    <col min="4628" max="4628" customWidth="1" bestFit="1" width="3.0" style="1122"/>
    <col min="4629" max="4629" customWidth="1" bestFit="1" width="3.0" style="1122"/>
    <col min="4630" max="4630" customWidth="1" bestFit="1" width="3.0" style="1122"/>
    <col min="4631" max="4631" customWidth="1" bestFit="1" width="3.0" style="1122"/>
    <col min="4632" max="4632" customWidth="1" bestFit="1" width="3.0" style="1122"/>
    <col min="4633" max="4633" customWidth="1" bestFit="1" width="3.0" style="1122"/>
    <col min="4634" max="4634" customWidth="1" bestFit="1" width="3.0" style="1122"/>
    <col min="4635" max="4635" customWidth="1" bestFit="1" width="3.0" style="1122"/>
    <col min="4636" max="4636" customWidth="1" bestFit="1" width="3.0" style="1122"/>
    <col min="4637" max="4637" customWidth="1" bestFit="1" width="3.0" style="1122"/>
    <col min="4638" max="4638" customWidth="1" bestFit="1" width="3.0" style="1122"/>
    <col min="4639" max="4639" customWidth="1" bestFit="1" width="3.0" style="1122"/>
    <col min="4640" max="4640" customWidth="1" bestFit="1" width="3.0" style="1122"/>
    <col min="4641" max="4641" customWidth="1" bestFit="1" width="3.0" style="1122"/>
    <col min="4642" max="4642" customWidth="1" bestFit="1" width="3.0" style="1122"/>
    <col min="4643" max="4643" customWidth="1" bestFit="1" width="3.0" style="1122"/>
    <col min="4644" max="4644" customWidth="1" bestFit="1" width="3.0" style="1122"/>
    <col min="4645" max="4645" customWidth="1" bestFit="1" width="3.0" style="1122"/>
    <col min="4646" max="4646" customWidth="1" bestFit="1" width="3.0" style="1122"/>
    <col min="4647" max="4647" customWidth="1" bestFit="1" width="3.0" style="1122"/>
    <col min="4648" max="4648" customWidth="1" bestFit="1" width="3.0" style="1122"/>
    <col min="4649" max="4649" customWidth="1" bestFit="1" width="3.0" style="1122"/>
    <col min="4650" max="4650" customWidth="1" bestFit="1" width="3.0" style="1122"/>
    <col min="4651" max="4651" customWidth="1" bestFit="1" width="3.0" style="1122"/>
    <col min="4652" max="4652" customWidth="1" bestFit="1" width="3.0" style="1122"/>
    <col min="4653" max="4653" customWidth="1" bestFit="1" width="3.0" style="1122"/>
    <col min="4654" max="4654" customWidth="1" bestFit="1" width="3.0" style="1122"/>
    <col min="4655" max="4655" customWidth="1" bestFit="1" width="3.0" style="1122"/>
    <col min="4656" max="4656" customWidth="1" bestFit="1" width="3.0" style="1122"/>
    <col min="4657" max="4657" customWidth="1" bestFit="1" width="3.0" style="1122"/>
    <col min="4658" max="4658" customWidth="1" bestFit="1" width="3.0" style="1122"/>
    <col min="4659" max="4659" customWidth="1" bestFit="1" width="3.0" style="1122"/>
    <col min="4660" max="4660" customWidth="1" bestFit="1" width="3.0" style="1122"/>
    <col min="4661" max="4661" customWidth="1" bestFit="1" width="3.0" style="1122"/>
    <col min="4662" max="4662" customWidth="1" bestFit="1" width="3.0" style="1122"/>
    <col min="4663" max="4663" customWidth="1" bestFit="1" width="3.0" style="1122"/>
    <col min="4664" max="4664" customWidth="1" bestFit="1" width="3.0" style="1122"/>
    <col min="4665" max="4665" customWidth="1" bestFit="1" width="3.0" style="1122"/>
    <col min="4666" max="4666" customWidth="1" bestFit="1" width="3.0" style="1122"/>
    <col min="4667" max="4667" customWidth="1" bestFit="1" width="3.0" style="1122"/>
    <col min="4668" max="4668" customWidth="1" bestFit="1" width="3.0" style="1122"/>
    <col min="4669" max="4669" customWidth="1" bestFit="1" width="3.0" style="1122"/>
    <col min="4670" max="4670" customWidth="1" bestFit="1" width="3.0" style="1122"/>
    <col min="4671" max="4671" customWidth="1" bestFit="1" width="3.0" style="1122"/>
    <col min="4672" max="4672" customWidth="1" bestFit="1" width="3.0" style="1122"/>
    <col min="4673" max="4673" customWidth="1" bestFit="1" width="3.0" style="1122"/>
    <col min="4674" max="4674" customWidth="1" bestFit="1" width="3.0" style="1122"/>
    <col min="4675" max="4675" customWidth="1" bestFit="1" width="3.0" style="1122"/>
    <col min="4676" max="4676" customWidth="1" bestFit="1" width="3.0" style="1122"/>
    <col min="4677" max="4677" customWidth="1" bestFit="1" width="3.0" style="1122"/>
    <col min="4678" max="4678" customWidth="1" bestFit="1" width="3.0" style="1122"/>
    <col min="4679" max="4679" customWidth="1" bestFit="1" width="3.0" style="1122"/>
    <col min="4680" max="4680" customWidth="1" bestFit="1" width="3.0" style="1122"/>
    <col min="4681" max="4681" customWidth="1" bestFit="1" width="3.0" style="1122"/>
    <col min="4682" max="4682" customWidth="1" bestFit="1" width="3.0" style="1122"/>
    <col min="4683" max="4683" customWidth="1" bestFit="1" width="3.0" style="1122"/>
    <col min="4684" max="4684" customWidth="1" bestFit="1" width="3.0" style="1122"/>
    <col min="4685" max="4685" customWidth="1" bestFit="1" width="3.0" style="1122"/>
    <col min="4686" max="4686" customWidth="1" bestFit="1" width="3.0" style="1122"/>
    <col min="4687" max="4687" customWidth="1" bestFit="1" width="3.0" style="1122"/>
    <col min="4688" max="4688" customWidth="1" bestFit="1" width="3.0" style="1122"/>
    <col min="4689" max="4689" customWidth="1" bestFit="1" width="3.0" style="1122"/>
    <col min="4690" max="4690" customWidth="1" bestFit="1" width="3.0" style="1122"/>
    <col min="4691" max="4691" customWidth="1" bestFit="1" width="3.0" style="1122"/>
    <col min="4692" max="4692" customWidth="1" bestFit="1" width="3.0" style="1122"/>
    <col min="4693" max="4693" customWidth="1" bestFit="1" width="3.0" style="1122"/>
    <col min="4694" max="4694" customWidth="1" bestFit="1" width="3.0" style="1122"/>
    <col min="4695" max="4695" customWidth="1" bestFit="1" width="3.0" style="1122"/>
    <col min="4696" max="4696" customWidth="1" bestFit="1" width="3.0" style="1122"/>
    <col min="4697" max="4697" customWidth="1" bestFit="1" width="3.0" style="1122"/>
    <col min="4698" max="4698" customWidth="1" bestFit="1" width="3.0" style="1122"/>
    <col min="4699" max="4699" customWidth="1" bestFit="1" width="3.0" style="1122"/>
    <col min="4700" max="4700" customWidth="1" bestFit="1" width="3.0" style="1122"/>
    <col min="4701" max="4701" customWidth="1" bestFit="1" width="3.0" style="1122"/>
    <col min="4702" max="4702" customWidth="1" bestFit="1" width="3.0" style="1122"/>
    <col min="4703" max="4703" customWidth="1" bestFit="1" width="3.0" style="1122"/>
    <col min="4704" max="4704" customWidth="1" bestFit="1" width="3.0" style="1122"/>
    <col min="4705" max="4705" customWidth="1" bestFit="1" width="3.0" style="1122"/>
    <col min="4706" max="4706" customWidth="1" bestFit="1" width="3.0" style="1122"/>
    <col min="4707" max="4707" customWidth="1" bestFit="1" width="3.0" style="1122"/>
    <col min="4708" max="4708" customWidth="1" bestFit="1" width="3.0" style="1122"/>
    <col min="4709" max="4709" customWidth="1" bestFit="1" width="3.0" style="1122"/>
    <col min="4710" max="4710" customWidth="1" bestFit="1" width="3.0" style="1122"/>
    <col min="4711" max="4711" customWidth="1" bestFit="1" width="3.0" style="1122"/>
    <col min="4712" max="4712" customWidth="1" bestFit="1" width="3.0" style="1122"/>
    <col min="4713" max="4713" customWidth="1" bestFit="1" width="3.0" style="1122"/>
    <col min="4714" max="4714" customWidth="1" bestFit="1" width="3.0" style="1122"/>
    <col min="4715" max="4715" customWidth="1" bestFit="1" width="3.0" style="1122"/>
    <col min="4716" max="4716" customWidth="1" bestFit="1" width="3.0" style="1122"/>
    <col min="4717" max="4717" customWidth="1" bestFit="1" width="3.0" style="1122"/>
    <col min="4718" max="4718" customWidth="1" bestFit="1" width="3.0" style="1122"/>
    <col min="4719" max="4719" customWidth="1" bestFit="1" width="3.0" style="1122"/>
    <col min="4720" max="4720" customWidth="1" bestFit="1" width="3.0" style="1122"/>
    <col min="4721" max="4721" customWidth="1" bestFit="1" width="3.0" style="1122"/>
    <col min="4722" max="4722" customWidth="1" bestFit="1" width="3.0" style="1122"/>
    <col min="4723" max="4723" customWidth="1" bestFit="1" width="3.0" style="1122"/>
    <col min="4724" max="4724" customWidth="1" bestFit="1" width="3.0" style="1122"/>
    <col min="4725" max="4725" customWidth="1" bestFit="1" width="3.0" style="1122"/>
    <col min="4726" max="4726" customWidth="1" bestFit="1" width="3.0" style="1122"/>
    <col min="4727" max="4727" customWidth="1" bestFit="1" width="3.0" style="1122"/>
    <col min="4728" max="4728" customWidth="1" bestFit="1" width="3.0" style="1122"/>
    <col min="4729" max="4729" customWidth="1" bestFit="1" width="3.0" style="1122"/>
    <col min="4730" max="4730" customWidth="1" bestFit="1" width="3.0" style="1122"/>
    <col min="4731" max="4731" customWidth="1" bestFit="1" width="3.0" style="1122"/>
    <col min="4732" max="4732" customWidth="1" bestFit="1" width="3.0" style="1122"/>
    <col min="4733" max="4733" customWidth="1" bestFit="1" width="3.0" style="1122"/>
    <col min="4734" max="4734" customWidth="1" bestFit="1" width="3.0" style="1122"/>
    <col min="4735" max="4735" customWidth="1" bestFit="1" width="3.0" style="1122"/>
    <col min="4736" max="4736" customWidth="1" bestFit="1" width="3.0" style="1122"/>
    <col min="4737" max="4737" customWidth="1" bestFit="1" width="3.0" style="1122"/>
    <col min="4738" max="4738" customWidth="1" bestFit="1" width="3.0" style="1122"/>
    <col min="4739" max="4739" customWidth="1" bestFit="1" width="3.0" style="1122"/>
    <col min="4740" max="4740" customWidth="1" bestFit="1" width="3.0" style="1122"/>
    <col min="4741" max="4741" customWidth="1" bestFit="1" width="3.0" style="1122"/>
    <col min="4742" max="4742" customWidth="1" bestFit="1" width="3.0" style="1122"/>
    <col min="4743" max="4743" customWidth="1" bestFit="1" width="3.0" style="1122"/>
    <col min="4744" max="4744" customWidth="1" bestFit="1" width="3.0" style="1122"/>
    <col min="4745" max="4745" customWidth="1" bestFit="1" width="3.0" style="1122"/>
    <col min="4746" max="4746" customWidth="1" bestFit="1" width="3.0" style="1122"/>
    <col min="4747" max="4747" customWidth="1" bestFit="1" width="3.0" style="1122"/>
    <col min="4748" max="4748" customWidth="1" bestFit="1" width="3.0" style="1122"/>
    <col min="4749" max="4749" customWidth="1" bestFit="1" width="3.0" style="1122"/>
    <col min="4750" max="4750" customWidth="1" bestFit="1" width="3.0" style="1122"/>
    <col min="4751" max="4751" customWidth="1" bestFit="1" width="3.0" style="1122"/>
    <col min="4752" max="4752" customWidth="1" bestFit="1" width="3.0" style="1122"/>
    <col min="4753" max="4753" customWidth="1" bestFit="1" width="3.0" style="1122"/>
    <col min="4754" max="4754" customWidth="1" bestFit="1" width="3.0" style="1122"/>
    <col min="4755" max="4755" customWidth="1" bestFit="1" width="3.0" style="1122"/>
    <col min="4756" max="4756" customWidth="1" bestFit="1" width="3.0" style="1122"/>
    <col min="4757" max="4757" customWidth="1" bestFit="1" width="3.0" style="1122"/>
    <col min="4758" max="4758" customWidth="1" bestFit="1" width="3.0" style="1122"/>
    <col min="4759" max="4759" customWidth="1" bestFit="1" width="3.0" style="1122"/>
    <col min="4760" max="4760" customWidth="1" bestFit="1" width="3.0" style="1122"/>
    <col min="4761" max="4761" customWidth="1" bestFit="1" width="3.0" style="1122"/>
    <col min="4762" max="4762" customWidth="1" bestFit="1" width="3.0" style="1122"/>
    <col min="4763" max="4763" customWidth="1" bestFit="1" width="3.0" style="1122"/>
    <col min="4764" max="4764" customWidth="1" bestFit="1" width="3.0" style="1122"/>
    <col min="4765" max="4765" customWidth="1" bestFit="1" width="3.0" style="1122"/>
    <col min="4766" max="4766" customWidth="1" bestFit="1" width="3.0" style="1122"/>
    <col min="4767" max="4767" customWidth="1" bestFit="1" width="3.0" style="1122"/>
    <col min="4768" max="4768" customWidth="1" bestFit="1" width="3.0" style="1122"/>
    <col min="4769" max="4769" customWidth="1" bestFit="1" width="3.0" style="1122"/>
    <col min="4770" max="4770" customWidth="1" bestFit="1" width="3.0" style="1122"/>
    <col min="4771" max="4771" customWidth="1" bestFit="1" width="3.0" style="1122"/>
    <col min="4772" max="4772" customWidth="1" bestFit="1" width="3.0" style="1122"/>
    <col min="4773" max="4773" customWidth="1" bestFit="1" width="3.0" style="1122"/>
    <col min="4774" max="4774" customWidth="1" bestFit="1" width="3.0" style="1122"/>
    <col min="4775" max="4775" customWidth="1" bestFit="1" width="3.0" style="1122"/>
    <col min="4776" max="4776" customWidth="1" bestFit="1" width="3.0" style="1122"/>
    <col min="4777" max="4777" customWidth="1" bestFit="1" width="3.0" style="1122"/>
    <col min="4778" max="4778" customWidth="1" bestFit="1" width="3.0" style="1122"/>
    <col min="4779" max="4779" customWidth="1" bestFit="1" width="3.0" style="1122"/>
    <col min="4780" max="4780" customWidth="1" bestFit="1" width="3.0" style="1122"/>
    <col min="4781" max="4781" customWidth="1" bestFit="1" width="3.0" style="1122"/>
    <col min="4782" max="4782" customWidth="1" bestFit="1" width="3.0" style="1122"/>
    <col min="4783" max="4783" customWidth="1" bestFit="1" width="3.0" style="1122"/>
    <col min="4784" max="4784" customWidth="1" bestFit="1" width="3.0" style="1122"/>
    <col min="4785" max="4785" customWidth="1" bestFit="1" width="3.0" style="1122"/>
    <col min="4786" max="4786" customWidth="1" bestFit="1" width="3.0" style="1122"/>
    <col min="4787" max="4787" customWidth="1" bestFit="1" width="3.0" style="1122"/>
    <col min="4788" max="4788" customWidth="1" bestFit="1" width="3.0" style="1122"/>
    <col min="4789" max="4789" customWidth="1" bestFit="1" width="3.0" style="1122"/>
    <col min="4790" max="4790" customWidth="1" bestFit="1" width="3.0" style="1122"/>
    <col min="4791" max="4791" customWidth="1" bestFit="1" width="3.0" style="1122"/>
    <col min="4792" max="4792" customWidth="1" bestFit="1" width="3.0" style="1122"/>
    <col min="4793" max="4793" customWidth="1" bestFit="1" width="3.0" style="1122"/>
    <col min="4794" max="4794" customWidth="1" bestFit="1" width="3.0" style="1122"/>
    <col min="4795" max="4795" customWidth="1" bestFit="1" width="3.0" style="1122"/>
    <col min="4796" max="4796" customWidth="1" bestFit="1" width="3.0" style="1122"/>
    <col min="4797" max="4797" customWidth="1" bestFit="1" width="3.0" style="1122"/>
    <col min="4798" max="4798" customWidth="1" bestFit="1" width="3.0" style="1122"/>
    <col min="4799" max="4799" customWidth="1" bestFit="1" width="3.0" style="1122"/>
    <col min="4800" max="4800" customWidth="1" bestFit="1" width="3.0" style="1122"/>
    <col min="4801" max="4801" customWidth="1" bestFit="1" width="3.0" style="1122"/>
    <col min="4802" max="4802" customWidth="1" bestFit="1" width="3.0" style="1122"/>
    <col min="4803" max="4803" customWidth="1" bestFit="1" width="3.0" style="1122"/>
    <col min="4804" max="4804" customWidth="1" bestFit="1" width="3.0" style="1122"/>
    <col min="4805" max="4805" customWidth="1" bestFit="1" width="3.0" style="1122"/>
    <col min="4806" max="4806" customWidth="1" bestFit="1" width="3.0" style="1122"/>
    <col min="4807" max="4807" customWidth="1" bestFit="1" width="3.0" style="1122"/>
    <col min="4808" max="4808" customWidth="1" bestFit="1" width="3.0" style="1122"/>
    <col min="4809" max="4809" customWidth="1" bestFit="1" width="3.0" style="1122"/>
    <col min="4810" max="4810" customWidth="1" bestFit="1" width="3.0" style="1122"/>
    <col min="4811" max="4811" customWidth="1" bestFit="1" width="3.0" style="1122"/>
    <col min="4812" max="4812" customWidth="1" bestFit="1" width="3.0" style="1122"/>
    <col min="4813" max="4813" customWidth="1" bestFit="1" width="3.0" style="1122"/>
    <col min="4814" max="4814" customWidth="1" bestFit="1" width="3.0" style="1122"/>
    <col min="4815" max="4815" customWidth="1" bestFit="1" width="3.0" style="1122"/>
    <col min="4816" max="4816" customWidth="1" bestFit="1" width="3.0" style="1122"/>
    <col min="4817" max="4817" customWidth="1" bestFit="1" width="3.0" style="1122"/>
    <col min="4818" max="4818" customWidth="1" bestFit="1" width="3.0" style="1122"/>
    <col min="4819" max="4819" customWidth="1" bestFit="1" width="3.0" style="1122"/>
    <col min="4820" max="4820" customWidth="1" bestFit="1" width="3.0" style="1122"/>
    <col min="4821" max="4821" customWidth="1" bestFit="1" width="3.0" style="1122"/>
    <col min="4822" max="4822" customWidth="1" bestFit="1" width="3.0" style="1122"/>
    <col min="4823" max="4823" customWidth="1" bestFit="1" width="3.0" style="1122"/>
    <col min="4824" max="4824" customWidth="1" bestFit="1" width="3.0" style="1122"/>
    <col min="4825" max="4825" customWidth="1" bestFit="1" width="3.0" style="1122"/>
    <col min="4826" max="4826" customWidth="1" bestFit="1" width="3.0" style="1122"/>
    <col min="4827" max="4827" customWidth="1" bestFit="1" width="3.0" style="1122"/>
    <col min="4828" max="4828" customWidth="1" bestFit="1" width="3.0" style="1122"/>
    <col min="4829" max="4829" customWidth="1" bestFit="1" width="3.0" style="1122"/>
    <col min="4830" max="4830" customWidth="1" bestFit="1" width="3.0" style="1122"/>
    <col min="4831" max="4831" customWidth="1" bestFit="1" width="3.0" style="1122"/>
    <col min="4832" max="4832" customWidth="1" bestFit="1" width="3.0" style="1122"/>
    <col min="4833" max="4833" customWidth="1" bestFit="1" width="3.0" style="1122"/>
    <col min="4834" max="4834" customWidth="1" bestFit="1" width="3.0" style="1122"/>
    <col min="4835" max="4835" customWidth="1" bestFit="1" width="3.0" style="1122"/>
    <col min="4836" max="4836" customWidth="1" bestFit="1" width="3.0" style="1122"/>
    <col min="4837" max="4837" customWidth="1" bestFit="1" width="3.0" style="1122"/>
    <col min="4838" max="4838" customWidth="1" bestFit="1" width="3.0" style="1122"/>
    <col min="4839" max="4839" customWidth="1" bestFit="1" width="3.0" style="1122"/>
    <col min="4840" max="4840" customWidth="1" bestFit="1" width="3.0" style="1122"/>
    <col min="4841" max="4841" customWidth="1" bestFit="1" width="3.0" style="1122"/>
    <col min="4842" max="4842" customWidth="1" bestFit="1" width="3.0" style="1122"/>
    <col min="4843" max="4843" customWidth="1" bestFit="1" width="3.0" style="1122"/>
    <col min="4844" max="4844" customWidth="1" bestFit="1" width="3.0" style="1122"/>
    <col min="4845" max="4845" customWidth="1" bestFit="1" width="3.0" style="1122"/>
    <col min="4846" max="4846" customWidth="1" bestFit="1" width="3.0" style="1122"/>
    <col min="4847" max="4847" customWidth="1" bestFit="1" width="3.0" style="1122"/>
    <col min="4848" max="4848" customWidth="1" bestFit="1" width="3.0" style="1122"/>
    <col min="4849" max="4849" customWidth="1" bestFit="1" width="3.0" style="1122"/>
    <col min="4850" max="4850" customWidth="1" bestFit="1" width="3.0" style="1122"/>
    <col min="4851" max="4851" customWidth="1" bestFit="1" width="3.0" style="1122"/>
    <col min="4852" max="4852" customWidth="1" bestFit="1" width="3.0" style="1122"/>
    <col min="4853" max="4853" customWidth="1" bestFit="1" width="3.0" style="1122"/>
    <col min="4854" max="4854" customWidth="1" bestFit="1" width="3.0" style="1122"/>
    <col min="4855" max="4855" customWidth="1" bestFit="1" width="3.0" style="1122"/>
    <col min="4856" max="4856" customWidth="1" bestFit="1" width="3.0" style="1122"/>
    <col min="4857" max="4857" customWidth="1" bestFit="1" width="3.0" style="1122"/>
    <col min="4858" max="4858" customWidth="1" bestFit="1" width="3.0" style="1122"/>
    <col min="4859" max="4859" customWidth="1" bestFit="1" width="3.0" style="1122"/>
    <col min="4860" max="4860" customWidth="1" bestFit="1" width="3.0" style="1122"/>
    <col min="4861" max="4861" customWidth="1" bestFit="1" width="3.0" style="1122"/>
    <col min="4862" max="4862" customWidth="1" bestFit="1" width="3.0" style="1122"/>
    <col min="4863" max="4863" customWidth="1" bestFit="1" width="3.0" style="1122"/>
    <col min="4864" max="4864" customWidth="1" bestFit="1" width="3.0" style="1122"/>
    <col min="4865" max="4865" customWidth="1" bestFit="1" width="3.0" style="1122"/>
    <col min="4866" max="4866" customWidth="1" bestFit="1" width="3.0" style="1122"/>
    <col min="4867" max="4867" customWidth="1" bestFit="1" width="3.0" style="1122"/>
    <col min="4868" max="4868" customWidth="1" bestFit="1" width="3.0" style="1122"/>
    <col min="4869" max="4869" customWidth="1" bestFit="1" width="3.0" style="1122"/>
    <col min="4870" max="4870" customWidth="1" bestFit="1" width="3.0" style="1122"/>
    <col min="4871" max="4871" customWidth="1" bestFit="1" width="3.0" style="1122"/>
    <col min="4872" max="4872" customWidth="1" bestFit="1" width="3.0" style="1122"/>
    <col min="4873" max="4873" customWidth="1" bestFit="1" width="3.0" style="1122"/>
    <col min="4874" max="4874" customWidth="1" bestFit="1" width="3.0" style="1122"/>
    <col min="4875" max="4875" customWidth="1" bestFit="1" width="3.0" style="1122"/>
    <col min="4876" max="4876" customWidth="1" bestFit="1" width="3.0" style="1122"/>
    <col min="4877" max="4877" customWidth="1" bestFit="1" width="3.0" style="1122"/>
    <col min="4878" max="4878" customWidth="1" bestFit="1" width="3.0" style="1122"/>
    <col min="4879" max="4879" customWidth="1" bestFit="1" width="3.0" style="1122"/>
    <col min="4880" max="4880" customWidth="1" bestFit="1" width="3.0" style="1122"/>
    <col min="4881" max="4881" customWidth="1" bestFit="1" width="3.0" style="1122"/>
    <col min="4882" max="4882" customWidth="1" bestFit="1" width="3.0" style="1122"/>
    <col min="4883" max="4883" customWidth="1" bestFit="1" width="3.0" style="1122"/>
    <col min="4884" max="4884" customWidth="1" bestFit="1" width="3.0" style="1122"/>
    <col min="4885" max="4885" customWidth="1" bestFit="1" width="3.0" style="1122"/>
    <col min="4886" max="4886" customWidth="1" bestFit="1" width="3.0" style="1122"/>
    <col min="4887" max="4887" customWidth="1" bestFit="1" width="3.0" style="1122"/>
    <col min="4888" max="4888" customWidth="1" bestFit="1" width="3.0" style="1122"/>
    <col min="4889" max="4889" customWidth="1" bestFit="1" width="3.0" style="1122"/>
    <col min="4890" max="4890" customWidth="1" bestFit="1" width="3.0" style="1122"/>
    <col min="4891" max="4891" customWidth="1" bestFit="1" width="3.0" style="1122"/>
    <col min="4892" max="4892" customWidth="1" bestFit="1" width="3.0" style="1122"/>
    <col min="4893" max="4893" customWidth="1" bestFit="1" width="3.0" style="1122"/>
    <col min="4894" max="4894" customWidth="1" bestFit="1" width="3.0" style="1122"/>
    <col min="4895" max="4895" customWidth="1" bestFit="1" width="3.0" style="1122"/>
    <col min="4896" max="4896" customWidth="1" bestFit="1" width="3.0" style="1122"/>
    <col min="4897" max="4897" customWidth="1" bestFit="1" width="3.0" style="1122"/>
    <col min="4898" max="4898" customWidth="1" bestFit="1" width="3.0" style="1122"/>
    <col min="4899" max="4899" customWidth="1" bestFit="1" width="3.0" style="1122"/>
    <col min="4900" max="4900" customWidth="1" bestFit="1" width="3.0" style="1122"/>
    <col min="4901" max="4901" customWidth="1" bestFit="1" width="3.0" style="1122"/>
    <col min="4902" max="4902" customWidth="1" bestFit="1" width="3.0" style="1122"/>
    <col min="4903" max="4903" customWidth="1" bestFit="1" width="3.0" style="1122"/>
    <col min="4904" max="4904" customWidth="1" bestFit="1" width="3.0" style="1122"/>
    <col min="4905" max="4905" customWidth="1" bestFit="1" width="3.0" style="1122"/>
    <col min="4906" max="4906" customWidth="1" bestFit="1" width="3.0" style="1122"/>
    <col min="4907" max="4907" customWidth="1" bestFit="1" width="3.0" style="1122"/>
    <col min="4908" max="4908" customWidth="1" bestFit="1" width="3.0" style="1122"/>
    <col min="4909" max="4909" customWidth="1" bestFit="1" width="3.0" style="1122"/>
    <col min="4910" max="4910" customWidth="1" bestFit="1" width="3.0" style="1122"/>
    <col min="4911" max="4911" customWidth="1" bestFit="1" width="3.0" style="1122"/>
    <col min="4912" max="4912" customWidth="1" bestFit="1" width="3.0" style="1122"/>
    <col min="4913" max="4913" customWidth="1" bestFit="1" width="3.0" style="1122"/>
    <col min="4914" max="4914" customWidth="1" bestFit="1" width="3.0" style="1122"/>
    <col min="4915" max="4915" customWidth="1" bestFit="1" width="3.0" style="1122"/>
    <col min="4916" max="4916" customWidth="1" bestFit="1" width="3.0" style="1122"/>
    <col min="4917" max="4917" customWidth="1" bestFit="1" width="3.0" style="1122"/>
    <col min="4918" max="4918" customWidth="1" bestFit="1" width="3.0" style="1122"/>
    <col min="4919" max="4919" customWidth="1" bestFit="1" width="3.0" style="1122"/>
    <col min="4920" max="4920" customWidth="1" bestFit="1" width="3.0" style="1122"/>
    <col min="4921" max="4921" customWidth="1" bestFit="1" width="3.0" style="1122"/>
    <col min="4922" max="4922" customWidth="1" bestFit="1" width="3.0" style="1122"/>
    <col min="4923" max="4923" customWidth="1" bestFit="1" width="3.0" style="1122"/>
    <col min="4924" max="4924" customWidth="1" bestFit="1" width="3.0" style="1122"/>
    <col min="4925" max="4925" customWidth="1" bestFit="1" width="3.0" style="1122"/>
    <col min="4926" max="4926" customWidth="1" bestFit="1" width="3.0" style="1122"/>
    <col min="4927" max="4927" customWidth="1" bestFit="1" width="3.0" style="1122"/>
    <col min="4928" max="4928" customWidth="1" bestFit="1" width="3.0" style="1122"/>
    <col min="4929" max="4929" customWidth="1" bestFit="1" width="3.0" style="1122"/>
    <col min="4930" max="4930" customWidth="1" bestFit="1" width="3.0" style="1122"/>
    <col min="4931" max="4931" customWidth="1" bestFit="1" width="3.0" style="1122"/>
    <col min="4932" max="4932" customWidth="1" bestFit="1" width="3.0" style="1122"/>
    <col min="4933" max="4933" customWidth="1" bestFit="1" width="3.0" style="1122"/>
    <col min="4934" max="4934" customWidth="1" bestFit="1" width="3.0" style="1122"/>
    <col min="4935" max="4935" customWidth="1" bestFit="1" width="3.0" style="1122"/>
    <col min="4936" max="4936" customWidth="1" bestFit="1" width="3.0" style="1122"/>
    <col min="4937" max="4937" customWidth="1" bestFit="1" width="3.0" style="1122"/>
    <col min="4938" max="4938" customWidth="1" bestFit="1" width="3.0" style="1122"/>
    <col min="4939" max="4939" customWidth="1" bestFit="1" width="3.0" style="1122"/>
    <col min="4940" max="4940" customWidth="1" bestFit="1" width="3.0" style="1122"/>
    <col min="4941" max="4941" customWidth="1" bestFit="1" width="3.0" style="1122"/>
    <col min="4942" max="4942" customWidth="1" bestFit="1" width="3.0" style="1122"/>
    <col min="4943" max="4943" customWidth="1" bestFit="1" width="3.0" style="1122"/>
    <col min="4944" max="4944" customWidth="1" bestFit="1" width="3.0" style="1122"/>
    <col min="4945" max="4945" customWidth="1" bestFit="1" width="3.0" style="1122"/>
    <col min="4946" max="4946" customWidth="1" bestFit="1" width="3.0" style="1122"/>
    <col min="4947" max="4947" customWidth="1" bestFit="1" width="3.0" style="1122"/>
    <col min="4948" max="4948" customWidth="1" bestFit="1" width="3.0" style="1122"/>
    <col min="4949" max="4949" customWidth="1" bestFit="1" width="3.0" style="1122"/>
    <col min="4950" max="4950" customWidth="1" bestFit="1" width="3.0" style="1122"/>
    <col min="4951" max="4951" customWidth="1" bestFit="1" width="3.0" style="1122"/>
    <col min="4952" max="4952" customWidth="1" bestFit="1" width="3.0" style="1122"/>
    <col min="4953" max="4953" customWidth="1" bestFit="1" width="3.0" style="1122"/>
    <col min="4954" max="4954" customWidth="1" bestFit="1" width="3.0" style="1122"/>
    <col min="4955" max="4955" customWidth="1" bestFit="1" width="3.0" style="1122"/>
    <col min="4956" max="4956" customWidth="1" bestFit="1" width="3.0" style="1122"/>
    <col min="4957" max="4957" customWidth="1" bestFit="1" width="3.0" style="1122"/>
    <col min="4958" max="4958" customWidth="1" bestFit="1" width="3.0" style="1122"/>
    <col min="4959" max="4959" customWidth="1" bestFit="1" width="3.0" style="1122"/>
    <col min="4960" max="4960" customWidth="1" bestFit="1" width="3.0" style="1122"/>
    <col min="4961" max="4961" customWidth="1" bestFit="1" width="3.0" style="1122"/>
    <col min="4962" max="4962" customWidth="1" bestFit="1" width="3.0" style="1122"/>
    <col min="4963" max="4963" customWidth="1" bestFit="1" width="3.0" style="1122"/>
    <col min="4964" max="4964" customWidth="1" bestFit="1" width="3.0" style="1122"/>
    <col min="4965" max="4965" customWidth="1" bestFit="1" width="3.0" style="1122"/>
    <col min="4966" max="4966" customWidth="1" bestFit="1" width="3.0" style="1122"/>
    <col min="4967" max="4967" customWidth="1" bestFit="1" width="3.0" style="1122"/>
    <col min="4968" max="4968" customWidth="1" bestFit="1" width="3.0" style="1122"/>
    <col min="4969" max="4969" customWidth="1" bestFit="1" width="3.0" style="1122"/>
    <col min="4970" max="4970" customWidth="1" bestFit="1" width="3.0" style="1122"/>
    <col min="4971" max="4971" customWidth="1" bestFit="1" width="3.0" style="1122"/>
    <col min="4972" max="4972" customWidth="1" bestFit="1" width="3.0" style="1122"/>
    <col min="4973" max="4973" customWidth="1" bestFit="1" width="3.0" style="1122"/>
    <col min="4974" max="4974" customWidth="1" bestFit="1" width="3.0" style="1122"/>
    <col min="4975" max="4975" customWidth="1" bestFit="1" width="3.0" style="1122"/>
    <col min="4976" max="4976" customWidth="1" bestFit="1" width="3.0" style="1122"/>
    <col min="4977" max="4977" customWidth="1" bestFit="1" width="3.0" style="1122"/>
    <col min="4978" max="4978" customWidth="1" bestFit="1" width="3.0" style="1122"/>
    <col min="4979" max="4979" customWidth="1" bestFit="1" width="3.0" style="1122"/>
    <col min="4980" max="4980" customWidth="1" bestFit="1" width="3.0" style="1122"/>
    <col min="4981" max="4981" customWidth="1" bestFit="1" width="3.0" style="1122"/>
    <col min="4982" max="4982" customWidth="1" bestFit="1" width="3.0" style="1122"/>
    <col min="4983" max="4983" customWidth="1" bestFit="1" width="3.0" style="1122"/>
    <col min="4984" max="4984" customWidth="1" bestFit="1" width="3.0" style="1122"/>
    <col min="4985" max="4985" customWidth="1" bestFit="1" width="3.0" style="1122"/>
    <col min="4986" max="4986" customWidth="1" bestFit="1" width="3.0" style="1122"/>
    <col min="4987" max="4987" customWidth="1" bestFit="1" width="3.0" style="1122"/>
    <col min="4988" max="4988" customWidth="1" bestFit="1" width="3.0" style="1122"/>
    <col min="4989" max="4989" customWidth="1" bestFit="1" width="3.0" style="1122"/>
    <col min="4990" max="4990" customWidth="1" bestFit="1" width="3.0" style="1122"/>
    <col min="4991" max="4991" customWidth="1" bestFit="1" width="3.0" style="1122"/>
    <col min="4992" max="4992" customWidth="1" bestFit="1" width="3.0" style="1122"/>
    <col min="4993" max="4993" customWidth="1" bestFit="1" width="3.0" style="1122"/>
    <col min="4994" max="4994" customWidth="1" bestFit="1" width="3.0" style="1122"/>
    <col min="4995" max="4995" customWidth="1" bestFit="1" width="3.0" style="1122"/>
    <col min="4996" max="4996" customWidth="1" bestFit="1" width="3.0" style="1122"/>
    <col min="4997" max="4997" customWidth="1" bestFit="1" width="3.0" style="1122"/>
    <col min="4998" max="4998" customWidth="1" bestFit="1" width="3.0" style="1122"/>
    <col min="4999" max="4999" customWidth="1" bestFit="1" width="3.0" style="1122"/>
    <col min="5000" max="5000" customWidth="1" bestFit="1" width="3.0" style="1122"/>
    <col min="5001" max="5001" customWidth="1" bestFit="1" width="3.0" style="1122"/>
    <col min="5002" max="5002" customWidth="1" bestFit="1" width="3.0" style="1122"/>
    <col min="5003" max="5003" customWidth="1" bestFit="1" width="3.0" style="1122"/>
    <col min="5004" max="5004" customWidth="1" bestFit="1" width="3.0" style="1122"/>
    <col min="5005" max="5005" customWidth="1" bestFit="1" width="3.0" style="1122"/>
    <col min="5006" max="5006" customWidth="1" bestFit="1" width="3.0" style="1122"/>
    <col min="5007" max="5007" customWidth="1" bestFit="1" width="3.0" style="1122"/>
    <col min="5008" max="5008" customWidth="1" bestFit="1" width="3.0" style="1122"/>
    <col min="5009" max="5009" customWidth="1" bestFit="1" width="3.0" style="1122"/>
    <col min="5010" max="5010" customWidth="1" bestFit="1" width="3.0" style="1122"/>
    <col min="5011" max="5011" customWidth="1" bestFit="1" width="3.0" style="1122"/>
    <col min="5012" max="5012" customWidth="1" bestFit="1" width="3.0" style="1122"/>
    <col min="5013" max="5013" customWidth="1" bestFit="1" width="3.0" style="1122"/>
    <col min="5014" max="5014" customWidth="1" bestFit="1" width="3.0" style="1122"/>
    <col min="5015" max="5015" customWidth="1" bestFit="1" width="3.0" style="1122"/>
    <col min="5016" max="5016" customWidth="1" bestFit="1" width="3.0" style="1122"/>
    <col min="5017" max="5017" customWidth="1" bestFit="1" width="3.0" style="1122"/>
    <col min="5018" max="5018" customWidth="1" bestFit="1" width="3.0" style="1122"/>
    <col min="5019" max="5019" customWidth="1" bestFit="1" width="3.0" style="1122"/>
    <col min="5020" max="5020" customWidth="1" bestFit="1" width="3.0" style="1122"/>
    <col min="5021" max="5021" customWidth="1" bestFit="1" width="3.0" style="1122"/>
    <col min="5022" max="5022" customWidth="1" bestFit="1" width="3.0" style="1122"/>
    <col min="5023" max="5023" customWidth="1" bestFit="1" width="3.0" style="1122"/>
    <col min="5024" max="5024" customWidth="1" bestFit="1" width="3.0" style="1122"/>
    <col min="5025" max="5025" customWidth="1" bestFit="1" width="3.0" style="1122"/>
    <col min="5026" max="5026" customWidth="1" bestFit="1" width="3.0" style="1122"/>
    <col min="5027" max="5027" customWidth="1" bestFit="1" width="3.0" style="1122"/>
    <col min="5028" max="5028" customWidth="1" bestFit="1" width="3.0" style="1122"/>
    <col min="5029" max="5029" customWidth="1" bestFit="1" width="3.0" style="1122"/>
    <col min="5030" max="5030" customWidth="1" bestFit="1" width="3.0" style="1122"/>
    <col min="5031" max="5031" customWidth="1" bestFit="1" width="3.0" style="1122"/>
    <col min="5032" max="5032" customWidth="1" bestFit="1" width="3.0" style="1122"/>
    <col min="5033" max="5033" customWidth="1" bestFit="1" width="3.0" style="1122"/>
    <col min="5034" max="5034" customWidth="1" bestFit="1" width="3.0" style="1122"/>
    <col min="5035" max="5035" customWidth="1" bestFit="1" width="3.0" style="1122"/>
    <col min="5036" max="5036" customWidth="1" bestFit="1" width="3.0" style="1122"/>
    <col min="5037" max="5037" customWidth="1" bestFit="1" width="3.0" style="1122"/>
    <col min="5038" max="5038" customWidth="1" bestFit="1" width="3.0" style="1122"/>
    <col min="5039" max="5039" customWidth="1" bestFit="1" width="3.0" style="1122"/>
    <col min="5040" max="5040" customWidth="1" bestFit="1" width="3.0" style="1122"/>
    <col min="5041" max="5041" customWidth="1" bestFit="1" width="3.0" style="1122"/>
    <col min="5042" max="5042" customWidth="1" bestFit="1" width="3.0" style="1122"/>
    <col min="5043" max="5043" customWidth="1" bestFit="1" width="3.0" style="1122"/>
    <col min="5044" max="5044" customWidth="1" bestFit="1" width="3.0" style="1122"/>
    <col min="5045" max="5045" customWidth="1" bestFit="1" width="3.0" style="1122"/>
    <col min="5046" max="5046" customWidth="1" bestFit="1" width="3.0" style="1122"/>
    <col min="5047" max="5047" customWidth="1" bestFit="1" width="3.0" style="1122"/>
    <col min="5048" max="5048" customWidth="1" bestFit="1" width="3.0" style="1122"/>
    <col min="5049" max="5049" customWidth="1" bestFit="1" width="3.0" style="1122"/>
    <col min="5050" max="5050" customWidth="1" bestFit="1" width="3.0" style="1122"/>
    <col min="5051" max="5051" customWidth="1" bestFit="1" width="3.0" style="1122"/>
    <col min="5052" max="5052" customWidth="1" bestFit="1" width="3.0" style="1122"/>
    <col min="5053" max="5053" customWidth="1" bestFit="1" width="3.0" style="1122"/>
    <col min="5054" max="5054" customWidth="1" bestFit="1" width="3.0" style="1122"/>
    <col min="5055" max="5055" customWidth="1" bestFit="1" width="3.0" style="1122"/>
    <col min="5056" max="5056" customWidth="1" bestFit="1" width="3.0" style="1122"/>
    <col min="5057" max="5057" customWidth="1" bestFit="1" width="3.0" style="1122"/>
    <col min="5058" max="5058" customWidth="1" bestFit="1" width="3.0" style="1122"/>
    <col min="5059" max="5059" customWidth="1" bestFit="1" width="3.0" style="1122"/>
    <col min="5060" max="5060" customWidth="1" bestFit="1" width="3.0" style="1122"/>
    <col min="5061" max="5061" customWidth="1" bestFit="1" width="3.0" style="1122"/>
    <col min="5062" max="5062" customWidth="1" bestFit="1" width="3.0" style="1122"/>
    <col min="5063" max="5063" customWidth="1" bestFit="1" width="3.0" style="1122"/>
    <col min="5064" max="5064" customWidth="1" bestFit="1" width="3.0" style="1122"/>
    <col min="5065" max="5065" customWidth="1" bestFit="1" width="3.0" style="1122"/>
    <col min="5066" max="5066" customWidth="1" bestFit="1" width="3.0" style="1122"/>
    <col min="5067" max="5067" customWidth="1" bestFit="1" width="3.0" style="1122"/>
    <col min="5068" max="5068" customWidth="1" bestFit="1" width="3.0" style="1122"/>
    <col min="5069" max="5069" customWidth="1" bestFit="1" width="3.0" style="1122"/>
    <col min="5070" max="5070" customWidth="1" bestFit="1" width="3.0" style="1122"/>
    <col min="5071" max="5071" customWidth="1" bestFit="1" width="3.0" style="1122"/>
    <col min="5072" max="5072" customWidth="1" bestFit="1" width="3.0" style="1122"/>
    <col min="5073" max="5073" customWidth="1" bestFit="1" width="3.0" style="1122"/>
    <col min="5074" max="5074" customWidth="1" bestFit="1" width="3.0" style="1122"/>
    <col min="5075" max="5075" customWidth="1" bestFit="1" width="3.0" style="1122"/>
    <col min="5076" max="5076" customWidth="1" bestFit="1" width="3.0" style="1122"/>
    <col min="5077" max="5077" customWidth="1" bestFit="1" width="3.0" style="1122"/>
    <col min="5078" max="5078" customWidth="1" bestFit="1" width="3.0" style="1122"/>
    <col min="5079" max="5079" customWidth="1" bestFit="1" width="3.0" style="1122"/>
    <col min="5080" max="5080" customWidth="1" bestFit="1" width="3.0" style="1122"/>
    <col min="5081" max="5081" customWidth="1" bestFit="1" width="3.0" style="1122"/>
    <col min="5082" max="5082" customWidth="1" bestFit="1" width="3.0" style="1122"/>
    <col min="5083" max="5083" customWidth="1" bestFit="1" width="3.0" style="1122"/>
    <col min="5084" max="5084" customWidth="1" bestFit="1" width="3.0" style="1122"/>
    <col min="5085" max="5085" customWidth="1" bestFit="1" width="3.0" style="1122"/>
    <col min="5086" max="5086" customWidth="1" bestFit="1" width="3.0" style="1122"/>
    <col min="5087" max="5087" customWidth="1" bestFit="1" width="3.0" style="1122"/>
    <col min="5088" max="5088" customWidth="1" bestFit="1" width="3.0" style="1122"/>
    <col min="5089" max="5089" customWidth="1" bestFit="1" width="3.0" style="1122"/>
    <col min="5090" max="5090" customWidth="1" bestFit="1" width="3.0" style="1122"/>
    <col min="5091" max="5091" customWidth="1" bestFit="1" width="3.0" style="1122"/>
    <col min="5092" max="5092" customWidth="1" bestFit="1" width="3.0" style="1122"/>
    <col min="5093" max="5093" customWidth="1" bestFit="1" width="3.0" style="1122"/>
    <col min="5094" max="5094" customWidth="1" bestFit="1" width="3.0" style="1122"/>
    <col min="5095" max="5095" customWidth="1" bestFit="1" width="3.0" style="1122"/>
    <col min="5096" max="5096" customWidth="1" bestFit="1" width="3.0" style="1122"/>
    <col min="5097" max="5097" customWidth="1" bestFit="1" width="3.0" style="1122"/>
    <col min="5098" max="5098" customWidth="1" bestFit="1" width="3.0" style="1122"/>
    <col min="5099" max="5099" customWidth="1" bestFit="1" width="3.0" style="1122"/>
    <col min="5100" max="5100" customWidth="1" bestFit="1" width="3.0" style="1122"/>
    <col min="5101" max="5101" customWidth="1" bestFit="1" width="3.0" style="1122"/>
    <col min="5102" max="5102" customWidth="1" bestFit="1" width="3.0" style="1122"/>
    <col min="5103" max="5103" customWidth="1" bestFit="1" width="3.0" style="1122"/>
    <col min="5104" max="5104" customWidth="1" bestFit="1" width="3.0" style="1122"/>
    <col min="5105" max="5105" customWidth="1" bestFit="1" width="3.0" style="1122"/>
    <col min="5106" max="5106" customWidth="1" bestFit="1" width="3.0" style="1122"/>
    <col min="5107" max="5107" customWidth="1" bestFit="1" width="3.0" style="1122"/>
    <col min="5108" max="5108" customWidth="1" bestFit="1" width="3.0" style="1122"/>
    <col min="5109" max="5109" customWidth="1" bestFit="1" width="3.0" style="1122"/>
    <col min="5110" max="5110" customWidth="1" bestFit="1" width="3.0" style="1122"/>
    <col min="5111" max="5111" customWidth="1" bestFit="1" width="3.0" style="1122"/>
    <col min="5112" max="5112" customWidth="1" bestFit="1" width="3.0" style="1122"/>
    <col min="5113" max="5113" customWidth="1" bestFit="1" width="3.0" style="1122"/>
    <col min="5114" max="5114" customWidth="1" bestFit="1" width="3.0" style="1122"/>
    <col min="5115" max="5115" customWidth="1" bestFit="1" width="3.0" style="1122"/>
    <col min="5116" max="5116" customWidth="1" bestFit="1" width="3.0" style="1122"/>
    <col min="5117" max="5117" customWidth="1" bestFit="1" width="3.0" style="1122"/>
    <col min="5118" max="5118" customWidth="1" bestFit="1" width="3.0" style="1122"/>
    <col min="5119" max="5119" customWidth="1" bestFit="1" width="3.0" style="1122"/>
    <col min="5120" max="5120" customWidth="1" bestFit="1" width="3.0" style="1122"/>
    <col min="5121" max="5121" customWidth="1" bestFit="1" width="3.0" style="1122"/>
    <col min="5122" max="5122" customWidth="1" bestFit="1" width="3.0" style="1122"/>
    <col min="5123" max="5123" customWidth="1" bestFit="1" width="3.0" style="1122"/>
    <col min="5124" max="5124" customWidth="1" bestFit="1" width="3.0" style="1122"/>
    <col min="5125" max="5125" customWidth="1" bestFit="1" width="3.0" style="1122"/>
    <col min="5126" max="5126" customWidth="1" bestFit="1" width="3.0" style="1122"/>
    <col min="5127" max="5127" customWidth="1" bestFit="1" width="3.0" style="1122"/>
    <col min="5128" max="5128" customWidth="1" bestFit="1" width="3.0" style="1122"/>
    <col min="5129" max="5129" customWidth="1" bestFit="1" width="3.0" style="1122"/>
    <col min="5130" max="5130" customWidth="1" bestFit="1" width="3.0" style="1122"/>
    <col min="5131" max="5131" customWidth="1" bestFit="1" width="3.0" style="1122"/>
    <col min="5132" max="5132" customWidth="1" bestFit="1" width="3.0" style="1122"/>
    <col min="5133" max="5133" customWidth="1" bestFit="1" width="3.0" style="1122"/>
    <col min="5134" max="5134" customWidth="1" bestFit="1" width="3.0" style="1122"/>
    <col min="5135" max="5135" customWidth="1" bestFit="1" width="3.0" style="1122"/>
    <col min="5136" max="5136" customWidth="1" bestFit="1" width="3.0" style="1122"/>
    <col min="5137" max="5137" customWidth="1" bestFit="1" width="3.0" style="1122"/>
    <col min="5138" max="5138" customWidth="1" bestFit="1" width="3.0" style="1122"/>
    <col min="5139" max="5139" customWidth="1" bestFit="1" width="3.0" style="1122"/>
    <col min="5140" max="5140" customWidth="1" bestFit="1" width="3.0" style="1122"/>
    <col min="5141" max="5141" customWidth="1" bestFit="1" width="3.0" style="1122"/>
    <col min="5142" max="5142" customWidth="1" bestFit="1" width="3.0" style="1122"/>
    <col min="5143" max="5143" customWidth="1" bestFit="1" width="3.0" style="1122"/>
    <col min="5144" max="5144" customWidth="1" bestFit="1" width="3.0" style="1122"/>
    <col min="5145" max="5145" customWidth="1" bestFit="1" width="3.0" style="1122"/>
    <col min="5146" max="5146" customWidth="1" bestFit="1" width="3.0" style="1122"/>
    <col min="5147" max="5147" customWidth="1" bestFit="1" width="3.0" style="1122"/>
    <col min="5148" max="5148" customWidth="1" bestFit="1" width="3.0" style="1122"/>
    <col min="5149" max="5149" customWidth="1" bestFit="1" width="3.0" style="1122"/>
    <col min="5150" max="5150" customWidth="1" bestFit="1" width="3.0" style="1122"/>
    <col min="5151" max="5151" customWidth="1" bestFit="1" width="3.0" style="1122"/>
    <col min="5152" max="5152" customWidth="1" bestFit="1" width="3.0" style="1122"/>
    <col min="5153" max="5153" customWidth="1" bestFit="1" width="3.0" style="1122"/>
    <col min="5154" max="5154" customWidth="1" bestFit="1" width="3.0" style="1122"/>
    <col min="5155" max="5155" customWidth="1" bestFit="1" width="3.0" style="1122"/>
    <col min="5156" max="5156" customWidth="1" bestFit="1" width="3.0" style="1122"/>
    <col min="5157" max="5157" customWidth="1" bestFit="1" width="3.0" style="1122"/>
    <col min="5158" max="5158" customWidth="1" bestFit="1" width="3.0" style="1122"/>
    <col min="5159" max="5159" customWidth="1" bestFit="1" width="3.0" style="1122"/>
    <col min="5160" max="5160" customWidth="1" bestFit="1" width="3.0" style="1122"/>
    <col min="5161" max="5161" customWidth="1" bestFit="1" width="3.0" style="1122"/>
    <col min="5162" max="5162" customWidth="1" bestFit="1" width="3.0" style="1122"/>
    <col min="5163" max="5163" customWidth="1" bestFit="1" width="3.0" style="1122"/>
    <col min="5164" max="5164" customWidth="1" bestFit="1" width="3.0" style="1122"/>
    <col min="5165" max="5165" customWidth="1" bestFit="1" width="3.0" style="1122"/>
    <col min="5166" max="5166" customWidth="1" bestFit="1" width="3.0" style="1122"/>
    <col min="5167" max="5167" customWidth="1" bestFit="1" width="3.0" style="1122"/>
    <col min="5168" max="5168" customWidth="1" bestFit="1" width="3.0" style="1122"/>
    <col min="5169" max="5169" customWidth="1" bestFit="1" width="3.0" style="1122"/>
    <col min="5170" max="5170" customWidth="1" bestFit="1" width="3.0" style="1122"/>
    <col min="5171" max="5171" customWidth="1" bestFit="1" width="3.0" style="1122"/>
    <col min="5172" max="5172" customWidth="1" bestFit="1" width="3.0" style="1122"/>
    <col min="5173" max="5173" customWidth="1" bestFit="1" width="3.0" style="1122"/>
    <col min="5174" max="5174" customWidth="1" bestFit="1" width="3.0" style="1122"/>
    <col min="5175" max="5175" customWidth="1" bestFit="1" width="3.0" style="1122"/>
    <col min="5176" max="5176" customWidth="1" bestFit="1" width="3.0" style="1122"/>
    <col min="5177" max="5177" customWidth="1" bestFit="1" width="3.0" style="1122"/>
    <col min="5178" max="5178" customWidth="1" bestFit="1" width="3.0" style="1122"/>
    <col min="5179" max="5179" customWidth="1" bestFit="1" width="3.0" style="1122"/>
    <col min="5180" max="5180" customWidth="1" bestFit="1" width="3.0" style="1122"/>
    <col min="5181" max="5181" customWidth="1" bestFit="1" width="3.0" style="1122"/>
    <col min="5182" max="5182" customWidth="1" bestFit="1" width="3.0" style="1122"/>
    <col min="5183" max="5183" customWidth="1" bestFit="1" width="3.0" style="1122"/>
    <col min="5184" max="5184" customWidth="1" bestFit="1" width="3.0" style="1122"/>
    <col min="5185" max="5185" customWidth="1" bestFit="1" width="3.0" style="1122"/>
    <col min="5186" max="5186" customWidth="1" bestFit="1" width="3.0" style="1122"/>
    <col min="5187" max="5187" customWidth="1" bestFit="1" width="3.0" style="1122"/>
    <col min="5188" max="5188" customWidth="1" bestFit="1" width="3.0" style="1122"/>
    <col min="5189" max="5189" customWidth="1" bestFit="1" width="3.0" style="1122"/>
    <col min="5190" max="5190" customWidth="1" bestFit="1" width="3.0" style="1122"/>
    <col min="5191" max="5191" customWidth="1" bestFit="1" width="3.0" style="1122"/>
    <col min="5192" max="5192" customWidth="1" bestFit="1" width="3.0" style="1122"/>
    <col min="5193" max="5193" customWidth="1" bestFit="1" width="3.0" style="1122"/>
    <col min="5194" max="5194" customWidth="1" bestFit="1" width="3.0" style="1122"/>
    <col min="5195" max="5195" customWidth="1" bestFit="1" width="3.0" style="1122"/>
    <col min="5196" max="5196" customWidth="1" bestFit="1" width="3.0" style="1122"/>
    <col min="5197" max="5197" customWidth="1" bestFit="1" width="3.0" style="1122"/>
    <col min="5198" max="5198" customWidth="1" bestFit="1" width="3.0" style="1122"/>
    <col min="5199" max="5199" customWidth="1" bestFit="1" width="3.0" style="1122"/>
    <col min="5200" max="5200" customWidth="1" bestFit="1" width="3.0" style="1122"/>
    <col min="5201" max="5201" customWidth="1" bestFit="1" width="3.0" style="1122"/>
    <col min="5202" max="5202" customWidth="1" bestFit="1" width="3.0" style="1122"/>
    <col min="5203" max="5203" customWidth="1" bestFit="1" width="3.0" style="1122"/>
    <col min="5204" max="5204" customWidth="1" bestFit="1" width="3.0" style="1122"/>
    <col min="5205" max="5205" customWidth="1" bestFit="1" width="3.0" style="1122"/>
    <col min="5206" max="5206" customWidth="1" bestFit="1" width="3.0" style="1122"/>
    <col min="5207" max="5207" customWidth="1" bestFit="1" width="3.0" style="1122"/>
    <col min="5208" max="5208" customWidth="1" bestFit="1" width="3.0" style="1122"/>
    <col min="5209" max="5209" customWidth="1" bestFit="1" width="3.0" style="1122"/>
    <col min="5210" max="5210" customWidth="1" bestFit="1" width="3.0" style="1122"/>
    <col min="5211" max="5211" customWidth="1" bestFit="1" width="3.0" style="1122"/>
    <col min="5212" max="5212" customWidth="1" bestFit="1" width="3.0" style="1122"/>
    <col min="5213" max="5213" customWidth="1" bestFit="1" width="3.0" style="1122"/>
    <col min="5214" max="5214" customWidth="1" bestFit="1" width="3.0" style="1122"/>
    <col min="5215" max="5215" customWidth="1" bestFit="1" width="3.0" style="1122"/>
    <col min="5216" max="5216" customWidth="1" bestFit="1" width="3.0" style="1122"/>
    <col min="5217" max="5217" customWidth="1" bestFit="1" width="3.0" style="1122"/>
    <col min="5218" max="5218" customWidth="1" bestFit="1" width="3.0" style="1122"/>
    <col min="5219" max="5219" customWidth="1" bestFit="1" width="3.0" style="1122"/>
    <col min="5220" max="5220" customWidth="1" bestFit="1" width="3.0" style="1122"/>
    <col min="5221" max="5221" customWidth="1" bestFit="1" width="3.0" style="1122"/>
    <col min="5222" max="5222" customWidth="1" bestFit="1" width="3.0" style="1122"/>
    <col min="5223" max="5223" customWidth="1" bestFit="1" width="3.0" style="1122"/>
    <col min="5224" max="5224" customWidth="1" bestFit="1" width="3.0" style="1122"/>
    <col min="5225" max="5225" customWidth="1" bestFit="1" width="3.0" style="1122"/>
    <col min="5226" max="5226" customWidth="1" bestFit="1" width="3.0" style="1122"/>
    <col min="5227" max="5227" customWidth="1" bestFit="1" width="3.0" style="1122"/>
    <col min="5228" max="5228" customWidth="1" bestFit="1" width="3.0" style="1122"/>
    <col min="5229" max="5229" customWidth="1" bestFit="1" width="3.0" style="1122"/>
    <col min="5230" max="5230" customWidth="1" bestFit="1" width="3.0" style="1122"/>
    <col min="5231" max="5231" customWidth="1" bestFit="1" width="3.0" style="1122"/>
    <col min="5232" max="5232" customWidth="1" bestFit="1" width="3.0" style="1122"/>
    <col min="5233" max="5233" customWidth="1" bestFit="1" width="3.0" style="1122"/>
    <col min="5234" max="5234" customWidth="1" bestFit="1" width="3.0" style="1122"/>
    <col min="5235" max="5235" customWidth="1" bestFit="1" width="3.0" style="1122"/>
    <col min="5236" max="5236" customWidth="1" bestFit="1" width="3.0" style="1122"/>
    <col min="5237" max="5237" customWidth="1" bestFit="1" width="3.0" style="1122"/>
    <col min="5238" max="5238" customWidth="1" bestFit="1" width="3.0" style="1122"/>
    <col min="5239" max="5239" customWidth="1" bestFit="1" width="3.0" style="1122"/>
    <col min="5240" max="5240" customWidth="1" bestFit="1" width="3.0" style="1122"/>
    <col min="5241" max="5241" customWidth="1" bestFit="1" width="3.0" style="1122"/>
    <col min="5242" max="5242" customWidth="1" bestFit="1" width="3.0" style="1122"/>
    <col min="5243" max="5243" customWidth="1" bestFit="1" width="3.0" style="1122"/>
    <col min="5244" max="5244" customWidth="1" bestFit="1" width="3.0" style="1122"/>
    <col min="5245" max="5245" customWidth="1" bestFit="1" width="3.0" style="1122"/>
    <col min="5246" max="5246" customWidth="1" bestFit="1" width="3.0" style="1122"/>
    <col min="5247" max="5247" customWidth="1" bestFit="1" width="3.0" style="1122"/>
    <col min="5248" max="5248" customWidth="1" bestFit="1" width="3.0" style="1122"/>
    <col min="5249" max="5249" customWidth="1" bestFit="1" width="3.0" style="1122"/>
    <col min="5250" max="5250" customWidth="1" bestFit="1" width="3.0" style="1122"/>
    <col min="5251" max="5251" customWidth="1" bestFit="1" width="3.0" style="1122"/>
    <col min="5252" max="5252" customWidth="1" bestFit="1" width="3.0" style="1122"/>
    <col min="5253" max="5253" customWidth="1" bestFit="1" width="3.0" style="1122"/>
    <col min="5254" max="5254" customWidth="1" bestFit="1" width="3.0" style="1122"/>
    <col min="5255" max="5255" customWidth="1" bestFit="1" width="3.0" style="1122"/>
    <col min="5256" max="5256" customWidth="1" bestFit="1" width="3.0" style="1122"/>
    <col min="5257" max="5257" customWidth="1" bestFit="1" width="3.0" style="1122"/>
    <col min="5258" max="5258" customWidth="1" bestFit="1" width="3.0" style="1122"/>
    <col min="5259" max="5259" customWidth="1" bestFit="1" width="3.0" style="1122"/>
    <col min="5260" max="5260" customWidth="1" bestFit="1" width="3.0" style="1122"/>
    <col min="5261" max="5261" customWidth="1" bestFit="1" width="3.0" style="1122"/>
    <col min="5262" max="5262" customWidth="1" bestFit="1" width="3.0" style="1122"/>
    <col min="5263" max="5263" customWidth="1" bestFit="1" width="3.0" style="1122"/>
    <col min="5264" max="5264" customWidth="1" bestFit="1" width="3.0" style="1122"/>
    <col min="5265" max="5265" customWidth="1" bestFit="1" width="3.0" style="1122"/>
    <col min="5266" max="5266" customWidth="1" bestFit="1" width="3.0" style="1122"/>
    <col min="5267" max="5267" customWidth="1" bestFit="1" width="3.0" style="1122"/>
    <col min="5268" max="5268" customWidth="1" bestFit="1" width="3.0" style="1122"/>
    <col min="5269" max="5269" customWidth="1" bestFit="1" width="3.0" style="1122"/>
    <col min="5270" max="5270" customWidth="1" bestFit="1" width="3.0" style="1122"/>
    <col min="5271" max="5271" customWidth="1" bestFit="1" width="3.0" style="1122"/>
    <col min="5272" max="5272" customWidth="1" bestFit="1" width="3.0" style="1122"/>
    <col min="5273" max="5273" customWidth="1" bestFit="1" width="3.0" style="1122"/>
    <col min="5274" max="5274" customWidth="1" bestFit="1" width="3.0" style="1122"/>
    <col min="5275" max="5275" customWidth="1" bestFit="1" width="3.0" style="1122"/>
    <col min="5276" max="5276" customWidth="1" bestFit="1" width="3.0" style="1122"/>
    <col min="5277" max="5277" customWidth="1" bestFit="1" width="3.0" style="1122"/>
    <col min="5278" max="5278" customWidth="1" bestFit="1" width="3.0" style="1122"/>
    <col min="5279" max="5279" customWidth="1" bestFit="1" width="3.0" style="1122"/>
    <col min="5280" max="5280" customWidth="1" bestFit="1" width="3.0" style="1122"/>
    <col min="5281" max="5281" customWidth="1" bestFit="1" width="3.0" style="1122"/>
    <col min="5282" max="5282" customWidth="1" bestFit="1" width="3.0" style="1122"/>
    <col min="5283" max="5283" customWidth="1" bestFit="1" width="3.0" style="1122"/>
    <col min="5284" max="5284" customWidth="1" bestFit="1" width="3.0" style="1122"/>
    <col min="5285" max="5285" customWidth="1" bestFit="1" width="3.0" style="1122"/>
    <col min="5286" max="5286" customWidth="1" bestFit="1" width="3.0" style="1122"/>
    <col min="5287" max="5287" customWidth="1" bestFit="1" width="3.0" style="1122"/>
    <col min="5288" max="5288" customWidth="1" bestFit="1" width="3.0" style="1122"/>
    <col min="5289" max="5289" customWidth="1" bestFit="1" width="3.0" style="1122"/>
    <col min="5290" max="5290" customWidth="1" bestFit="1" width="3.0" style="1122"/>
    <col min="5291" max="5291" customWidth="1" bestFit="1" width="3.0" style="1122"/>
    <col min="5292" max="5292" customWidth="1" bestFit="1" width="3.0" style="1122"/>
    <col min="5293" max="5293" customWidth="1" bestFit="1" width="3.0" style="1122"/>
    <col min="5294" max="5294" customWidth="1" bestFit="1" width="3.0" style="1122"/>
    <col min="5295" max="5295" customWidth="1" bestFit="1" width="3.0" style="1122"/>
    <col min="5296" max="5296" customWidth="1" bestFit="1" width="3.0" style="1122"/>
    <col min="5297" max="5297" customWidth="1" bestFit="1" width="3.0" style="1122"/>
    <col min="5298" max="5298" customWidth="1" bestFit="1" width="3.0" style="1122"/>
    <col min="5299" max="5299" customWidth="1" bestFit="1" width="3.0" style="1122"/>
    <col min="5300" max="5300" customWidth="1" bestFit="1" width="3.0" style="1122"/>
    <col min="5301" max="5301" customWidth="1" bestFit="1" width="3.0" style="1122"/>
    <col min="5302" max="5302" customWidth="1" bestFit="1" width="3.0" style="1122"/>
    <col min="5303" max="5303" customWidth="1" bestFit="1" width="3.0" style="1122"/>
    <col min="5304" max="5304" customWidth="1" bestFit="1" width="3.0" style="1122"/>
    <col min="5305" max="5305" customWidth="1" bestFit="1" width="3.0" style="1122"/>
    <col min="5306" max="5306" customWidth="1" bestFit="1" width="3.0" style="1122"/>
    <col min="5307" max="5307" customWidth="1" bestFit="1" width="3.0" style="1122"/>
    <col min="5308" max="5308" customWidth="1" bestFit="1" width="3.0" style="1122"/>
    <col min="5309" max="5309" customWidth="1" bestFit="1" width="3.0" style="1122"/>
    <col min="5310" max="5310" customWidth="1" bestFit="1" width="3.0" style="1122"/>
    <col min="5311" max="5311" customWidth="1" bestFit="1" width="3.0" style="1122"/>
    <col min="5312" max="5312" customWidth="1" bestFit="1" width="3.0" style="1122"/>
    <col min="5313" max="5313" customWidth="1" bestFit="1" width="3.0" style="1122"/>
    <col min="5314" max="5314" customWidth="1" bestFit="1" width="3.0" style="1122"/>
    <col min="5315" max="5315" customWidth="1" bestFit="1" width="3.0" style="1122"/>
    <col min="5316" max="5316" customWidth="1" bestFit="1" width="3.0" style="1122"/>
    <col min="5317" max="5317" customWidth="1" bestFit="1" width="3.0" style="1122"/>
    <col min="5318" max="5318" customWidth="1" bestFit="1" width="3.0" style="1122"/>
    <col min="5319" max="5319" customWidth="1" bestFit="1" width="3.0" style="1122"/>
    <col min="5320" max="5320" customWidth="1" bestFit="1" width="3.0" style="1122"/>
    <col min="5321" max="5321" customWidth="1" bestFit="1" width="3.0" style="1122"/>
    <col min="5322" max="5322" customWidth="1" bestFit="1" width="3.0" style="1122"/>
    <col min="5323" max="5323" customWidth="1" bestFit="1" width="3.0" style="1122"/>
    <col min="5324" max="5324" customWidth="1" bestFit="1" width="3.0" style="1122"/>
    <col min="5325" max="5325" customWidth="1" bestFit="1" width="3.0" style="1122"/>
    <col min="5326" max="5326" customWidth="1" bestFit="1" width="3.0" style="1122"/>
    <col min="5327" max="5327" customWidth="1" bestFit="1" width="3.0" style="1122"/>
    <col min="5328" max="5328" customWidth="1" bestFit="1" width="3.0" style="1122"/>
    <col min="5329" max="5329" customWidth="1" bestFit="1" width="3.0" style="1122"/>
    <col min="5330" max="5330" customWidth="1" bestFit="1" width="3.0" style="1122"/>
    <col min="5331" max="5331" customWidth="1" bestFit="1" width="3.0" style="1122"/>
    <col min="5332" max="5332" customWidth="1" bestFit="1" width="3.0" style="1122"/>
    <col min="5333" max="5333" customWidth="1" bestFit="1" width="3.0" style="1122"/>
    <col min="5334" max="5334" customWidth="1" bestFit="1" width="3.0" style="1122"/>
    <col min="5335" max="5335" customWidth="1" bestFit="1" width="3.0" style="1122"/>
    <col min="5336" max="5336" customWidth="1" bestFit="1" width="3.0" style="1122"/>
    <col min="5337" max="5337" customWidth="1" bestFit="1" width="3.0" style="1122"/>
    <col min="5338" max="5338" customWidth="1" bestFit="1" width="3.0" style="1122"/>
    <col min="5339" max="5339" customWidth="1" bestFit="1" width="3.0" style="1122"/>
    <col min="5340" max="5340" customWidth="1" bestFit="1" width="3.0" style="1122"/>
    <col min="5341" max="5341" customWidth="1" bestFit="1" width="3.0" style="1122"/>
    <col min="5342" max="5342" customWidth="1" bestFit="1" width="3.0" style="1122"/>
    <col min="5343" max="5343" customWidth="1" bestFit="1" width="3.0" style="1122"/>
    <col min="5344" max="5344" customWidth="1" bestFit="1" width="3.0" style="1122"/>
    <col min="5345" max="5345" customWidth="1" bestFit="1" width="3.0" style="1122"/>
    <col min="5346" max="5346" customWidth="1" bestFit="1" width="3.0" style="1122"/>
    <col min="5347" max="5347" customWidth="1" bestFit="1" width="3.0" style="1122"/>
    <col min="5348" max="5348" customWidth="1" bestFit="1" width="3.0" style="1122"/>
    <col min="5349" max="5349" customWidth="1" bestFit="1" width="3.0" style="1122"/>
    <col min="5350" max="5350" customWidth="1" bestFit="1" width="3.0" style="1122"/>
    <col min="5351" max="5351" customWidth="1" bestFit="1" width="3.0" style="1122"/>
    <col min="5352" max="5352" customWidth="1" bestFit="1" width="3.0" style="1122"/>
    <col min="5353" max="5353" customWidth="1" bestFit="1" width="3.0" style="1122"/>
    <col min="5354" max="5354" customWidth="1" bestFit="1" width="3.0" style="1122"/>
    <col min="5355" max="5355" customWidth="1" bestFit="1" width="3.0" style="1122"/>
    <col min="5356" max="5356" customWidth="1" bestFit="1" width="3.0" style="1122"/>
    <col min="5357" max="5357" customWidth="1" bestFit="1" width="3.0" style="1122"/>
    <col min="5358" max="5358" customWidth="1" bestFit="1" width="3.0" style="1122"/>
    <col min="5359" max="5359" customWidth="1" bestFit="1" width="3.0" style="1122"/>
    <col min="5360" max="5360" customWidth="1" bestFit="1" width="3.0" style="1122"/>
    <col min="5361" max="5361" customWidth="1" bestFit="1" width="3.0" style="1122"/>
    <col min="5362" max="5362" customWidth="1" bestFit="1" width="3.0" style="1122"/>
    <col min="5363" max="5363" customWidth="1" bestFit="1" width="3.0" style="1122"/>
    <col min="5364" max="5364" customWidth="1" bestFit="1" width="3.0" style="1122"/>
    <col min="5365" max="5365" customWidth="1" bestFit="1" width="3.0" style="1122"/>
    <col min="5366" max="5366" customWidth="1" bestFit="1" width="3.0" style="1122"/>
    <col min="5367" max="5367" customWidth="1" bestFit="1" width="3.0" style="1122"/>
    <col min="5368" max="5368" customWidth="1" bestFit="1" width="3.0" style="1122"/>
    <col min="5369" max="5369" customWidth="1" bestFit="1" width="3.0" style="1122"/>
    <col min="5370" max="5370" customWidth="1" bestFit="1" width="3.0" style="1122"/>
    <col min="5371" max="5371" customWidth="1" bestFit="1" width="3.0" style="1122"/>
    <col min="5372" max="5372" customWidth="1" bestFit="1" width="3.0" style="1122"/>
    <col min="5373" max="5373" customWidth="1" bestFit="1" width="3.0" style="1122"/>
    <col min="5374" max="5374" customWidth="1" bestFit="1" width="3.0" style="1122"/>
    <col min="5375" max="5375" customWidth="1" bestFit="1" width="3.0" style="1122"/>
    <col min="5376" max="5376" customWidth="1" bestFit="1" width="3.0" style="1122"/>
    <col min="5377" max="5377" customWidth="1" bestFit="1" width="3.0" style="1122"/>
    <col min="5378" max="5378" customWidth="1" bestFit="1" width="3.0" style="1122"/>
    <col min="5379" max="5379" customWidth="1" bestFit="1" width="3.0" style="1122"/>
    <col min="5380" max="5380" customWidth="1" bestFit="1" width="3.0" style="1122"/>
    <col min="5381" max="5381" customWidth="1" bestFit="1" width="3.0" style="1122"/>
    <col min="5382" max="5382" customWidth="1" bestFit="1" width="3.0" style="1122"/>
    <col min="5383" max="5383" customWidth="1" bestFit="1" width="3.0" style="1122"/>
    <col min="5384" max="5384" customWidth="1" bestFit="1" width="3.0" style="1122"/>
    <col min="5385" max="5385" customWidth="1" bestFit="1" width="3.0" style="1122"/>
    <col min="5386" max="5386" customWidth="1" bestFit="1" width="3.0" style="1122"/>
    <col min="5387" max="5387" customWidth="1" bestFit="1" width="3.0" style="1122"/>
    <col min="5388" max="5388" customWidth="1" bestFit="1" width="3.0" style="1122"/>
    <col min="5389" max="5389" customWidth="1" bestFit="1" width="3.0" style="1122"/>
    <col min="5390" max="5390" customWidth="1" bestFit="1" width="3.0" style="1122"/>
    <col min="5391" max="5391" customWidth="1" bestFit="1" width="3.0" style="1122"/>
    <col min="5392" max="5392" customWidth="1" bestFit="1" width="3.0" style="1122"/>
    <col min="5393" max="5393" customWidth="1" bestFit="1" width="3.0" style="1122"/>
    <col min="5394" max="5394" customWidth="1" bestFit="1" width="3.0" style="1122"/>
    <col min="5395" max="5395" customWidth="1" bestFit="1" width="3.0" style="1122"/>
    <col min="5396" max="5396" customWidth="1" bestFit="1" width="3.0" style="1122"/>
    <col min="5397" max="5397" customWidth="1" bestFit="1" width="3.0" style="1122"/>
    <col min="5398" max="5398" customWidth="1" bestFit="1" width="3.0" style="1122"/>
    <col min="5399" max="5399" customWidth="1" bestFit="1" width="3.0" style="1122"/>
    <col min="5400" max="5400" customWidth="1" bestFit="1" width="3.0" style="1122"/>
    <col min="5401" max="5401" customWidth="1" bestFit="1" width="3.0" style="1122"/>
    <col min="5402" max="5402" customWidth="1" bestFit="1" width="3.0" style="1122"/>
    <col min="5403" max="5403" customWidth="1" bestFit="1" width="3.0" style="1122"/>
    <col min="5404" max="5404" customWidth="1" bestFit="1" width="3.0" style="1122"/>
    <col min="5405" max="5405" customWidth="1" bestFit="1" width="3.0" style="1122"/>
    <col min="5406" max="5406" customWidth="1" bestFit="1" width="3.0" style="1122"/>
    <col min="5407" max="5407" customWidth="1" bestFit="1" width="3.0" style="1122"/>
    <col min="5408" max="5408" customWidth="1" bestFit="1" width="3.0" style="1122"/>
    <col min="5409" max="5409" customWidth="1" bestFit="1" width="3.0" style="1122"/>
    <col min="5410" max="5410" customWidth="1" bestFit="1" width="3.0" style="1122"/>
    <col min="5411" max="5411" customWidth="1" bestFit="1" width="3.0" style="1122"/>
    <col min="5412" max="5412" customWidth="1" bestFit="1" width="3.0" style="1122"/>
    <col min="5413" max="5413" customWidth="1" bestFit="1" width="3.0" style="1122"/>
    <col min="5414" max="5414" customWidth="1" bestFit="1" width="3.0" style="1122"/>
    <col min="5415" max="5415" customWidth="1" bestFit="1" width="3.0" style="1122"/>
    <col min="5416" max="5416" customWidth="1" bestFit="1" width="3.0" style="1122"/>
    <col min="5417" max="5417" customWidth="1" bestFit="1" width="3.0" style="1122"/>
    <col min="5418" max="5418" customWidth="1" bestFit="1" width="3.0" style="1122"/>
    <col min="5419" max="5419" customWidth="1" bestFit="1" width="3.0" style="1122"/>
    <col min="5420" max="5420" customWidth="1" bestFit="1" width="3.0" style="1122"/>
    <col min="5421" max="5421" customWidth="1" bestFit="1" width="3.0" style="1122"/>
    <col min="5422" max="5422" customWidth="1" bestFit="1" width="3.0" style="1122"/>
    <col min="5423" max="5423" customWidth="1" bestFit="1" width="3.0" style="1122"/>
    <col min="5424" max="5424" customWidth="1" bestFit="1" width="3.0" style="1122"/>
    <col min="5425" max="5425" customWidth="1" bestFit="1" width="3.0" style="1122"/>
    <col min="5426" max="5426" customWidth="1" bestFit="1" width="3.0" style="1122"/>
    <col min="5427" max="5427" customWidth="1" bestFit="1" width="3.0" style="1122"/>
    <col min="5428" max="5428" customWidth="1" bestFit="1" width="3.0" style="1122"/>
    <col min="5429" max="5429" customWidth="1" bestFit="1" width="3.0" style="1122"/>
    <col min="5430" max="5430" customWidth="1" bestFit="1" width="3.0" style="1122"/>
    <col min="5431" max="5431" customWidth="1" bestFit="1" width="3.0" style="1122"/>
    <col min="5432" max="5432" customWidth="1" bestFit="1" width="3.0" style="1122"/>
    <col min="5433" max="5433" customWidth="1" bestFit="1" width="3.0" style="1122"/>
    <col min="5434" max="5434" customWidth="1" bestFit="1" width="3.0" style="1122"/>
    <col min="5435" max="5435" customWidth="1" bestFit="1" width="3.0" style="1122"/>
    <col min="5436" max="5436" customWidth="1" bestFit="1" width="3.0" style="1122"/>
    <col min="5437" max="5437" customWidth="1" bestFit="1" width="3.0" style="1122"/>
    <col min="5438" max="5438" customWidth="1" bestFit="1" width="3.0" style="1122"/>
    <col min="5439" max="5439" customWidth="1" bestFit="1" width="3.0" style="1122"/>
    <col min="5440" max="5440" customWidth="1" bestFit="1" width="3.0" style="1122"/>
    <col min="5441" max="5441" customWidth="1" bestFit="1" width="3.0" style="1122"/>
    <col min="5442" max="5442" customWidth="1" bestFit="1" width="3.0" style="1122"/>
    <col min="5443" max="5443" customWidth="1" bestFit="1" width="3.0" style="1122"/>
    <col min="5444" max="5444" customWidth="1" bestFit="1" width="3.0" style="1122"/>
    <col min="5445" max="5445" customWidth="1" bestFit="1" width="3.0" style="1122"/>
    <col min="5446" max="5446" customWidth="1" bestFit="1" width="3.0" style="1122"/>
    <col min="5447" max="5447" customWidth="1" bestFit="1" width="3.0" style="1122"/>
    <col min="5448" max="5448" customWidth="1" bestFit="1" width="3.0" style="1122"/>
    <col min="5449" max="5449" customWidth="1" bestFit="1" width="3.0" style="1122"/>
    <col min="5450" max="5450" customWidth="1" bestFit="1" width="3.0" style="1122"/>
    <col min="5451" max="5451" customWidth="1" bestFit="1" width="3.0" style="1122"/>
    <col min="5452" max="5452" customWidth="1" bestFit="1" width="3.0" style="1122"/>
    <col min="5453" max="5453" customWidth="1" bestFit="1" width="3.0" style="1122"/>
    <col min="5454" max="5454" customWidth="1" bestFit="1" width="3.0" style="1122"/>
    <col min="5455" max="5455" customWidth="1" bestFit="1" width="3.0" style="1122"/>
    <col min="5456" max="5456" customWidth="1" bestFit="1" width="3.0" style="1122"/>
    <col min="5457" max="5457" customWidth="1" bestFit="1" width="3.0" style="1122"/>
    <col min="5458" max="5458" customWidth="1" bestFit="1" width="3.0" style="1122"/>
    <col min="5459" max="5459" customWidth="1" bestFit="1" width="3.0" style="1122"/>
    <col min="5460" max="5460" customWidth="1" bestFit="1" width="3.0" style="1122"/>
    <col min="5461" max="5461" customWidth="1" bestFit="1" width="3.0" style="1122"/>
    <col min="5462" max="5462" customWidth="1" bestFit="1" width="3.0" style="1122"/>
    <col min="5463" max="5463" customWidth="1" bestFit="1" width="3.0" style="1122"/>
    <col min="5464" max="5464" customWidth="1" bestFit="1" width="3.0" style="1122"/>
    <col min="5465" max="5465" customWidth="1" bestFit="1" width="3.0" style="1122"/>
    <col min="5466" max="5466" customWidth="1" bestFit="1" width="3.0" style="1122"/>
    <col min="5467" max="5467" customWidth="1" bestFit="1" width="3.0" style="1122"/>
    <col min="5468" max="5468" customWidth="1" bestFit="1" width="3.0" style="1122"/>
    <col min="5469" max="5469" customWidth="1" bestFit="1" width="3.0" style="1122"/>
    <col min="5470" max="5470" customWidth="1" bestFit="1" width="3.0" style="1122"/>
    <col min="5471" max="5471" customWidth="1" bestFit="1" width="3.0" style="1122"/>
    <col min="5472" max="5472" customWidth="1" bestFit="1" width="3.0" style="1122"/>
    <col min="5473" max="5473" customWidth="1" bestFit="1" width="3.0" style="1122"/>
    <col min="5474" max="5474" customWidth="1" bestFit="1" width="3.0" style="1122"/>
    <col min="5475" max="5475" customWidth="1" bestFit="1" width="3.0" style="1122"/>
    <col min="5476" max="5476" customWidth="1" bestFit="1" width="3.0" style="1122"/>
    <col min="5477" max="5477" customWidth="1" bestFit="1" width="3.0" style="1122"/>
    <col min="5478" max="5478" customWidth="1" bestFit="1" width="3.0" style="1122"/>
    <col min="5479" max="5479" customWidth="1" bestFit="1" width="3.0" style="1122"/>
    <col min="5480" max="5480" customWidth="1" bestFit="1" width="3.0" style="1122"/>
    <col min="5481" max="5481" customWidth="1" bestFit="1" width="3.0" style="1122"/>
    <col min="5482" max="5482" customWidth="1" bestFit="1" width="3.0" style="1122"/>
    <col min="5483" max="5483" customWidth="1" bestFit="1" width="3.0" style="1122"/>
    <col min="5484" max="5484" customWidth="1" bestFit="1" width="3.0" style="1122"/>
    <col min="5485" max="5485" customWidth="1" bestFit="1" width="3.0" style="1122"/>
    <col min="5486" max="5486" customWidth="1" bestFit="1" width="3.0" style="1122"/>
    <col min="5487" max="5487" customWidth="1" bestFit="1" width="3.0" style="1122"/>
    <col min="5488" max="5488" customWidth="1" bestFit="1" width="3.0" style="1122"/>
    <col min="5489" max="5489" customWidth="1" bestFit="1" width="3.0" style="1122"/>
    <col min="5490" max="5490" customWidth="1" bestFit="1" width="3.0" style="1122"/>
    <col min="5491" max="5491" customWidth="1" bestFit="1" width="3.0" style="1122"/>
    <col min="5492" max="5492" customWidth="1" bestFit="1" width="3.0" style="1122"/>
    <col min="5493" max="5493" customWidth="1" bestFit="1" width="3.0" style="1122"/>
    <col min="5494" max="5494" customWidth="1" bestFit="1" width="3.0" style="1122"/>
    <col min="5495" max="5495" customWidth="1" bestFit="1" width="3.0" style="1122"/>
    <col min="5496" max="5496" customWidth="1" bestFit="1" width="3.0" style="1122"/>
    <col min="5497" max="5497" customWidth="1" bestFit="1" width="3.0" style="1122"/>
    <col min="5498" max="5498" customWidth="1" bestFit="1" width="3.0" style="1122"/>
    <col min="5499" max="5499" customWidth="1" bestFit="1" width="3.0" style="1122"/>
    <col min="5500" max="5500" customWidth="1" bestFit="1" width="3.0" style="1122"/>
    <col min="5501" max="5501" customWidth="1" bestFit="1" width="3.0" style="1122"/>
    <col min="5502" max="5502" customWidth="1" bestFit="1" width="3.0" style="1122"/>
    <col min="5503" max="5503" customWidth="1" bestFit="1" width="3.0" style="1122"/>
    <col min="5504" max="5504" customWidth="1" bestFit="1" width="3.0" style="1122"/>
    <col min="5505" max="5505" customWidth="1" bestFit="1" width="3.0" style="1122"/>
    <col min="5506" max="5506" customWidth="1" bestFit="1" width="3.0" style="1122"/>
    <col min="5507" max="5507" customWidth="1" bestFit="1" width="3.0" style="1122"/>
    <col min="5508" max="5508" customWidth="1" bestFit="1" width="3.0" style="1122"/>
    <col min="5509" max="5509" customWidth="1" bestFit="1" width="3.0" style="1122"/>
    <col min="5510" max="5510" customWidth="1" bestFit="1" width="3.0" style="1122"/>
    <col min="5511" max="5511" customWidth="1" bestFit="1" width="3.0" style="1122"/>
    <col min="5512" max="5512" customWidth="1" bestFit="1" width="3.0" style="1122"/>
    <col min="5513" max="5513" customWidth="1" bestFit="1" width="3.0" style="1122"/>
    <col min="5514" max="5514" customWidth="1" bestFit="1" width="3.0" style="1122"/>
    <col min="5515" max="5515" customWidth="1" bestFit="1" width="3.0" style="1122"/>
    <col min="5516" max="5516" customWidth="1" bestFit="1" width="3.0" style="1122"/>
    <col min="5517" max="5517" customWidth="1" bestFit="1" width="3.0" style="1122"/>
    <col min="5518" max="5518" customWidth="1" bestFit="1" width="3.0" style="1122"/>
    <col min="5519" max="5519" customWidth="1" bestFit="1" width="3.0" style="1122"/>
    <col min="5520" max="5520" customWidth="1" bestFit="1" width="3.0" style="1122"/>
    <col min="5521" max="5521" customWidth="1" bestFit="1" width="3.0" style="1122"/>
    <col min="5522" max="5522" customWidth="1" bestFit="1" width="3.0" style="1122"/>
    <col min="5523" max="5523" customWidth="1" bestFit="1" width="3.0" style="1122"/>
    <col min="5524" max="5524" customWidth="1" bestFit="1" width="3.0" style="1122"/>
    <col min="5525" max="5525" customWidth="1" bestFit="1" width="3.0" style="1122"/>
    <col min="5526" max="5526" customWidth="1" bestFit="1" width="3.0" style="1122"/>
    <col min="5527" max="5527" customWidth="1" bestFit="1" width="3.0" style="1122"/>
    <col min="5528" max="5528" customWidth="1" bestFit="1" width="3.0" style="1122"/>
    <col min="5529" max="5529" customWidth="1" bestFit="1" width="3.0" style="1122"/>
    <col min="5530" max="5530" customWidth="1" bestFit="1" width="3.0" style="1122"/>
    <col min="5531" max="5531" customWidth="1" bestFit="1" width="3.0" style="1122"/>
    <col min="5532" max="5532" customWidth="1" bestFit="1" width="3.0" style="1122"/>
    <col min="5533" max="5533" customWidth="1" bestFit="1" width="3.0" style="1122"/>
    <col min="5534" max="5534" customWidth="1" bestFit="1" width="3.0" style="1122"/>
    <col min="5535" max="5535" customWidth="1" bestFit="1" width="3.0" style="1122"/>
    <col min="5536" max="5536" customWidth="1" bestFit="1" width="3.0" style="1122"/>
    <col min="5537" max="5537" customWidth="1" bestFit="1" width="3.0" style="1122"/>
    <col min="5538" max="5538" customWidth="1" bestFit="1" width="3.0" style="1122"/>
    <col min="5539" max="5539" customWidth="1" bestFit="1" width="3.0" style="1122"/>
    <col min="5540" max="5540" customWidth="1" bestFit="1" width="3.0" style="1122"/>
    <col min="5541" max="5541" customWidth="1" bestFit="1" width="3.0" style="1122"/>
    <col min="5542" max="5542" customWidth="1" bestFit="1" width="3.0" style="1122"/>
    <col min="5543" max="5543" customWidth="1" bestFit="1" width="3.0" style="1122"/>
    <col min="5544" max="5544" customWidth="1" bestFit="1" width="3.0" style="1122"/>
    <col min="5545" max="5545" customWidth="1" bestFit="1" width="3.0" style="1122"/>
    <col min="5546" max="5546" customWidth="1" bestFit="1" width="3.0" style="1122"/>
    <col min="5547" max="5547" customWidth="1" bestFit="1" width="3.0" style="1122"/>
    <col min="5548" max="5548" customWidth="1" bestFit="1" width="3.0" style="1122"/>
    <col min="5549" max="5549" customWidth="1" bestFit="1" width="3.0" style="1122"/>
    <col min="5550" max="5550" customWidth="1" bestFit="1" width="3.0" style="1122"/>
    <col min="5551" max="5551" customWidth="1" bestFit="1" width="3.0" style="1122"/>
    <col min="5552" max="5552" customWidth="1" bestFit="1" width="3.0" style="1122"/>
    <col min="5553" max="5553" customWidth="1" bestFit="1" width="3.0" style="1122"/>
    <col min="5554" max="5554" customWidth="1" bestFit="1" width="3.0" style="1122"/>
    <col min="5555" max="5555" customWidth="1" bestFit="1" width="3.0" style="1122"/>
    <col min="5556" max="5556" customWidth="1" bestFit="1" width="3.0" style="1122"/>
    <col min="5557" max="5557" customWidth="1" bestFit="1" width="3.0" style="1122"/>
    <col min="5558" max="5558" customWidth="1" bestFit="1" width="3.0" style="1122"/>
    <col min="5559" max="5559" customWidth="1" bestFit="1" width="3.0" style="1122"/>
    <col min="5560" max="5560" customWidth="1" bestFit="1" width="3.0" style="1122"/>
    <col min="5561" max="5561" customWidth="1" bestFit="1" width="3.0" style="1122"/>
    <col min="5562" max="5562" customWidth="1" bestFit="1" width="3.0" style="1122"/>
    <col min="5563" max="5563" customWidth="1" bestFit="1" width="3.0" style="1122"/>
    <col min="5564" max="5564" customWidth="1" bestFit="1" width="3.0" style="1122"/>
    <col min="5565" max="5565" customWidth="1" bestFit="1" width="3.0" style="1122"/>
    <col min="5566" max="5566" customWidth="1" bestFit="1" width="3.0" style="1122"/>
    <col min="5567" max="5567" customWidth="1" bestFit="1" width="3.0" style="1122"/>
    <col min="5568" max="5568" customWidth="1" bestFit="1" width="3.0" style="1122"/>
    <col min="5569" max="5569" customWidth="1" bestFit="1" width="3.0" style="1122"/>
    <col min="5570" max="5570" customWidth="1" bestFit="1" width="3.0" style="1122"/>
    <col min="5571" max="5571" customWidth="1" bestFit="1" width="3.0" style="1122"/>
    <col min="5572" max="5572" customWidth="1" bestFit="1" width="3.0" style="1122"/>
    <col min="5573" max="5573" customWidth="1" bestFit="1" width="3.0" style="1122"/>
    <col min="5574" max="5574" customWidth="1" bestFit="1" width="3.0" style="1122"/>
    <col min="5575" max="5575" customWidth="1" bestFit="1" width="3.0" style="1122"/>
    <col min="5576" max="5576" customWidth="1" bestFit="1" width="3.0" style="1122"/>
    <col min="5577" max="5577" customWidth="1" bestFit="1" width="3.0" style="1122"/>
    <col min="5578" max="5578" customWidth="1" bestFit="1" width="3.0" style="1122"/>
    <col min="5579" max="5579" customWidth="1" bestFit="1" width="3.0" style="1122"/>
    <col min="5580" max="5580" customWidth="1" bestFit="1" width="3.0" style="1122"/>
    <col min="5581" max="5581" customWidth="1" bestFit="1" width="3.0" style="1122"/>
    <col min="5582" max="5582" customWidth="1" bestFit="1" width="3.0" style="1122"/>
    <col min="5583" max="5583" customWidth="1" bestFit="1" width="3.0" style="1122"/>
    <col min="5584" max="5584" customWidth="1" bestFit="1" width="3.0" style="1122"/>
    <col min="5585" max="5585" customWidth="1" bestFit="1" width="3.0" style="1122"/>
    <col min="5586" max="5586" customWidth="1" bestFit="1" width="3.0" style="1122"/>
    <col min="5587" max="5587" customWidth="1" bestFit="1" width="3.0" style="1122"/>
    <col min="5588" max="5588" customWidth="1" bestFit="1" width="3.0" style="1122"/>
    <col min="5589" max="5589" customWidth="1" bestFit="1" width="3.0" style="1122"/>
    <col min="5590" max="5590" customWidth="1" bestFit="1" width="3.0" style="1122"/>
    <col min="5591" max="5591" customWidth="1" bestFit="1" width="3.0" style="1122"/>
    <col min="5592" max="5592" customWidth="1" bestFit="1" width="3.0" style="1122"/>
    <col min="5593" max="5593" customWidth="1" bestFit="1" width="3.0" style="1122"/>
    <col min="5594" max="5594" customWidth="1" bestFit="1" width="3.0" style="1122"/>
    <col min="5595" max="5595" customWidth="1" bestFit="1" width="3.0" style="1122"/>
    <col min="5596" max="5596" customWidth="1" bestFit="1" width="3.0" style="1122"/>
    <col min="5597" max="5597" customWidth="1" bestFit="1" width="3.0" style="1122"/>
    <col min="5598" max="5598" customWidth="1" bestFit="1" width="3.0" style="1122"/>
    <col min="5599" max="5599" customWidth="1" bestFit="1" width="3.0" style="1122"/>
    <col min="5600" max="5600" customWidth="1" bestFit="1" width="3.0" style="1122"/>
    <col min="5601" max="5601" customWidth="1" bestFit="1" width="3.0" style="1122"/>
    <col min="5602" max="5602" customWidth="1" bestFit="1" width="3.0" style="1122"/>
    <col min="5603" max="5603" customWidth="1" bestFit="1" width="3.0" style="1122"/>
    <col min="5604" max="5604" customWidth="1" bestFit="1" width="3.0" style="1122"/>
    <col min="5605" max="5605" customWidth="1" bestFit="1" width="3.0" style="1122"/>
    <col min="5606" max="5606" customWidth="1" bestFit="1" width="3.0" style="1122"/>
    <col min="5607" max="5607" customWidth="1" bestFit="1" width="3.0" style="1122"/>
    <col min="5608" max="5608" customWidth="1" bestFit="1" width="3.0" style="1122"/>
    <col min="5609" max="5609" customWidth="1" bestFit="1" width="3.0" style="1122"/>
    <col min="5610" max="5610" customWidth="1" bestFit="1" width="3.0" style="1122"/>
    <col min="5611" max="5611" customWidth="1" bestFit="1" width="3.0" style="1122"/>
    <col min="5612" max="5612" customWidth="1" bestFit="1" width="3.0" style="1122"/>
    <col min="5613" max="5613" customWidth="1" bestFit="1" width="3.0" style="1122"/>
    <col min="5614" max="5614" customWidth="1" bestFit="1" width="3.0" style="1122"/>
    <col min="5615" max="5615" customWidth="1" bestFit="1" width="3.0" style="1122"/>
    <col min="5616" max="5616" customWidth="1" bestFit="1" width="3.0" style="1122"/>
    <col min="5617" max="5617" customWidth="1" bestFit="1" width="3.0" style="1122"/>
    <col min="5618" max="5618" customWidth="1" bestFit="1" width="3.0" style="1122"/>
    <col min="5619" max="5619" customWidth="1" bestFit="1" width="3.0" style="1122"/>
    <col min="5620" max="5620" customWidth="1" bestFit="1" width="3.0" style="1122"/>
    <col min="5621" max="5621" customWidth="1" bestFit="1" width="3.0" style="1122"/>
    <col min="5622" max="5622" customWidth="1" bestFit="1" width="3.0" style="1122"/>
    <col min="5623" max="5623" customWidth="1" bestFit="1" width="3.0" style="1122"/>
    <col min="5624" max="5624" customWidth="1" bestFit="1" width="3.0" style="1122"/>
    <col min="5625" max="5625" customWidth="1" bestFit="1" width="3.0" style="1122"/>
    <col min="5626" max="5626" customWidth="1" bestFit="1" width="3.0" style="1122"/>
    <col min="5627" max="5627" customWidth="1" bestFit="1" width="3.0" style="1122"/>
    <col min="5628" max="5628" customWidth="1" bestFit="1" width="3.0" style="1122"/>
    <col min="5629" max="5629" customWidth="1" bestFit="1" width="3.0" style="1122"/>
    <col min="5630" max="5630" customWidth="1" bestFit="1" width="3.0" style="1122"/>
    <col min="5631" max="5631" customWidth="1" bestFit="1" width="3.0" style="1122"/>
    <col min="5632" max="5632" customWidth="1" bestFit="1" width="3.0" style="1122"/>
    <col min="5633" max="5633" customWidth="1" bestFit="1" width="3.0" style="1122"/>
    <col min="5634" max="5634" customWidth="1" bestFit="1" width="3.0" style="1122"/>
    <col min="5635" max="5635" customWidth="1" bestFit="1" width="3.0" style="1122"/>
    <col min="5636" max="5636" customWidth="1" bestFit="1" width="3.0" style="1122"/>
    <col min="5637" max="5637" customWidth="1" bestFit="1" width="3.0" style="1122"/>
    <col min="5638" max="5638" customWidth="1" bestFit="1" width="3.0" style="1122"/>
    <col min="5639" max="5639" customWidth="1" bestFit="1" width="3.0" style="1122"/>
    <col min="5640" max="5640" customWidth="1" bestFit="1" width="3.0" style="1122"/>
    <col min="5641" max="5641" customWidth="1" bestFit="1" width="3.0" style="1122"/>
    <col min="5642" max="5642" customWidth="1" bestFit="1" width="3.0" style="1122"/>
    <col min="5643" max="5643" customWidth="1" bestFit="1" width="3.0" style="1122"/>
    <col min="5644" max="5644" customWidth="1" bestFit="1" width="3.0" style="1122"/>
    <col min="5645" max="5645" customWidth="1" bestFit="1" width="3.0" style="1122"/>
    <col min="5646" max="5646" customWidth="1" bestFit="1" width="3.0" style="1122"/>
    <col min="5647" max="5647" customWidth="1" bestFit="1" width="3.0" style="1122"/>
    <col min="5648" max="5648" customWidth="1" bestFit="1" width="3.0" style="1122"/>
    <col min="5649" max="5649" customWidth="1" bestFit="1" width="3.0" style="1122"/>
    <col min="5650" max="5650" customWidth="1" bestFit="1" width="3.0" style="1122"/>
    <col min="5651" max="5651" customWidth="1" bestFit="1" width="3.0" style="1122"/>
    <col min="5652" max="5652" customWidth="1" bestFit="1" width="3.0" style="1122"/>
    <col min="5653" max="5653" customWidth="1" bestFit="1" width="3.0" style="1122"/>
    <col min="5654" max="5654" customWidth="1" bestFit="1" width="3.0" style="1122"/>
    <col min="5655" max="5655" customWidth="1" bestFit="1" width="3.0" style="1122"/>
    <col min="5656" max="5656" customWidth="1" bestFit="1" width="3.0" style="1122"/>
    <col min="5657" max="5657" customWidth="1" bestFit="1" width="3.0" style="1122"/>
    <col min="5658" max="5658" customWidth="1" bestFit="1" width="3.0" style="1122"/>
    <col min="5659" max="5659" customWidth="1" bestFit="1" width="3.0" style="1122"/>
    <col min="5660" max="5660" customWidth="1" bestFit="1" width="3.0" style="1122"/>
    <col min="5661" max="5661" customWidth="1" bestFit="1" width="3.0" style="1122"/>
    <col min="5662" max="5662" customWidth="1" bestFit="1" width="3.0" style="1122"/>
    <col min="5663" max="5663" customWidth="1" bestFit="1" width="3.0" style="1122"/>
    <col min="5664" max="5664" customWidth="1" bestFit="1" width="3.0" style="1122"/>
    <col min="5665" max="5665" customWidth="1" bestFit="1" width="3.0" style="1122"/>
    <col min="5666" max="5666" customWidth="1" bestFit="1" width="3.0" style="1122"/>
    <col min="5667" max="5667" customWidth="1" bestFit="1" width="3.0" style="1122"/>
    <col min="5668" max="5668" customWidth="1" bestFit="1" width="3.0" style="1122"/>
    <col min="5669" max="5669" customWidth="1" bestFit="1" width="3.0" style="1122"/>
    <col min="5670" max="5670" customWidth="1" bestFit="1" width="3.0" style="1122"/>
    <col min="5671" max="5671" customWidth="1" bestFit="1" width="3.0" style="1122"/>
    <col min="5672" max="5672" customWidth="1" bestFit="1" width="3.0" style="1122"/>
    <col min="5673" max="5673" customWidth="1" bestFit="1" width="3.0" style="1122"/>
    <col min="5674" max="5674" customWidth="1" bestFit="1" width="3.0" style="1122"/>
    <col min="5675" max="5675" customWidth="1" bestFit="1" width="3.0" style="1122"/>
    <col min="5676" max="5676" customWidth="1" bestFit="1" width="3.0" style="1122"/>
    <col min="5677" max="5677" customWidth="1" bestFit="1" width="3.0" style="1122"/>
    <col min="5678" max="5678" customWidth="1" bestFit="1" width="3.0" style="1122"/>
    <col min="5679" max="5679" customWidth="1" bestFit="1" width="3.0" style="1122"/>
    <col min="5680" max="5680" customWidth="1" bestFit="1" width="3.0" style="1122"/>
    <col min="5681" max="5681" customWidth="1" bestFit="1" width="3.0" style="1122"/>
    <col min="5682" max="5682" customWidth="1" bestFit="1" width="3.0" style="1122"/>
    <col min="5683" max="5683" customWidth="1" bestFit="1" width="3.0" style="1122"/>
    <col min="5684" max="5684" customWidth="1" bestFit="1" width="3.0" style="1122"/>
    <col min="5685" max="5685" customWidth="1" bestFit="1" width="3.0" style="1122"/>
    <col min="5686" max="5686" customWidth="1" bestFit="1" width="3.0" style="1122"/>
    <col min="5687" max="5687" customWidth="1" bestFit="1" width="3.0" style="1122"/>
    <col min="5688" max="5688" customWidth="1" bestFit="1" width="3.0" style="1122"/>
    <col min="5689" max="5689" customWidth="1" bestFit="1" width="3.0" style="1122"/>
    <col min="5690" max="5690" customWidth="1" bestFit="1" width="3.0" style="1122"/>
    <col min="5691" max="5691" customWidth="1" bestFit="1" width="3.0" style="1122"/>
    <col min="5692" max="5692" customWidth="1" bestFit="1" width="3.0" style="1122"/>
    <col min="5693" max="5693" customWidth="1" bestFit="1" width="3.0" style="1122"/>
    <col min="5694" max="5694" customWidth="1" bestFit="1" width="3.0" style="1122"/>
    <col min="5695" max="5695" customWidth="1" bestFit="1" width="3.0" style="1122"/>
    <col min="5696" max="5696" customWidth="1" bestFit="1" width="3.0" style="1122"/>
    <col min="5697" max="5697" customWidth="1" bestFit="1" width="3.0" style="1122"/>
    <col min="5698" max="5698" customWidth="1" bestFit="1" width="3.0" style="1122"/>
    <col min="5699" max="5699" customWidth="1" bestFit="1" width="3.0" style="1122"/>
    <col min="5700" max="5700" customWidth="1" bestFit="1" width="3.0" style="1122"/>
    <col min="5701" max="5701" customWidth="1" bestFit="1" width="3.0" style="1122"/>
    <col min="5702" max="5702" customWidth="1" bestFit="1" width="3.0" style="1122"/>
    <col min="5703" max="5703" customWidth="1" bestFit="1" width="3.0" style="1122"/>
    <col min="5704" max="5704" customWidth="1" bestFit="1" width="3.0" style="1122"/>
    <col min="5705" max="5705" customWidth="1" bestFit="1" width="3.0" style="1122"/>
    <col min="5706" max="5706" customWidth="1" bestFit="1" width="3.0" style="1122"/>
    <col min="5707" max="5707" customWidth="1" bestFit="1" width="3.0" style="1122"/>
    <col min="5708" max="5708" customWidth="1" bestFit="1" width="3.0" style="1122"/>
    <col min="5709" max="5709" customWidth="1" bestFit="1" width="3.0" style="1122"/>
    <col min="5710" max="5710" customWidth="1" bestFit="1" width="3.0" style="1122"/>
    <col min="5711" max="5711" customWidth="1" bestFit="1" width="3.0" style="1122"/>
    <col min="5712" max="5712" customWidth="1" bestFit="1" width="3.0" style="1122"/>
    <col min="5713" max="5713" customWidth="1" bestFit="1" width="3.0" style="1122"/>
    <col min="5714" max="5714" customWidth="1" bestFit="1" width="3.0" style="1122"/>
    <col min="5715" max="5715" customWidth="1" bestFit="1" width="3.0" style="1122"/>
    <col min="5716" max="5716" customWidth="1" bestFit="1" width="3.0" style="1122"/>
    <col min="5717" max="5717" customWidth="1" bestFit="1" width="3.0" style="1122"/>
    <col min="5718" max="5718" customWidth="1" bestFit="1" width="3.0" style="1122"/>
    <col min="5719" max="5719" customWidth="1" bestFit="1" width="3.0" style="1122"/>
    <col min="5720" max="5720" customWidth="1" bestFit="1" width="3.0" style="1122"/>
    <col min="5721" max="5721" customWidth="1" bestFit="1" width="3.0" style="1122"/>
    <col min="5722" max="5722" customWidth="1" bestFit="1" width="3.0" style="1122"/>
    <col min="5723" max="5723" customWidth="1" bestFit="1" width="3.0" style="1122"/>
    <col min="5724" max="5724" customWidth="1" bestFit="1" width="3.0" style="1122"/>
    <col min="5725" max="5725" customWidth="1" bestFit="1" width="3.0" style="1122"/>
    <col min="5726" max="5726" customWidth="1" bestFit="1" width="3.0" style="1122"/>
    <col min="5727" max="5727" customWidth="1" bestFit="1" width="3.0" style="1122"/>
    <col min="5728" max="5728" customWidth="1" bestFit="1" width="3.0" style="1122"/>
    <col min="5729" max="5729" customWidth="1" bestFit="1" width="3.0" style="1122"/>
    <col min="5730" max="5730" customWidth="1" bestFit="1" width="3.0" style="1122"/>
    <col min="5731" max="5731" customWidth="1" bestFit="1" width="3.0" style="1122"/>
    <col min="5732" max="5732" customWidth="1" bestFit="1" width="3.0" style="1122"/>
    <col min="5733" max="5733" customWidth="1" bestFit="1" width="3.0" style="1122"/>
    <col min="5734" max="5734" customWidth="1" bestFit="1" width="3.0" style="1122"/>
    <col min="5735" max="5735" customWidth="1" bestFit="1" width="3.0" style="1122"/>
    <col min="5736" max="5736" customWidth="1" bestFit="1" width="3.0" style="1122"/>
    <col min="5737" max="5737" customWidth="1" bestFit="1" width="3.0" style="1122"/>
    <col min="5738" max="5738" customWidth="1" bestFit="1" width="3.0" style="1122"/>
    <col min="5739" max="5739" customWidth="1" bestFit="1" width="3.0" style="1122"/>
    <col min="5740" max="5740" customWidth="1" bestFit="1" width="3.0" style="1122"/>
    <col min="5741" max="5741" customWidth="1" bestFit="1" width="3.0" style="1122"/>
    <col min="5742" max="5742" customWidth="1" bestFit="1" width="3.0" style="1122"/>
    <col min="5743" max="5743" customWidth="1" bestFit="1" width="3.0" style="1122"/>
    <col min="5744" max="5744" customWidth="1" bestFit="1" width="3.0" style="1122"/>
    <col min="5745" max="5745" customWidth="1" bestFit="1" width="3.0" style="1122"/>
    <col min="5746" max="5746" customWidth="1" bestFit="1" width="3.0" style="1122"/>
    <col min="5747" max="5747" customWidth="1" bestFit="1" width="3.0" style="1122"/>
    <col min="5748" max="5748" customWidth="1" bestFit="1" width="3.0" style="1122"/>
    <col min="5749" max="5749" customWidth="1" bestFit="1" width="3.0" style="1122"/>
    <col min="5750" max="5750" customWidth="1" bestFit="1" width="3.0" style="1122"/>
    <col min="5751" max="5751" customWidth="1" bestFit="1" width="3.0" style="1122"/>
    <col min="5752" max="5752" customWidth="1" bestFit="1" width="3.0" style="1122"/>
    <col min="5753" max="5753" customWidth="1" bestFit="1" width="3.0" style="1122"/>
    <col min="5754" max="5754" customWidth="1" bestFit="1" width="3.0" style="1122"/>
    <col min="5755" max="5755" customWidth="1" bestFit="1" width="3.0" style="1122"/>
    <col min="5756" max="5756" customWidth="1" bestFit="1" width="3.0" style="1122"/>
    <col min="5757" max="5757" customWidth="1" bestFit="1" width="3.0" style="1122"/>
    <col min="5758" max="5758" customWidth="1" bestFit="1" width="3.0" style="1122"/>
    <col min="5759" max="5759" customWidth="1" bestFit="1" width="3.0" style="1122"/>
    <col min="5760" max="5760" customWidth="1" bestFit="1" width="3.0" style="1122"/>
    <col min="5761" max="5761" customWidth="1" bestFit="1" width="3.0" style="1122"/>
    <col min="5762" max="5762" customWidth="1" bestFit="1" width="3.0" style="1122"/>
    <col min="5763" max="5763" customWidth="1" bestFit="1" width="3.0" style="1122"/>
    <col min="5764" max="5764" customWidth="1" bestFit="1" width="3.0" style="1122"/>
    <col min="5765" max="5765" customWidth="1" bestFit="1" width="3.0" style="1122"/>
    <col min="5766" max="5766" customWidth="1" bestFit="1" width="3.0" style="1122"/>
    <col min="5767" max="5767" customWidth="1" bestFit="1" width="3.0" style="1122"/>
    <col min="5768" max="5768" customWidth="1" bestFit="1" width="3.0" style="1122"/>
    <col min="5769" max="5769" customWidth="1" bestFit="1" width="3.0" style="1122"/>
    <col min="5770" max="5770" customWidth="1" bestFit="1" width="3.0" style="1122"/>
    <col min="5771" max="5771" customWidth="1" bestFit="1" width="3.0" style="1122"/>
    <col min="5772" max="5772" customWidth="1" bestFit="1" width="3.0" style="1122"/>
    <col min="5773" max="5773" customWidth="1" bestFit="1" width="3.0" style="1122"/>
    <col min="5774" max="5774" customWidth="1" bestFit="1" width="3.0" style="1122"/>
    <col min="5775" max="5775" customWidth="1" bestFit="1" width="3.0" style="1122"/>
    <col min="5776" max="5776" customWidth="1" bestFit="1" width="3.0" style="1122"/>
    <col min="5777" max="5777" customWidth="1" bestFit="1" width="3.0" style="1122"/>
    <col min="5778" max="5778" customWidth="1" bestFit="1" width="3.0" style="1122"/>
    <col min="5779" max="5779" customWidth="1" bestFit="1" width="3.0" style="1122"/>
    <col min="5780" max="5780" customWidth="1" bestFit="1" width="3.0" style="1122"/>
    <col min="5781" max="5781" customWidth="1" bestFit="1" width="3.0" style="1122"/>
    <col min="5782" max="5782" customWidth="1" bestFit="1" width="3.0" style="1122"/>
    <col min="5783" max="5783" customWidth="1" bestFit="1" width="3.0" style="1122"/>
    <col min="5784" max="5784" customWidth="1" bestFit="1" width="3.0" style="1122"/>
    <col min="5785" max="5785" customWidth="1" bestFit="1" width="3.0" style="1122"/>
    <col min="5786" max="5786" customWidth="1" bestFit="1" width="3.0" style="1122"/>
    <col min="5787" max="5787" customWidth="1" bestFit="1" width="3.0" style="1122"/>
    <col min="5788" max="5788" customWidth="1" bestFit="1" width="3.0" style="1122"/>
    <col min="5789" max="5789" customWidth="1" bestFit="1" width="3.0" style="1122"/>
    <col min="5790" max="5790" customWidth="1" bestFit="1" width="3.0" style="1122"/>
    <col min="5791" max="5791" customWidth="1" bestFit="1" width="3.0" style="1122"/>
    <col min="5792" max="5792" customWidth="1" bestFit="1" width="3.0" style="1122"/>
    <col min="5793" max="5793" customWidth="1" bestFit="1" width="3.0" style="1122"/>
    <col min="5794" max="5794" customWidth="1" bestFit="1" width="3.0" style="1122"/>
    <col min="5795" max="5795" customWidth="1" bestFit="1" width="3.0" style="1122"/>
    <col min="5796" max="5796" customWidth="1" bestFit="1" width="3.0" style="1122"/>
    <col min="5797" max="5797" customWidth="1" bestFit="1" width="3.0" style="1122"/>
    <col min="5798" max="5798" customWidth="1" bestFit="1" width="3.0" style="1122"/>
    <col min="5799" max="5799" customWidth="1" bestFit="1" width="3.0" style="1122"/>
    <col min="5800" max="5800" customWidth="1" bestFit="1" width="3.0" style="1122"/>
    <col min="5801" max="5801" customWidth="1" bestFit="1" width="3.0" style="1122"/>
    <col min="5802" max="5802" customWidth="1" bestFit="1" width="3.0" style="1122"/>
    <col min="5803" max="5803" customWidth="1" bestFit="1" width="3.0" style="1122"/>
    <col min="5804" max="5804" customWidth="1" bestFit="1" width="3.0" style="1122"/>
    <col min="5805" max="5805" customWidth="1" bestFit="1" width="3.0" style="1122"/>
    <col min="5806" max="5806" customWidth="1" bestFit="1" width="3.0" style="1122"/>
    <col min="5807" max="5807" customWidth="1" bestFit="1" width="3.0" style="1122"/>
    <col min="5808" max="5808" customWidth="1" bestFit="1" width="3.0" style="1122"/>
    <col min="5809" max="5809" customWidth="1" bestFit="1" width="3.0" style="1122"/>
    <col min="5810" max="5810" customWidth="1" bestFit="1" width="3.0" style="1122"/>
    <col min="5811" max="5811" customWidth="1" bestFit="1" width="3.0" style="1122"/>
    <col min="5812" max="5812" customWidth="1" bestFit="1" width="3.0" style="1122"/>
    <col min="5813" max="5813" customWidth="1" bestFit="1" width="3.0" style="1122"/>
    <col min="5814" max="5814" customWidth="1" bestFit="1" width="3.0" style="1122"/>
    <col min="5815" max="5815" customWidth="1" bestFit="1" width="3.0" style="1122"/>
    <col min="5816" max="5816" customWidth="1" bestFit="1" width="3.0" style="1122"/>
    <col min="5817" max="5817" customWidth="1" bestFit="1" width="3.0" style="1122"/>
    <col min="5818" max="5818" customWidth="1" bestFit="1" width="3.0" style="1122"/>
    <col min="5819" max="5819" customWidth="1" bestFit="1" width="3.0" style="1122"/>
    <col min="5820" max="5820" customWidth="1" bestFit="1" width="3.0" style="1122"/>
    <col min="5821" max="5821" customWidth="1" bestFit="1" width="3.0" style="1122"/>
    <col min="5822" max="5822" customWidth="1" bestFit="1" width="3.0" style="1122"/>
    <col min="5823" max="5823" customWidth="1" bestFit="1" width="3.0" style="1122"/>
    <col min="5824" max="5824" customWidth="1" bestFit="1" width="3.0" style="1122"/>
    <col min="5825" max="5825" customWidth="1" bestFit="1" width="3.0" style="1122"/>
    <col min="5826" max="5826" customWidth="1" bestFit="1" width="3.0" style="1122"/>
    <col min="5827" max="5827" customWidth="1" bestFit="1" width="3.0" style="1122"/>
    <col min="5828" max="5828" customWidth="1" bestFit="1" width="3.0" style="1122"/>
    <col min="5829" max="5829" customWidth="1" bestFit="1" width="3.0" style="1122"/>
    <col min="5830" max="5830" customWidth="1" bestFit="1" width="3.0" style="1122"/>
    <col min="5831" max="5831" customWidth="1" bestFit="1" width="3.0" style="1122"/>
    <col min="5832" max="5832" customWidth="1" bestFit="1" width="3.0" style="1122"/>
    <col min="5833" max="5833" customWidth="1" bestFit="1" width="3.0" style="1122"/>
    <col min="5834" max="5834" customWidth="1" bestFit="1" width="3.0" style="1122"/>
    <col min="5835" max="5835" customWidth="1" bestFit="1" width="3.0" style="1122"/>
    <col min="5836" max="5836" customWidth="1" bestFit="1" width="3.0" style="1122"/>
    <col min="5837" max="5837" customWidth="1" bestFit="1" width="3.0" style="1122"/>
    <col min="5838" max="5838" customWidth="1" bestFit="1" width="3.0" style="1122"/>
    <col min="5839" max="5839" customWidth="1" bestFit="1" width="3.0" style="1122"/>
    <col min="5840" max="5840" customWidth="1" bestFit="1" width="3.0" style="1122"/>
    <col min="5841" max="5841" customWidth="1" bestFit="1" width="3.0" style="1122"/>
    <col min="5842" max="5842" customWidth="1" bestFit="1" width="3.0" style="1122"/>
    <col min="5843" max="5843" customWidth="1" bestFit="1" width="3.0" style="1122"/>
    <col min="5844" max="5844" customWidth="1" bestFit="1" width="3.0" style="1122"/>
    <col min="5845" max="5845" customWidth="1" bestFit="1" width="3.0" style="1122"/>
    <col min="5846" max="5846" customWidth="1" bestFit="1" width="3.0" style="1122"/>
    <col min="5847" max="5847" customWidth="1" bestFit="1" width="3.0" style="1122"/>
    <col min="5848" max="5848" customWidth="1" bestFit="1" width="3.0" style="1122"/>
    <col min="5849" max="5849" customWidth="1" bestFit="1" width="3.0" style="1122"/>
    <col min="5850" max="5850" customWidth="1" bestFit="1" width="3.0" style="1122"/>
    <col min="5851" max="5851" customWidth="1" bestFit="1" width="3.0" style="1122"/>
    <col min="5852" max="5852" customWidth="1" bestFit="1" width="3.0" style="1122"/>
    <col min="5853" max="5853" customWidth="1" bestFit="1" width="3.0" style="1122"/>
    <col min="5854" max="5854" customWidth="1" bestFit="1" width="3.0" style="1122"/>
    <col min="5855" max="5855" customWidth="1" bestFit="1" width="3.0" style="1122"/>
    <col min="5856" max="5856" customWidth="1" bestFit="1" width="3.0" style="1122"/>
    <col min="5857" max="5857" customWidth="1" bestFit="1" width="3.0" style="1122"/>
    <col min="5858" max="5858" customWidth="1" bestFit="1" width="3.0" style="1122"/>
    <col min="5859" max="5859" customWidth="1" bestFit="1" width="3.0" style="1122"/>
    <col min="5860" max="5860" customWidth="1" bestFit="1" width="3.0" style="1122"/>
    <col min="5861" max="5861" customWidth="1" bestFit="1" width="3.0" style="1122"/>
    <col min="5862" max="5862" customWidth="1" bestFit="1" width="3.0" style="1122"/>
    <col min="5863" max="5863" customWidth="1" bestFit="1" width="3.0" style="1122"/>
    <col min="5864" max="5864" customWidth="1" bestFit="1" width="3.0" style="1122"/>
    <col min="5865" max="5865" customWidth="1" bestFit="1" width="3.0" style="1122"/>
    <col min="5866" max="5866" customWidth="1" bestFit="1" width="3.0" style="1122"/>
    <col min="5867" max="5867" customWidth="1" bestFit="1" width="3.0" style="1122"/>
    <col min="5868" max="5868" customWidth="1" bestFit="1" width="3.0" style="1122"/>
    <col min="5869" max="5869" customWidth="1" bestFit="1" width="3.0" style="1122"/>
    <col min="5870" max="5870" customWidth="1" bestFit="1" width="3.0" style="1122"/>
    <col min="5871" max="5871" customWidth="1" bestFit="1" width="3.0" style="1122"/>
    <col min="5872" max="5872" customWidth="1" bestFit="1" width="3.0" style="1122"/>
    <col min="5873" max="5873" customWidth="1" bestFit="1" width="3.0" style="1122"/>
    <col min="5874" max="5874" customWidth="1" bestFit="1" width="3.0" style="1122"/>
    <col min="5875" max="5875" customWidth="1" bestFit="1" width="3.0" style="1122"/>
    <col min="5876" max="5876" customWidth="1" bestFit="1" width="3.0" style="1122"/>
    <col min="5877" max="5877" customWidth="1" bestFit="1" width="3.0" style="1122"/>
    <col min="5878" max="5878" customWidth="1" bestFit="1" width="3.0" style="1122"/>
    <col min="5879" max="5879" customWidth="1" bestFit="1" width="3.0" style="1122"/>
    <col min="5880" max="5880" customWidth="1" bestFit="1" width="3.0" style="1122"/>
    <col min="5881" max="5881" customWidth="1" bestFit="1" width="3.0" style="1122"/>
    <col min="5882" max="5882" customWidth="1" bestFit="1" width="3.0" style="1122"/>
    <col min="5883" max="5883" customWidth="1" bestFit="1" width="3.0" style="1122"/>
    <col min="5884" max="5884" customWidth="1" bestFit="1" width="3.0" style="1122"/>
    <col min="5885" max="5885" customWidth="1" bestFit="1" width="3.0" style="1122"/>
    <col min="5886" max="5886" customWidth="1" bestFit="1" width="3.0" style="1122"/>
    <col min="5887" max="5887" customWidth="1" bestFit="1" width="3.0" style="1122"/>
    <col min="5888" max="5888" customWidth="1" bestFit="1" width="3.0" style="1122"/>
    <col min="5889" max="5889" customWidth="1" bestFit="1" width="3.0" style="1122"/>
    <col min="5890" max="5890" customWidth="1" bestFit="1" width="3.0" style="1122"/>
    <col min="5891" max="5891" customWidth="1" bestFit="1" width="3.0" style="1122"/>
    <col min="5892" max="5892" customWidth="1" bestFit="1" width="3.0" style="1122"/>
    <col min="5893" max="5893" customWidth="1" bestFit="1" width="3.0" style="1122"/>
    <col min="5894" max="5894" customWidth="1" bestFit="1" width="3.0" style="1122"/>
    <col min="5895" max="5895" customWidth="1" bestFit="1" width="3.0" style="1122"/>
    <col min="5896" max="5896" customWidth="1" bestFit="1" width="3.0" style="1122"/>
    <col min="5897" max="5897" customWidth="1" bestFit="1" width="3.0" style="1122"/>
    <col min="5898" max="5898" customWidth="1" bestFit="1" width="3.0" style="1122"/>
    <col min="5899" max="5899" customWidth="1" bestFit="1" width="3.0" style="1122"/>
    <col min="5900" max="5900" customWidth="1" bestFit="1" width="3.0" style="1122"/>
    <col min="5901" max="5901" customWidth="1" bestFit="1" width="3.0" style="1122"/>
    <col min="5902" max="5902" customWidth="1" bestFit="1" width="3.0" style="1122"/>
    <col min="5903" max="5903" customWidth="1" bestFit="1" width="3.0" style="1122"/>
    <col min="5904" max="5904" customWidth="1" bestFit="1" width="3.0" style="1122"/>
    <col min="5905" max="5905" customWidth="1" bestFit="1" width="3.0" style="1122"/>
    <col min="5906" max="5906" customWidth="1" bestFit="1" width="3.0" style="1122"/>
    <col min="5907" max="5907" customWidth="1" bestFit="1" width="3.0" style="1122"/>
    <col min="5908" max="5908" customWidth="1" bestFit="1" width="3.0" style="1122"/>
    <col min="5909" max="5909" customWidth="1" bestFit="1" width="3.0" style="1122"/>
    <col min="5910" max="5910" customWidth="1" bestFit="1" width="3.0" style="1122"/>
    <col min="5911" max="5911" customWidth="1" bestFit="1" width="3.0" style="1122"/>
    <col min="5912" max="5912" customWidth="1" bestFit="1" width="3.0" style="1122"/>
    <col min="5913" max="5913" customWidth="1" bestFit="1" width="3.0" style="1122"/>
    <col min="5914" max="5914" customWidth="1" bestFit="1" width="3.0" style="1122"/>
    <col min="5915" max="5915" customWidth="1" bestFit="1" width="3.0" style="1122"/>
    <col min="5916" max="5916" customWidth="1" bestFit="1" width="3.0" style="1122"/>
    <col min="5917" max="5917" customWidth="1" bestFit="1" width="3.0" style="1122"/>
    <col min="5918" max="5918" customWidth="1" bestFit="1" width="3.0" style="1122"/>
    <col min="5919" max="5919" customWidth="1" bestFit="1" width="3.0" style="1122"/>
    <col min="5920" max="5920" customWidth="1" bestFit="1" width="3.0" style="1122"/>
    <col min="5921" max="5921" customWidth="1" bestFit="1" width="3.0" style="1122"/>
    <col min="5922" max="5922" customWidth="1" bestFit="1" width="3.0" style="1122"/>
    <col min="5923" max="5923" customWidth="1" bestFit="1" width="3.0" style="1122"/>
    <col min="5924" max="5924" customWidth="1" bestFit="1" width="3.0" style="1122"/>
    <col min="5925" max="5925" customWidth="1" bestFit="1" width="3.0" style="1122"/>
    <col min="5926" max="5926" customWidth="1" bestFit="1" width="3.0" style="1122"/>
    <col min="5927" max="5927" customWidth="1" bestFit="1" width="3.0" style="1122"/>
    <col min="5928" max="5928" customWidth="1" bestFit="1" width="3.0" style="1122"/>
    <col min="5929" max="5929" customWidth="1" bestFit="1" width="3.0" style="1122"/>
    <col min="5930" max="5930" customWidth="1" bestFit="1" width="3.0" style="1122"/>
    <col min="5931" max="5931" customWidth="1" bestFit="1" width="3.0" style="1122"/>
    <col min="5932" max="5932" customWidth="1" bestFit="1" width="3.0" style="1122"/>
    <col min="5933" max="5933" customWidth="1" bestFit="1" width="3.0" style="1122"/>
    <col min="5934" max="5934" customWidth="1" bestFit="1" width="3.0" style="1122"/>
    <col min="5935" max="5935" customWidth="1" bestFit="1" width="3.0" style="1122"/>
    <col min="5936" max="5936" customWidth="1" bestFit="1" width="3.0" style="1122"/>
    <col min="5937" max="5937" customWidth="1" bestFit="1" width="3.0" style="1122"/>
    <col min="5938" max="5938" customWidth="1" bestFit="1" width="3.0" style="1122"/>
    <col min="5939" max="5939" customWidth="1" bestFit="1" width="3.0" style="1122"/>
    <col min="5940" max="5940" customWidth="1" bestFit="1" width="3.0" style="1122"/>
    <col min="5941" max="5941" customWidth="1" bestFit="1" width="3.0" style="1122"/>
    <col min="5942" max="5942" customWidth="1" bestFit="1" width="3.0" style="1122"/>
    <col min="5943" max="5943" customWidth="1" bestFit="1" width="3.0" style="1122"/>
    <col min="5944" max="5944" customWidth="1" bestFit="1" width="3.0" style="1122"/>
    <col min="5945" max="5945" customWidth="1" bestFit="1" width="3.0" style="1122"/>
    <col min="5946" max="5946" customWidth="1" bestFit="1" width="3.0" style="1122"/>
    <col min="5947" max="5947" customWidth="1" bestFit="1" width="3.0" style="1122"/>
    <col min="5948" max="5948" customWidth="1" bestFit="1" width="3.0" style="1122"/>
    <col min="5949" max="5949" customWidth="1" bestFit="1" width="3.0" style="1122"/>
    <col min="5950" max="5950" customWidth="1" bestFit="1" width="3.0" style="1122"/>
    <col min="5951" max="5951" customWidth="1" bestFit="1" width="3.0" style="1122"/>
    <col min="5952" max="5952" customWidth="1" bestFit="1" width="3.0" style="1122"/>
    <col min="5953" max="5953" customWidth="1" bestFit="1" width="3.0" style="1122"/>
    <col min="5954" max="5954" customWidth="1" bestFit="1" width="3.0" style="1122"/>
    <col min="5955" max="5955" customWidth="1" bestFit="1" width="3.0" style="1122"/>
    <col min="5956" max="5956" customWidth="1" bestFit="1" width="3.0" style="1122"/>
    <col min="5957" max="5957" customWidth="1" bestFit="1" width="3.0" style="1122"/>
    <col min="5958" max="5958" customWidth="1" bestFit="1" width="3.0" style="1122"/>
    <col min="5959" max="5959" customWidth="1" bestFit="1" width="3.0" style="1122"/>
    <col min="5960" max="5960" customWidth="1" bestFit="1" width="3.0" style="1122"/>
    <col min="5961" max="5961" customWidth="1" bestFit="1" width="3.0" style="1122"/>
    <col min="5962" max="5962" customWidth="1" bestFit="1" width="3.0" style="1122"/>
    <col min="5963" max="5963" customWidth="1" bestFit="1" width="3.0" style="1122"/>
    <col min="5964" max="5964" customWidth="1" bestFit="1" width="3.0" style="1122"/>
    <col min="5965" max="5965" customWidth="1" bestFit="1" width="3.0" style="1122"/>
    <col min="5966" max="5966" customWidth="1" bestFit="1" width="3.0" style="1122"/>
    <col min="5967" max="5967" customWidth="1" bestFit="1" width="3.0" style="1122"/>
    <col min="5968" max="5968" customWidth="1" bestFit="1" width="3.0" style="1122"/>
    <col min="5969" max="5969" customWidth="1" bestFit="1" width="3.0" style="1122"/>
    <col min="5970" max="5970" customWidth="1" bestFit="1" width="3.0" style="1122"/>
    <col min="5971" max="5971" customWidth="1" bestFit="1" width="3.0" style="1122"/>
    <col min="5972" max="5972" customWidth="1" bestFit="1" width="3.0" style="1122"/>
    <col min="5973" max="5973" customWidth="1" bestFit="1" width="3.0" style="1122"/>
    <col min="5974" max="5974" customWidth="1" bestFit="1" width="3.0" style="1122"/>
    <col min="5975" max="5975" customWidth="1" bestFit="1" width="3.0" style="1122"/>
    <col min="5976" max="5976" customWidth="1" bestFit="1" width="3.0" style="1122"/>
    <col min="5977" max="5977" customWidth="1" bestFit="1" width="3.0" style="1122"/>
    <col min="5978" max="5978" customWidth="1" bestFit="1" width="3.0" style="1122"/>
    <col min="5979" max="5979" customWidth="1" bestFit="1" width="3.0" style="1122"/>
    <col min="5980" max="5980" customWidth="1" bestFit="1" width="3.0" style="1122"/>
    <col min="5981" max="5981" customWidth="1" bestFit="1" width="3.0" style="1122"/>
    <col min="5982" max="5982" customWidth="1" bestFit="1" width="3.0" style="1122"/>
    <col min="5983" max="5983" customWidth="1" bestFit="1" width="3.0" style="1122"/>
    <col min="5984" max="5984" customWidth="1" bestFit="1" width="3.0" style="1122"/>
    <col min="5985" max="5985" customWidth="1" bestFit="1" width="3.0" style="1122"/>
    <col min="5986" max="5986" customWidth="1" bestFit="1" width="3.0" style="1122"/>
    <col min="5987" max="5987" customWidth="1" bestFit="1" width="3.0" style="1122"/>
    <col min="5988" max="5988" customWidth="1" bestFit="1" width="3.0" style="1122"/>
    <col min="5989" max="5989" customWidth="1" bestFit="1" width="3.0" style="1122"/>
    <col min="5990" max="5990" customWidth="1" bestFit="1" width="3.0" style="1122"/>
    <col min="5991" max="5991" customWidth="1" bestFit="1" width="3.0" style="1122"/>
    <col min="5992" max="5992" customWidth="1" bestFit="1" width="3.0" style="1122"/>
    <col min="5993" max="5993" customWidth="1" bestFit="1" width="3.0" style="1122"/>
    <col min="5994" max="5994" customWidth="1" bestFit="1" width="3.0" style="1122"/>
    <col min="5995" max="5995" customWidth="1" bestFit="1" width="3.0" style="1122"/>
    <col min="5996" max="5996" customWidth="1" bestFit="1" width="3.0" style="1122"/>
    <col min="5997" max="5997" customWidth="1" bestFit="1" width="3.0" style="1122"/>
    <col min="5998" max="5998" customWidth="1" bestFit="1" width="3.0" style="1122"/>
    <col min="5999" max="5999" customWidth="1" bestFit="1" width="3.0" style="1122"/>
    <col min="6000" max="6000" customWidth="1" bestFit="1" width="3.0" style="1122"/>
    <col min="6001" max="6001" customWidth="1" bestFit="1" width="3.0" style="1122"/>
    <col min="6002" max="6002" customWidth="1" bestFit="1" width="3.0" style="1122"/>
    <col min="6003" max="6003" customWidth="1" bestFit="1" width="3.0" style="1122"/>
    <col min="6004" max="6004" customWidth="1" bestFit="1" width="3.0" style="1122"/>
    <col min="6005" max="6005" customWidth="1" bestFit="1" width="3.0" style="1122"/>
    <col min="6006" max="6006" customWidth="1" bestFit="1" width="3.0" style="1122"/>
    <col min="6007" max="6007" customWidth="1" bestFit="1" width="3.0" style="1122"/>
    <col min="6008" max="6008" customWidth="1" bestFit="1" width="3.0" style="1122"/>
    <col min="6009" max="6009" customWidth="1" bestFit="1" width="3.0" style="1122"/>
    <col min="6010" max="6010" customWidth="1" bestFit="1" width="3.0" style="1122"/>
    <col min="6011" max="6011" customWidth="1" bestFit="1" width="3.0" style="1122"/>
    <col min="6012" max="6012" customWidth="1" bestFit="1" width="3.0" style="1122"/>
    <col min="6013" max="6013" customWidth="1" bestFit="1" width="3.0" style="1122"/>
    <col min="6014" max="6014" customWidth="1" bestFit="1" width="3.0" style="1122"/>
    <col min="6015" max="6015" customWidth="1" bestFit="1" width="3.0" style="1122"/>
    <col min="6016" max="6016" customWidth="1" bestFit="1" width="3.0" style="1122"/>
    <col min="6017" max="6017" customWidth="1" bestFit="1" width="3.0" style="1122"/>
    <col min="6018" max="6018" customWidth="1" bestFit="1" width="3.0" style="1122"/>
    <col min="6019" max="6019" customWidth="1" bestFit="1" width="3.0" style="1122"/>
    <col min="6020" max="6020" customWidth="1" bestFit="1" width="3.0" style="1122"/>
    <col min="6021" max="6021" customWidth="1" bestFit="1" width="3.0" style="1122"/>
    <col min="6022" max="6022" customWidth="1" bestFit="1" width="3.0" style="1122"/>
    <col min="6023" max="6023" customWidth="1" bestFit="1" width="3.0" style="1122"/>
    <col min="6024" max="6024" customWidth="1" bestFit="1" width="3.0" style="1122"/>
    <col min="6025" max="6025" customWidth="1" bestFit="1" width="3.0" style="1122"/>
    <col min="6026" max="6026" customWidth="1" bestFit="1" width="3.0" style="1122"/>
    <col min="6027" max="6027" customWidth="1" bestFit="1" width="3.0" style="1122"/>
    <col min="6028" max="6028" customWidth="1" bestFit="1" width="3.0" style="1122"/>
    <col min="6029" max="6029" customWidth="1" bestFit="1" width="3.0" style="1122"/>
    <col min="6030" max="6030" customWidth="1" bestFit="1" width="3.0" style="1122"/>
    <col min="6031" max="6031" customWidth="1" bestFit="1" width="3.0" style="1122"/>
    <col min="6032" max="6032" customWidth="1" bestFit="1" width="3.0" style="1122"/>
    <col min="6033" max="6033" customWidth="1" bestFit="1" width="3.0" style="1122"/>
    <col min="6034" max="6034" customWidth="1" bestFit="1" width="3.0" style="1122"/>
    <col min="6035" max="6035" customWidth="1" bestFit="1" width="3.0" style="1122"/>
    <col min="6036" max="6036" customWidth="1" bestFit="1" width="3.0" style="1122"/>
    <col min="6037" max="6037" customWidth="1" bestFit="1" width="3.0" style="1122"/>
    <col min="6038" max="6038" customWidth="1" bestFit="1" width="3.0" style="1122"/>
    <col min="6039" max="6039" customWidth="1" bestFit="1" width="3.0" style="1122"/>
    <col min="6040" max="6040" customWidth="1" bestFit="1" width="3.0" style="1122"/>
    <col min="6041" max="6041" customWidth="1" bestFit="1" width="3.0" style="1122"/>
    <col min="6042" max="6042" customWidth="1" bestFit="1" width="3.0" style="1122"/>
    <col min="6043" max="6043" customWidth="1" bestFit="1" width="3.0" style="1122"/>
    <col min="6044" max="6044" customWidth="1" bestFit="1" width="3.0" style="1122"/>
    <col min="6045" max="6045" customWidth="1" bestFit="1" width="3.0" style="1122"/>
    <col min="6046" max="6046" customWidth="1" bestFit="1" width="3.0" style="1122"/>
    <col min="6047" max="6047" customWidth="1" bestFit="1" width="3.0" style="1122"/>
    <col min="6048" max="6048" customWidth="1" bestFit="1" width="3.0" style="1122"/>
    <col min="6049" max="6049" customWidth="1" bestFit="1" width="3.0" style="1122"/>
    <col min="6050" max="6050" customWidth="1" bestFit="1" width="3.0" style="1122"/>
    <col min="6051" max="6051" customWidth="1" bestFit="1" width="3.0" style="1122"/>
    <col min="6052" max="6052" customWidth="1" bestFit="1" width="3.0" style="1122"/>
    <col min="6053" max="6053" customWidth="1" bestFit="1" width="3.0" style="1122"/>
    <col min="6054" max="6054" customWidth="1" bestFit="1" width="3.0" style="1122"/>
    <col min="6055" max="6055" customWidth="1" bestFit="1" width="3.0" style="1122"/>
    <col min="6056" max="6056" customWidth="1" bestFit="1" width="3.0" style="1122"/>
    <col min="6057" max="6057" customWidth="1" bestFit="1" width="3.0" style="1122"/>
    <col min="6058" max="6058" customWidth="1" bestFit="1" width="3.0" style="1122"/>
    <col min="6059" max="6059" customWidth="1" bestFit="1" width="3.0" style="1122"/>
    <col min="6060" max="6060" customWidth="1" bestFit="1" width="3.0" style="1122"/>
    <col min="6061" max="6061" customWidth="1" bestFit="1" width="3.0" style="1122"/>
    <col min="6062" max="6062" customWidth="1" bestFit="1" width="3.0" style="1122"/>
    <col min="6063" max="6063" customWidth="1" bestFit="1" width="3.0" style="1122"/>
    <col min="6064" max="6064" customWidth="1" bestFit="1" width="3.0" style="1122"/>
    <col min="6065" max="6065" customWidth="1" bestFit="1" width="3.0" style="1122"/>
    <col min="6066" max="6066" customWidth="1" bestFit="1" width="3.0" style="1122"/>
    <col min="6067" max="6067" customWidth="1" bestFit="1" width="3.0" style="1122"/>
    <col min="6068" max="6068" customWidth="1" bestFit="1" width="3.0" style="1122"/>
    <col min="6069" max="6069" customWidth="1" bestFit="1" width="3.0" style="1122"/>
    <col min="6070" max="6070" customWidth="1" bestFit="1" width="3.0" style="1122"/>
    <col min="6071" max="6071" customWidth="1" bestFit="1" width="3.0" style="1122"/>
    <col min="6072" max="6072" customWidth="1" bestFit="1" width="3.0" style="1122"/>
    <col min="6073" max="6073" customWidth="1" bestFit="1" width="3.0" style="1122"/>
    <col min="6074" max="6074" customWidth="1" bestFit="1" width="3.0" style="1122"/>
    <col min="6075" max="6075" customWidth="1" bestFit="1" width="3.0" style="1122"/>
    <col min="6076" max="6076" customWidth="1" bestFit="1" width="3.0" style="1122"/>
    <col min="6077" max="6077" customWidth="1" bestFit="1" width="3.0" style="1122"/>
    <col min="6078" max="6078" customWidth="1" bestFit="1" width="3.0" style="1122"/>
    <col min="6079" max="6079" customWidth="1" bestFit="1" width="3.0" style="1122"/>
    <col min="6080" max="6080" customWidth="1" bestFit="1" width="3.0" style="1122"/>
    <col min="6081" max="6081" customWidth="1" bestFit="1" width="3.0" style="1122"/>
    <col min="6082" max="6082" customWidth="1" bestFit="1" width="3.0" style="1122"/>
    <col min="6083" max="6083" customWidth="1" bestFit="1" width="3.0" style="1122"/>
    <col min="6084" max="6084" customWidth="1" bestFit="1" width="3.0" style="1122"/>
    <col min="6085" max="6085" customWidth="1" bestFit="1" width="3.0" style="1122"/>
    <col min="6086" max="6086" customWidth="1" bestFit="1" width="3.0" style="1122"/>
    <col min="6087" max="6087" customWidth="1" bestFit="1" width="3.0" style="1122"/>
    <col min="6088" max="6088" customWidth="1" bestFit="1" width="3.0" style="1122"/>
    <col min="6089" max="6089" customWidth="1" bestFit="1" width="3.0" style="1122"/>
    <col min="6090" max="6090" customWidth="1" bestFit="1" width="3.0" style="1122"/>
    <col min="6091" max="6091" customWidth="1" bestFit="1" width="3.0" style="1122"/>
    <col min="6092" max="6092" customWidth="1" bestFit="1" width="3.0" style="1122"/>
    <col min="6093" max="6093" customWidth="1" bestFit="1" width="3.0" style="1122"/>
    <col min="6094" max="6094" customWidth="1" bestFit="1" width="3.0" style="1122"/>
    <col min="6095" max="6095" customWidth="1" bestFit="1" width="3.0" style="1122"/>
    <col min="6096" max="6096" customWidth="1" bestFit="1" width="3.0" style="1122"/>
    <col min="6097" max="6097" customWidth="1" bestFit="1" width="3.0" style="1122"/>
    <col min="6098" max="6098" customWidth="1" bestFit="1" width="3.0" style="1122"/>
    <col min="6099" max="6099" customWidth="1" bestFit="1" width="3.0" style="1122"/>
    <col min="6100" max="6100" customWidth="1" bestFit="1" width="3.0" style="1122"/>
    <col min="6101" max="6101" customWidth="1" bestFit="1" width="3.0" style="1122"/>
    <col min="6102" max="6102" customWidth="1" bestFit="1" width="3.0" style="1122"/>
    <col min="6103" max="6103" customWidth="1" bestFit="1" width="3.0" style="1122"/>
    <col min="6104" max="6104" customWidth="1" bestFit="1" width="3.0" style="1122"/>
    <col min="6105" max="6105" customWidth="1" bestFit="1" width="3.0" style="1122"/>
    <col min="6106" max="6106" customWidth="1" bestFit="1" width="3.0" style="1122"/>
    <col min="6107" max="6107" customWidth="1" bestFit="1" width="3.0" style="1122"/>
    <col min="6108" max="6108" customWidth="1" bestFit="1" width="3.0" style="1122"/>
    <col min="6109" max="6109" customWidth="1" bestFit="1" width="3.0" style="1122"/>
    <col min="6110" max="6110" customWidth="1" bestFit="1" width="3.0" style="1122"/>
    <col min="6111" max="6111" customWidth="1" bestFit="1" width="3.0" style="1122"/>
    <col min="6112" max="6112" customWidth="1" bestFit="1" width="3.0" style="1122"/>
    <col min="6113" max="6113" customWidth="1" bestFit="1" width="3.0" style="1122"/>
    <col min="6114" max="6114" customWidth="1" bestFit="1" width="3.0" style="1122"/>
    <col min="6115" max="6115" customWidth="1" bestFit="1" width="3.0" style="1122"/>
    <col min="6116" max="6116" customWidth="1" bestFit="1" width="3.0" style="1122"/>
    <col min="6117" max="6117" customWidth="1" bestFit="1" width="3.0" style="1122"/>
    <col min="6118" max="6118" customWidth="1" bestFit="1" width="3.0" style="1122"/>
    <col min="6119" max="6119" customWidth="1" bestFit="1" width="3.0" style="1122"/>
    <col min="6120" max="6120" customWidth="1" bestFit="1" width="3.0" style="1122"/>
    <col min="6121" max="6121" customWidth="1" bestFit="1" width="3.0" style="1122"/>
    <col min="6122" max="6122" customWidth="1" bestFit="1" width="3.0" style="1122"/>
    <col min="6123" max="6123" customWidth="1" bestFit="1" width="3.0" style="1122"/>
    <col min="6124" max="6124" customWidth="1" bestFit="1" width="3.0" style="1122"/>
    <col min="6125" max="6125" customWidth="1" bestFit="1" width="3.0" style="1122"/>
    <col min="6126" max="6126" customWidth="1" bestFit="1" width="3.0" style="1122"/>
    <col min="6127" max="6127" customWidth="1" bestFit="1" width="3.0" style="1122"/>
    <col min="6128" max="6128" customWidth="1" bestFit="1" width="3.0" style="1122"/>
    <col min="6129" max="6129" customWidth="1" bestFit="1" width="3.0" style="1122"/>
    <col min="6130" max="6130" customWidth="1" bestFit="1" width="3.0" style="1122"/>
    <col min="6131" max="6131" customWidth="1" bestFit="1" width="3.0" style="1122"/>
    <col min="6132" max="6132" customWidth="1" bestFit="1" width="3.0" style="1122"/>
    <col min="6133" max="6133" customWidth="1" bestFit="1" width="3.0" style="1122"/>
    <col min="6134" max="6134" customWidth="1" bestFit="1" width="3.0" style="1122"/>
    <col min="6135" max="6135" customWidth="1" bestFit="1" width="3.0" style="1122"/>
    <col min="6136" max="6136" customWidth="1" bestFit="1" width="3.0" style="1122"/>
    <col min="6137" max="6137" customWidth="1" bestFit="1" width="3.0" style="1122"/>
    <col min="6138" max="6138" customWidth="1" bestFit="1" width="3.0" style="1122"/>
    <col min="6139" max="6139" customWidth="1" bestFit="1" width="3.0" style="1122"/>
    <col min="6140" max="6140" customWidth="1" bestFit="1" width="3.0" style="1122"/>
    <col min="6141" max="6141" customWidth="1" bestFit="1" width="3.0" style="1122"/>
    <col min="6142" max="6142" customWidth="1" bestFit="1" width="3.0" style="1122"/>
    <col min="6143" max="6143" customWidth="1" bestFit="1" width="3.0" style="1122"/>
    <col min="6144" max="6144" customWidth="1" bestFit="1" width="3.0" style="1122"/>
    <col min="6145" max="6145" customWidth="1" bestFit="1" width="3.0" style="1122"/>
    <col min="6146" max="6146" customWidth="1" bestFit="1" width="3.0" style="1122"/>
    <col min="6147" max="6147" customWidth="1" bestFit="1" width="3.0" style="1122"/>
    <col min="6148" max="6148" customWidth="1" bestFit="1" width="3.0" style="1122"/>
    <col min="6149" max="6149" customWidth="1" bestFit="1" width="3.0" style="1122"/>
    <col min="6150" max="6150" customWidth="1" bestFit="1" width="3.0" style="1122"/>
    <col min="6151" max="6151" customWidth="1" bestFit="1" width="3.0" style="1122"/>
    <col min="6152" max="6152" customWidth="1" bestFit="1" width="3.0" style="1122"/>
    <col min="6153" max="6153" customWidth="1" bestFit="1" width="3.0" style="1122"/>
    <col min="6154" max="6154" customWidth="1" bestFit="1" width="3.0" style="1122"/>
    <col min="6155" max="6155" customWidth="1" bestFit="1" width="3.0" style="1122"/>
    <col min="6156" max="6156" customWidth="1" bestFit="1" width="3.0" style="1122"/>
    <col min="6157" max="6157" customWidth="1" bestFit="1" width="3.0" style="1122"/>
    <col min="6158" max="6158" customWidth="1" bestFit="1" width="3.0" style="1122"/>
    <col min="6159" max="6159" customWidth="1" bestFit="1" width="3.0" style="1122"/>
    <col min="6160" max="6160" customWidth="1" bestFit="1" width="3.0" style="1122"/>
    <col min="6161" max="6161" customWidth="1" bestFit="1" width="3.0" style="1122"/>
    <col min="6162" max="6162" customWidth="1" bestFit="1" width="3.0" style="1122"/>
    <col min="6163" max="6163" customWidth="1" bestFit="1" width="3.0" style="1122"/>
    <col min="6164" max="6164" customWidth="1" bestFit="1" width="3.0" style="1122"/>
    <col min="6165" max="6165" customWidth="1" bestFit="1" width="3.0" style="1122"/>
    <col min="6166" max="6166" customWidth="1" bestFit="1" width="3.0" style="1122"/>
    <col min="6167" max="6167" customWidth="1" bestFit="1" width="3.0" style="1122"/>
    <col min="6168" max="6168" customWidth="1" bestFit="1" width="3.0" style="1122"/>
    <col min="6169" max="6169" customWidth="1" bestFit="1" width="3.0" style="1122"/>
    <col min="6170" max="6170" customWidth="1" bestFit="1" width="3.0" style="1122"/>
    <col min="6171" max="6171" customWidth="1" bestFit="1" width="3.0" style="1122"/>
    <col min="6172" max="6172" customWidth="1" bestFit="1" width="3.0" style="1122"/>
    <col min="6173" max="6173" customWidth="1" bestFit="1" width="3.0" style="1122"/>
    <col min="6174" max="6174" customWidth="1" bestFit="1" width="3.0" style="1122"/>
    <col min="6175" max="6175" customWidth="1" bestFit="1" width="3.0" style="1122"/>
    <col min="6176" max="6176" customWidth="1" bestFit="1" width="3.0" style="1122"/>
    <col min="6177" max="6177" customWidth="1" bestFit="1" width="3.0" style="1122"/>
    <col min="6178" max="6178" customWidth="1" bestFit="1" width="3.0" style="1122"/>
    <col min="6179" max="6179" customWidth="1" bestFit="1" width="3.0" style="1122"/>
    <col min="6180" max="6180" customWidth="1" bestFit="1" width="3.0" style="1122"/>
    <col min="6181" max="6181" customWidth="1" bestFit="1" width="3.0" style="1122"/>
    <col min="6182" max="6182" customWidth="1" bestFit="1" width="3.0" style="1122"/>
    <col min="6183" max="6183" customWidth="1" bestFit="1" width="3.0" style="1122"/>
    <col min="6184" max="6184" customWidth="1" bestFit="1" width="3.0" style="1122"/>
    <col min="6185" max="6185" customWidth="1" bestFit="1" width="3.0" style="1122"/>
    <col min="6186" max="6186" customWidth="1" bestFit="1" width="3.0" style="1122"/>
    <col min="6187" max="6187" customWidth="1" bestFit="1" width="3.0" style="1122"/>
    <col min="6188" max="6188" customWidth="1" bestFit="1" width="3.0" style="1122"/>
    <col min="6189" max="6189" customWidth="1" bestFit="1" width="3.0" style="1122"/>
    <col min="6190" max="6190" customWidth="1" bestFit="1" width="3.0" style="1122"/>
    <col min="6191" max="6191" customWidth="1" bestFit="1" width="3.0" style="1122"/>
    <col min="6192" max="6192" customWidth="1" bestFit="1" width="3.0" style="1122"/>
    <col min="6193" max="6193" customWidth="1" bestFit="1" width="3.0" style="1122"/>
    <col min="6194" max="6194" customWidth="1" bestFit="1" width="3.0" style="1122"/>
    <col min="6195" max="6195" customWidth="1" bestFit="1" width="3.0" style="1122"/>
    <col min="6196" max="6196" customWidth="1" bestFit="1" width="3.0" style="1122"/>
    <col min="6197" max="6197" customWidth="1" bestFit="1" width="3.0" style="1122"/>
    <col min="6198" max="6198" customWidth="1" bestFit="1" width="3.0" style="1122"/>
    <col min="6199" max="6199" customWidth="1" bestFit="1" width="3.0" style="1122"/>
    <col min="6200" max="6200" customWidth="1" bestFit="1" width="3.0" style="1122"/>
    <col min="6201" max="6201" customWidth="1" bestFit="1" width="3.0" style="1122"/>
    <col min="6202" max="6202" customWidth="1" bestFit="1" width="3.0" style="1122"/>
    <col min="6203" max="6203" customWidth="1" bestFit="1" width="3.0" style="1122"/>
    <col min="6204" max="6204" customWidth="1" bestFit="1" width="3.0" style="1122"/>
    <col min="6205" max="6205" customWidth="1" bestFit="1" width="3.0" style="1122"/>
    <col min="6206" max="6206" customWidth="1" bestFit="1" width="3.0" style="1122"/>
    <col min="6207" max="6207" customWidth="1" bestFit="1" width="3.0" style="1122"/>
    <col min="6208" max="6208" customWidth="1" bestFit="1" width="3.0" style="1122"/>
    <col min="6209" max="6209" customWidth="1" bestFit="1" width="3.0" style="1122"/>
    <col min="6210" max="6210" customWidth="1" bestFit="1" width="3.0" style="1122"/>
    <col min="6211" max="6211" customWidth="1" bestFit="1" width="3.0" style="1122"/>
    <col min="6212" max="6212" customWidth="1" bestFit="1" width="3.0" style="1122"/>
    <col min="6213" max="6213" customWidth="1" bestFit="1" width="3.0" style="1122"/>
    <col min="6214" max="6214" customWidth="1" bestFit="1" width="3.0" style="1122"/>
    <col min="6215" max="6215" customWidth="1" bestFit="1" width="3.0" style="1122"/>
    <col min="6216" max="6216" customWidth="1" bestFit="1" width="3.0" style="1122"/>
    <col min="6217" max="6217" customWidth="1" bestFit="1" width="3.0" style="1122"/>
    <col min="6218" max="6218" customWidth="1" bestFit="1" width="3.0" style="1122"/>
    <col min="6219" max="6219" customWidth="1" bestFit="1" width="3.0" style="1122"/>
    <col min="6220" max="6220" customWidth="1" bestFit="1" width="3.0" style="1122"/>
    <col min="6221" max="6221" customWidth="1" bestFit="1" width="3.0" style="1122"/>
    <col min="6222" max="6222" customWidth="1" bestFit="1" width="3.0" style="1122"/>
    <col min="6223" max="6223" customWidth="1" bestFit="1" width="3.0" style="1122"/>
    <col min="6224" max="6224" customWidth="1" bestFit="1" width="3.0" style="1122"/>
    <col min="6225" max="6225" customWidth="1" bestFit="1" width="3.0" style="1122"/>
    <col min="6226" max="6226" customWidth="1" bestFit="1" width="3.0" style="1122"/>
    <col min="6227" max="6227" customWidth="1" bestFit="1" width="3.0" style="1122"/>
    <col min="6228" max="6228" customWidth="1" bestFit="1" width="3.0" style="1122"/>
    <col min="6229" max="6229" customWidth="1" bestFit="1" width="3.0" style="1122"/>
    <col min="6230" max="6230" customWidth="1" bestFit="1" width="3.0" style="1122"/>
    <col min="6231" max="6231" customWidth="1" bestFit="1" width="3.0" style="1122"/>
    <col min="6232" max="6232" customWidth="1" bestFit="1" width="3.0" style="1122"/>
    <col min="6233" max="6233" customWidth="1" bestFit="1" width="3.0" style="1122"/>
    <col min="6234" max="6234" customWidth="1" bestFit="1" width="3.0" style="1122"/>
    <col min="6235" max="6235" customWidth="1" bestFit="1" width="3.0" style="1122"/>
    <col min="6236" max="6236" customWidth="1" bestFit="1" width="3.0" style="1122"/>
    <col min="6237" max="6237" customWidth="1" bestFit="1" width="3.0" style="1122"/>
    <col min="6238" max="6238" customWidth="1" bestFit="1" width="3.0" style="1122"/>
    <col min="6239" max="6239" customWidth="1" bestFit="1" width="3.0" style="1122"/>
    <col min="6240" max="6240" customWidth="1" bestFit="1" width="3.0" style="1122"/>
    <col min="6241" max="6241" customWidth="1" bestFit="1" width="3.0" style="1122"/>
    <col min="6242" max="6242" customWidth="1" bestFit="1" width="3.0" style="1122"/>
    <col min="6243" max="6243" customWidth="1" bestFit="1" width="3.0" style="1122"/>
    <col min="6244" max="6244" customWidth="1" bestFit="1" width="3.0" style="1122"/>
    <col min="6245" max="6245" customWidth="1" bestFit="1" width="3.0" style="1122"/>
    <col min="6246" max="6246" customWidth="1" bestFit="1" width="3.0" style="1122"/>
    <col min="6247" max="6247" customWidth="1" bestFit="1" width="3.0" style="1122"/>
    <col min="6248" max="6248" customWidth="1" bestFit="1" width="3.0" style="1122"/>
    <col min="6249" max="6249" customWidth="1" bestFit="1" width="3.0" style="1122"/>
    <col min="6250" max="6250" customWidth="1" bestFit="1" width="3.0" style="1122"/>
    <col min="6251" max="6251" customWidth="1" bestFit="1" width="3.0" style="1122"/>
    <col min="6252" max="6252" customWidth="1" bestFit="1" width="3.0" style="1122"/>
    <col min="6253" max="6253" customWidth="1" bestFit="1" width="3.0" style="1122"/>
    <col min="6254" max="6254" customWidth="1" bestFit="1" width="3.0" style="1122"/>
    <col min="6255" max="6255" customWidth="1" bestFit="1" width="3.0" style="1122"/>
    <col min="6256" max="6256" customWidth="1" bestFit="1" width="3.0" style="1122"/>
    <col min="6257" max="6257" customWidth="1" bestFit="1" width="3.0" style="1122"/>
    <col min="6258" max="6258" customWidth="1" bestFit="1" width="3.0" style="1122"/>
    <col min="6259" max="6259" customWidth="1" bestFit="1" width="3.0" style="1122"/>
    <col min="6260" max="6260" customWidth="1" bestFit="1" width="3.0" style="1122"/>
    <col min="6261" max="6261" customWidth="1" bestFit="1" width="3.0" style="1122"/>
    <col min="6262" max="6262" customWidth="1" bestFit="1" width="3.0" style="1122"/>
    <col min="6263" max="6263" customWidth="1" bestFit="1" width="3.0" style="1122"/>
    <col min="6264" max="6264" customWidth="1" bestFit="1" width="3.0" style="1122"/>
    <col min="6265" max="6265" customWidth="1" bestFit="1" width="3.0" style="1122"/>
    <col min="6266" max="6266" customWidth="1" bestFit="1" width="3.0" style="1122"/>
    <col min="6267" max="6267" customWidth="1" bestFit="1" width="3.0" style="1122"/>
    <col min="6268" max="6268" customWidth="1" bestFit="1" width="3.0" style="1122"/>
    <col min="6269" max="6269" customWidth="1" bestFit="1" width="3.0" style="1122"/>
    <col min="6270" max="6270" customWidth="1" bestFit="1" width="3.0" style="1122"/>
    <col min="6271" max="6271" customWidth="1" bestFit="1" width="3.0" style="1122"/>
    <col min="6272" max="6272" customWidth="1" bestFit="1" width="3.0" style="1122"/>
    <col min="6273" max="6273" customWidth="1" bestFit="1" width="3.0" style="1122"/>
    <col min="6274" max="6274" customWidth="1" bestFit="1" width="3.0" style="1122"/>
    <col min="6275" max="6275" customWidth="1" bestFit="1" width="3.0" style="1122"/>
    <col min="6276" max="6276" customWidth="1" bestFit="1" width="3.0" style="1122"/>
    <col min="6277" max="6277" customWidth="1" bestFit="1" width="3.0" style="1122"/>
    <col min="6278" max="6278" customWidth="1" bestFit="1" width="3.0" style="1122"/>
    <col min="6279" max="6279" customWidth="1" bestFit="1" width="3.0" style="1122"/>
    <col min="6280" max="6280" customWidth="1" bestFit="1" width="3.0" style="1122"/>
    <col min="6281" max="6281" customWidth="1" bestFit="1" width="3.0" style="1122"/>
    <col min="6282" max="6282" customWidth="1" bestFit="1" width="3.0" style="1122"/>
    <col min="6283" max="6283" customWidth="1" bestFit="1" width="3.0" style="1122"/>
    <col min="6284" max="6284" customWidth="1" bestFit="1" width="3.0" style="1122"/>
    <col min="6285" max="6285" customWidth="1" bestFit="1" width="3.0" style="1122"/>
    <col min="6286" max="6286" customWidth="1" bestFit="1" width="3.0" style="1122"/>
    <col min="6287" max="6287" customWidth="1" bestFit="1" width="3.0" style="1122"/>
    <col min="6288" max="6288" customWidth="1" bestFit="1" width="3.0" style="1122"/>
    <col min="6289" max="6289" customWidth="1" bestFit="1" width="3.0" style="1122"/>
    <col min="6290" max="6290" customWidth="1" bestFit="1" width="3.0" style="1122"/>
    <col min="6291" max="6291" customWidth="1" bestFit="1" width="3.0" style="1122"/>
    <col min="6292" max="6292" customWidth="1" bestFit="1" width="3.0" style="1122"/>
    <col min="6293" max="6293" customWidth="1" bestFit="1" width="3.0" style="1122"/>
    <col min="6294" max="6294" customWidth="1" bestFit="1" width="3.0" style="1122"/>
    <col min="6295" max="6295" customWidth="1" bestFit="1" width="3.0" style="1122"/>
    <col min="6296" max="6296" customWidth="1" bestFit="1" width="3.0" style="1122"/>
    <col min="6297" max="6297" customWidth="1" bestFit="1" width="3.0" style="1122"/>
    <col min="6298" max="6298" customWidth="1" bestFit="1" width="3.0" style="1122"/>
    <col min="6299" max="6299" customWidth="1" bestFit="1" width="3.0" style="1122"/>
    <col min="6300" max="6300" customWidth="1" bestFit="1" width="3.0" style="1122"/>
    <col min="6301" max="6301" customWidth="1" bestFit="1" width="3.0" style="1122"/>
    <col min="6302" max="6302" customWidth="1" bestFit="1" width="3.0" style="1122"/>
    <col min="6303" max="6303" customWidth="1" bestFit="1" width="3.0" style="1122"/>
    <col min="6304" max="6304" customWidth="1" bestFit="1" width="3.0" style="1122"/>
    <col min="6305" max="6305" customWidth="1" bestFit="1" width="3.0" style="1122"/>
    <col min="6306" max="6306" customWidth="1" bestFit="1" width="3.0" style="1122"/>
    <col min="6307" max="6307" customWidth="1" bestFit="1" width="3.0" style="1122"/>
    <col min="6308" max="6308" customWidth="1" bestFit="1" width="3.0" style="1122"/>
    <col min="6309" max="6309" customWidth="1" bestFit="1" width="3.0" style="1122"/>
    <col min="6310" max="6310" customWidth="1" bestFit="1" width="3.0" style="1122"/>
    <col min="6311" max="6311" customWidth="1" bestFit="1" width="3.0" style="1122"/>
    <col min="6312" max="6312" customWidth="1" bestFit="1" width="3.0" style="1122"/>
    <col min="6313" max="6313" customWidth="1" bestFit="1" width="3.0" style="1122"/>
    <col min="6314" max="6314" customWidth="1" bestFit="1" width="3.0" style="1122"/>
    <col min="6315" max="6315" customWidth="1" bestFit="1" width="3.0" style="1122"/>
    <col min="6316" max="6316" customWidth="1" bestFit="1" width="3.0" style="1122"/>
    <col min="6317" max="6317" customWidth="1" bestFit="1" width="3.0" style="1122"/>
    <col min="6318" max="6318" customWidth="1" bestFit="1" width="3.0" style="1122"/>
    <col min="6319" max="6319" customWidth="1" bestFit="1" width="3.0" style="1122"/>
    <col min="6320" max="6320" customWidth="1" bestFit="1" width="3.0" style="1122"/>
    <col min="6321" max="6321" customWidth="1" bestFit="1" width="3.0" style="1122"/>
    <col min="6322" max="6322" customWidth="1" bestFit="1" width="3.0" style="1122"/>
    <col min="6323" max="6323" customWidth="1" bestFit="1" width="3.0" style="1122"/>
    <col min="6324" max="6324" customWidth="1" bestFit="1" width="3.0" style="1122"/>
    <col min="6325" max="6325" customWidth="1" bestFit="1" width="3.0" style="1122"/>
    <col min="6326" max="6326" customWidth="1" bestFit="1" width="3.0" style="1122"/>
    <col min="6327" max="6327" customWidth="1" bestFit="1" width="3.0" style="1122"/>
    <col min="6328" max="6328" customWidth="1" bestFit="1" width="3.0" style="1122"/>
    <col min="6329" max="6329" customWidth="1" bestFit="1" width="3.0" style="1122"/>
    <col min="6330" max="6330" customWidth="1" bestFit="1" width="3.0" style="1122"/>
    <col min="6331" max="6331" customWidth="1" bestFit="1" width="3.0" style="1122"/>
    <col min="6332" max="6332" customWidth="1" bestFit="1" width="3.0" style="1122"/>
    <col min="6333" max="6333" customWidth="1" bestFit="1" width="3.0" style="1122"/>
    <col min="6334" max="6334" customWidth="1" bestFit="1" width="3.0" style="1122"/>
    <col min="6335" max="6335" customWidth="1" bestFit="1" width="3.0" style="1122"/>
    <col min="6336" max="6336" customWidth="1" bestFit="1" width="3.0" style="1122"/>
    <col min="6337" max="6337" customWidth="1" bestFit="1" width="3.0" style="1122"/>
    <col min="6338" max="6338" customWidth="1" bestFit="1" width="3.0" style="1122"/>
    <col min="6339" max="6339" customWidth="1" bestFit="1" width="3.0" style="1122"/>
    <col min="6340" max="6340" customWidth="1" bestFit="1" width="3.0" style="1122"/>
    <col min="6341" max="6341" customWidth="1" bestFit="1" width="3.0" style="1122"/>
    <col min="6342" max="6342" customWidth="1" bestFit="1" width="3.0" style="1122"/>
    <col min="6343" max="6343" customWidth="1" bestFit="1" width="3.0" style="1122"/>
    <col min="6344" max="6344" customWidth="1" bestFit="1" width="3.0" style="1122"/>
    <col min="6345" max="6345" customWidth="1" bestFit="1" width="3.0" style="1122"/>
    <col min="6346" max="6346" customWidth="1" bestFit="1" width="3.0" style="1122"/>
    <col min="6347" max="6347" customWidth="1" bestFit="1" width="3.0" style="1122"/>
    <col min="6348" max="6348" customWidth="1" bestFit="1" width="3.0" style="1122"/>
    <col min="6349" max="6349" customWidth="1" bestFit="1" width="3.0" style="1122"/>
    <col min="6350" max="6350" customWidth="1" bestFit="1" width="3.0" style="1122"/>
    <col min="6351" max="6351" customWidth="1" bestFit="1" width="3.0" style="1122"/>
    <col min="6352" max="6352" customWidth="1" bestFit="1" width="3.0" style="1122"/>
    <col min="6353" max="6353" customWidth="1" bestFit="1" width="3.0" style="1122"/>
    <col min="6354" max="6354" customWidth="1" bestFit="1" width="3.0" style="1122"/>
    <col min="6355" max="6355" customWidth="1" bestFit="1" width="3.0" style="1122"/>
    <col min="6356" max="6356" customWidth="1" bestFit="1" width="3.0" style="1122"/>
    <col min="6357" max="6357" customWidth="1" bestFit="1" width="3.0" style="1122"/>
    <col min="6358" max="6358" customWidth="1" bestFit="1" width="3.0" style="1122"/>
    <col min="6359" max="6359" customWidth="1" bestFit="1" width="3.0" style="1122"/>
    <col min="6360" max="6360" customWidth="1" bestFit="1" width="3.0" style="1122"/>
    <col min="6361" max="6361" customWidth="1" bestFit="1" width="3.0" style="1122"/>
    <col min="6362" max="6362" customWidth="1" bestFit="1" width="3.0" style="1122"/>
    <col min="6363" max="6363" customWidth="1" bestFit="1" width="3.0" style="1122"/>
    <col min="6364" max="6364" customWidth="1" bestFit="1" width="3.0" style="1122"/>
    <col min="6365" max="6365" customWidth="1" bestFit="1" width="3.0" style="1122"/>
    <col min="6366" max="6366" customWidth="1" bestFit="1" width="3.0" style="1122"/>
    <col min="6367" max="6367" customWidth="1" bestFit="1" width="3.0" style="1122"/>
    <col min="6368" max="6368" customWidth="1" bestFit="1" width="3.0" style="1122"/>
    <col min="6369" max="6369" customWidth="1" bestFit="1" width="3.0" style="1122"/>
    <col min="6370" max="6370" customWidth="1" bestFit="1" width="3.0" style="1122"/>
    <col min="6371" max="6371" customWidth="1" bestFit="1" width="3.0" style="1122"/>
    <col min="6372" max="6372" customWidth="1" bestFit="1" width="3.0" style="1122"/>
    <col min="6373" max="6373" customWidth="1" bestFit="1" width="3.0" style="1122"/>
    <col min="6374" max="6374" customWidth="1" bestFit="1" width="3.0" style="1122"/>
    <col min="6375" max="6375" customWidth="1" bestFit="1" width="3.0" style="1122"/>
    <col min="6376" max="6376" customWidth="1" bestFit="1" width="3.0" style="1122"/>
    <col min="6377" max="6377" customWidth="1" bestFit="1" width="3.0" style="1122"/>
    <col min="6378" max="6378" customWidth="1" bestFit="1" width="3.0" style="1122"/>
    <col min="6379" max="6379" customWidth="1" bestFit="1" width="3.0" style="1122"/>
    <col min="6380" max="6380" customWidth="1" bestFit="1" width="3.0" style="1122"/>
    <col min="6381" max="6381" customWidth="1" bestFit="1" width="3.0" style="1122"/>
    <col min="6382" max="6382" customWidth="1" bestFit="1" width="3.0" style="1122"/>
    <col min="6383" max="6383" customWidth="1" bestFit="1" width="3.0" style="1122"/>
    <col min="6384" max="6384" customWidth="1" bestFit="1" width="3.0" style="1122"/>
    <col min="6385" max="6385" customWidth="1" bestFit="1" width="3.0" style="1122"/>
    <col min="6386" max="6386" customWidth="1" bestFit="1" width="3.0" style="1122"/>
    <col min="6387" max="6387" customWidth="1" bestFit="1" width="3.0" style="1122"/>
    <col min="6388" max="6388" customWidth="1" bestFit="1" width="3.0" style="1122"/>
    <col min="6389" max="6389" customWidth="1" bestFit="1" width="3.0" style="1122"/>
    <col min="6390" max="6390" customWidth="1" bestFit="1" width="3.0" style="1122"/>
    <col min="6391" max="6391" customWidth="1" bestFit="1" width="3.0" style="1122"/>
    <col min="6392" max="6392" customWidth="1" bestFit="1" width="3.0" style="1122"/>
    <col min="6393" max="6393" customWidth="1" bestFit="1" width="3.0" style="1122"/>
    <col min="6394" max="6394" customWidth="1" bestFit="1" width="3.0" style="1122"/>
    <col min="6395" max="6395" customWidth="1" bestFit="1" width="3.0" style="1122"/>
    <col min="6396" max="6396" customWidth="1" bestFit="1" width="3.0" style="1122"/>
    <col min="6397" max="6397" customWidth="1" bestFit="1" width="3.0" style="1122"/>
    <col min="6398" max="6398" customWidth="1" bestFit="1" width="3.0" style="1122"/>
    <col min="6399" max="6399" customWidth="1" bestFit="1" width="3.0" style="1122"/>
    <col min="6400" max="6400" customWidth="1" bestFit="1" width="3.0" style="1122"/>
    <col min="6401" max="6401" customWidth="1" bestFit="1" width="3.0" style="1122"/>
    <col min="6402" max="6402" customWidth="1" bestFit="1" width="3.0" style="1122"/>
    <col min="6403" max="6403" customWidth="1" bestFit="1" width="3.0" style="1122"/>
    <col min="6404" max="6404" customWidth="1" bestFit="1" width="3.0" style="1122"/>
    <col min="6405" max="6405" customWidth="1" bestFit="1" width="3.0" style="1122"/>
    <col min="6406" max="6406" customWidth="1" bestFit="1" width="3.0" style="1122"/>
    <col min="6407" max="6407" customWidth="1" bestFit="1" width="3.0" style="1122"/>
    <col min="6408" max="6408" customWidth="1" bestFit="1" width="3.0" style="1122"/>
    <col min="6409" max="6409" customWidth="1" bestFit="1" width="3.0" style="1122"/>
    <col min="6410" max="6410" customWidth="1" bestFit="1" width="3.0" style="1122"/>
    <col min="6411" max="6411" customWidth="1" bestFit="1" width="3.0" style="1122"/>
    <col min="6412" max="6412" customWidth="1" bestFit="1" width="3.0" style="1122"/>
    <col min="6413" max="6413" customWidth="1" bestFit="1" width="3.0" style="1122"/>
    <col min="6414" max="6414" customWidth="1" bestFit="1" width="3.0" style="1122"/>
    <col min="6415" max="6415" customWidth="1" bestFit="1" width="3.0" style="1122"/>
    <col min="6416" max="6416" customWidth="1" bestFit="1" width="3.0" style="1122"/>
    <col min="6417" max="6417" customWidth="1" bestFit="1" width="3.0" style="1122"/>
    <col min="6418" max="6418" customWidth="1" bestFit="1" width="3.0" style="1122"/>
    <col min="6419" max="6419" customWidth="1" bestFit="1" width="3.0" style="1122"/>
    <col min="6420" max="6420" customWidth="1" bestFit="1" width="3.0" style="1122"/>
    <col min="6421" max="6421" customWidth="1" bestFit="1" width="3.0" style="1122"/>
    <col min="6422" max="6422" customWidth="1" bestFit="1" width="3.0" style="1122"/>
    <col min="6423" max="6423" customWidth="1" bestFit="1" width="3.0" style="1122"/>
    <col min="6424" max="6424" customWidth="1" bestFit="1" width="3.0" style="1122"/>
    <col min="6425" max="6425" customWidth="1" bestFit="1" width="3.0" style="1122"/>
    <col min="6426" max="6426" customWidth="1" bestFit="1" width="3.0" style="1122"/>
    <col min="6427" max="6427" customWidth="1" bestFit="1" width="3.0" style="1122"/>
    <col min="6428" max="6428" customWidth="1" bestFit="1" width="3.0" style="1122"/>
    <col min="6429" max="6429" customWidth="1" bestFit="1" width="3.0" style="1122"/>
    <col min="6430" max="6430" customWidth="1" bestFit="1" width="3.0" style="1122"/>
    <col min="6431" max="6431" customWidth="1" bestFit="1" width="3.0" style="1122"/>
    <col min="6432" max="6432" customWidth="1" bestFit="1" width="3.0" style="1122"/>
    <col min="6433" max="6433" customWidth="1" bestFit="1" width="3.0" style="1122"/>
    <col min="6434" max="6434" customWidth="1" bestFit="1" width="3.0" style="1122"/>
    <col min="6435" max="6435" customWidth="1" bestFit="1" width="3.0" style="1122"/>
    <col min="6436" max="6436" customWidth="1" bestFit="1" width="3.0" style="1122"/>
    <col min="6437" max="6437" customWidth="1" bestFit="1" width="3.0" style="1122"/>
    <col min="6438" max="6438" customWidth="1" bestFit="1" width="3.0" style="1122"/>
    <col min="6439" max="6439" customWidth="1" bestFit="1" width="3.0" style="1122"/>
    <col min="6440" max="6440" customWidth="1" bestFit="1" width="3.0" style="1122"/>
    <col min="6441" max="6441" customWidth="1" bestFit="1" width="3.0" style="1122"/>
    <col min="6442" max="6442" customWidth="1" bestFit="1" width="3.0" style="1122"/>
    <col min="6443" max="6443" customWidth="1" bestFit="1" width="3.0" style="1122"/>
    <col min="6444" max="6444" customWidth="1" bestFit="1" width="3.0" style="1122"/>
    <col min="6445" max="6445" customWidth="1" bestFit="1" width="3.0" style="1122"/>
    <col min="6446" max="6446" customWidth="1" bestFit="1" width="3.0" style="1122"/>
    <col min="6447" max="6447" customWidth="1" bestFit="1" width="3.0" style="1122"/>
    <col min="6448" max="6448" customWidth="1" bestFit="1" width="3.0" style="1122"/>
    <col min="6449" max="6449" customWidth="1" bestFit="1" width="3.0" style="1122"/>
    <col min="6450" max="6450" customWidth="1" bestFit="1" width="3.0" style="1122"/>
    <col min="6451" max="6451" customWidth="1" bestFit="1" width="3.0" style="1122"/>
    <col min="6452" max="6452" customWidth="1" bestFit="1" width="3.0" style="1122"/>
    <col min="6453" max="6453" customWidth="1" bestFit="1" width="3.0" style="1122"/>
    <col min="6454" max="6454" customWidth="1" bestFit="1" width="3.0" style="1122"/>
    <col min="6455" max="6455" customWidth="1" bestFit="1" width="3.0" style="1122"/>
    <col min="6456" max="6456" customWidth="1" bestFit="1" width="3.0" style="1122"/>
    <col min="6457" max="6457" customWidth="1" bestFit="1" width="3.0" style="1122"/>
    <col min="6458" max="6458" customWidth="1" bestFit="1" width="3.0" style="1122"/>
    <col min="6459" max="6459" customWidth="1" bestFit="1" width="3.0" style="1122"/>
    <col min="6460" max="6460" customWidth="1" bestFit="1" width="3.0" style="1122"/>
    <col min="6461" max="6461" customWidth="1" bestFit="1" width="3.0" style="1122"/>
    <col min="6462" max="6462" customWidth="1" bestFit="1" width="3.0" style="1122"/>
    <col min="6463" max="6463" customWidth="1" bestFit="1" width="3.0" style="1122"/>
    <col min="6464" max="6464" customWidth="1" bestFit="1" width="3.0" style="1122"/>
    <col min="6465" max="6465" customWidth="1" bestFit="1" width="3.0" style="1122"/>
    <col min="6466" max="6466" customWidth="1" bestFit="1" width="3.0" style="1122"/>
    <col min="6467" max="6467" customWidth="1" bestFit="1" width="3.0" style="1122"/>
    <col min="6468" max="6468" customWidth="1" bestFit="1" width="3.0" style="1122"/>
    <col min="6469" max="6469" customWidth="1" bestFit="1" width="3.0" style="1122"/>
    <col min="6470" max="6470" customWidth="1" bestFit="1" width="3.0" style="1122"/>
    <col min="6471" max="6471" customWidth="1" bestFit="1" width="3.0" style="1122"/>
    <col min="6472" max="6472" customWidth="1" bestFit="1" width="3.0" style="1122"/>
    <col min="6473" max="6473" customWidth="1" bestFit="1" width="3.0" style="1122"/>
    <col min="6474" max="6474" customWidth="1" bestFit="1" width="3.0" style="1122"/>
    <col min="6475" max="6475" customWidth="1" bestFit="1" width="3.0" style="1122"/>
    <col min="6476" max="6476" customWidth="1" bestFit="1" width="3.0" style="1122"/>
    <col min="6477" max="6477" customWidth="1" bestFit="1" width="3.0" style="1122"/>
    <col min="6478" max="6478" customWidth="1" bestFit="1" width="3.0" style="1122"/>
    <col min="6479" max="6479" customWidth="1" bestFit="1" width="3.0" style="1122"/>
    <col min="6480" max="6480" customWidth="1" bestFit="1" width="3.0" style="1122"/>
    <col min="6481" max="6481" customWidth="1" bestFit="1" width="3.0" style="1122"/>
    <col min="6482" max="6482" customWidth="1" bestFit="1" width="3.0" style="1122"/>
    <col min="6483" max="6483" customWidth="1" bestFit="1" width="3.0" style="1122"/>
    <col min="6484" max="6484" customWidth="1" bestFit="1" width="3.0" style="1122"/>
    <col min="6485" max="6485" customWidth="1" bestFit="1" width="3.0" style="1122"/>
    <col min="6486" max="6486" customWidth="1" bestFit="1" width="3.0" style="1122"/>
    <col min="6487" max="6487" customWidth="1" bestFit="1" width="3.0" style="1122"/>
    <col min="6488" max="6488" customWidth="1" bestFit="1" width="3.0" style="1122"/>
    <col min="6489" max="6489" customWidth="1" bestFit="1" width="3.0" style="1122"/>
    <col min="6490" max="6490" customWidth="1" bestFit="1" width="3.0" style="1122"/>
    <col min="6491" max="6491" customWidth="1" bestFit="1" width="3.0" style="1122"/>
    <col min="6492" max="6492" customWidth="1" bestFit="1" width="3.0" style="1122"/>
    <col min="6493" max="6493" customWidth="1" bestFit="1" width="3.0" style="1122"/>
    <col min="6494" max="6494" customWidth="1" bestFit="1" width="3.0" style="1122"/>
    <col min="6495" max="6495" customWidth="1" bestFit="1" width="3.0" style="1122"/>
    <col min="6496" max="6496" customWidth="1" bestFit="1" width="3.0" style="1122"/>
    <col min="6497" max="6497" customWidth="1" bestFit="1" width="3.0" style="1122"/>
    <col min="6498" max="6498" customWidth="1" bestFit="1" width="3.0" style="1122"/>
    <col min="6499" max="6499" customWidth="1" bestFit="1" width="3.0" style="1122"/>
    <col min="6500" max="6500" customWidth="1" bestFit="1" width="3.0" style="1122"/>
    <col min="6501" max="6501" customWidth="1" bestFit="1" width="3.0" style="1122"/>
    <col min="6502" max="6502" customWidth="1" bestFit="1" width="3.0" style="1122"/>
    <col min="6503" max="6503" customWidth="1" bestFit="1" width="3.0" style="1122"/>
    <col min="6504" max="6504" customWidth="1" bestFit="1" width="3.0" style="1122"/>
    <col min="6505" max="6505" customWidth="1" bestFit="1" width="3.0" style="1122"/>
    <col min="6506" max="6506" customWidth="1" bestFit="1" width="3.0" style="1122"/>
    <col min="6507" max="6507" customWidth="1" bestFit="1" width="3.0" style="1122"/>
    <col min="6508" max="6508" customWidth="1" bestFit="1" width="3.0" style="1122"/>
    <col min="6509" max="6509" customWidth="1" bestFit="1" width="3.0" style="1122"/>
    <col min="6510" max="6510" customWidth="1" bestFit="1" width="3.0" style="1122"/>
    <col min="6511" max="6511" customWidth="1" bestFit="1" width="3.0" style="1122"/>
    <col min="6512" max="6512" customWidth="1" bestFit="1" width="3.0" style="1122"/>
    <col min="6513" max="6513" customWidth="1" bestFit="1" width="3.0" style="1122"/>
    <col min="6514" max="6514" customWidth="1" bestFit="1" width="3.0" style="1122"/>
    <col min="6515" max="6515" customWidth="1" bestFit="1" width="3.0" style="1122"/>
    <col min="6516" max="6516" customWidth="1" bestFit="1" width="3.0" style="1122"/>
    <col min="6517" max="6517" customWidth="1" bestFit="1" width="3.0" style="1122"/>
    <col min="6518" max="6518" customWidth="1" bestFit="1" width="3.0" style="1122"/>
    <col min="6519" max="6519" customWidth="1" bestFit="1" width="3.0" style="1122"/>
    <col min="6520" max="6520" customWidth="1" bestFit="1" width="3.0" style="1122"/>
    <col min="6521" max="6521" customWidth="1" bestFit="1" width="3.0" style="1122"/>
    <col min="6522" max="6522" customWidth="1" bestFit="1" width="3.0" style="1122"/>
    <col min="6523" max="6523" customWidth="1" bestFit="1" width="3.0" style="1122"/>
    <col min="6524" max="6524" customWidth="1" bestFit="1" width="3.0" style="1122"/>
    <col min="6525" max="6525" customWidth="1" bestFit="1" width="3.0" style="1122"/>
    <col min="6526" max="6526" customWidth="1" bestFit="1" width="3.0" style="1122"/>
    <col min="6527" max="6527" customWidth="1" bestFit="1" width="3.0" style="1122"/>
    <col min="6528" max="6528" customWidth="1" bestFit="1" width="3.0" style="1122"/>
    <col min="6529" max="6529" customWidth="1" bestFit="1" width="3.0" style="1122"/>
    <col min="6530" max="6530" customWidth="1" bestFit="1" width="3.0" style="1122"/>
    <col min="6531" max="6531" customWidth="1" bestFit="1" width="3.0" style="1122"/>
    <col min="6532" max="6532" customWidth="1" bestFit="1" width="3.0" style="1122"/>
    <col min="6533" max="6533" customWidth="1" bestFit="1" width="3.0" style="1122"/>
    <col min="6534" max="6534" customWidth="1" bestFit="1" width="3.0" style="1122"/>
    <col min="6535" max="6535" customWidth="1" bestFit="1" width="3.0" style="1122"/>
    <col min="6536" max="6536" customWidth="1" bestFit="1" width="3.0" style="1122"/>
    <col min="6537" max="6537" customWidth="1" bestFit="1" width="3.0" style="1122"/>
    <col min="6538" max="6538" customWidth="1" bestFit="1" width="3.0" style="1122"/>
    <col min="6539" max="6539" customWidth="1" bestFit="1" width="3.0" style="1122"/>
    <col min="6540" max="6540" customWidth="1" bestFit="1" width="3.0" style="1122"/>
    <col min="6541" max="6541" customWidth="1" bestFit="1" width="3.0" style="1122"/>
    <col min="6542" max="6542" customWidth="1" bestFit="1" width="3.0" style="1122"/>
    <col min="6543" max="6543" customWidth="1" bestFit="1" width="3.0" style="1122"/>
    <col min="6544" max="6544" customWidth="1" bestFit="1" width="3.0" style="1122"/>
    <col min="6545" max="6545" customWidth="1" bestFit="1" width="3.0" style="1122"/>
    <col min="6546" max="6546" customWidth="1" bestFit="1" width="3.0" style="1122"/>
    <col min="6547" max="6547" customWidth="1" bestFit="1" width="3.0" style="1122"/>
    <col min="6548" max="6548" customWidth="1" bestFit="1" width="3.0" style="1122"/>
    <col min="6549" max="6549" customWidth="1" bestFit="1" width="3.0" style="1122"/>
    <col min="6550" max="6550" customWidth="1" bestFit="1" width="3.0" style="1122"/>
    <col min="6551" max="6551" customWidth="1" bestFit="1" width="3.0" style="1122"/>
    <col min="6552" max="6552" customWidth="1" bestFit="1" width="3.0" style="1122"/>
    <col min="6553" max="6553" customWidth="1" bestFit="1" width="3.0" style="1122"/>
    <col min="6554" max="6554" customWidth="1" bestFit="1" width="3.0" style="1122"/>
    <col min="6555" max="6555" customWidth="1" bestFit="1" width="3.0" style="1122"/>
    <col min="6556" max="6556" customWidth="1" bestFit="1" width="3.0" style="1122"/>
    <col min="6557" max="6557" customWidth="1" bestFit="1" width="3.0" style="1122"/>
    <col min="6558" max="6558" customWidth="1" bestFit="1" width="3.0" style="1122"/>
    <col min="6559" max="6559" customWidth="1" bestFit="1" width="3.0" style="1122"/>
    <col min="6560" max="6560" customWidth="1" bestFit="1" width="3.0" style="1122"/>
    <col min="6561" max="6561" customWidth="1" bestFit="1" width="3.0" style="1122"/>
    <col min="6562" max="6562" customWidth="1" bestFit="1" width="3.0" style="1122"/>
    <col min="6563" max="6563" customWidth="1" bestFit="1" width="3.0" style="1122"/>
    <col min="6564" max="6564" customWidth="1" bestFit="1" width="3.0" style="1122"/>
    <col min="6565" max="6565" customWidth="1" bestFit="1" width="3.0" style="1122"/>
    <col min="6566" max="6566" customWidth="1" bestFit="1" width="3.0" style="1122"/>
    <col min="6567" max="6567" customWidth="1" bestFit="1" width="3.0" style="1122"/>
    <col min="6568" max="6568" customWidth="1" bestFit="1" width="3.0" style="1122"/>
    <col min="6569" max="6569" customWidth="1" bestFit="1" width="3.0" style="1122"/>
    <col min="6570" max="6570" customWidth="1" bestFit="1" width="3.0" style="1122"/>
    <col min="6571" max="6571" customWidth="1" bestFit="1" width="3.0" style="1122"/>
    <col min="6572" max="6572" customWidth="1" bestFit="1" width="3.0" style="1122"/>
    <col min="6573" max="6573" customWidth="1" bestFit="1" width="3.0" style="1122"/>
    <col min="6574" max="6574" customWidth="1" bestFit="1" width="3.0" style="1122"/>
    <col min="6575" max="6575" customWidth="1" bestFit="1" width="3.0" style="1122"/>
    <col min="6576" max="6576" customWidth="1" bestFit="1" width="3.0" style="1122"/>
    <col min="6577" max="6577" customWidth="1" bestFit="1" width="3.0" style="1122"/>
    <col min="6578" max="6578" customWidth="1" bestFit="1" width="3.0" style="1122"/>
    <col min="6579" max="6579" customWidth="1" bestFit="1" width="3.0" style="1122"/>
    <col min="6580" max="6580" customWidth="1" bestFit="1" width="3.0" style="1122"/>
    <col min="6581" max="6581" customWidth="1" bestFit="1" width="3.0" style="1122"/>
    <col min="6582" max="6582" customWidth="1" bestFit="1" width="3.0" style="1122"/>
    <col min="6583" max="6583" customWidth="1" bestFit="1" width="3.0" style="1122"/>
    <col min="6584" max="6584" customWidth="1" bestFit="1" width="3.0" style="1122"/>
    <col min="6585" max="6585" customWidth="1" bestFit="1" width="3.0" style="1122"/>
    <col min="6586" max="6586" customWidth="1" bestFit="1" width="3.0" style="1122"/>
    <col min="6587" max="6587" customWidth="1" bestFit="1" width="3.0" style="1122"/>
    <col min="6588" max="6588" customWidth="1" bestFit="1" width="3.0" style="1122"/>
    <col min="6589" max="6589" customWidth="1" bestFit="1" width="3.0" style="1122"/>
    <col min="6590" max="6590" customWidth="1" bestFit="1" width="3.0" style="1122"/>
    <col min="6591" max="6591" customWidth="1" bestFit="1" width="3.0" style="1122"/>
    <col min="6592" max="6592" customWidth="1" bestFit="1" width="3.0" style="1122"/>
    <col min="6593" max="6593" customWidth="1" bestFit="1" width="3.0" style="1122"/>
    <col min="6594" max="6594" customWidth="1" bestFit="1" width="3.0" style="1122"/>
    <col min="6595" max="6595" customWidth="1" bestFit="1" width="3.0" style="1122"/>
    <col min="6596" max="6596" customWidth="1" bestFit="1" width="3.0" style="1122"/>
    <col min="6597" max="6597" customWidth="1" bestFit="1" width="3.0" style="1122"/>
    <col min="6598" max="6598" customWidth="1" bestFit="1" width="3.0" style="1122"/>
    <col min="6599" max="6599" customWidth="1" bestFit="1" width="3.0" style="1122"/>
    <col min="6600" max="6600" customWidth="1" bestFit="1" width="3.0" style="1122"/>
    <col min="6601" max="6601" customWidth="1" bestFit="1" width="3.0" style="1122"/>
    <col min="6602" max="6602" customWidth="1" bestFit="1" width="3.0" style="1122"/>
    <col min="6603" max="6603" customWidth="1" bestFit="1" width="3.0" style="1122"/>
    <col min="6604" max="6604" customWidth="1" bestFit="1" width="3.0" style="1122"/>
    <col min="6605" max="6605" customWidth="1" bestFit="1" width="3.0" style="1122"/>
    <col min="6606" max="6606" customWidth="1" bestFit="1" width="3.0" style="1122"/>
    <col min="6607" max="6607" customWidth="1" bestFit="1" width="3.0" style="1122"/>
    <col min="6608" max="6608" customWidth="1" bestFit="1" width="3.0" style="1122"/>
    <col min="6609" max="6609" customWidth="1" bestFit="1" width="3.0" style="1122"/>
    <col min="6610" max="6610" customWidth="1" bestFit="1" width="3.0" style="1122"/>
    <col min="6611" max="6611" customWidth="1" bestFit="1" width="3.0" style="1122"/>
    <col min="6612" max="6612" customWidth="1" bestFit="1" width="3.0" style="1122"/>
    <col min="6613" max="6613" customWidth="1" bestFit="1" width="3.0" style="1122"/>
    <col min="6614" max="6614" customWidth="1" bestFit="1" width="3.0" style="1122"/>
    <col min="6615" max="6615" customWidth="1" bestFit="1" width="3.0" style="1122"/>
    <col min="6616" max="6616" customWidth="1" bestFit="1" width="3.0" style="1122"/>
    <col min="6617" max="6617" customWidth="1" bestFit="1" width="3.0" style="1122"/>
    <col min="6618" max="6618" customWidth="1" bestFit="1" width="3.0" style="1122"/>
    <col min="6619" max="6619" customWidth="1" bestFit="1" width="3.0" style="1122"/>
    <col min="6620" max="6620" customWidth="1" bestFit="1" width="3.0" style="1122"/>
    <col min="6621" max="6621" customWidth="1" bestFit="1" width="3.0" style="1122"/>
    <col min="6622" max="6622" customWidth="1" bestFit="1" width="3.0" style="1122"/>
    <col min="6623" max="6623" customWidth="1" bestFit="1" width="3.0" style="1122"/>
    <col min="6624" max="6624" customWidth="1" bestFit="1" width="3.0" style="1122"/>
    <col min="6625" max="6625" customWidth="1" bestFit="1" width="3.0" style="1122"/>
    <col min="6626" max="6626" customWidth="1" bestFit="1" width="3.0" style="1122"/>
    <col min="6627" max="6627" customWidth="1" bestFit="1" width="3.0" style="1122"/>
    <col min="6628" max="6628" customWidth="1" bestFit="1" width="3.0" style="1122"/>
    <col min="6629" max="6629" customWidth="1" bestFit="1" width="3.0" style="1122"/>
    <col min="6630" max="6630" customWidth="1" bestFit="1" width="3.0" style="1122"/>
    <col min="6631" max="6631" customWidth="1" bestFit="1" width="3.0" style="1122"/>
    <col min="6632" max="6632" customWidth="1" bestFit="1" width="3.0" style="1122"/>
    <col min="6633" max="6633" customWidth="1" bestFit="1" width="3.0" style="1122"/>
    <col min="6634" max="6634" customWidth="1" bestFit="1" width="3.0" style="1122"/>
    <col min="6635" max="6635" customWidth="1" bestFit="1" width="3.0" style="1122"/>
    <col min="6636" max="6636" customWidth="1" bestFit="1" width="3.0" style="1122"/>
    <col min="6637" max="6637" customWidth="1" bestFit="1" width="3.0" style="1122"/>
    <col min="6638" max="6638" customWidth="1" bestFit="1" width="3.0" style="1122"/>
    <col min="6639" max="6639" customWidth="1" bestFit="1" width="3.0" style="1122"/>
    <col min="6640" max="6640" customWidth="1" bestFit="1" width="3.0" style="1122"/>
    <col min="6641" max="6641" customWidth="1" bestFit="1" width="3.0" style="1122"/>
    <col min="6642" max="6642" customWidth="1" bestFit="1" width="3.0" style="1122"/>
    <col min="6643" max="6643" customWidth="1" bestFit="1" width="3.0" style="1122"/>
    <col min="6644" max="6644" customWidth="1" bestFit="1" width="3.0" style="1122"/>
    <col min="6645" max="6645" customWidth="1" bestFit="1" width="3.0" style="1122"/>
    <col min="6646" max="6646" customWidth="1" bestFit="1" width="3.0" style="1122"/>
    <col min="6647" max="6647" customWidth="1" bestFit="1" width="3.0" style="1122"/>
    <col min="6648" max="6648" customWidth="1" bestFit="1" width="3.0" style="1122"/>
    <col min="6649" max="6649" customWidth="1" bestFit="1" width="3.0" style="1122"/>
    <col min="6650" max="6650" customWidth="1" bestFit="1" width="3.0" style="1122"/>
    <col min="6651" max="6651" customWidth="1" bestFit="1" width="3.0" style="1122"/>
    <col min="6652" max="6652" customWidth="1" bestFit="1" width="3.0" style="1122"/>
    <col min="6653" max="6653" customWidth="1" bestFit="1" width="3.0" style="1122"/>
    <col min="6654" max="6654" customWidth="1" bestFit="1" width="3.0" style="1122"/>
    <col min="6655" max="6655" customWidth="1" bestFit="1" width="3.0" style="1122"/>
    <col min="6656" max="6656" customWidth="1" bestFit="1" width="3.0" style="1122"/>
    <col min="6657" max="6657" customWidth="1" bestFit="1" width="3.0" style="1122"/>
    <col min="6658" max="6658" customWidth="1" bestFit="1" width="3.0" style="1122"/>
    <col min="6659" max="6659" customWidth="1" bestFit="1" width="3.0" style="1122"/>
    <col min="6660" max="6660" customWidth="1" bestFit="1" width="3.0" style="1122"/>
    <col min="6661" max="6661" customWidth="1" bestFit="1" width="3.0" style="1122"/>
    <col min="6662" max="6662" customWidth="1" bestFit="1" width="3.0" style="1122"/>
    <col min="6663" max="6663" customWidth="1" bestFit="1" width="3.0" style="1122"/>
    <col min="6664" max="6664" customWidth="1" bestFit="1" width="3.0" style="1122"/>
    <col min="6665" max="6665" customWidth="1" bestFit="1" width="3.0" style="1122"/>
    <col min="6666" max="6666" customWidth="1" bestFit="1" width="3.0" style="1122"/>
    <col min="6667" max="6667" customWidth="1" bestFit="1" width="3.0" style="1122"/>
    <col min="6668" max="6668" customWidth="1" bestFit="1" width="3.0" style="1122"/>
    <col min="6669" max="6669" customWidth="1" bestFit="1" width="3.0" style="1122"/>
    <col min="6670" max="6670" customWidth="1" bestFit="1" width="3.0" style="1122"/>
    <col min="6671" max="6671" customWidth="1" bestFit="1" width="3.0" style="1122"/>
    <col min="6672" max="6672" customWidth="1" bestFit="1" width="3.0" style="1122"/>
    <col min="6673" max="6673" customWidth="1" bestFit="1" width="3.0" style="1122"/>
    <col min="6674" max="6674" customWidth="1" bestFit="1" width="3.0" style="1122"/>
    <col min="6675" max="6675" customWidth="1" bestFit="1" width="3.0" style="1122"/>
    <col min="6676" max="6676" customWidth="1" bestFit="1" width="3.0" style="1122"/>
    <col min="6677" max="6677" customWidth="1" bestFit="1" width="3.0" style="1122"/>
    <col min="6678" max="6678" customWidth="1" bestFit="1" width="3.0" style="1122"/>
    <col min="6679" max="6679" customWidth="1" bestFit="1" width="3.0" style="1122"/>
    <col min="6680" max="6680" customWidth="1" bestFit="1" width="3.0" style="1122"/>
    <col min="6681" max="6681" customWidth="1" bestFit="1" width="3.0" style="1122"/>
    <col min="6682" max="6682" customWidth="1" bestFit="1" width="3.0" style="1122"/>
    <col min="6683" max="6683" customWidth="1" bestFit="1" width="3.0" style="1122"/>
    <col min="6684" max="6684" customWidth="1" bestFit="1" width="3.0" style="1122"/>
    <col min="6685" max="6685" customWidth="1" bestFit="1" width="3.0" style="1122"/>
    <col min="6686" max="6686" customWidth="1" bestFit="1" width="3.0" style="1122"/>
    <col min="6687" max="6687" customWidth="1" bestFit="1" width="3.0" style="1122"/>
    <col min="6688" max="6688" customWidth="1" bestFit="1" width="3.0" style="1122"/>
    <col min="6689" max="6689" customWidth="1" bestFit="1" width="3.0" style="1122"/>
    <col min="6690" max="6690" customWidth="1" bestFit="1" width="3.0" style="1122"/>
    <col min="6691" max="6691" customWidth="1" bestFit="1" width="3.0" style="1122"/>
    <col min="6692" max="6692" customWidth="1" bestFit="1" width="3.0" style="1122"/>
    <col min="6693" max="6693" customWidth="1" bestFit="1" width="3.0" style="1122"/>
    <col min="6694" max="6694" customWidth="1" bestFit="1" width="3.0" style="1122"/>
    <col min="6695" max="6695" customWidth="1" bestFit="1" width="3.0" style="1122"/>
    <col min="6696" max="6696" customWidth="1" bestFit="1" width="3.0" style="1122"/>
    <col min="6697" max="6697" customWidth="1" bestFit="1" width="3.0" style="1122"/>
    <col min="6698" max="6698" customWidth="1" bestFit="1" width="3.0" style="1122"/>
    <col min="6699" max="6699" customWidth="1" bestFit="1" width="3.0" style="1122"/>
    <col min="6700" max="6700" customWidth="1" bestFit="1" width="3.0" style="1122"/>
    <col min="6701" max="6701" customWidth="1" bestFit="1" width="3.0" style="1122"/>
    <col min="6702" max="6702" customWidth="1" bestFit="1" width="3.0" style="1122"/>
    <col min="6703" max="6703" customWidth="1" bestFit="1" width="3.0" style="1122"/>
    <col min="6704" max="6704" customWidth="1" bestFit="1" width="3.0" style="1122"/>
    <col min="6705" max="6705" customWidth="1" bestFit="1" width="3.0" style="1122"/>
    <col min="6706" max="6706" customWidth="1" bestFit="1" width="3.0" style="1122"/>
    <col min="6707" max="6707" customWidth="1" bestFit="1" width="3.0" style="1122"/>
    <col min="6708" max="6708" customWidth="1" bestFit="1" width="3.0" style="1122"/>
    <col min="6709" max="6709" customWidth="1" bestFit="1" width="3.0" style="1122"/>
    <col min="6710" max="6710" customWidth="1" bestFit="1" width="3.0" style="1122"/>
    <col min="6711" max="6711" customWidth="1" bestFit="1" width="3.0" style="1122"/>
    <col min="6712" max="6712" customWidth="1" bestFit="1" width="3.0" style="1122"/>
    <col min="6713" max="6713" customWidth="1" bestFit="1" width="3.0" style="1122"/>
    <col min="6714" max="6714" customWidth="1" bestFit="1" width="3.0" style="1122"/>
    <col min="6715" max="6715" customWidth="1" bestFit="1" width="3.0" style="1122"/>
    <col min="6716" max="6716" customWidth="1" bestFit="1" width="3.0" style="1122"/>
    <col min="6717" max="6717" customWidth="1" bestFit="1" width="3.0" style="1122"/>
    <col min="6718" max="6718" customWidth="1" bestFit="1" width="3.0" style="1122"/>
    <col min="6719" max="6719" customWidth="1" bestFit="1" width="3.0" style="1122"/>
    <col min="6720" max="6720" customWidth="1" bestFit="1" width="3.0" style="1122"/>
    <col min="6721" max="6721" customWidth="1" bestFit="1" width="3.0" style="1122"/>
    <col min="6722" max="6722" customWidth="1" bestFit="1" width="3.0" style="1122"/>
    <col min="6723" max="6723" customWidth="1" bestFit="1" width="3.0" style="1122"/>
    <col min="6724" max="6724" customWidth="1" bestFit="1" width="3.0" style="1122"/>
    <col min="6725" max="6725" customWidth="1" bestFit="1" width="3.0" style="1122"/>
    <col min="6726" max="6726" customWidth="1" bestFit="1" width="3.0" style="1122"/>
    <col min="6727" max="6727" customWidth="1" bestFit="1" width="3.0" style="1122"/>
    <col min="6728" max="6728" customWidth="1" bestFit="1" width="3.0" style="1122"/>
    <col min="6729" max="6729" customWidth="1" bestFit="1" width="3.0" style="1122"/>
    <col min="6730" max="6730" customWidth="1" bestFit="1" width="3.0" style="1122"/>
    <col min="6731" max="6731" customWidth="1" bestFit="1" width="3.0" style="1122"/>
    <col min="6732" max="6732" customWidth="1" bestFit="1" width="3.0" style="1122"/>
    <col min="6733" max="6733" customWidth="1" bestFit="1" width="3.0" style="1122"/>
    <col min="6734" max="6734" customWidth="1" bestFit="1" width="3.0" style="1122"/>
    <col min="6735" max="6735" customWidth="1" bestFit="1" width="3.0" style="1122"/>
    <col min="6736" max="6736" customWidth="1" bestFit="1" width="3.0" style="1122"/>
    <col min="6737" max="6737" customWidth="1" bestFit="1" width="3.0" style="1122"/>
    <col min="6738" max="6738" customWidth="1" bestFit="1" width="3.0" style="1122"/>
    <col min="6739" max="6739" customWidth="1" bestFit="1" width="3.0" style="1122"/>
    <col min="6740" max="6740" customWidth="1" bestFit="1" width="3.0" style="1122"/>
    <col min="6741" max="6741" customWidth="1" bestFit="1" width="3.0" style="1122"/>
    <col min="6742" max="6742" customWidth="1" bestFit="1" width="3.0" style="1122"/>
    <col min="6743" max="6743" customWidth="1" bestFit="1" width="3.0" style="1122"/>
    <col min="6744" max="6744" customWidth="1" bestFit="1" width="3.0" style="1122"/>
    <col min="6745" max="6745" customWidth="1" bestFit="1" width="3.0" style="1122"/>
    <col min="6746" max="6746" customWidth="1" bestFit="1" width="3.0" style="1122"/>
    <col min="6747" max="6747" customWidth="1" bestFit="1" width="3.0" style="1122"/>
    <col min="6748" max="6748" customWidth="1" bestFit="1" width="3.0" style="1122"/>
    <col min="6749" max="6749" customWidth="1" bestFit="1" width="3.0" style="1122"/>
    <col min="6750" max="6750" customWidth="1" bestFit="1" width="3.0" style="1122"/>
    <col min="6751" max="6751" customWidth="1" bestFit="1" width="3.0" style="1122"/>
    <col min="6752" max="6752" customWidth="1" bestFit="1" width="3.0" style="1122"/>
    <col min="6753" max="6753" customWidth="1" bestFit="1" width="3.0" style="1122"/>
    <col min="6754" max="6754" customWidth="1" bestFit="1" width="3.0" style="1122"/>
    <col min="6755" max="6755" customWidth="1" bestFit="1" width="3.0" style="1122"/>
    <col min="6756" max="6756" customWidth="1" bestFit="1" width="3.0" style="1122"/>
    <col min="6757" max="6757" customWidth="1" bestFit="1" width="3.0" style="1122"/>
    <col min="6758" max="6758" customWidth="1" bestFit="1" width="3.0" style="1122"/>
    <col min="6759" max="6759" customWidth="1" bestFit="1" width="3.0" style="1122"/>
    <col min="6760" max="6760" customWidth="1" bestFit="1" width="3.0" style="1122"/>
    <col min="6761" max="6761" customWidth="1" bestFit="1" width="3.0" style="1122"/>
    <col min="6762" max="6762" customWidth="1" bestFit="1" width="3.0" style="1122"/>
    <col min="6763" max="6763" customWidth="1" bestFit="1" width="3.0" style="1122"/>
    <col min="6764" max="6764" customWidth="1" bestFit="1" width="3.0" style="1122"/>
    <col min="6765" max="6765" customWidth="1" bestFit="1" width="3.0" style="1122"/>
    <col min="6766" max="6766" customWidth="1" bestFit="1" width="3.0" style="1122"/>
    <col min="6767" max="6767" customWidth="1" bestFit="1" width="3.0" style="1122"/>
    <col min="6768" max="6768" customWidth="1" bestFit="1" width="3.0" style="1122"/>
    <col min="6769" max="6769" customWidth="1" bestFit="1" width="3.0" style="1122"/>
    <col min="6770" max="6770" customWidth="1" bestFit="1" width="3.0" style="1122"/>
    <col min="6771" max="6771" customWidth="1" bestFit="1" width="3.0" style="1122"/>
    <col min="6772" max="6772" customWidth="1" bestFit="1" width="3.0" style="1122"/>
    <col min="6773" max="6773" customWidth="1" bestFit="1" width="3.0" style="1122"/>
    <col min="6774" max="6774" customWidth="1" bestFit="1" width="3.0" style="1122"/>
    <col min="6775" max="6775" customWidth="1" bestFit="1" width="3.0" style="1122"/>
    <col min="6776" max="6776" customWidth="1" bestFit="1" width="3.0" style="1122"/>
    <col min="6777" max="6777" customWidth="1" bestFit="1" width="3.0" style="1122"/>
    <col min="6778" max="6778" customWidth="1" bestFit="1" width="3.0" style="1122"/>
    <col min="6779" max="6779" customWidth="1" bestFit="1" width="3.0" style="1122"/>
    <col min="6780" max="6780" customWidth="1" bestFit="1" width="3.0" style="1122"/>
    <col min="6781" max="6781" customWidth="1" bestFit="1" width="3.0" style="1122"/>
    <col min="6782" max="6782" customWidth="1" bestFit="1" width="3.0" style="1122"/>
    <col min="6783" max="6783" customWidth="1" bestFit="1" width="3.0" style="1122"/>
    <col min="6784" max="6784" customWidth="1" bestFit="1" width="3.0" style="1122"/>
    <col min="6785" max="6785" customWidth="1" bestFit="1" width="3.0" style="1122"/>
    <col min="6786" max="6786" customWidth="1" bestFit="1" width="3.0" style="1122"/>
    <col min="6787" max="6787" customWidth="1" bestFit="1" width="3.0" style="1122"/>
    <col min="6788" max="6788" customWidth="1" bestFit="1" width="3.0" style="1122"/>
    <col min="6789" max="6789" customWidth="1" bestFit="1" width="3.0" style="1122"/>
    <col min="6790" max="6790" customWidth="1" bestFit="1" width="3.0" style="1122"/>
    <col min="6791" max="6791" customWidth="1" bestFit="1" width="3.0" style="1122"/>
    <col min="6792" max="6792" customWidth="1" bestFit="1" width="3.0" style="1122"/>
    <col min="6793" max="6793" customWidth="1" bestFit="1" width="3.0" style="1122"/>
    <col min="6794" max="6794" customWidth="1" bestFit="1" width="3.0" style="1122"/>
    <col min="6795" max="6795" customWidth="1" bestFit="1" width="3.0" style="1122"/>
    <col min="6796" max="6796" customWidth="1" bestFit="1" width="3.0" style="1122"/>
    <col min="6797" max="6797" customWidth="1" bestFit="1" width="3.0" style="1122"/>
    <col min="6798" max="6798" customWidth="1" bestFit="1" width="3.0" style="1122"/>
    <col min="6799" max="6799" customWidth="1" bestFit="1" width="3.0" style="1122"/>
    <col min="6800" max="6800" customWidth="1" bestFit="1" width="3.0" style="1122"/>
    <col min="6801" max="6801" customWidth="1" bestFit="1" width="3.0" style="1122"/>
    <col min="6802" max="6802" customWidth="1" bestFit="1" width="3.0" style="1122"/>
    <col min="6803" max="6803" customWidth="1" bestFit="1" width="3.0" style="1122"/>
    <col min="6804" max="6804" customWidth="1" bestFit="1" width="3.0" style="1122"/>
    <col min="6805" max="6805" customWidth="1" bestFit="1" width="3.0" style="1122"/>
    <col min="6806" max="6806" customWidth="1" bestFit="1" width="3.0" style="1122"/>
    <col min="6807" max="6807" customWidth="1" bestFit="1" width="3.0" style="1122"/>
    <col min="6808" max="6808" customWidth="1" bestFit="1" width="3.0" style="1122"/>
    <col min="6809" max="6809" customWidth="1" bestFit="1" width="3.0" style="1122"/>
    <col min="6810" max="6810" customWidth="1" bestFit="1" width="3.0" style="1122"/>
    <col min="6811" max="6811" customWidth="1" bestFit="1" width="3.0" style="1122"/>
    <col min="6812" max="6812" customWidth="1" bestFit="1" width="3.0" style="1122"/>
    <col min="6813" max="6813" customWidth="1" bestFit="1" width="3.0" style="1122"/>
    <col min="6814" max="6814" customWidth="1" bestFit="1" width="3.0" style="1122"/>
    <col min="6815" max="6815" customWidth="1" bestFit="1" width="3.0" style="1122"/>
    <col min="6816" max="6816" customWidth="1" bestFit="1" width="3.0" style="1122"/>
    <col min="6817" max="6817" customWidth="1" bestFit="1" width="3.0" style="1122"/>
    <col min="6818" max="6818" customWidth="1" bestFit="1" width="3.0" style="1122"/>
    <col min="6819" max="6819" customWidth="1" bestFit="1" width="3.0" style="1122"/>
    <col min="6820" max="6820" customWidth="1" bestFit="1" width="3.0" style="1122"/>
    <col min="6821" max="6821" customWidth="1" bestFit="1" width="3.0" style="1122"/>
    <col min="6822" max="6822" customWidth="1" bestFit="1" width="3.0" style="1122"/>
    <col min="6823" max="6823" customWidth="1" bestFit="1" width="3.0" style="1122"/>
    <col min="6824" max="6824" customWidth="1" bestFit="1" width="3.0" style="1122"/>
    <col min="6825" max="6825" customWidth="1" bestFit="1" width="3.0" style="1122"/>
    <col min="6826" max="6826" customWidth="1" bestFit="1" width="3.0" style="1122"/>
    <col min="6827" max="6827" customWidth="1" bestFit="1" width="3.0" style="1122"/>
    <col min="6828" max="6828" customWidth="1" bestFit="1" width="3.0" style="1122"/>
    <col min="6829" max="6829" customWidth="1" bestFit="1" width="3.0" style="1122"/>
    <col min="6830" max="6830" customWidth="1" bestFit="1" width="3.0" style="1122"/>
    <col min="6831" max="6831" customWidth="1" bestFit="1" width="3.0" style="1122"/>
    <col min="6832" max="6832" customWidth="1" bestFit="1" width="3.0" style="1122"/>
    <col min="6833" max="6833" customWidth="1" bestFit="1" width="3.0" style="1122"/>
    <col min="6834" max="6834" customWidth="1" bestFit="1" width="3.0" style="1122"/>
    <col min="6835" max="6835" customWidth="1" bestFit="1" width="3.0" style="1122"/>
    <col min="6836" max="6836" customWidth="1" bestFit="1" width="3.0" style="1122"/>
    <col min="6837" max="6837" customWidth="1" bestFit="1" width="3.0" style="1122"/>
    <col min="6838" max="6838" customWidth="1" bestFit="1" width="3.0" style="1122"/>
    <col min="6839" max="6839" customWidth="1" bestFit="1" width="3.0" style="1122"/>
    <col min="6840" max="6840" customWidth="1" bestFit="1" width="3.0" style="1122"/>
    <col min="6841" max="6841" customWidth="1" bestFit="1" width="3.0" style="1122"/>
    <col min="6842" max="6842" customWidth="1" bestFit="1" width="3.0" style="1122"/>
    <col min="6843" max="6843" customWidth="1" bestFit="1" width="3.0" style="1122"/>
    <col min="6844" max="6844" customWidth="1" bestFit="1" width="3.0" style="1122"/>
    <col min="6845" max="6845" customWidth="1" bestFit="1" width="3.0" style="1122"/>
    <col min="6846" max="6846" customWidth="1" bestFit="1" width="3.0" style="1122"/>
    <col min="6847" max="6847" customWidth="1" bestFit="1" width="3.0" style="1122"/>
    <col min="6848" max="6848" customWidth="1" bestFit="1" width="3.0" style="1122"/>
    <col min="6849" max="6849" customWidth="1" bestFit="1" width="3.0" style="1122"/>
    <col min="6850" max="6850" customWidth="1" bestFit="1" width="3.0" style="1122"/>
    <col min="6851" max="6851" customWidth="1" bestFit="1" width="3.0" style="1122"/>
    <col min="6852" max="6852" customWidth="1" bestFit="1" width="3.0" style="1122"/>
    <col min="6853" max="6853" customWidth="1" bestFit="1" width="3.0" style="1122"/>
    <col min="6854" max="6854" customWidth="1" bestFit="1" width="3.0" style="1122"/>
    <col min="6855" max="6855" customWidth="1" bestFit="1" width="3.0" style="1122"/>
    <col min="6856" max="6856" customWidth="1" bestFit="1" width="3.0" style="1122"/>
    <col min="6857" max="6857" customWidth="1" bestFit="1" width="3.0" style="1122"/>
    <col min="6858" max="6858" customWidth="1" bestFit="1" width="3.0" style="1122"/>
    <col min="6859" max="6859" customWidth="1" bestFit="1" width="3.0" style="1122"/>
    <col min="6860" max="6860" customWidth="1" bestFit="1" width="3.0" style="1122"/>
    <col min="6861" max="6861" customWidth="1" bestFit="1" width="3.0" style="1122"/>
    <col min="6862" max="6862" customWidth="1" bestFit="1" width="3.0" style="1122"/>
    <col min="6863" max="6863" customWidth="1" bestFit="1" width="3.0" style="1122"/>
    <col min="6864" max="6864" customWidth="1" bestFit="1" width="3.0" style="1122"/>
    <col min="6865" max="6865" customWidth="1" bestFit="1" width="3.0" style="1122"/>
    <col min="6866" max="6866" customWidth="1" bestFit="1" width="3.0" style="1122"/>
    <col min="6867" max="6867" customWidth="1" bestFit="1" width="3.0" style="1122"/>
    <col min="6868" max="6868" customWidth="1" bestFit="1" width="3.0" style="1122"/>
    <col min="6869" max="6869" customWidth="1" bestFit="1" width="3.0" style="1122"/>
    <col min="6870" max="6870" customWidth="1" bestFit="1" width="3.0" style="1122"/>
    <col min="6871" max="6871" customWidth="1" bestFit="1" width="3.0" style="1122"/>
    <col min="6872" max="6872" customWidth="1" bestFit="1" width="3.0" style="1122"/>
    <col min="6873" max="6873" customWidth="1" bestFit="1" width="3.0" style="1122"/>
    <col min="6874" max="6874" customWidth="1" bestFit="1" width="3.0" style="1122"/>
    <col min="6875" max="6875" customWidth="1" bestFit="1" width="3.0" style="1122"/>
    <col min="6876" max="6876" customWidth="1" bestFit="1" width="3.0" style="1122"/>
    <col min="6877" max="6877" customWidth="1" bestFit="1" width="3.0" style="1122"/>
    <col min="6878" max="6878" customWidth="1" bestFit="1" width="3.0" style="1122"/>
    <col min="6879" max="6879" customWidth="1" bestFit="1" width="3.0" style="1122"/>
    <col min="6880" max="6880" customWidth="1" bestFit="1" width="3.0" style="1122"/>
    <col min="6881" max="6881" customWidth="1" bestFit="1" width="3.0" style="1122"/>
    <col min="6882" max="6882" customWidth="1" bestFit="1" width="3.0" style="1122"/>
    <col min="6883" max="6883" customWidth="1" bestFit="1" width="3.0" style="1122"/>
    <col min="6884" max="6884" customWidth="1" bestFit="1" width="3.0" style="1122"/>
    <col min="6885" max="6885" customWidth="1" bestFit="1" width="3.0" style="1122"/>
    <col min="6886" max="6886" customWidth="1" bestFit="1" width="3.0" style="1122"/>
    <col min="6887" max="6887" customWidth="1" bestFit="1" width="3.0" style="1122"/>
    <col min="6888" max="6888" customWidth="1" bestFit="1" width="3.0" style="1122"/>
    <col min="6889" max="6889" customWidth="1" bestFit="1" width="3.0" style="1122"/>
    <col min="6890" max="6890" customWidth="1" bestFit="1" width="3.0" style="1122"/>
    <col min="6891" max="6891" customWidth="1" bestFit="1" width="3.0" style="1122"/>
    <col min="6892" max="6892" customWidth="1" bestFit="1" width="3.0" style="1122"/>
    <col min="6893" max="6893" customWidth="1" bestFit="1" width="3.0" style="1122"/>
    <col min="6894" max="6894" customWidth="1" bestFit="1" width="3.0" style="1122"/>
    <col min="6895" max="6895" customWidth="1" bestFit="1" width="3.0" style="1122"/>
    <col min="6896" max="6896" customWidth="1" bestFit="1" width="3.0" style="1122"/>
    <col min="6897" max="6897" customWidth="1" bestFit="1" width="3.0" style="1122"/>
    <col min="6898" max="6898" customWidth="1" bestFit="1" width="3.0" style="1122"/>
    <col min="6899" max="6899" customWidth="1" bestFit="1" width="3.0" style="1122"/>
    <col min="6900" max="6900" customWidth="1" bestFit="1" width="3.0" style="1122"/>
    <col min="6901" max="6901" customWidth="1" bestFit="1" width="3.0" style="1122"/>
    <col min="6902" max="6902" customWidth="1" bestFit="1" width="3.0" style="1122"/>
    <col min="6903" max="6903" customWidth="1" bestFit="1" width="3.0" style="1122"/>
    <col min="6904" max="6904" customWidth="1" bestFit="1" width="3.0" style="1122"/>
    <col min="6905" max="6905" customWidth="1" bestFit="1" width="3.0" style="1122"/>
    <col min="6906" max="6906" customWidth="1" bestFit="1" width="3.0" style="1122"/>
    <col min="6907" max="6907" customWidth="1" bestFit="1" width="3.0" style="1122"/>
    <col min="6908" max="6908" customWidth="1" bestFit="1" width="3.0" style="1122"/>
    <col min="6909" max="6909" customWidth="1" bestFit="1" width="3.0" style="1122"/>
    <col min="6910" max="6910" customWidth="1" bestFit="1" width="3.0" style="1122"/>
    <col min="6911" max="6911" customWidth="1" bestFit="1" width="3.0" style="1122"/>
    <col min="6912" max="6912" customWidth="1" bestFit="1" width="3.0" style="1122"/>
    <col min="6913" max="6913" customWidth="1" bestFit="1" width="3.0" style="1122"/>
    <col min="6914" max="6914" customWidth="1" bestFit="1" width="3.0" style="1122"/>
    <col min="6915" max="6915" customWidth="1" bestFit="1" width="3.0" style="1122"/>
    <col min="6916" max="6916" customWidth="1" bestFit="1" width="3.0" style="1122"/>
    <col min="6917" max="6917" customWidth="1" bestFit="1" width="3.0" style="1122"/>
    <col min="6918" max="6918" customWidth="1" bestFit="1" width="3.0" style="1122"/>
    <col min="6919" max="6919" customWidth="1" bestFit="1" width="3.0" style="1122"/>
    <col min="6920" max="6920" customWidth="1" bestFit="1" width="3.0" style="1122"/>
    <col min="6921" max="6921" customWidth="1" bestFit="1" width="3.0" style="1122"/>
    <col min="6922" max="6922" customWidth="1" bestFit="1" width="3.0" style="1122"/>
    <col min="6923" max="6923" customWidth="1" bestFit="1" width="3.0" style="1122"/>
    <col min="6924" max="6924" customWidth="1" bestFit="1" width="3.0" style="1122"/>
    <col min="6925" max="6925" customWidth="1" bestFit="1" width="3.0" style="1122"/>
    <col min="6926" max="6926" customWidth="1" bestFit="1" width="3.0" style="1122"/>
    <col min="6927" max="6927" customWidth="1" bestFit="1" width="3.0" style="1122"/>
    <col min="6928" max="6928" customWidth="1" bestFit="1" width="3.0" style="1122"/>
    <col min="6929" max="6929" customWidth="1" bestFit="1" width="3.0" style="1122"/>
    <col min="6930" max="6930" customWidth="1" bestFit="1" width="3.0" style="1122"/>
    <col min="6931" max="6931" customWidth="1" bestFit="1" width="3.0" style="1122"/>
    <col min="6932" max="6932" customWidth="1" bestFit="1" width="3.0" style="1122"/>
    <col min="6933" max="6933" customWidth="1" bestFit="1" width="3.0" style="1122"/>
    <col min="6934" max="6934" customWidth="1" bestFit="1" width="3.0" style="1122"/>
    <col min="6935" max="6935" customWidth="1" bestFit="1" width="3.0" style="1122"/>
    <col min="6936" max="6936" customWidth="1" bestFit="1" width="3.0" style="1122"/>
    <col min="6937" max="6937" customWidth="1" bestFit="1" width="3.0" style="1122"/>
    <col min="6938" max="6938" customWidth="1" bestFit="1" width="3.0" style="1122"/>
    <col min="6939" max="6939" customWidth="1" bestFit="1" width="3.0" style="1122"/>
    <col min="6940" max="6940" customWidth="1" bestFit="1" width="3.0" style="1122"/>
    <col min="6941" max="6941" customWidth="1" bestFit="1" width="3.0" style="1122"/>
    <col min="6942" max="6942" customWidth="1" bestFit="1" width="3.0" style="1122"/>
    <col min="6943" max="6943" customWidth="1" bestFit="1" width="3.0" style="1122"/>
    <col min="6944" max="6944" customWidth="1" bestFit="1" width="3.0" style="1122"/>
    <col min="6945" max="6945" customWidth="1" bestFit="1" width="3.0" style="1122"/>
    <col min="6946" max="6946" customWidth="1" bestFit="1" width="3.0" style="1122"/>
    <col min="6947" max="6947" customWidth="1" bestFit="1" width="3.0" style="1122"/>
    <col min="6948" max="6948" customWidth="1" bestFit="1" width="3.0" style="1122"/>
    <col min="6949" max="6949" customWidth="1" bestFit="1" width="3.0" style="1122"/>
    <col min="6950" max="6950" customWidth="1" bestFit="1" width="3.0" style="1122"/>
    <col min="6951" max="6951" customWidth="1" bestFit="1" width="3.0" style="1122"/>
    <col min="6952" max="6952" customWidth="1" bestFit="1" width="3.0" style="1122"/>
    <col min="6953" max="6953" customWidth="1" bestFit="1" width="3.0" style="1122"/>
    <col min="6954" max="6954" customWidth="1" bestFit="1" width="3.0" style="1122"/>
    <col min="6955" max="6955" customWidth="1" bestFit="1" width="3.0" style="1122"/>
    <col min="6956" max="6956" customWidth="1" bestFit="1" width="3.0" style="1122"/>
    <col min="6957" max="6957" customWidth="1" bestFit="1" width="3.0" style="1122"/>
    <col min="6958" max="6958" customWidth="1" bestFit="1" width="3.0" style="1122"/>
    <col min="6959" max="6959" customWidth="1" bestFit="1" width="3.0" style="1122"/>
    <col min="6960" max="6960" customWidth="1" bestFit="1" width="3.0" style="1122"/>
    <col min="6961" max="6961" customWidth="1" bestFit="1" width="3.0" style="1122"/>
    <col min="6962" max="6962" customWidth="1" bestFit="1" width="3.0" style="1122"/>
    <col min="6963" max="6963" customWidth="1" bestFit="1" width="3.0" style="1122"/>
    <col min="6964" max="6964" customWidth="1" bestFit="1" width="3.0" style="1122"/>
    <col min="6965" max="6965" customWidth="1" bestFit="1" width="3.0" style="1122"/>
    <col min="6966" max="6966" customWidth="1" bestFit="1" width="3.0" style="1122"/>
    <col min="6967" max="6967" customWidth="1" bestFit="1" width="3.0" style="1122"/>
    <col min="6968" max="6968" customWidth="1" bestFit="1" width="3.0" style="1122"/>
    <col min="6969" max="6969" customWidth="1" bestFit="1" width="3.0" style="1122"/>
    <col min="6970" max="6970" customWidth="1" bestFit="1" width="3.0" style="1122"/>
    <col min="6971" max="6971" customWidth="1" bestFit="1" width="3.0" style="1122"/>
    <col min="6972" max="6972" customWidth="1" bestFit="1" width="3.0" style="1122"/>
    <col min="6973" max="6973" customWidth="1" bestFit="1" width="3.0" style="1122"/>
    <col min="6974" max="6974" customWidth="1" bestFit="1" width="3.0" style="1122"/>
    <col min="6975" max="6975" customWidth="1" bestFit="1" width="3.0" style="1122"/>
    <col min="6976" max="6976" customWidth="1" bestFit="1" width="3.0" style="1122"/>
    <col min="6977" max="6977" customWidth="1" bestFit="1" width="3.0" style="1122"/>
    <col min="6978" max="6978" customWidth="1" bestFit="1" width="3.0" style="1122"/>
    <col min="6979" max="6979" customWidth="1" bestFit="1" width="3.0" style="1122"/>
    <col min="6980" max="6980" customWidth="1" bestFit="1" width="3.0" style="1122"/>
    <col min="6981" max="6981" customWidth="1" bestFit="1" width="3.0" style="1122"/>
    <col min="6982" max="6982" customWidth="1" bestFit="1" width="3.0" style="1122"/>
    <col min="6983" max="6983" customWidth="1" bestFit="1" width="3.0" style="1122"/>
    <col min="6984" max="6984" customWidth="1" bestFit="1" width="3.0" style="1122"/>
    <col min="6985" max="6985" customWidth="1" bestFit="1" width="3.0" style="1122"/>
    <col min="6986" max="6986" customWidth="1" bestFit="1" width="3.0" style="1122"/>
    <col min="6987" max="6987" customWidth="1" bestFit="1" width="3.0" style="1122"/>
    <col min="6988" max="6988" customWidth="1" bestFit="1" width="3.0" style="1122"/>
    <col min="6989" max="6989" customWidth="1" bestFit="1" width="3.0" style="1122"/>
    <col min="6990" max="6990" customWidth="1" bestFit="1" width="3.0" style="1122"/>
    <col min="6991" max="6991" customWidth="1" bestFit="1" width="3.0" style="1122"/>
    <col min="6992" max="6992" customWidth="1" bestFit="1" width="3.0" style="1122"/>
    <col min="6993" max="6993" customWidth="1" bestFit="1" width="3.0" style="1122"/>
    <col min="6994" max="6994" customWidth="1" bestFit="1" width="3.0" style="1122"/>
    <col min="6995" max="6995" customWidth="1" bestFit="1" width="3.0" style="1122"/>
    <col min="6996" max="6996" customWidth="1" bestFit="1" width="3.0" style="1122"/>
    <col min="6997" max="6997" customWidth="1" bestFit="1" width="3.0" style="1122"/>
    <col min="6998" max="6998" customWidth="1" bestFit="1" width="3.0" style="1122"/>
    <col min="6999" max="6999" customWidth="1" bestFit="1" width="3.0" style="1122"/>
    <col min="7000" max="7000" customWidth="1" bestFit="1" width="3.0" style="1122"/>
    <col min="7001" max="7001" customWidth="1" bestFit="1" width="3.0" style="1122"/>
    <col min="7002" max="7002" customWidth="1" bestFit="1" width="3.0" style="1122"/>
    <col min="7003" max="7003" customWidth="1" bestFit="1" width="3.0" style="1122"/>
    <col min="7004" max="7004" customWidth="1" bestFit="1" width="3.0" style="1122"/>
    <col min="7005" max="7005" customWidth="1" bestFit="1" width="3.0" style="1122"/>
    <col min="7006" max="7006" customWidth="1" bestFit="1" width="3.0" style="1122"/>
    <col min="7007" max="7007" customWidth="1" bestFit="1" width="3.0" style="1122"/>
    <col min="7008" max="7008" customWidth="1" bestFit="1" width="3.0" style="1122"/>
    <col min="7009" max="7009" customWidth="1" bestFit="1" width="3.0" style="1122"/>
    <col min="7010" max="7010" customWidth="1" bestFit="1" width="3.0" style="1122"/>
    <col min="7011" max="7011" customWidth="1" bestFit="1" width="3.0" style="1122"/>
    <col min="7012" max="7012" customWidth="1" bestFit="1" width="3.0" style="1122"/>
    <col min="7013" max="7013" customWidth="1" bestFit="1" width="3.0" style="1122"/>
    <col min="7014" max="7014" customWidth="1" bestFit="1" width="3.0" style="1122"/>
    <col min="7015" max="7015" customWidth="1" bestFit="1" width="3.0" style="1122"/>
    <col min="7016" max="7016" customWidth="1" bestFit="1" width="3.0" style="1122"/>
    <col min="7017" max="7017" customWidth="1" bestFit="1" width="3.0" style="1122"/>
    <col min="7018" max="7018" customWidth="1" bestFit="1" width="3.0" style="1122"/>
    <col min="7019" max="7019" customWidth="1" bestFit="1" width="3.0" style="1122"/>
    <col min="7020" max="7020" customWidth="1" bestFit="1" width="3.0" style="1122"/>
    <col min="7021" max="7021" customWidth="1" bestFit="1" width="3.0" style="1122"/>
    <col min="7022" max="7022" customWidth="1" bestFit="1" width="3.0" style="1122"/>
    <col min="7023" max="7023" customWidth="1" bestFit="1" width="3.0" style="1122"/>
    <col min="7024" max="7024" customWidth="1" bestFit="1" width="3.0" style="1122"/>
    <col min="7025" max="7025" customWidth="1" bestFit="1" width="3.0" style="1122"/>
    <col min="7026" max="7026" customWidth="1" bestFit="1" width="3.0" style="1122"/>
    <col min="7027" max="7027" customWidth="1" bestFit="1" width="3.0" style="1122"/>
    <col min="7028" max="7028" customWidth="1" bestFit="1" width="3.0" style="1122"/>
    <col min="7029" max="7029" customWidth="1" bestFit="1" width="3.0" style="1122"/>
    <col min="7030" max="7030" customWidth="1" bestFit="1" width="3.0" style="1122"/>
    <col min="7031" max="7031" customWidth="1" bestFit="1" width="3.0" style="1122"/>
    <col min="7032" max="7032" customWidth="1" bestFit="1" width="3.0" style="1122"/>
    <col min="7033" max="7033" customWidth="1" bestFit="1" width="3.0" style="1122"/>
    <col min="7034" max="7034" customWidth="1" bestFit="1" width="3.0" style="1122"/>
    <col min="7035" max="7035" customWidth="1" bestFit="1" width="3.0" style="1122"/>
    <col min="7036" max="7036" customWidth="1" bestFit="1" width="3.0" style="1122"/>
    <col min="7037" max="7037" customWidth="1" bestFit="1" width="3.0" style="1122"/>
    <col min="7038" max="7038" customWidth="1" bestFit="1" width="3.0" style="1122"/>
    <col min="7039" max="7039" customWidth="1" bestFit="1" width="3.0" style="1122"/>
    <col min="7040" max="7040" customWidth="1" bestFit="1" width="3.0" style="1122"/>
    <col min="7041" max="7041" customWidth="1" bestFit="1" width="3.0" style="1122"/>
    <col min="7042" max="7042" customWidth="1" bestFit="1" width="3.0" style="1122"/>
    <col min="7043" max="7043" customWidth="1" bestFit="1" width="3.0" style="1122"/>
    <col min="7044" max="7044" customWidth="1" bestFit="1" width="3.0" style="1122"/>
    <col min="7045" max="7045" customWidth="1" bestFit="1" width="3.0" style="1122"/>
    <col min="7046" max="7046" customWidth="1" bestFit="1" width="3.0" style="1122"/>
    <col min="7047" max="7047" customWidth="1" bestFit="1" width="3.0" style="1122"/>
    <col min="7048" max="7048" customWidth="1" bestFit="1" width="3.0" style="1122"/>
    <col min="7049" max="7049" customWidth="1" bestFit="1" width="3.0" style="1122"/>
    <col min="7050" max="7050" customWidth="1" bestFit="1" width="3.0" style="1122"/>
    <col min="7051" max="7051" customWidth="1" bestFit="1" width="3.0" style="1122"/>
    <col min="7052" max="7052" customWidth="1" bestFit="1" width="3.0" style="1122"/>
    <col min="7053" max="7053" customWidth="1" bestFit="1" width="3.0" style="1122"/>
    <col min="7054" max="7054" customWidth="1" bestFit="1" width="3.0" style="1122"/>
    <col min="7055" max="7055" customWidth="1" bestFit="1" width="3.0" style="1122"/>
    <col min="7056" max="7056" customWidth="1" bestFit="1" width="3.0" style="1122"/>
    <col min="7057" max="7057" customWidth="1" bestFit="1" width="3.0" style="1122"/>
    <col min="7058" max="7058" customWidth="1" bestFit="1" width="3.0" style="1122"/>
    <col min="7059" max="7059" customWidth="1" bestFit="1" width="3.0" style="1122"/>
    <col min="7060" max="7060" customWidth="1" bestFit="1" width="3.0" style="1122"/>
    <col min="7061" max="7061" customWidth="1" bestFit="1" width="3.0" style="1122"/>
    <col min="7062" max="7062" customWidth="1" bestFit="1" width="3.0" style="1122"/>
    <col min="7063" max="7063" customWidth="1" bestFit="1" width="3.0" style="1122"/>
    <col min="7064" max="7064" customWidth="1" bestFit="1" width="3.0" style="1122"/>
    <col min="7065" max="7065" customWidth="1" bestFit="1" width="3.0" style="1122"/>
    <col min="7066" max="7066" customWidth="1" bestFit="1" width="3.0" style="1122"/>
    <col min="7067" max="7067" customWidth="1" bestFit="1" width="3.0" style="1122"/>
    <col min="7068" max="7068" customWidth="1" bestFit="1" width="3.0" style="1122"/>
    <col min="7069" max="7069" customWidth="1" bestFit="1" width="3.0" style="1122"/>
    <col min="7070" max="7070" customWidth="1" bestFit="1" width="3.0" style="1122"/>
    <col min="7071" max="7071" customWidth="1" bestFit="1" width="3.0" style="1122"/>
    <col min="7072" max="7072" customWidth="1" bestFit="1" width="3.0" style="1122"/>
    <col min="7073" max="7073" customWidth="1" bestFit="1" width="3.0" style="1122"/>
    <col min="7074" max="7074" customWidth="1" bestFit="1" width="3.0" style="1122"/>
    <col min="7075" max="7075" customWidth="1" bestFit="1" width="3.0" style="1122"/>
    <col min="7076" max="7076" customWidth="1" bestFit="1" width="3.0" style="1122"/>
    <col min="7077" max="7077" customWidth="1" bestFit="1" width="3.0" style="1122"/>
    <col min="7078" max="7078" customWidth="1" bestFit="1" width="3.0" style="1122"/>
    <col min="7079" max="7079" customWidth="1" bestFit="1" width="3.0" style="1122"/>
    <col min="7080" max="7080" customWidth="1" bestFit="1" width="3.0" style="1122"/>
    <col min="7081" max="7081" customWidth="1" bestFit="1" width="3.0" style="1122"/>
    <col min="7082" max="7082" customWidth="1" bestFit="1" width="3.0" style="1122"/>
    <col min="7083" max="7083" customWidth="1" bestFit="1" width="3.0" style="1122"/>
    <col min="7084" max="7084" customWidth="1" bestFit="1" width="3.0" style="1122"/>
    <col min="7085" max="7085" customWidth="1" bestFit="1" width="3.0" style="1122"/>
    <col min="7086" max="7086" customWidth="1" bestFit="1" width="3.0" style="1122"/>
    <col min="7087" max="7087" customWidth="1" bestFit="1" width="3.0" style="1122"/>
    <col min="7088" max="7088" customWidth="1" bestFit="1" width="3.0" style="1122"/>
    <col min="7089" max="7089" customWidth="1" bestFit="1" width="3.0" style="1122"/>
    <col min="7090" max="7090" customWidth="1" bestFit="1" width="3.0" style="1122"/>
    <col min="7091" max="7091" customWidth="1" bestFit="1" width="3.0" style="1122"/>
    <col min="7092" max="7092" customWidth="1" bestFit="1" width="3.0" style="1122"/>
    <col min="7093" max="7093" customWidth="1" bestFit="1" width="3.0" style="1122"/>
    <col min="7094" max="7094" customWidth="1" bestFit="1" width="3.0" style="1122"/>
    <col min="7095" max="7095" customWidth="1" bestFit="1" width="3.0" style="1122"/>
    <col min="7096" max="7096" customWidth="1" bestFit="1" width="3.0" style="1122"/>
    <col min="7097" max="7097" customWidth="1" bestFit="1" width="3.0" style="1122"/>
    <col min="7098" max="7098" customWidth="1" bestFit="1" width="3.0" style="1122"/>
    <col min="7099" max="7099" customWidth="1" bestFit="1" width="3.0" style="1122"/>
    <col min="7100" max="7100" customWidth="1" bestFit="1" width="3.0" style="1122"/>
    <col min="7101" max="7101" customWidth="1" bestFit="1" width="3.0" style="1122"/>
    <col min="7102" max="7102" customWidth="1" bestFit="1" width="3.0" style="1122"/>
    <col min="7103" max="7103" customWidth="1" bestFit="1" width="3.0" style="1122"/>
    <col min="7104" max="7104" customWidth="1" bestFit="1" width="3.0" style="1122"/>
    <col min="7105" max="7105" customWidth="1" bestFit="1" width="3.0" style="1122"/>
    <col min="7106" max="7106" customWidth="1" bestFit="1" width="3.0" style="1122"/>
    <col min="7107" max="7107" customWidth="1" bestFit="1" width="3.0" style="1122"/>
    <col min="7108" max="7108" customWidth="1" bestFit="1" width="3.0" style="1122"/>
    <col min="7109" max="7109" customWidth="1" bestFit="1" width="3.0" style="1122"/>
    <col min="7110" max="7110" customWidth="1" bestFit="1" width="3.0" style="1122"/>
    <col min="7111" max="7111" customWidth="1" bestFit="1" width="3.0" style="1122"/>
    <col min="7112" max="7112" customWidth="1" bestFit="1" width="3.0" style="1122"/>
    <col min="7113" max="7113" customWidth="1" bestFit="1" width="3.0" style="1122"/>
    <col min="7114" max="7114" customWidth="1" bestFit="1" width="3.0" style="1122"/>
    <col min="7115" max="7115" customWidth="1" bestFit="1" width="3.0" style="1122"/>
    <col min="7116" max="7116" customWidth="1" bestFit="1" width="3.0" style="1122"/>
    <col min="7117" max="7117" customWidth="1" bestFit="1" width="3.0" style="1122"/>
    <col min="7118" max="7118" customWidth="1" bestFit="1" width="3.0" style="1122"/>
    <col min="7119" max="7119" customWidth="1" bestFit="1" width="3.0" style="1122"/>
    <col min="7120" max="7120" customWidth="1" bestFit="1" width="3.0" style="1122"/>
    <col min="7121" max="7121" customWidth="1" bestFit="1" width="3.0" style="1122"/>
    <col min="7122" max="7122" customWidth="1" bestFit="1" width="3.0" style="1122"/>
    <col min="7123" max="7123" customWidth="1" bestFit="1" width="3.0" style="1122"/>
    <col min="7124" max="7124" customWidth="1" bestFit="1" width="3.0" style="1122"/>
    <col min="7125" max="7125" customWidth="1" bestFit="1" width="3.0" style="1122"/>
    <col min="7126" max="7126" customWidth="1" bestFit="1" width="3.0" style="1122"/>
    <col min="7127" max="7127" customWidth="1" bestFit="1" width="3.0" style="1122"/>
    <col min="7128" max="7128" customWidth="1" bestFit="1" width="3.0" style="1122"/>
    <col min="7129" max="7129" customWidth="1" bestFit="1" width="3.0" style="1122"/>
    <col min="7130" max="7130" customWidth="1" bestFit="1" width="3.0" style="1122"/>
    <col min="7131" max="7131" customWidth="1" bestFit="1" width="3.0" style="1122"/>
    <col min="7132" max="7132" customWidth="1" bestFit="1" width="3.0" style="1122"/>
    <col min="7133" max="7133" customWidth="1" bestFit="1" width="3.0" style="1122"/>
    <col min="7134" max="7134" customWidth="1" bestFit="1" width="3.0" style="1122"/>
    <col min="7135" max="7135" customWidth="1" bestFit="1" width="3.0" style="1122"/>
    <col min="7136" max="7136" customWidth="1" bestFit="1" width="3.0" style="1122"/>
    <col min="7137" max="7137" customWidth="1" bestFit="1" width="3.0" style="1122"/>
    <col min="7138" max="7138" customWidth="1" bestFit="1" width="3.0" style="1122"/>
    <col min="7139" max="7139" customWidth="1" bestFit="1" width="3.0" style="1122"/>
    <col min="7140" max="7140" customWidth="1" bestFit="1" width="3.0" style="1122"/>
    <col min="7141" max="7141" customWidth="1" bestFit="1" width="3.0" style="1122"/>
    <col min="7142" max="7142" customWidth="1" bestFit="1" width="3.0" style="1122"/>
    <col min="7143" max="7143" customWidth="1" bestFit="1" width="3.0" style="1122"/>
    <col min="7144" max="7144" customWidth="1" bestFit="1" width="3.0" style="1122"/>
    <col min="7145" max="7145" customWidth="1" bestFit="1" width="3.0" style="1122"/>
    <col min="7146" max="7146" customWidth="1" bestFit="1" width="3.0" style="1122"/>
    <col min="7147" max="7147" customWidth="1" bestFit="1" width="3.0" style="1122"/>
    <col min="7148" max="7148" customWidth="1" bestFit="1" width="3.0" style="1122"/>
    <col min="7149" max="7149" customWidth="1" bestFit="1" width="3.0" style="1122"/>
    <col min="7150" max="7150" customWidth="1" bestFit="1" width="3.0" style="1122"/>
    <col min="7151" max="7151" customWidth="1" bestFit="1" width="3.0" style="1122"/>
    <col min="7152" max="7152" customWidth="1" bestFit="1" width="3.0" style="1122"/>
    <col min="7153" max="7153" customWidth="1" bestFit="1" width="3.0" style="1122"/>
    <col min="7154" max="7154" customWidth="1" bestFit="1" width="3.0" style="1122"/>
    <col min="7155" max="7155" customWidth="1" bestFit="1" width="3.0" style="1122"/>
    <col min="7156" max="7156" customWidth="1" bestFit="1" width="3.0" style="1122"/>
    <col min="7157" max="7157" customWidth="1" bestFit="1" width="3.0" style="1122"/>
    <col min="7158" max="7158" customWidth="1" bestFit="1" width="3.0" style="1122"/>
    <col min="7159" max="7159" customWidth="1" bestFit="1" width="3.0" style="1122"/>
    <col min="7160" max="7160" customWidth="1" bestFit="1" width="3.0" style="1122"/>
    <col min="7161" max="7161" customWidth="1" bestFit="1" width="3.0" style="1122"/>
    <col min="7162" max="7162" customWidth="1" bestFit="1" width="3.0" style="1122"/>
    <col min="7163" max="7163" customWidth="1" bestFit="1" width="3.0" style="1122"/>
    <col min="7164" max="7164" customWidth="1" bestFit="1" width="3.0" style="1122"/>
    <col min="7165" max="7165" customWidth="1" bestFit="1" width="3.0" style="1122"/>
    <col min="7166" max="7166" customWidth="1" bestFit="1" width="3.0" style="1122"/>
    <col min="7167" max="7167" customWidth="1" bestFit="1" width="3.0" style="1122"/>
    <col min="7168" max="7168" customWidth="1" bestFit="1" width="3.0" style="1122"/>
    <col min="7169" max="7169" customWidth="1" bestFit="1" width="3.0" style="1122"/>
    <col min="7170" max="7170" customWidth="1" bestFit="1" width="3.0" style="1122"/>
    <col min="7171" max="7171" customWidth="1" bestFit="1" width="3.0" style="1122"/>
    <col min="7172" max="7172" customWidth="1" bestFit="1" width="3.0" style="1122"/>
    <col min="7173" max="7173" customWidth="1" bestFit="1" width="3.0" style="1122"/>
    <col min="7174" max="7174" customWidth="1" bestFit="1" width="3.0" style="1122"/>
    <col min="7175" max="7175" customWidth="1" bestFit="1" width="3.0" style="1122"/>
    <col min="7176" max="7176" customWidth="1" bestFit="1" width="3.0" style="1122"/>
    <col min="7177" max="7177" customWidth="1" bestFit="1" width="3.0" style="1122"/>
    <col min="7178" max="7178" customWidth="1" bestFit="1" width="3.0" style="1122"/>
    <col min="7179" max="7179" customWidth="1" bestFit="1" width="3.0" style="1122"/>
    <col min="7180" max="7180" customWidth="1" bestFit="1" width="3.0" style="1122"/>
    <col min="7181" max="7181" customWidth="1" bestFit="1" width="3.0" style="1122"/>
    <col min="7182" max="7182" customWidth="1" bestFit="1" width="3.0" style="1122"/>
    <col min="7183" max="7183" customWidth="1" bestFit="1" width="3.0" style="1122"/>
    <col min="7184" max="7184" customWidth="1" bestFit="1" width="3.0" style="1122"/>
    <col min="7185" max="7185" customWidth="1" bestFit="1" width="3.0" style="1122"/>
    <col min="7186" max="7186" customWidth="1" bestFit="1" width="3.0" style="1122"/>
    <col min="7187" max="7187" customWidth="1" bestFit="1" width="3.0" style="1122"/>
    <col min="7188" max="7188" customWidth="1" bestFit="1" width="3.0" style="1122"/>
    <col min="7189" max="7189" customWidth="1" bestFit="1" width="3.0" style="1122"/>
    <col min="7190" max="7190" customWidth="1" bestFit="1" width="3.0" style="1122"/>
    <col min="7191" max="7191" customWidth="1" bestFit="1" width="3.0" style="1122"/>
    <col min="7192" max="7192" customWidth="1" bestFit="1" width="3.0" style="1122"/>
    <col min="7193" max="7193" customWidth="1" bestFit="1" width="3.0" style="1122"/>
    <col min="7194" max="7194" customWidth="1" bestFit="1" width="3.0" style="1122"/>
    <col min="7195" max="7195" customWidth="1" bestFit="1" width="3.0" style="1122"/>
    <col min="7196" max="7196" customWidth="1" bestFit="1" width="3.0" style="1122"/>
    <col min="7197" max="7197" customWidth="1" bestFit="1" width="3.0" style="1122"/>
    <col min="7198" max="7198" customWidth="1" bestFit="1" width="3.0" style="1122"/>
    <col min="7199" max="7199" customWidth="1" bestFit="1" width="3.0" style="1122"/>
    <col min="7200" max="7200" customWidth="1" bestFit="1" width="3.0" style="1122"/>
    <col min="7201" max="7201" customWidth="1" bestFit="1" width="3.0" style="1122"/>
    <col min="7202" max="7202" customWidth="1" bestFit="1" width="3.0" style="1122"/>
    <col min="7203" max="7203" customWidth="1" bestFit="1" width="3.0" style="1122"/>
    <col min="7204" max="7204" customWidth="1" bestFit="1" width="3.0" style="1122"/>
    <col min="7205" max="7205" customWidth="1" bestFit="1" width="3.0" style="1122"/>
    <col min="7206" max="7206" customWidth="1" bestFit="1" width="3.0" style="1122"/>
    <col min="7207" max="7207" customWidth="1" bestFit="1" width="3.0" style="1122"/>
    <col min="7208" max="7208" customWidth="1" bestFit="1" width="3.0" style="1122"/>
    <col min="7209" max="7209" customWidth="1" bestFit="1" width="3.0" style="1122"/>
    <col min="7210" max="7210" customWidth="1" bestFit="1" width="3.0" style="1122"/>
    <col min="7211" max="7211" customWidth="1" bestFit="1" width="3.0" style="1122"/>
    <col min="7212" max="7212" customWidth="1" bestFit="1" width="3.0" style="1122"/>
    <col min="7213" max="7213" customWidth="1" bestFit="1" width="3.0" style="1122"/>
    <col min="7214" max="7214" customWidth="1" bestFit="1" width="3.0" style="1122"/>
    <col min="7215" max="7215" customWidth="1" bestFit="1" width="3.0" style="1122"/>
    <col min="7216" max="7216" customWidth="1" bestFit="1" width="3.0" style="1122"/>
    <col min="7217" max="7217" customWidth="1" bestFit="1" width="3.0" style="1122"/>
    <col min="7218" max="7218" customWidth="1" bestFit="1" width="3.0" style="1122"/>
    <col min="7219" max="7219" customWidth="1" bestFit="1" width="3.0" style="1122"/>
    <col min="7220" max="7220" customWidth="1" bestFit="1" width="3.0" style="1122"/>
    <col min="7221" max="7221" customWidth="1" bestFit="1" width="3.0" style="1122"/>
    <col min="7222" max="7222" customWidth="1" bestFit="1" width="3.0" style="1122"/>
    <col min="7223" max="7223" customWidth="1" bestFit="1" width="3.0" style="1122"/>
    <col min="7224" max="7224" customWidth="1" bestFit="1" width="3.0" style="1122"/>
    <col min="7225" max="7225" customWidth="1" bestFit="1" width="3.0" style="1122"/>
    <col min="7226" max="7226" customWidth="1" bestFit="1" width="3.0" style="1122"/>
    <col min="7227" max="7227" customWidth="1" bestFit="1" width="3.0" style="1122"/>
    <col min="7228" max="7228" customWidth="1" bestFit="1" width="3.0" style="1122"/>
    <col min="7229" max="7229" customWidth="1" bestFit="1" width="3.0" style="1122"/>
    <col min="7230" max="7230" customWidth="1" bestFit="1" width="3.0" style="1122"/>
    <col min="7231" max="7231" customWidth="1" bestFit="1" width="3.0" style="1122"/>
    <col min="7232" max="7232" customWidth="1" bestFit="1" width="3.0" style="1122"/>
    <col min="7233" max="7233" customWidth="1" bestFit="1" width="3.0" style="1122"/>
    <col min="7234" max="7234" customWidth="1" bestFit="1" width="3.0" style="1122"/>
    <col min="7235" max="7235" customWidth="1" bestFit="1" width="3.0" style="1122"/>
    <col min="7236" max="7236" customWidth="1" bestFit="1" width="3.0" style="1122"/>
    <col min="7237" max="7237" customWidth="1" bestFit="1" width="3.0" style="1122"/>
    <col min="7238" max="7238" customWidth="1" bestFit="1" width="3.0" style="1122"/>
    <col min="7239" max="7239" customWidth="1" bestFit="1" width="3.0" style="1122"/>
    <col min="7240" max="7240" customWidth="1" bestFit="1" width="3.0" style="1122"/>
    <col min="7241" max="7241" customWidth="1" bestFit="1" width="3.0" style="1122"/>
    <col min="7242" max="7242" customWidth="1" bestFit="1" width="3.0" style="1122"/>
    <col min="7243" max="7243" customWidth="1" bestFit="1" width="3.0" style="1122"/>
    <col min="7244" max="7244" customWidth="1" bestFit="1" width="3.0" style="1122"/>
    <col min="7245" max="7245" customWidth="1" bestFit="1" width="3.0" style="1122"/>
    <col min="7246" max="7246" customWidth="1" bestFit="1" width="3.0" style="1122"/>
    <col min="7247" max="7247" customWidth="1" bestFit="1" width="3.0" style="1122"/>
    <col min="7248" max="7248" customWidth="1" bestFit="1" width="3.0" style="1122"/>
    <col min="7249" max="7249" customWidth="1" bestFit="1" width="3.0" style="1122"/>
    <col min="7250" max="7250" customWidth="1" bestFit="1" width="3.0" style="1122"/>
    <col min="7251" max="7251" customWidth="1" bestFit="1" width="3.0" style="1122"/>
    <col min="7252" max="7252" customWidth="1" bestFit="1" width="3.0" style="1122"/>
    <col min="7253" max="7253" customWidth="1" bestFit="1" width="3.0" style="1122"/>
    <col min="7254" max="7254" customWidth="1" bestFit="1" width="3.0" style="1122"/>
    <col min="7255" max="7255" customWidth="1" bestFit="1" width="3.0" style="1122"/>
    <col min="7256" max="7256" customWidth="1" bestFit="1" width="3.0" style="1122"/>
    <col min="7257" max="7257" customWidth="1" bestFit="1" width="3.0" style="1122"/>
    <col min="7258" max="7258" customWidth="1" bestFit="1" width="3.0" style="1122"/>
    <col min="7259" max="7259" customWidth="1" bestFit="1" width="3.0" style="1122"/>
    <col min="7260" max="7260" customWidth="1" bestFit="1" width="3.0" style="1122"/>
    <col min="7261" max="7261" customWidth="1" bestFit="1" width="3.0" style="1122"/>
    <col min="7262" max="7262" customWidth="1" bestFit="1" width="3.0" style="1122"/>
    <col min="7263" max="7263" customWidth="1" bestFit="1" width="3.0" style="1122"/>
    <col min="7264" max="7264" customWidth="1" bestFit="1" width="3.0" style="1122"/>
    <col min="7265" max="7265" customWidth="1" bestFit="1" width="3.0" style="1122"/>
    <col min="7266" max="7266" customWidth="1" bestFit="1" width="3.0" style="1122"/>
    <col min="7267" max="7267" customWidth="1" bestFit="1" width="3.0" style="1122"/>
    <col min="7268" max="7268" customWidth="1" bestFit="1" width="3.0" style="1122"/>
    <col min="7269" max="7269" customWidth="1" bestFit="1" width="3.0" style="1122"/>
    <col min="7270" max="7270" customWidth="1" bestFit="1" width="3.0" style="1122"/>
    <col min="7271" max="7271" customWidth="1" bestFit="1" width="3.0" style="1122"/>
    <col min="7272" max="7272" customWidth="1" bestFit="1" width="3.0" style="1122"/>
    <col min="7273" max="7273" customWidth="1" bestFit="1" width="3.0" style="1122"/>
    <col min="7274" max="7274" customWidth="1" bestFit="1" width="3.0" style="1122"/>
    <col min="7275" max="7275" customWidth="1" bestFit="1" width="3.0" style="1122"/>
    <col min="7276" max="7276" customWidth="1" bestFit="1" width="3.0" style="1122"/>
    <col min="7277" max="7277" customWidth="1" bestFit="1" width="3.0" style="1122"/>
    <col min="7278" max="7278" customWidth="1" bestFit="1" width="3.0" style="1122"/>
    <col min="7279" max="7279" customWidth="1" bestFit="1" width="3.0" style="1122"/>
    <col min="7280" max="7280" customWidth="1" bestFit="1" width="3.0" style="1122"/>
    <col min="7281" max="7281" customWidth="1" bestFit="1" width="3.0" style="1122"/>
    <col min="7282" max="7282" customWidth="1" bestFit="1" width="3.0" style="1122"/>
    <col min="7283" max="7283" customWidth="1" bestFit="1" width="3.0" style="1122"/>
    <col min="7284" max="7284" customWidth="1" bestFit="1" width="3.0" style="1122"/>
    <col min="7285" max="7285" customWidth="1" bestFit="1" width="3.0" style="1122"/>
    <col min="7286" max="7286" customWidth="1" bestFit="1" width="3.0" style="1122"/>
    <col min="7287" max="7287" customWidth="1" bestFit="1" width="3.0" style="1122"/>
    <col min="7288" max="7288" customWidth="1" bestFit="1" width="3.0" style="1122"/>
    <col min="7289" max="7289" customWidth="1" bestFit="1" width="3.0" style="1122"/>
    <col min="7290" max="7290" customWidth="1" bestFit="1" width="3.0" style="1122"/>
    <col min="7291" max="7291" customWidth="1" bestFit="1" width="3.0" style="1122"/>
    <col min="7292" max="7292" customWidth="1" bestFit="1" width="3.0" style="1122"/>
    <col min="7293" max="7293" customWidth="1" bestFit="1" width="3.0" style="1122"/>
    <col min="7294" max="7294" customWidth="1" bestFit="1" width="3.0" style="1122"/>
    <col min="7295" max="7295" customWidth="1" bestFit="1" width="3.0" style="1122"/>
    <col min="7296" max="7296" customWidth="1" bestFit="1" width="3.0" style="1122"/>
    <col min="7297" max="7297" customWidth="1" bestFit="1" width="3.0" style="1122"/>
    <col min="7298" max="7298" customWidth="1" bestFit="1" width="3.0" style="1122"/>
    <col min="7299" max="7299" customWidth="1" bestFit="1" width="3.0" style="1122"/>
    <col min="7300" max="7300" customWidth="1" bestFit="1" width="3.0" style="1122"/>
    <col min="7301" max="7301" customWidth="1" bestFit="1" width="3.0" style="1122"/>
    <col min="7302" max="7302" customWidth="1" bestFit="1" width="3.0" style="1122"/>
    <col min="7303" max="7303" customWidth="1" bestFit="1" width="3.0" style="1122"/>
    <col min="7304" max="7304" customWidth="1" bestFit="1" width="3.0" style="1122"/>
    <col min="7305" max="7305" customWidth="1" bestFit="1" width="3.0" style="1122"/>
    <col min="7306" max="7306" customWidth="1" bestFit="1" width="3.0" style="1122"/>
    <col min="7307" max="7307" customWidth="1" bestFit="1" width="3.0" style="1122"/>
    <col min="7308" max="7308" customWidth="1" bestFit="1" width="3.0" style="1122"/>
    <col min="7309" max="7309" customWidth="1" bestFit="1" width="3.0" style="1122"/>
    <col min="7310" max="7310" customWidth="1" bestFit="1" width="3.0" style="1122"/>
    <col min="7311" max="7311" customWidth="1" bestFit="1" width="3.0" style="1122"/>
    <col min="7312" max="7312" customWidth="1" bestFit="1" width="3.0" style="1122"/>
    <col min="7313" max="7313" customWidth="1" bestFit="1" width="3.0" style="1122"/>
    <col min="7314" max="7314" customWidth="1" bestFit="1" width="3.0" style="1122"/>
    <col min="7315" max="7315" customWidth="1" bestFit="1" width="3.0" style="1122"/>
    <col min="7316" max="7316" customWidth="1" bestFit="1" width="3.0" style="1122"/>
    <col min="7317" max="7317" customWidth="1" bestFit="1" width="3.0" style="1122"/>
    <col min="7318" max="7318" customWidth="1" bestFit="1" width="3.0" style="1122"/>
    <col min="7319" max="7319" customWidth="1" bestFit="1" width="3.0" style="1122"/>
    <col min="7320" max="7320" customWidth="1" bestFit="1" width="3.0" style="1122"/>
    <col min="7321" max="7321" customWidth="1" bestFit="1" width="3.0" style="1122"/>
    <col min="7322" max="7322" customWidth="1" bestFit="1" width="3.0" style="1122"/>
    <col min="7323" max="7323" customWidth="1" bestFit="1" width="3.0" style="1122"/>
    <col min="7324" max="7324" customWidth="1" bestFit="1" width="3.0" style="1122"/>
    <col min="7325" max="7325" customWidth="1" bestFit="1" width="3.0" style="1122"/>
    <col min="7326" max="7326" customWidth="1" bestFit="1" width="3.0" style="1122"/>
    <col min="7327" max="7327" customWidth="1" bestFit="1" width="3.0" style="1122"/>
    <col min="7328" max="7328" customWidth="1" bestFit="1" width="3.0" style="1122"/>
    <col min="7329" max="7329" customWidth="1" bestFit="1" width="3.0" style="1122"/>
    <col min="7330" max="7330" customWidth="1" bestFit="1" width="3.0" style="1122"/>
    <col min="7331" max="7331" customWidth="1" bestFit="1" width="3.0" style="1122"/>
    <col min="7332" max="7332" customWidth="1" bestFit="1" width="3.0" style="1122"/>
    <col min="7333" max="7333" customWidth="1" bestFit="1" width="3.0" style="1122"/>
    <col min="7334" max="7334" customWidth="1" bestFit="1" width="3.0" style="1122"/>
    <col min="7335" max="7335" customWidth="1" bestFit="1" width="3.0" style="1122"/>
    <col min="7336" max="7336" customWidth="1" bestFit="1" width="3.0" style="1122"/>
    <col min="7337" max="7337" customWidth="1" bestFit="1" width="3.0" style="1122"/>
    <col min="7338" max="7338" customWidth="1" bestFit="1" width="3.0" style="1122"/>
    <col min="7339" max="7339" customWidth="1" bestFit="1" width="3.0" style="1122"/>
    <col min="7340" max="7340" customWidth="1" bestFit="1" width="3.0" style="1122"/>
    <col min="7341" max="7341" customWidth="1" bestFit="1" width="3.0" style="1122"/>
    <col min="7342" max="7342" customWidth="1" bestFit="1" width="3.0" style="1122"/>
    <col min="7343" max="7343" customWidth="1" bestFit="1" width="3.0" style="1122"/>
    <col min="7344" max="7344" customWidth="1" bestFit="1" width="3.0" style="1122"/>
    <col min="7345" max="7345" customWidth="1" bestFit="1" width="3.0" style="1122"/>
    <col min="7346" max="7346" customWidth="1" bestFit="1" width="3.0" style="1122"/>
    <col min="7347" max="7347" customWidth="1" bestFit="1" width="3.0" style="1122"/>
    <col min="7348" max="7348" customWidth="1" bestFit="1" width="3.0" style="1122"/>
    <col min="7349" max="7349" customWidth="1" bestFit="1" width="3.0" style="1122"/>
    <col min="7350" max="7350" customWidth="1" bestFit="1" width="3.0" style="1122"/>
    <col min="7351" max="7351" customWidth="1" bestFit="1" width="3.0" style="1122"/>
    <col min="7352" max="7352" customWidth="1" bestFit="1" width="3.0" style="1122"/>
    <col min="7353" max="7353" customWidth="1" bestFit="1" width="3.0" style="1122"/>
    <col min="7354" max="7354" customWidth="1" bestFit="1" width="3.0" style="1122"/>
    <col min="7355" max="7355" customWidth="1" bestFit="1" width="3.0" style="1122"/>
    <col min="7356" max="7356" customWidth="1" bestFit="1" width="3.0" style="1122"/>
    <col min="7357" max="7357" customWidth="1" bestFit="1" width="3.0" style="1122"/>
    <col min="7358" max="7358" customWidth="1" bestFit="1" width="3.0" style="1122"/>
    <col min="7359" max="7359" customWidth="1" bestFit="1" width="3.0" style="1122"/>
    <col min="7360" max="7360" customWidth="1" bestFit="1" width="3.0" style="1122"/>
    <col min="7361" max="7361" customWidth="1" bestFit="1" width="3.0" style="1122"/>
    <col min="7362" max="7362" customWidth="1" bestFit="1" width="3.0" style="1122"/>
    <col min="7363" max="7363" customWidth="1" bestFit="1" width="3.0" style="1122"/>
    <col min="7364" max="7364" customWidth="1" bestFit="1" width="3.0" style="1122"/>
    <col min="7365" max="7365" customWidth="1" bestFit="1" width="3.0" style="1122"/>
    <col min="7366" max="7366" customWidth="1" bestFit="1" width="3.0" style="1122"/>
    <col min="7367" max="7367" customWidth="1" bestFit="1" width="3.0" style="1122"/>
    <col min="7368" max="7368" customWidth="1" bestFit="1" width="3.0" style="1122"/>
    <col min="7369" max="7369" customWidth="1" bestFit="1" width="3.0" style="1122"/>
    <col min="7370" max="7370" customWidth="1" bestFit="1" width="3.0" style="1122"/>
    <col min="7371" max="7371" customWidth="1" bestFit="1" width="3.0" style="1122"/>
    <col min="7372" max="7372" customWidth="1" bestFit="1" width="3.0" style="1122"/>
    <col min="7373" max="7373" customWidth="1" bestFit="1" width="3.0" style="1122"/>
    <col min="7374" max="7374" customWidth="1" bestFit="1" width="3.0" style="1122"/>
    <col min="7375" max="7375" customWidth="1" bestFit="1" width="3.0" style="1122"/>
    <col min="7376" max="7376" customWidth="1" bestFit="1" width="3.0" style="1122"/>
    <col min="7377" max="7377" customWidth="1" bestFit="1" width="3.0" style="1122"/>
    <col min="7378" max="7378" customWidth="1" bestFit="1" width="3.0" style="1122"/>
    <col min="7379" max="7379" customWidth="1" bestFit="1" width="3.0" style="1122"/>
    <col min="7380" max="7380" customWidth="1" bestFit="1" width="3.0" style="1122"/>
    <col min="7381" max="7381" customWidth="1" bestFit="1" width="3.0" style="1122"/>
    <col min="7382" max="7382" customWidth="1" bestFit="1" width="3.0" style="1122"/>
    <col min="7383" max="7383" customWidth="1" bestFit="1" width="3.0" style="1122"/>
    <col min="7384" max="7384" customWidth="1" bestFit="1" width="3.0" style="1122"/>
    <col min="7385" max="7385" customWidth="1" bestFit="1" width="3.0" style="1122"/>
    <col min="7386" max="7386" customWidth="1" bestFit="1" width="3.0" style="1122"/>
    <col min="7387" max="7387" customWidth="1" bestFit="1" width="3.0" style="1122"/>
    <col min="7388" max="7388" customWidth="1" bestFit="1" width="3.0" style="1122"/>
    <col min="7389" max="7389" customWidth="1" bestFit="1" width="3.0" style="1122"/>
    <col min="7390" max="7390" customWidth="1" bestFit="1" width="3.0" style="1122"/>
    <col min="7391" max="7391" customWidth="1" bestFit="1" width="3.0" style="1122"/>
    <col min="7392" max="7392" customWidth="1" bestFit="1" width="3.0" style="1122"/>
    <col min="7393" max="7393" customWidth="1" bestFit="1" width="3.0" style="1122"/>
    <col min="7394" max="7394" customWidth="1" bestFit="1" width="3.0" style="1122"/>
    <col min="7395" max="7395" customWidth="1" bestFit="1" width="3.0" style="1122"/>
    <col min="7396" max="7396" customWidth="1" bestFit="1" width="3.0" style="1122"/>
    <col min="7397" max="7397" customWidth="1" bestFit="1" width="3.0" style="1122"/>
    <col min="7398" max="7398" customWidth="1" bestFit="1" width="3.0" style="1122"/>
    <col min="7399" max="7399" customWidth="1" bestFit="1" width="3.0" style="1122"/>
    <col min="7400" max="7400" customWidth="1" bestFit="1" width="3.0" style="1122"/>
    <col min="7401" max="7401" customWidth="1" bestFit="1" width="3.0" style="1122"/>
    <col min="7402" max="7402" customWidth="1" bestFit="1" width="3.0" style="1122"/>
    <col min="7403" max="7403" customWidth="1" bestFit="1" width="3.0" style="1122"/>
    <col min="7404" max="7404" customWidth="1" bestFit="1" width="3.0" style="1122"/>
    <col min="7405" max="7405" customWidth="1" bestFit="1" width="3.0" style="1122"/>
    <col min="7406" max="7406" customWidth="1" bestFit="1" width="3.0" style="1122"/>
    <col min="7407" max="7407" customWidth="1" bestFit="1" width="3.0" style="1122"/>
    <col min="7408" max="7408" customWidth="1" bestFit="1" width="3.0" style="1122"/>
    <col min="7409" max="7409" customWidth="1" bestFit="1" width="3.0" style="1122"/>
    <col min="7410" max="7410" customWidth="1" bestFit="1" width="3.0" style="1122"/>
    <col min="7411" max="7411" customWidth="1" bestFit="1" width="3.0" style="1122"/>
    <col min="7412" max="7412" customWidth="1" bestFit="1" width="3.0" style="1122"/>
    <col min="7413" max="7413" customWidth="1" bestFit="1" width="3.0" style="1122"/>
    <col min="7414" max="7414" customWidth="1" bestFit="1" width="3.0" style="1122"/>
    <col min="7415" max="7415" customWidth="1" bestFit="1" width="3.0" style="1122"/>
    <col min="7416" max="7416" customWidth="1" bestFit="1" width="3.0" style="1122"/>
    <col min="7417" max="7417" customWidth="1" bestFit="1" width="3.0" style="1122"/>
    <col min="7418" max="7418" customWidth="1" bestFit="1" width="3.0" style="1122"/>
    <col min="7419" max="7419" customWidth="1" bestFit="1" width="3.0" style="1122"/>
    <col min="7420" max="7420" customWidth="1" bestFit="1" width="3.0" style="1122"/>
    <col min="7421" max="7421" customWidth="1" bestFit="1" width="3.0" style="1122"/>
    <col min="7422" max="7422" customWidth="1" bestFit="1" width="3.0" style="1122"/>
    <col min="7423" max="7423" customWidth="1" bestFit="1" width="3.0" style="1122"/>
    <col min="7424" max="7424" customWidth="1" bestFit="1" width="3.0" style="1122"/>
    <col min="7425" max="7425" customWidth="1" bestFit="1" width="3.0" style="1122"/>
    <col min="7426" max="7426" customWidth="1" bestFit="1" width="3.0" style="1122"/>
    <col min="7427" max="7427" customWidth="1" bestFit="1" width="3.0" style="1122"/>
    <col min="7428" max="7428" customWidth="1" bestFit="1" width="3.0" style="1122"/>
    <col min="7429" max="7429" customWidth="1" bestFit="1" width="3.0" style="1122"/>
    <col min="7430" max="7430" customWidth="1" bestFit="1" width="3.0" style="1122"/>
    <col min="7431" max="7431" customWidth="1" bestFit="1" width="3.0" style="1122"/>
    <col min="7432" max="7432" customWidth="1" bestFit="1" width="3.0" style="1122"/>
    <col min="7433" max="7433" customWidth="1" bestFit="1" width="3.0" style="1122"/>
    <col min="7434" max="7434" customWidth="1" bestFit="1" width="3.0" style="1122"/>
    <col min="7435" max="7435" customWidth="1" bestFit="1" width="3.0" style="1122"/>
    <col min="7436" max="7436" customWidth="1" bestFit="1" width="3.0" style="1122"/>
    <col min="7437" max="7437" customWidth="1" bestFit="1" width="3.0" style="1122"/>
    <col min="7438" max="7438" customWidth="1" bestFit="1" width="3.0" style="1122"/>
    <col min="7439" max="7439" customWidth="1" bestFit="1" width="3.0" style="1122"/>
    <col min="7440" max="7440" customWidth="1" bestFit="1" width="3.0" style="1122"/>
    <col min="7441" max="7441" customWidth="1" bestFit="1" width="3.0" style="1122"/>
    <col min="7442" max="7442" customWidth="1" bestFit="1" width="3.0" style="1122"/>
    <col min="7443" max="7443" customWidth="1" bestFit="1" width="3.0" style="1122"/>
    <col min="7444" max="7444" customWidth="1" bestFit="1" width="3.0" style="1122"/>
    <col min="7445" max="7445" customWidth="1" bestFit="1" width="3.0" style="1122"/>
    <col min="7446" max="7446" customWidth="1" bestFit="1" width="3.0" style="1122"/>
    <col min="7447" max="7447" customWidth="1" bestFit="1" width="3.0" style="1122"/>
    <col min="7448" max="7448" customWidth="1" bestFit="1" width="3.0" style="1122"/>
    <col min="7449" max="7449" customWidth="1" bestFit="1" width="3.0" style="1122"/>
    <col min="7450" max="7450" customWidth="1" bestFit="1" width="3.0" style="1122"/>
    <col min="7451" max="7451" customWidth="1" bestFit="1" width="3.0" style="1122"/>
    <col min="7452" max="7452" customWidth="1" bestFit="1" width="3.0" style="1122"/>
    <col min="7453" max="7453" customWidth="1" bestFit="1" width="3.0" style="1122"/>
    <col min="7454" max="7454" customWidth="1" bestFit="1" width="3.0" style="1122"/>
    <col min="7455" max="7455" customWidth="1" bestFit="1" width="3.0" style="1122"/>
    <col min="7456" max="7456" customWidth="1" bestFit="1" width="3.0" style="1122"/>
    <col min="7457" max="7457" customWidth="1" bestFit="1" width="3.0" style="1122"/>
    <col min="7458" max="7458" customWidth="1" bestFit="1" width="3.0" style="1122"/>
    <col min="7459" max="7459" customWidth="1" bestFit="1" width="3.0" style="1122"/>
    <col min="7460" max="7460" customWidth="1" bestFit="1" width="3.0" style="1122"/>
    <col min="7461" max="7461" customWidth="1" bestFit="1" width="3.0" style="1122"/>
    <col min="7462" max="7462" customWidth="1" bestFit="1" width="3.0" style="1122"/>
    <col min="7463" max="7463" customWidth="1" bestFit="1" width="3.0" style="1122"/>
    <col min="7464" max="7464" customWidth="1" bestFit="1" width="3.0" style="1122"/>
    <col min="7465" max="7465" customWidth="1" bestFit="1" width="3.0" style="1122"/>
    <col min="7466" max="7466" customWidth="1" bestFit="1" width="3.0" style="1122"/>
    <col min="7467" max="7467" customWidth="1" bestFit="1" width="3.0" style="1122"/>
    <col min="7468" max="7468" customWidth="1" bestFit="1" width="3.0" style="1122"/>
    <col min="7469" max="7469" customWidth="1" bestFit="1" width="3.0" style="1122"/>
    <col min="7470" max="7470" customWidth="1" bestFit="1" width="3.0" style="1122"/>
    <col min="7471" max="7471" customWidth="1" bestFit="1" width="3.0" style="1122"/>
    <col min="7472" max="7472" customWidth="1" bestFit="1" width="3.0" style="1122"/>
    <col min="7473" max="7473" customWidth="1" bestFit="1" width="3.0" style="1122"/>
    <col min="7474" max="7474" customWidth="1" bestFit="1" width="3.0" style="1122"/>
    <col min="7475" max="7475" customWidth="1" bestFit="1" width="3.0" style="1122"/>
    <col min="7476" max="7476" customWidth="1" bestFit="1" width="3.0" style="1122"/>
    <col min="7477" max="7477" customWidth="1" bestFit="1" width="3.0" style="1122"/>
    <col min="7478" max="7478" customWidth="1" bestFit="1" width="3.0" style="1122"/>
    <col min="7479" max="7479" customWidth="1" bestFit="1" width="3.0" style="1122"/>
    <col min="7480" max="7480" customWidth="1" bestFit="1" width="3.0" style="1122"/>
    <col min="7481" max="7481" customWidth="1" bestFit="1" width="3.0" style="1122"/>
    <col min="7482" max="7482" customWidth="1" bestFit="1" width="3.0" style="1122"/>
    <col min="7483" max="7483" customWidth="1" bestFit="1" width="3.0" style="1122"/>
    <col min="7484" max="7484" customWidth="1" bestFit="1" width="3.0" style="1122"/>
    <col min="7485" max="7485" customWidth="1" bestFit="1" width="3.0" style="1122"/>
    <col min="7486" max="7486" customWidth="1" bestFit="1" width="3.0" style="1122"/>
    <col min="7487" max="7487" customWidth="1" bestFit="1" width="3.0" style="1122"/>
    <col min="7488" max="7488" customWidth="1" bestFit="1" width="3.0" style="1122"/>
    <col min="7489" max="7489" customWidth="1" bestFit="1" width="3.0" style="1122"/>
    <col min="7490" max="7490" customWidth="1" bestFit="1" width="3.0" style="1122"/>
    <col min="7491" max="7491" customWidth="1" bestFit="1" width="3.0" style="1122"/>
    <col min="7492" max="7492" customWidth="1" bestFit="1" width="3.0" style="1122"/>
    <col min="7493" max="7493" customWidth="1" bestFit="1" width="3.0" style="1122"/>
    <col min="7494" max="7494" customWidth="1" bestFit="1" width="3.0" style="1122"/>
    <col min="7495" max="7495" customWidth="1" bestFit="1" width="3.0" style="1122"/>
    <col min="7496" max="7496" customWidth="1" bestFit="1" width="3.0" style="1122"/>
    <col min="7497" max="7497" customWidth="1" bestFit="1" width="3.0" style="1122"/>
    <col min="7498" max="7498" customWidth="1" bestFit="1" width="3.0" style="1122"/>
    <col min="7499" max="7499" customWidth="1" bestFit="1" width="3.0" style="1122"/>
    <col min="7500" max="7500" customWidth="1" bestFit="1" width="3.0" style="1122"/>
    <col min="7501" max="7501" customWidth="1" bestFit="1" width="3.0" style="1122"/>
    <col min="7502" max="7502" customWidth="1" bestFit="1" width="3.0" style="1122"/>
    <col min="7503" max="7503" customWidth="1" bestFit="1" width="3.0" style="1122"/>
    <col min="7504" max="7504" customWidth="1" bestFit="1" width="3.0" style="1122"/>
    <col min="7505" max="7505" customWidth="1" bestFit="1" width="3.0" style="1122"/>
    <col min="7506" max="7506" customWidth="1" bestFit="1" width="3.0" style="1122"/>
    <col min="7507" max="7507" customWidth="1" bestFit="1" width="3.0" style="1122"/>
    <col min="7508" max="7508" customWidth="1" bestFit="1" width="3.0" style="1122"/>
    <col min="7509" max="7509" customWidth="1" bestFit="1" width="3.0" style="1122"/>
    <col min="7510" max="7510" customWidth="1" bestFit="1" width="3.0" style="1122"/>
    <col min="7511" max="7511" customWidth="1" bestFit="1" width="3.0" style="1122"/>
    <col min="7512" max="7512" customWidth="1" bestFit="1" width="3.0" style="1122"/>
    <col min="7513" max="7513" customWidth="1" bestFit="1" width="3.0" style="1122"/>
    <col min="7514" max="7514" customWidth="1" bestFit="1" width="3.0" style="1122"/>
    <col min="7515" max="7515" customWidth="1" bestFit="1" width="3.0" style="1122"/>
    <col min="7516" max="7516" customWidth="1" bestFit="1" width="3.0" style="1122"/>
    <col min="7517" max="7517" customWidth="1" bestFit="1" width="3.0" style="1122"/>
    <col min="7518" max="7518" customWidth="1" bestFit="1" width="3.0" style="1122"/>
    <col min="7519" max="7519" customWidth="1" bestFit="1" width="3.0" style="1122"/>
    <col min="7520" max="7520" customWidth="1" bestFit="1" width="3.0" style="1122"/>
    <col min="7521" max="7521" customWidth="1" bestFit="1" width="3.0" style="1122"/>
    <col min="7522" max="7522" customWidth="1" bestFit="1" width="3.0" style="1122"/>
    <col min="7523" max="7523" customWidth="1" bestFit="1" width="3.0" style="1122"/>
    <col min="7524" max="7524" customWidth="1" bestFit="1" width="3.0" style="1122"/>
    <col min="7525" max="7525" customWidth="1" bestFit="1" width="3.0" style="1122"/>
    <col min="7526" max="7526" customWidth="1" bestFit="1" width="3.0" style="1122"/>
    <col min="7527" max="7527" customWidth="1" bestFit="1" width="3.0" style="1122"/>
    <col min="7528" max="7528" customWidth="1" bestFit="1" width="3.0" style="1122"/>
    <col min="7529" max="7529" customWidth="1" bestFit="1" width="3.0" style="1122"/>
    <col min="7530" max="7530" customWidth="1" bestFit="1" width="3.0" style="1122"/>
    <col min="7531" max="7531" customWidth="1" bestFit="1" width="3.0" style="1122"/>
    <col min="7532" max="7532" customWidth="1" bestFit="1" width="3.0" style="1122"/>
    <col min="7533" max="7533" customWidth="1" bestFit="1" width="3.0" style="1122"/>
    <col min="7534" max="7534" customWidth="1" bestFit="1" width="3.0" style="1122"/>
    <col min="7535" max="7535" customWidth="1" bestFit="1" width="3.0" style="1122"/>
    <col min="7536" max="7536" customWidth="1" bestFit="1" width="3.0" style="1122"/>
    <col min="7537" max="7537" customWidth="1" bestFit="1" width="3.0" style="1122"/>
    <col min="7538" max="7538" customWidth="1" bestFit="1" width="3.0" style="1122"/>
    <col min="7539" max="7539" customWidth="1" bestFit="1" width="3.0" style="1122"/>
    <col min="7540" max="7540" customWidth="1" bestFit="1" width="3.0" style="1122"/>
    <col min="7541" max="7541" customWidth="1" bestFit="1" width="3.0" style="1122"/>
    <col min="7542" max="7542" customWidth="1" bestFit="1" width="3.0" style="1122"/>
    <col min="7543" max="7543" customWidth="1" bestFit="1" width="3.0" style="1122"/>
    <col min="7544" max="7544" customWidth="1" bestFit="1" width="3.0" style="1122"/>
    <col min="7545" max="7545" customWidth="1" bestFit="1" width="3.0" style="1122"/>
    <col min="7546" max="7546" customWidth="1" bestFit="1" width="3.0" style="1122"/>
    <col min="7547" max="7547" customWidth="1" bestFit="1" width="3.0" style="1122"/>
    <col min="7548" max="7548" customWidth="1" bestFit="1" width="3.0" style="1122"/>
    <col min="7549" max="7549" customWidth="1" bestFit="1" width="3.0" style="1122"/>
    <col min="7550" max="7550" customWidth="1" bestFit="1" width="3.0" style="1122"/>
    <col min="7551" max="7551" customWidth="1" bestFit="1" width="3.0" style="1122"/>
    <col min="7552" max="7552" customWidth="1" bestFit="1" width="3.0" style="1122"/>
    <col min="7553" max="7553" customWidth="1" bestFit="1" width="3.0" style="1122"/>
    <col min="7554" max="7554" customWidth="1" bestFit="1" width="3.0" style="1122"/>
    <col min="7555" max="7555" customWidth="1" bestFit="1" width="3.0" style="1122"/>
    <col min="7556" max="7556" customWidth="1" bestFit="1" width="3.0" style="1122"/>
    <col min="7557" max="7557" customWidth="1" bestFit="1" width="3.0" style="1122"/>
    <col min="7558" max="7558" customWidth="1" bestFit="1" width="3.0" style="1122"/>
    <col min="7559" max="7559" customWidth="1" bestFit="1" width="3.0" style="1122"/>
    <col min="7560" max="7560" customWidth="1" bestFit="1" width="3.0" style="1122"/>
    <col min="7561" max="7561" customWidth="1" bestFit="1" width="3.0" style="1122"/>
    <col min="7562" max="7562" customWidth="1" bestFit="1" width="3.0" style="1122"/>
    <col min="7563" max="7563" customWidth="1" bestFit="1" width="3.0" style="1122"/>
    <col min="7564" max="7564" customWidth="1" bestFit="1" width="3.0" style="1122"/>
    <col min="7565" max="7565" customWidth="1" bestFit="1" width="3.0" style="1122"/>
    <col min="7566" max="7566" customWidth="1" bestFit="1" width="3.0" style="1122"/>
    <col min="7567" max="7567" customWidth="1" bestFit="1" width="3.0" style="1122"/>
    <col min="7568" max="7568" customWidth="1" bestFit="1" width="3.0" style="1122"/>
    <col min="7569" max="7569" customWidth="1" bestFit="1" width="3.0" style="1122"/>
    <col min="7570" max="7570" customWidth="1" bestFit="1" width="3.0" style="1122"/>
    <col min="7571" max="7571" customWidth="1" bestFit="1" width="3.0" style="1122"/>
    <col min="7572" max="7572" customWidth="1" bestFit="1" width="3.0" style="1122"/>
    <col min="7573" max="7573" customWidth="1" bestFit="1" width="3.0" style="1122"/>
    <col min="7574" max="7574" customWidth="1" bestFit="1" width="3.0" style="1122"/>
    <col min="7575" max="7575" customWidth="1" bestFit="1" width="3.0" style="1122"/>
    <col min="7576" max="7576" customWidth="1" bestFit="1" width="3.0" style="1122"/>
    <col min="7577" max="7577" customWidth="1" bestFit="1" width="3.0" style="1122"/>
    <col min="7578" max="7578" customWidth="1" bestFit="1" width="3.0" style="1122"/>
    <col min="7579" max="7579" customWidth="1" bestFit="1" width="3.0" style="1122"/>
    <col min="7580" max="7580" customWidth="1" bestFit="1" width="3.0" style="1122"/>
    <col min="7581" max="7581" customWidth="1" bestFit="1" width="3.0" style="1122"/>
    <col min="7582" max="7582" customWidth="1" bestFit="1" width="3.0" style="1122"/>
    <col min="7583" max="7583" customWidth="1" bestFit="1" width="3.0" style="1122"/>
    <col min="7584" max="7584" customWidth="1" bestFit="1" width="3.0" style="1122"/>
    <col min="7585" max="7585" customWidth="1" bestFit="1" width="3.0" style="1122"/>
    <col min="7586" max="7586" customWidth="1" bestFit="1" width="3.0" style="1122"/>
    <col min="7587" max="7587" customWidth="1" bestFit="1" width="3.0" style="1122"/>
    <col min="7588" max="7588" customWidth="1" bestFit="1" width="3.0" style="1122"/>
    <col min="7589" max="7589" customWidth="1" bestFit="1" width="3.0" style="1122"/>
    <col min="7590" max="7590" customWidth="1" bestFit="1" width="3.0" style="1122"/>
    <col min="7591" max="7591" customWidth="1" bestFit="1" width="3.0" style="1122"/>
    <col min="7592" max="7592" customWidth="1" bestFit="1" width="3.0" style="1122"/>
    <col min="7593" max="7593" customWidth="1" bestFit="1" width="3.0" style="1122"/>
    <col min="7594" max="7594" customWidth="1" bestFit="1" width="3.0" style="1122"/>
    <col min="7595" max="7595" customWidth="1" bestFit="1" width="3.0" style="1122"/>
    <col min="7596" max="7596" customWidth="1" bestFit="1" width="3.0" style="1122"/>
    <col min="7597" max="7597" customWidth="1" bestFit="1" width="3.0" style="1122"/>
    <col min="7598" max="7598" customWidth="1" bestFit="1" width="3.0" style="1122"/>
    <col min="7599" max="7599" customWidth="1" bestFit="1" width="3.0" style="1122"/>
    <col min="7600" max="7600" customWidth="1" bestFit="1" width="3.0" style="1122"/>
    <col min="7601" max="7601" customWidth="1" bestFit="1" width="3.0" style="1122"/>
    <col min="7602" max="7602" customWidth="1" bestFit="1" width="3.0" style="1122"/>
    <col min="7603" max="7603" customWidth="1" bestFit="1" width="3.0" style="1122"/>
    <col min="7604" max="7604" customWidth="1" bestFit="1" width="3.0" style="1122"/>
    <col min="7605" max="7605" customWidth="1" bestFit="1" width="3.0" style="1122"/>
    <col min="7606" max="7606" customWidth="1" bestFit="1" width="3.0" style="1122"/>
    <col min="7607" max="7607" customWidth="1" bestFit="1" width="3.0" style="1122"/>
    <col min="7608" max="7608" customWidth="1" bestFit="1" width="3.0" style="1122"/>
    <col min="7609" max="7609" customWidth="1" bestFit="1" width="3.0" style="1122"/>
    <col min="7610" max="7610" customWidth="1" bestFit="1" width="3.0" style="1122"/>
    <col min="7611" max="7611" customWidth="1" bestFit="1" width="3.0" style="1122"/>
    <col min="7612" max="7612" customWidth="1" bestFit="1" width="3.0" style="1122"/>
    <col min="7613" max="7613" customWidth="1" bestFit="1" width="3.0" style="1122"/>
    <col min="7614" max="7614" customWidth="1" bestFit="1" width="3.0" style="1122"/>
    <col min="7615" max="7615" customWidth="1" bestFit="1" width="3.0" style="1122"/>
    <col min="7616" max="7616" customWidth="1" bestFit="1" width="3.0" style="1122"/>
    <col min="7617" max="7617" customWidth="1" bestFit="1" width="3.0" style="1122"/>
    <col min="7618" max="7618" customWidth="1" bestFit="1" width="3.0" style="1122"/>
    <col min="7619" max="7619" customWidth="1" bestFit="1" width="3.0" style="1122"/>
    <col min="7620" max="7620" customWidth="1" bestFit="1" width="3.0" style="1122"/>
    <col min="7621" max="7621" customWidth="1" bestFit="1" width="3.0" style="1122"/>
    <col min="7622" max="7622" customWidth="1" bestFit="1" width="3.0" style="1122"/>
    <col min="7623" max="7623" customWidth="1" bestFit="1" width="3.0" style="1122"/>
    <col min="7624" max="7624" customWidth="1" bestFit="1" width="3.0" style="1122"/>
    <col min="7625" max="7625" customWidth="1" bestFit="1" width="3.0" style="1122"/>
    <col min="7626" max="7626" customWidth="1" bestFit="1" width="3.0" style="1122"/>
    <col min="7627" max="7627" customWidth="1" bestFit="1" width="3.0" style="1122"/>
    <col min="7628" max="7628" customWidth="1" bestFit="1" width="3.0" style="1122"/>
    <col min="7629" max="7629" customWidth="1" bestFit="1" width="3.0" style="1122"/>
    <col min="7630" max="7630" customWidth="1" bestFit="1" width="3.0" style="1122"/>
    <col min="7631" max="7631" customWidth="1" bestFit="1" width="3.0" style="1122"/>
    <col min="7632" max="7632" customWidth="1" bestFit="1" width="3.0" style="1122"/>
    <col min="7633" max="7633" customWidth="1" bestFit="1" width="3.0" style="1122"/>
    <col min="7634" max="7634" customWidth="1" bestFit="1" width="3.0" style="1122"/>
    <col min="7635" max="7635" customWidth="1" bestFit="1" width="3.0" style="1122"/>
    <col min="7636" max="7636" customWidth="1" bestFit="1" width="3.0" style="1122"/>
    <col min="7637" max="7637" customWidth="1" bestFit="1" width="3.0" style="1122"/>
    <col min="7638" max="7638" customWidth="1" bestFit="1" width="3.0" style="1122"/>
    <col min="7639" max="7639" customWidth="1" bestFit="1" width="3.0" style="1122"/>
    <col min="7640" max="7640" customWidth="1" bestFit="1" width="3.0" style="1122"/>
    <col min="7641" max="7641" customWidth="1" bestFit="1" width="3.0" style="1122"/>
    <col min="7642" max="7642" customWidth="1" bestFit="1" width="3.0" style="1122"/>
    <col min="7643" max="7643" customWidth="1" bestFit="1" width="3.0" style="1122"/>
    <col min="7644" max="7644" customWidth="1" bestFit="1" width="3.0" style="1122"/>
    <col min="7645" max="7645" customWidth="1" bestFit="1" width="3.0" style="1122"/>
    <col min="7646" max="7646" customWidth="1" bestFit="1" width="3.0" style="1122"/>
    <col min="7647" max="7647" customWidth="1" bestFit="1" width="3.0" style="1122"/>
    <col min="7648" max="7648" customWidth="1" bestFit="1" width="3.0" style="1122"/>
    <col min="7649" max="7649" customWidth="1" bestFit="1" width="3.0" style="1122"/>
    <col min="7650" max="7650" customWidth="1" bestFit="1" width="3.0" style="1122"/>
    <col min="7651" max="7651" customWidth="1" bestFit="1" width="3.0" style="1122"/>
    <col min="7652" max="7652" customWidth="1" bestFit="1" width="3.0" style="1122"/>
    <col min="7653" max="7653" customWidth="1" bestFit="1" width="3.0" style="1122"/>
    <col min="7654" max="7654" customWidth="1" bestFit="1" width="3.0" style="1122"/>
    <col min="7655" max="7655" customWidth="1" bestFit="1" width="3.0" style="1122"/>
    <col min="7656" max="7656" customWidth="1" bestFit="1" width="3.0" style="1122"/>
    <col min="7657" max="7657" customWidth="1" bestFit="1" width="3.0" style="1122"/>
    <col min="7658" max="7658" customWidth="1" bestFit="1" width="3.0" style="1122"/>
    <col min="7659" max="7659" customWidth="1" bestFit="1" width="3.0" style="1122"/>
    <col min="7660" max="7660" customWidth="1" bestFit="1" width="3.0" style="1122"/>
    <col min="7661" max="7661" customWidth="1" bestFit="1" width="3.0" style="1122"/>
    <col min="7662" max="7662" customWidth="1" bestFit="1" width="3.0" style="1122"/>
    <col min="7663" max="7663" customWidth="1" bestFit="1" width="3.0" style="1122"/>
    <col min="7664" max="7664" customWidth="1" bestFit="1" width="3.0" style="1122"/>
    <col min="7665" max="7665" customWidth="1" bestFit="1" width="3.0" style="1122"/>
    <col min="7666" max="7666" customWidth="1" bestFit="1" width="3.0" style="1122"/>
    <col min="7667" max="7667" customWidth="1" bestFit="1" width="3.0" style="1122"/>
    <col min="7668" max="7668" customWidth="1" bestFit="1" width="3.0" style="1122"/>
    <col min="7669" max="7669" customWidth="1" bestFit="1" width="3.0" style="1122"/>
    <col min="7670" max="7670" customWidth="1" bestFit="1" width="3.0" style="1122"/>
    <col min="7671" max="7671" customWidth="1" bestFit="1" width="3.0" style="1122"/>
    <col min="7672" max="7672" customWidth="1" bestFit="1" width="3.0" style="1122"/>
    <col min="7673" max="7673" customWidth="1" bestFit="1" width="3.0" style="1122"/>
    <col min="7674" max="7674" customWidth="1" bestFit="1" width="3.0" style="1122"/>
    <col min="7675" max="7675" customWidth="1" bestFit="1" width="3.0" style="1122"/>
    <col min="7676" max="7676" customWidth="1" bestFit="1" width="3.0" style="1122"/>
    <col min="7677" max="7677" customWidth="1" bestFit="1" width="3.0" style="1122"/>
    <col min="7678" max="7678" customWidth="1" bestFit="1" width="3.0" style="1122"/>
    <col min="7679" max="7679" customWidth="1" bestFit="1" width="3.0" style="1122"/>
    <col min="7680" max="7680" customWidth="1" bestFit="1" width="3.0" style="1122"/>
    <col min="7681" max="7681" customWidth="1" bestFit="1" width="3.0" style="1122"/>
    <col min="7682" max="7682" customWidth="1" bestFit="1" width="3.0" style="1122"/>
    <col min="7683" max="7683" customWidth="1" bestFit="1" width="3.0" style="1122"/>
    <col min="7684" max="7684" customWidth="1" bestFit="1" width="3.0" style="1122"/>
    <col min="7685" max="7685" customWidth="1" bestFit="1" width="3.0" style="1122"/>
    <col min="7686" max="7686" customWidth="1" bestFit="1" width="3.0" style="1122"/>
    <col min="7687" max="7687" customWidth="1" bestFit="1" width="3.0" style="1122"/>
    <col min="7688" max="7688" customWidth="1" bestFit="1" width="3.0" style="1122"/>
    <col min="7689" max="7689" customWidth="1" bestFit="1" width="3.0" style="1122"/>
    <col min="7690" max="7690" customWidth="1" bestFit="1" width="3.0" style="1122"/>
    <col min="7691" max="7691" customWidth="1" bestFit="1" width="3.0" style="1122"/>
    <col min="7692" max="7692" customWidth="1" bestFit="1" width="3.0" style="1122"/>
    <col min="7693" max="7693" customWidth="1" bestFit="1" width="3.0" style="1122"/>
    <col min="7694" max="7694" customWidth="1" bestFit="1" width="3.0" style="1122"/>
    <col min="7695" max="7695" customWidth="1" bestFit="1" width="3.0" style="1122"/>
    <col min="7696" max="7696" customWidth="1" bestFit="1" width="3.0" style="1122"/>
    <col min="7697" max="7697" customWidth="1" bestFit="1" width="3.0" style="1122"/>
    <col min="7698" max="7698" customWidth="1" bestFit="1" width="3.0" style="1122"/>
    <col min="7699" max="7699" customWidth="1" bestFit="1" width="3.0" style="1122"/>
    <col min="7700" max="7700" customWidth="1" bestFit="1" width="3.0" style="1122"/>
    <col min="7701" max="7701" customWidth="1" bestFit="1" width="3.0" style="1122"/>
    <col min="7702" max="7702" customWidth="1" bestFit="1" width="3.0" style="1122"/>
    <col min="7703" max="7703" customWidth="1" bestFit="1" width="3.0" style="1122"/>
    <col min="7704" max="7704" customWidth="1" bestFit="1" width="3.0" style="1122"/>
    <col min="7705" max="7705" customWidth="1" bestFit="1" width="3.0" style="1122"/>
    <col min="7706" max="7706" customWidth="1" bestFit="1" width="3.0" style="1122"/>
    <col min="7707" max="7707" customWidth="1" bestFit="1" width="3.0" style="1122"/>
    <col min="7708" max="7708" customWidth="1" bestFit="1" width="3.0" style="1122"/>
    <col min="7709" max="7709" customWidth="1" bestFit="1" width="3.0" style="1122"/>
    <col min="7710" max="7710" customWidth="1" bestFit="1" width="3.0" style="1122"/>
    <col min="7711" max="7711" customWidth="1" bestFit="1" width="3.0" style="1122"/>
    <col min="7712" max="7712" customWidth="1" bestFit="1" width="3.0" style="1122"/>
    <col min="7713" max="7713" customWidth="1" bestFit="1" width="3.0" style="1122"/>
    <col min="7714" max="7714" customWidth="1" bestFit="1" width="3.0" style="1122"/>
    <col min="7715" max="7715" customWidth="1" bestFit="1" width="3.0" style="1122"/>
    <col min="7716" max="7716" customWidth="1" bestFit="1" width="3.0" style="1122"/>
    <col min="7717" max="7717" customWidth="1" bestFit="1" width="3.0" style="1122"/>
    <col min="7718" max="7718" customWidth="1" bestFit="1" width="3.0" style="1122"/>
    <col min="7719" max="7719" customWidth="1" bestFit="1" width="3.0" style="1122"/>
    <col min="7720" max="7720" customWidth="1" bestFit="1" width="3.0" style="1122"/>
    <col min="7721" max="7721" customWidth="1" bestFit="1" width="3.0" style="1122"/>
    <col min="7722" max="7722" customWidth="1" bestFit="1" width="3.0" style="1122"/>
    <col min="7723" max="7723" customWidth="1" bestFit="1" width="3.0" style="1122"/>
    <col min="7724" max="7724" customWidth="1" bestFit="1" width="3.0" style="1122"/>
    <col min="7725" max="7725" customWidth="1" bestFit="1" width="3.0" style="1122"/>
    <col min="7726" max="7726" customWidth="1" bestFit="1" width="3.0" style="1122"/>
    <col min="7727" max="7727" customWidth="1" bestFit="1" width="3.0" style="1122"/>
    <col min="7728" max="7728" customWidth="1" bestFit="1" width="3.0" style="1122"/>
    <col min="7729" max="7729" customWidth="1" bestFit="1" width="3.0" style="1122"/>
    <col min="7730" max="7730" customWidth="1" bestFit="1" width="3.0" style="1122"/>
    <col min="7731" max="7731" customWidth="1" bestFit="1" width="3.0" style="1122"/>
    <col min="7732" max="7732" customWidth="1" bestFit="1" width="3.0" style="1122"/>
    <col min="7733" max="7733" customWidth="1" bestFit="1" width="3.0" style="1122"/>
    <col min="7734" max="7734" customWidth="1" bestFit="1" width="3.0" style="1122"/>
    <col min="7735" max="7735" customWidth="1" bestFit="1" width="3.0" style="1122"/>
    <col min="7736" max="7736" customWidth="1" bestFit="1" width="3.0" style="1122"/>
    <col min="7737" max="7737" customWidth="1" bestFit="1" width="3.0" style="1122"/>
    <col min="7738" max="7738" customWidth="1" bestFit="1" width="3.0" style="1122"/>
    <col min="7739" max="7739" customWidth="1" bestFit="1" width="3.0" style="1122"/>
    <col min="7740" max="7740" customWidth="1" bestFit="1" width="3.0" style="1122"/>
    <col min="7741" max="7741" customWidth="1" bestFit="1" width="3.0" style="1122"/>
    <col min="7742" max="7742" customWidth="1" bestFit="1" width="3.0" style="1122"/>
    <col min="7743" max="7743" customWidth="1" bestFit="1" width="3.0" style="1122"/>
    <col min="7744" max="7744" customWidth="1" bestFit="1" width="3.0" style="1122"/>
    <col min="7745" max="7745" customWidth="1" bestFit="1" width="3.0" style="1122"/>
    <col min="7746" max="7746" customWidth="1" bestFit="1" width="3.0" style="1122"/>
    <col min="7747" max="7747" customWidth="1" bestFit="1" width="3.0" style="1122"/>
    <col min="7748" max="7748" customWidth="1" bestFit="1" width="3.0" style="1122"/>
    <col min="7749" max="7749" customWidth="1" bestFit="1" width="3.0" style="1122"/>
    <col min="7750" max="7750" customWidth="1" bestFit="1" width="3.0" style="1122"/>
    <col min="7751" max="7751" customWidth="1" bestFit="1" width="3.0" style="1122"/>
    <col min="7752" max="7752" customWidth="1" bestFit="1" width="3.0" style="1122"/>
    <col min="7753" max="7753" customWidth="1" bestFit="1" width="3.0" style="1122"/>
    <col min="7754" max="7754" customWidth="1" bestFit="1" width="3.0" style="1122"/>
    <col min="7755" max="7755" customWidth="1" bestFit="1" width="3.0" style="1122"/>
    <col min="7756" max="7756" customWidth="1" bestFit="1" width="3.0" style="1122"/>
    <col min="7757" max="7757" customWidth="1" bestFit="1" width="3.0" style="1122"/>
    <col min="7758" max="7758" customWidth="1" bestFit="1" width="3.0" style="1122"/>
    <col min="7759" max="7759" customWidth="1" bestFit="1" width="3.0" style="1122"/>
    <col min="7760" max="7760" customWidth="1" bestFit="1" width="3.0" style="1122"/>
    <col min="7761" max="7761" customWidth="1" bestFit="1" width="3.0" style="1122"/>
    <col min="7762" max="7762" customWidth="1" bestFit="1" width="3.0" style="1122"/>
    <col min="7763" max="7763" customWidth="1" bestFit="1" width="3.0" style="1122"/>
    <col min="7764" max="7764" customWidth="1" bestFit="1" width="3.0" style="1122"/>
    <col min="7765" max="7765" customWidth="1" bestFit="1" width="3.0" style="1122"/>
    <col min="7766" max="7766" customWidth="1" bestFit="1" width="3.0" style="1122"/>
    <col min="7767" max="7767" customWidth="1" bestFit="1" width="3.0" style="1122"/>
    <col min="7768" max="7768" customWidth="1" bestFit="1" width="3.0" style="1122"/>
    <col min="7769" max="7769" customWidth="1" bestFit="1" width="3.0" style="1122"/>
    <col min="7770" max="7770" customWidth="1" bestFit="1" width="3.0" style="1122"/>
    <col min="7771" max="7771" customWidth="1" bestFit="1" width="3.0" style="1122"/>
    <col min="7772" max="7772" customWidth="1" bestFit="1" width="3.0" style="1122"/>
    <col min="7773" max="7773" customWidth="1" bestFit="1" width="3.0" style="1122"/>
    <col min="7774" max="7774" customWidth="1" bestFit="1" width="3.0" style="1122"/>
    <col min="7775" max="7775" customWidth="1" bestFit="1" width="3.0" style="1122"/>
    <col min="7776" max="7776" customWidth="1" bestFit="1" width="3.0" style="1122"/>
    <col min="7777" max="7777" customWidth="1" bestFit="1" width="3.0" style="1122"/>
    <col min="7778" max="7778" customWidth="1" bestFit="1" width="3.0" style="1122"/>
    <col min="7779" max="7779" customWidth="1" bestFit="1" width="3.0" style="1122"/>
    <col min="7780" max="7780" customWidth="1" bestFit="1" width="3.0" style="1122"/>
    <col min="7781" max="7781" customWidth="1" bestFit="1" width="3.0" style="1122"/>
    <col min="7782" max="7782" customWidth="1" bestFit="1" width="3.0" style="1122"/>
    <col min="7783" max="7783" customWidth="1" bestFit="1" width="3.0" style="1122"/>
    <col min="7784" max="7784" customWidth="1" bestFit="1" width="3.0" style="1122"/>
    <col min="7785" max="7785" customWidth="1" bestFit="1" width="3.0" style="1122"/>
    <col min="7786" max="7786" customWidth="1" bestFit="1" width="3.0" style="1122"/>
    <col min="7787" max="7787" customWidth="1" bestFit="1" width="3.0" style="1122"/>
    <col min="7788" max="7788" customWidth="1" bestFit="1" width="3.0" style="1122"/>
    <col min="7789" max="7789" customWidth="1" bestFit="1" width="3.0" style="1122"/>
    <col min="7790" max="7790" customWidth="1" bestFit="1" width="3.0" style="1122"/>
    <col min="7791" max="7791" customWidth="1" bestFit="1" width="3.0" style="1122"/>
    <col min="7792" max="7792" customWidth="1" bestFit="1" width="3.0" style="1122"/>
    <col min="7793" max="7793" customWidth="1" bestFit="1" width="3.0" style="1122"/>
    <col min="7794" max="7794" customWidth="1" bestFit="1" width="3.0" style="1122"/>
    <col min="7795" max="7795" customWidth="1" bestFit="1" width="3.0" style="1122"/>
    <col min="7796" max="7796" customWidth="1" bestFit="1" width="3.0" style="1122"/>
    <col min="7797" max="7797" customWidth="1" bestFit="1" width="3.0" style="1122"/>
    <col min="7798" max="7798" customWidth="1" bestFit="1" width="3.0" style="1122"/>
    <col min="7799" max="7799" customWidth="1" bestFit="1" width="3.0" style="1122"/>
    <col min="7800" max="7800" customWidth="1" bestFit="1" width="3.0" style="1122"/>
    <col min="7801" max="7801" customWidth="1" bestFit="1" width="3.0" style="1122"/>
    <col min="7802" max="7802" customWidth="1" bestFit="1" width="3.0" style="1122"/>
    <col min="7803" max="7803" customWidth="1" bestFit="1" width="3.0" style="1122"/>
    <col min="7804" max="7804" customWidth="1" bestFit="1" width="3.0" style="1122"/>
    <col min="7805" max="7805" customWidth="1" bestFit="1" width="3.0" style="1122"/>
    <col min="7806" max="7806" customWidth="1" bestFit="1" width="3.0" style="1122"/>
    <col min="7807" max="7807" customWidth="1" bestFit="1" width="3.0" style="1122"/>
    <col min="7808" max="7808" customWidth="1" bestFit="1" width="3.0" style="1122"/>
    <col min="7809" max="7809" customWidth="1" bestFit="1" width="3.0" style="1122"/>
    <col min="7810" max="7810" customWidth="1" bestFit="1" width="3.0" style="1122"/>
    <col min="7811" max="7811" customWidth="1" bestFit="1" width="3.0" style="1122"/>
    <col min="7812" max="7812" customWidth="1" bestFit="1" width="3.0" style="1122"/>
    <col min="7813" max="7813" customWidth="1" bestFit="1" width="3.0" style="1122"/>
    <col min="7814" max="7814" customWidth="1" bestFit="1" width="3.0" style="1122"/>
    <col min="7815" max="7815" customWidth="1" bestFit="1" width="3.0" style="1122"/>
    <col min="7816" max="7816" customWidth="1" bestFit="1" width="3.0" style="1122"/>
    <col min="7817" max="7817" customWidth="1" bestFit="1" width="3.0" style="1122"/>
    <col min="7818" max="7818" customWidth="1" bestFit="1" width="3.0" style="1122"/>
    <col min="7819" max="7819" customWidth="1" bestFit="1" width="3.0" style="1122"/>
    <col min="7820" max="7820" customWidth="1" bestFit="1" width="3.0" style="1122"/>
    <col min="7821" max="7821" customWidth="1" bestFit="1" width="3.0" style="1122"/>
    <col min="7822" max="7822" customWidth="1" bestFit="1" width="3.0" style="1122"/>
    <col min="7823" max="7823" customWidth="1" bestFit="1" width="3.0" style="1122"/>
    <col min="7824" max="7824" customWidth="1" bestFit="1" width="3.0" style="1122"/>
    <col min="7825" max="7825" customWidth="1" bestFit="1" width="3.0" style="1122"/>
    <col min="7826" max="7826" customWidth="1" bestFit="1" width="3.0" style="1122"/>
    <col min="7827" max="7827" customWidth="1" bestFit="1" width="3.0" style="1122"/>
    <col min="7828" max="7828" customWidth="1" bestFit="1" width="3.0" style="1122"/>
    <col min="7829" max="7829" customWidth="1" bestFit="1" width="3.0" style="1122"/>
    <col min="7830" max="7830" customWidth="1" bestFit="1" width="3.0" style="1122"/>
    <col min="7831" max="7831" customWidth="1" bestFit="1" width="3.0" style="1122"/>
    <col min="7832" max="7832" customWidth="1" bestFit="1" width="3.0" style="1122"/>
    <col min="7833" max="7833" customWidth="1" bestFit="1" width="3.0" style="1122"/>
    <col min="7834" max="7834" customWidth="1" bestFit="1" width="3.0" style="1122"/>
    <col min="7835" max="7835" customWidth="1" bestFit="1" width="3.0" style="1122"/>
    <col min="7836" max="7836" customWidth="1" bestFit="1" width="3.0" style="1122"/>
    <col min="7837" max="7837" customWidth="1" bestFit="1" width="3.0" style="1122"/>
    <col min="7838" max="7838" customWidth="1" bestFit="1" width="3.0" style="1122"/>
    <col min="7839" max="7839" customWidth="1" bestFit="1" width="3.0" style="1122"/>
    <col min="7840" max="7840" customWidth="1" bestFit="1" width="3.0" style="1122"/>
    <col min="7841" max="7841" customWidth="1" bestFit="1" width="3.0" style="1122"/>
    <col min="7842" max="7842" customWidth="1" bestFit="1" width="3.0" style="1122"/>
    <col min="7843" max="7843" customWidth="1" bestFit="1" width="3.0" style="1122"/>
    <col min="7844" max="7844" customWidth="1" bestFit="1" width="3.0" style="1122"/>
    <col min="7845" max="7845" customWidth="1" bestFit="1" width="3.0" style="1122"/>
    <col min="7846" max="7846" customWidth="1" bestFit="1" width="3.0" style="1122"/>
    <col min="7847" max="7847" customWidth="1" bestFit="1" width="3.0" style="1122"/>
    <col min="7848" max="7848" customWidth="1" bestFit="1" width="3.0" style="1122"/>
    <col min="7849" max="7849" customWidth="1" bestFit="1" width="3.0" style="1122"/>
    <col min="7850" max="7850" customWidth="1" bestFit="1" width="3.0" style="1122"/>
    <col min="7851" max="7851" customWidth="1" bestFit="1" width="3.0" style="1122"/>
    <col min="7852" max="7852" customWidth="1" bestFit="1" width="3.0" style="1122"/>
    <col min="7853" max="7853" customWidth="1" bestFit="1" width="3.0" style="1122"/>
    <col min="7854" max="7854" customWidth="1" bestFit="1" width="3.0" style="1122"/>
    <col min="7855" max="7855" customWidth="1" bestFit="1" width="3.0" style="1122"/>
    <col min="7856" max="7856" customWidth="1" bestFit="1" width="3.0" style="1122"/>
    <col min="7857" max="7857" customWidth="1" bestFit="1" width="3.0" style="1122"/>
    <col min="7858" max="7858" customWidth="1" bestFit="1" width="3.0" style="1122"/>
    <col min="7859" max="7859" customWidth="1" bestFit="1" width="3.0" style="1122"/>
    <col min="7860" max="7860" customWidth="1" bestFit="1" width="3.0" style="1122"/>
    <col min="7861" max="7861" customWidth="1" bestFit="1" width="3.0" style="1122"/>
    <col min="7862" max="7862" customWidth="1" bestFit="1" width="3.0" style="1122"/>
    <col min="7863" max="7863" customWidth="1" bestFit="1" width="3.0" style="1122"/>
    <col min="7864" max="7864" customWidth="1" bestFit="1" width="3.0" style="1122"/>
    <col min="7865" max="7865" customWidth="1" bestFit="1" width="3.0" style="1122"/>
    <col min="7866" max="7866" customWidth="1" bestFit="1" width="3.0" style="1122"/>
    <col min="7867" max="7867" customWidth="1" bestFit="1" width="3.0" style="1122"/>
    <col min="7868" max="7868" customWidth="1" bestFit="1" width="3.0" style="1122"/>
    <col min="7869" max="7869" customWidth="1" bestFit="1" width="3.0" style="1122"/>
    <col min="7870" max="7870" customWidth="1" bestFit="1" width="3.0" style="1122"/>
    <col min="7871" max="7871" customWidth="1" bestFit="1" width="3.0" style="1122"/>
    <col min="7872" max="7872" customWidth="1" bestFit="1" width="3.0" style="1122"/>
    <col min="7873" max="7873" customWidth="1" bestFit="1" width="3.0" style="1122"/>
    <col min="7874" max="7874" customWidth="1" bestFit="1" width="3.0" style="1122"/>
    <col min="7875" max="7875" customWidth="1" bestFit="1" width="3.0" style="1122"/>
    <col min="7876" max="7876" customWidth="1" bestFit="1" width="3.0" style="1122"/>
    <col min="7877" max="7877" customWidth="1" bestFit="1" width="3.0" style="1122"/>
    <col min="7878" max="7878" customWidth="1" bestFit="1" width="3.0" style="1122"/>
    <col min="7879" max="7879" customWidth="1" bestFit="1" width="3.0" style="1122"/>
    <col min="7880" max="7880" customWidth="1" bestFit="1" width="3.0" style="1122"/>
    <col min="7881" max="7881" customWidth="1" bestFit="1" width="3.0" style="1122"/>
    <col min="7882" max="7882" customWidth="1" bestFit="1" width="3.0" style="1122"/>
    <col min="7883" max="7883" customWidth="1" bestFit="1" width="3.0" style="1122"/>
    <col min="7884" max="7884" customWidth="1" bestFit="1" width="3.0" style="1122"/>
    <col min="7885" max="7885" customWidth="1" bestFit="1" width="3.0" style="1122"/>
    <col min="7886" max="7886" customWidth="1" bestFit="1" width="3.0" style="1122"/>
    <col min="7887" max="7887" customWidth="1" bestFit="1" width="3.0" style="1122"/>
    <col min="7888" max="7888" customWidth="1" bestFit="1" width="3.0" style="1122"/>
    <col min="7889" max="7889" customWidth="1" bestFit="1" width="3.0" style="1122"/>
    <col min="7890" max="7890" customWidth="1" bestFit="1" width="3.0" style="1122"/>
    <col min="7891" max="7891" customWidth="1" bestFit="1" width="3.0" style="1122"/>
    <col min="7892" max="7892" customWidth="1" bestFit="1" width="3.0" style="1122"/>
    <col min="7893" max="7893" customWidth="1" bestFit="1" width="3.0" style="1122"/>
    <col min="7894" max="7894" customWidth="1" bestFit="1" width="3.0" style="1122"/>
    <col min="7895" max="7895" customWidth="1" bestFit="1" width="3.0" style="1122"/>
    <col min="7896" max="7896" customWidth="1" bestFit="1" width="3.0" style="1122"/>
    <col min="7897" max="7897" customWidth="1" bestFit="1" width="3.0" style="1122"/>
    <col min="7898" max="7898" customWidth="1" bestFit="1" width="3.0" style="1122"/>
    <col min="7899" max="7899" customWidth="1" bestFit="1" width="3.0" style="1122"/>
    <col min="7900" max="7900" customWidth="1" bestFit="1" width="3.0" style="1122"/>
    <col min="7901" max="7901" customWidth="1" bestFit="1" width="3.0" style="1122"/>
    <col min="7902" max="7902" customWidth="1" bestFit="1" width="3.0" style="1122"/>
    <col min="7903" max="7903" customWidth="1" bestFit="1" width="3.0" style="1122"/>
    <col min="7904" max="7904" customWidth="1" bestFit="1" width="3.0" style="1122"/>
    <col min="7905" max="7905" customWidth="1" bestFit="1" width="3.0" style="1122"/>
    <col min="7906" max="7906" customWidth="1" bestFit="1" width="3.0" style="1122"/>
    <col min="7907" max="7907" customWidth="1" bestFit="1" width="3.0" style="1122"/>
    <col min="7908" max="7908" customWidth="1" bestFit="1" width="3.0" style="1122"/>
    <col min="7909" max="7909" customWidth="1" bestFit="1" width="3.0" style="1122"/>
    <col min="7910" max="7910" customWidth="1" bestFit="1" width="3.0" style="1122"/>
    <col min="7911" max="7911" customWidth="1" bestFit="1" width="3.0" style="1122"/>
    <col min="7912" max="7912" customWidth="1" bestFit="1" width="3.0" style="1122"/>
    <col min="7913" max="7913" customWidth="1" bestFit="1" width="3.0" style="1122"/>
    <col min="7914" max="7914" customWidth="1" bestFit="1" width="3.0" style="1122"/>
    <col min="7915" max="7915" customWidth="1" bestFit="1" width="3.0" style="1122"/>
    <col min="7916" max="7916" customWidth="1" bestFit="1" width="3.0" style="1122"/>
    <col min="7917" max="7917" customWidth="1" bestFit="1" width="3.0" style="1122"/>
    <col min="7918" max="7918" customWidth="1" bestFit="1" width="3.0" style="1122"/>
    <col min="7919" max="7919" customWidth="1" bestFit="1" width="3.0" style="1122"/>
    <col min="7920" max="7920" customWidth="1" bestFit="1" width="3.0" style="1122"/>
    <col min="7921" max="7921" customWidth="1" bestFit="1" width="3.0" style="1122"/>
    <col min="7922" max="7922" customWidth="1" bestFit="1" width="3.0" style="1122"/>
    <col min="7923" max="7923" customWidth="1" bestFit="1" width="3.0" style="1122"/>
    <col min="7924" max="7924" customWidth="1" bestFit="1" width="3.0" style="1122"/>
    <col min="7925" max="7925" customWidth="1" bestFit="1" width="3.0" style="1122"/>
    <col min="7926" max="7926" customWidth="1" bestFit="1" width="3.0" style="1122"/>
    <col min="7927" max="7927" customWidth="1" bestFit="1" width="3.0" style="1122"/>
    <col min="7928" max="7928" customWidth="1" bestFit="1" width="3.0" style="1122"/>
    <col min="7929" max="7929" customWidth="1" bestFit="1" width="3.0" style="1122"/>
    <col min="7930" max="7930" customWidth="1" bestFit="1" width="3.0" style="1122"/>
    <col min="7931" max="7931" customWidth="1" bestFit="1" width="3.0" style="1122"/>
    <col min="7932" max="7932" customWidth="1" bestFit="1" width="3.0" style="1122"/>
    <col min="7933" max="7933" customWidth="1" bestFit="1" width="3.0" style="1122"/>
    <col min="7934" max="7934" customWidth="1" bestFit="1" width="3.0" style="1122"/>
    <col min="7935" max="7935" customWidth="1" bestFit="1" width="3.0" style="1122"/>
    <col min="7936" max="7936" customWidth="1" bestFit="1" width="3.0" style="1122"/>
    <col min="7937" max="7937" customWidth="1" bestFit="1" width="3.0" style="1122"/>
    <col min="7938" max="7938" customWidth="1" bestFit="1" width="3.0" style="1122"/>
    <col min="7939" max="7939" customWidth="1" bestFit="1" width="3.0" style="1122"/>
    <col min="7940" max="7940" customWidth="1" bestFit="1" width="3.0" style="1122"/>
    <col min="7941" max="7941" customWidth="1" bestFit="1" width="3.0" style="1122"/>
    <col min="7942" max="7942" customWidth="1" bestFit="1" width="3.0" style="1122"/>
    <col min="7943" max="7943" customWidth="1" bestFit="1" width="3.0" style="1122"/>
    <col min="7944" max="7944" customWidth="1" bestFit="1" width="3.0" style="1122"/>
    <col min="7945" max="7945" customWidth="1" bestFit="1" width="3.0" style="1122"/>
    <col min="7946" max="7946" customWidth="1" bestFit="1" width="3.0" style="1122"/>
    <col min="7947" max="7947" customWidth="1" bestFit="1" width="3.0" style="1122"/>
    <col min="7948" max="7948" customWidth="1" bestFit="1" width="3.0" style="1122"/>
    <col min="7949" max="7949" customWidth="1" bestFit="1" width="3.0" style="1122"/>
    <col min="7950" max="7950" customWidth="1" bestFit="1" width="3.0" style="1122"/>
    <col min="7951" max="7951" customWidth="1" bestFit="1" width="3.0" style="1122"/>
    <col min="7952" max="7952" customWidth="1" bestFit="1" width="3.0" style="1122"/>
    <col min="7953" max="7953" customWidth="1" bestFit="1" width="3.0" style="1122"/>
    <col min="7954" max="7954" customWidth="1" bestFit="1" width="3.0" style="1122"/>
    <col min="7955" max="7955" customWidth="1" bestFit="1" width="3.0" style="1122"/>
    <col min="7956" max="7956" customWidth="1" bestFit="1" width="3.0" style="1122"/>
    <col min="7957" max="7957" customWidth="1" bestFit="1" width="3.0" style="1122"/>
    <col min="7958" max="7958" customWidth="1" bestFit="1" width="3.0" style="1122"/>
    <col min="7959" max="7959" customWidth="1" bestFit="1" width="3.0" style="1122"/>
    <col min="7960" max="7960" customWidth="1" bestFit="1" width="3.0" style="1122"/>
    <col min="7961" max="7961" customWidth="1" bestFit="1" width="3.0" style="1122"/>
    <col min="7962" max="7962" customWidth="1" bestFit="1" width="3.0" style="1122"/>
    <col min="7963" max="7963" customWidth="1" bestFit="1" width="3.0" style="1122"/>
    <col min="7964" max="7964" customWidth="1" bestFit="1" width="3.0" style="1122"/>
    <col min="7965" max="7965" customWidth="1" bestFit="1" width="3.0" style="1122"/>
    <col min="7966" max="7966" customWidth="1" bestFit="1" width="3.0" style="1122"/>
    <col min="7967" max="7967" customWidth="1" bestFit="1" width="3.0" style="1122"/>
    <col min="7968" max="7968" customWidth="1" bestFit="1" width="3.0" style="1122"/>
    <col min="7969" max="7969" customWidth="1" bestFit="1" width="3.0" style="1122"/>
    <col min="7970" max="7970" customWidth="1" bestFit="1" width="3.0" style="1122"/>
    <col min="7971" max="7971" customWidth="1" bestFit="1" width="3.0" style="1122"/>
    <col min="7972" max="7972" customWidth="1" bestFit="1" width="3.0" style="1122"/>
    <col min="7973" max="7973" customWidth="1" bestFit="1" width="3.0" style="1122"/>
    <col min="7974" max="7974" customWidth="1" bestFit="1" width="3.0" style="1122"/>
    <col min="7975" max="7975" customWidth="1" bestFit="1" width="3.0" style="1122"/>
    <col min="7976" max="7976" customWidth="1" bestFit="1" width="3.0" style="1122"/>
    <col min="7977" max="7977" customWidth="1" bestFit="1" width="3.0" style="1122"/>
    <col min="7978" max="7978" customWidth="1" bestFit="1" width="3.0" style="1122"/>
    <col min="7979" max="7979" customWidth="1" bestFit="1" width="3.0" style="1122"/>
    <col min="7980" max="7980" customWidth="1" bestFit="1" width="3.0" style="1122"/>
    <col min="7981" max="7981" customWidth="1" bestFit="1" width="3.0" style="1122"/>
    <col min="7982" max="7982" customWidth="1" bestFit="1" width="3.0" style="1122"/>
    <col min="7983" max="7983" customWidth="1" bestFit="1" width="3.0" style="1122"/>
    <col min="7984" max="7984" customWidth="1" bestFit="1" width="3.0" style="1122"/>
    <col min="7985" max="7985" customWidth="1" bestFit="1" width="3.0" style="1122"/>
    <col min="7986" max="7986" customWidth="1" bestFit="1" width="3.0" style="1122"/>
    <col min="7987" max="7987" customWidth="1" bestFit="1" width="3.0" style="1122"/>
    <col min="7988" max="7988" customWidth="1" bestFit="1" width="3.0" style="1122"/>
    <col min="7989" max="7989" customWidth="1" bestFit="1" width="3.0" style="1122"/>
    <col min="7990" max="7990" customWidth="1" bestFit="1" width="3.0" style="1122"/>
    <col min="7991" max="7991" customWidth="1" bestFit="1" width="3.0" style="1122"/>
    <col min="7992" max="7992" customWidth="1" bestFit="1" width="3.0" style="1122"/>
    <col min="7993" max="7993" customWidth="1" bestFit="1" width="3.0" style="1122"/>
    <col min="7994" max="7994" customWidth="1" bestFit="1" width="3.0" style="1122"/>
    <col min="7995" max="7995" customWidth="1" bestFit="1" width="3.0" style="1122"/>
    <col min="7996" max="7996" customWidth="1" bestFit="1" width="3.0" style="1122"/>
    <col min="7997" max="7997" customWidth="1" bestFit="1" width="3.0" style="1122"/>
    <col min="7998" max="7998" customWidth="1" bestFit="1" width="3.0" style="1122"/>
    <col min="7999" max="7999" customWidth="1" bestFit="1" width="3.0" style="1122"/>
    <col min="8000" max="8000" customWidth="1" bestFit="1" width="3.0" style="1122"/>
    <col min="8001" max="8001" customWidth="1" bestFit="1" width="3.0" style="1122"/>
    <col min="8002" max="8002" customWidth="1" bestFit="1" width="3.0" style="1122"/>
    <col min="8003" max="8003" customWidth="1" bestFit="1" width="3.0" style="1122"/>
    <col min="8004" max="8004" customWidth="1" bestFit="1" width="3.0" style="1122"/>
    <col min="8005" max="8005" customWidth="1" bestFit="1" width="3.0" style="1122"/>
    <col min="8006" max="8006" customWidth="1" bestFit="1" width="3.0" style="1122"/>
    <col min="8007" max="8007" customWidth="1" bestFit="1" width="3.0" style="1122"/>
    <col min="8008" max="8008" customWidth="1" bestFit="1" width="3.0" style="1122"/>
    <col min="8009" max="8009" customWidth="1" bestFit="1" width="3.0" style="1122"/>
    <col min="8010" max="8010" customWidth="1" bestFit="1" width="3.0" style="1122"/>
    <col min="8011" max="8011" customWidth="1" bestFit="1" width="3.0" style="1122"/>
    <col min="8012" max="8012" customWidth="1" bestFit="1" width="3.0" style="1122"/>
    <col min="8013" max="8013" customWidth="1" bestFit="1" width="3.0" style="1122"/>
    <col min="8014" max="8014" customWidth="1" bestFit="1" width="3.0" style="1122"/>
    <col min="8015" max="8015" customWidth="1" bestFit="1" width="3.0" style="1122"/>
    <col min="8016" max="8016" customWidth="1" bestFit="1" width="3.0" style="1122"/>
    <col min="8017" max="8017" customWidth="1" bestFit="1" width="3.0" style="1122"/>
    <col min="8018" max="8018" customWidth="1" bestFit="1" width="3.0" style="1122"/>
    <col min="8019" max="8019" customWidth="1" bestFit="1" width="3.0" style="1122"/>
    <col min="8020" max="8020" customWidth="1" bestFit="1" width="3.0" style="1122"/>
    <col min="8021" max="8021" customWidth="1" bestFit="1" width="3.0" style="1122"/>
    <col min="8022" max="8022" customWidth="1" bestFit="1" width="3.0" style="1122"/>
    <col min="8023" max="8023" customWidth="1" bestFit="1" width="3.0" style="1122"/>
    <col min="8024" max="8024" customWidth="1" bestFit="1" width="3.0" style="1122"/>
    <col min="8025" max="8025" customWidth="1" bestFit="1" width="3.0" style="1122"/>
    <col min="8026" max="8026" customWidth="1" bestFit="1" width="3.0" style="1122"/>
    <col min="8027" max="8027" customWidth="1" bestFit="1" width="3.0" style="1122"/>
    <col min="8028" max="8028" customWidth="1" bestFit="1" width="3.0" style="1122"/>
    <col min="8029" max="8029" customWidth="1" bestFit="1" width="3.0" style="1122"/>
    <col min="8030" max="8030" customWidth="1" bestFit="1" width="3.0" style="1122"/>
    <col min="8031" max="8031" customWidth="1" bestFit="1" width="3.0" style="1122"/>
    <col min="8032" max="8032" customWidth="1" bestFit="1" width="3.0" style="1122"/>
    <col min="8033" max="8033" customWidth="1" bestFit="1" width="3.0" style="1122"/>
    <col min="8034" max="8034" customWidth="1" bestFit="1" width="3.0" style="1122"/>
    <col min="8035" max="8035" customWidth="1" bestFit="1" width="3.0" style="1122"/>
    <col min="8036" max="8036" customWidth="1" bestFit="1" width="3.0" style="1122"/>
    <col min="8037" max="8037" customWidth="1" bestFit="1" width="3.0" style="1122"/>
    <col min="8038" max="8038" customWidth="1" bestFit="1" width="3.0" style="1122"/>
    <col min="8039" max="8039" customWidth="1" bestFit="1" width="3.0" style="1122"/>
    <col min="8040" max="8040" customWidth="1" bestFit="1" width="3.0" style="1122"/>
    <col min="8041" max="8041" customWidth="1" bestFit="1" width="3.0" style="1122"/>
    <col min="8042" max="8042" customWidth="1" bestFit="1" width="3.0" style="1122"/>
    <col min="8043" max="8043" customWidth="1" bestFit="1" width="3.0" style="1122"/>
    <col min="8044" max="8044" customWidth="1" bestFit="1" width="3.0" style="1122"/>
    <col min="8045" max="8045" customWidth="1" bestFit="1" width="3.0" style="1122"/>
    <col min="8046" max="8046" customWidth="1" bestFit="1" width="3.0" style="1122"/>
    <col min="8047" max="8047" customWidth="1" bestFit="1" width="3.0" style="1122"/>
    <col min="8048" max="8048" customWidth="1" bestFit="1" width="3.0" style="1122"/>
    <col min="8049" max="8049" customWidth="1" bestFit="1" width="3.0" style="1122"/>
    <col min="8050" max="8050" customWidth="1" bestFit="1" width="3.0" style="1122"/>
    <col min="8051" max="8051" customWidth="1" bestFit="1" width="3.0" style="1122"/>
    <col min="8052" max="8052" customWidth="1" bestFit="1" width="3.0" style="1122"/>
    <col min="8053" max="8053" customWidth="1" bestFit="1" width="3.0" style="1122"/>
    <col min="8054" max="8054" customWidth="1" bestFit="1" width="3.0" style="1122"/>
    <col min="8055" max="8055" customWidth="1" bestFit="1" width="3.0" style="1122"/>
    <col min="8056" max="8056" customWidth="1" bestFit="1" width="3.0" style="1122"/>
    <col min="8057" max="8057" customWidth="1" bestFit="1" width="3.0" style="1122"/>
    <col min="8058" max="8058" customWidth="1" bestFit="1" width="3.0" style="1122"/>
    <col min="8059" max="8059" customWidth="1" bestFit="1" width="3.0" style="1122"/>
    <col min="8060" max="8060" customWidth="1" bestFit="1" width="3.0" style="1122"/>
    <col min="8061" max="8061" customWidth="1" bestFit="1" width="3.0" style="1122"/>
    <col min="8062" max="8062" customWidth="1" bestFit="1" width="3.0" style="1122"/>
    <col min="8063" max="8063" customWidth="1" bestFit="1" width="3.0" style="1122"/>
    <col min="8064" max="8064" customWidth="1" bestFit="1" width="3.0" style="1122"/>
    <col min="8065" max="8065" customWidth="1" bestFit="1" width="3.0" style="1122"/>
    <col min="8066" max="8066" customWidth="1" bestFit="1" width="3.0" style="1122"/>
    <col min="8067" max="8067" customWidth="1" bestFit="1" width="3.0" style="1122"/>
    <col min="8068" max="8068" customWidth="1" bestFit="1" width="3.0" style="1122"/>
    <col min="8069" max="8069" customWidth="1" bestFit="1" width="3.0" style="1122"/>
    <col min="8070" max="8070" customWidth="1" bestFit="1" width="3.0" style="1122"/>
    <col min="8071" max="8071" customWidth="1" bestFit="1" width="3.0" style="1122"/>
    <col min="8072" max="8072" customWidth="1" bestFit="1" width="3.0" style="1122"/>
    <col min="8073" max="8073" customWidth="1" bestFit="1" width="3.0" style="1122"/>
    <col min="8074" max="8074" customWidth="1" bestFit="1" width="3.0" style="1122"/>
    <col min="8075" max="8075" customWidth="1" bestFit="1" width="3.0" style="1122"/>
    <col min="8076" max="8076" customWidth="1" bestFit="1" width="3.0" style="1122"/>
    <col min="8077" max="8077" customWidth="1" bestFit="1" width="3.0" style="1122"/>
    <col min="8078" max="8078" customWidth="1" bestFit="1" width="3.0" style="1122"/>
    <col min="8079" max="8079" customWidth="1" bestFit="1" width="3.0" style="1122"/>
    <col min="8080" max="8080" customWidth="1" bestFit="1" width="3.0" style="1122"/>
    <col min="8081" max="8081" customWidth="1" bestFit="1" width="3.0" style="1122"/>
    <col min="8082" max="8082" customWidth="1" bestFit="1" width="3.0" style="1122"/>
    <col min="8083" max="8083" customWidth="1" bestFit="1" width="3.0" style="1122"/>
    <col min="8084" max="8084" customWidth="1" bestFit="1" width="3.0" style="1122"/>
    <col min="8085" max="8085" customWidth="1" bestFit="1" width="3.0" style="1122"/>
    <col min="8086" max="8086" customWidth="1" bestFit="1" width="3.0" style="1122"/>
    <col min="8087" max="8087" customWidth="1" bestFit="1" width="3.0" style="1122"/>
    <col min="8088" max="8088" customWidth="1" bestFit="1" width="3.0" style="1122"/>
    <col min="8089" max="8089" customWidth="1" bestFit="1" width="3.0" style="1122"/>
    <col min="8090" max="8090" customWidth="1" bestFit="1" width="3.0" style="1122"/>
    <col min="8091" max="8091" customWidth="1" bestFit="1" width="3.0" style="1122"/>
    <col min="8092" max="8092" customWidth="1" bestFit="1" width="3.0" style="1122"/>
    <col min="8093" max="8093" customWidth="1" bestFit="1" width="3.0" style="1122"/>
    <col min="8094" max="8094" customWidth="1" bestFit="1" width="3.0" style="1122"/>
    <col min="8095" max="8095" customWidth="1" bestFit="1" width="3.0" style="1122"/>
    <col min="8096" max="8096" customWidth="1" bestFit="1" width="3.0" style="1122"/>
    <col min="8097" max="8097" customWidth="1" bestFit="1" width="3.0" style="1122"/>
    <col min="8098" max="8098" customWidth="1" bestFit="1" width="3.0" style="1122"/>
    <col min="8099" max="8099" customWidth="1" bestFit="1" width="3.0" style="1122"/>
    <col min="8100" max="8100" customWidth="1" bestFit="1" width="3.0" style="1122"/>
    <col min="8101" max="8101" customWidth="1" bestFit="1" width="3.0" style="1122"/>
    <col min="8102" max="8102" customWidth="1" bestFit="1" width="3.0" style="1122"/>
    <col min="8103" max="8103" customWidth="1" bestFit="1" width="3.0" style="1122"/>
    <col min="8104" max="8104" customWidth="1" bestFit="1" width="3.0" style="1122"/>
    <col min="8105" max="8105" customWidth="1" bestFit="1" width="3.0" style="1122"/>
    <col min="8106" max="8106" customWidth="1" bestFit="1" width="3.0" style="1122"/>
    <col min="8107" max="8107" customWidth="1" bestFit="1" width="3.0" style="1122"/>
    <col min="8108" max="8108" customWidth="1" bestFit="1" width="3.0" style="1122"/>
    <col min="8109" max="8109" customWidth="1" bestFit="1" width="3.0" style="1122"/>
    <col min="8110" max="8110" customWidth="1" bestFit="1" width="3.0" style="1122"/>
    <col min="8111" max="8111" customWidth="1" bestFit="1" width="3.0" style="1122"/>
    <col min="8112" max="8112" customWidth="1" bestFit="1" width="3.0" style="1122"/>
    <col min="8113" max="8113" customWidth="1" bestFit="1" width="3.0" style="1122"/>
    <col min="8114" max="8114" customWidth="1" bestFit="1" width="3.0" style="1122"/>
    <col min="8115" max="8115" customWidth="1" bestFit="1" width="3.0" style="1122"/>
    <col min="8116" max="8116" customWidth="1" bestFit="1" width="3.0" style="1122"/>
    <col min="8117" max="8117" customWidth="1" bestFit="1" width="3.0" style="1122"/>
    <col min="8118" max="8118" customWidth="1" bestFit="1" width="3.0" style="1122"/>
    <col min="8119" max="8119" customWidth="1" bestFit="1" width="3.0" style="1122"/>
    <col min="8120" max="8120" customWidth="1" bestFit="1" width="3.0" style="1122"/>
    <col min="8121" max="8121" customWidth="1" bestFit="1" width="3.0" style="1122"/>
    <col min="8122" max="8122" customWidth="1" bestFit="1" width="3.0" style="1122"/>
    <col min="8123" max="8123" customWidth="1" bestFit="1" width="3.0" style="1122"/>
    <col min="8124" max="8124" customWidth="1" bestFit="1" width="3.0" style="1122"/>
    <col min="8125" max="8125" customWidth="1" bestFit="1" width="3.0" style="1122"/>
    <col min="8126" max="8126" customWidth="1" bestFit="1" width="3.0" style="1122"/>
    <col min="8127" max="8127" customWidth="1" bestFit="1" width="3.0" style="1122"/>
    <col min="8128" max="8128" customWidth="1" bestFit="1" width="3.0" style="1122"/>
    <col min="8129" max="8129" customWidth="1" bestFit="1" width="3.0" style="1122"/>
    <col min="8130" max="8130" customWidth="1" bestFit="1" width="3.0" style="1122"/>
    <col min="8131" max="8131" customWidth="1" bestFit="1" width="3.0" style="1122"/>
    <col min="8132" max="8132" customWidth="1" bestFit="1" width="3.0" style="1122"/>
    <col min="8133" max="8133" customWidth="1" bestFit="1" width="3.0" style="1122"/>
    <col min="8134" max="8134" customWidth="1" bestFit="1" width="3.0" style="1122"/>
    <col min="8135" max="8135" customWidth="1" bestFit="1" width="3.0" style="1122"/>
    <col min="8136" max="8136" customWidth="1" bestFit="1" width="3.0" style="1122"/>
    <col min="8137" max="8137" customWidth="1" bestFit="1" width="3.0" style="1122"/>
    <col min="8138" max="8138" customWidth="1" bestFit="1" width="3.0" style="1122"/>
    <col min="8139" max="8139" customWidth="1" bestFit="1" width="3.0" style="1122"/>
    <col min="8140" max="8140" customWidth="1" bestFit="1" width="3.0" style="1122"/>
    <col min="8141" max="8141" customWidth="1" bestFit="1" width="3.0" style="1122"/>
    <col min="8142" max="8142" customWidth="1" bestFit="1" width="3.0" style="1122"/>
    <col min="8143" max="8143" customWidth="1" bestFit="1" width="3.0" style="1122"/>
    <col min="8144" max="8144" customWidth="1" bestFit="1" width="3.0" style="1122"/>
    <col min="8145" max="8145" customWidth="1" bestFit="1" width="3.0" style="1122"/>
    <col min="8146" max="8146" customWidth="1" bestFit="1" width="3.0" style="1122"/>
    <col min="8147" max="8147" customWidth="1" bestFit="1" width="3.0" style="1122"/>
    <col min="8148" max="8148" customWidth="1" bestFit="1" width="3.0" style="1122"/>
    <col min="8149" max="8149" customWidth="1" bestFit="1" width="3.0" style="1122"/>
    <col min="8150" max="8150" customWidth="1" bestFit="1" width="3.0" style="1122"/>
    <col min="8151" max="8151" customWidth="1" bestFit="1" width="3.0" style="1122"/>
    <col min="8152" max="8152" customWidth="1" bestFit="1" width="3.0" style="1122"/>
    <col min="8153" max="8153" customWidth="1" bestFit="1" width="3.0" style="1122"/>
    <col min="8154" max="8154" customWidth="1" bestFit="1" width="3.0" style="1122"/>
    <col min="8155" max="8155" customWidth="1" bestFit="1" width="3.0" style="1122"/>
    <col min="8156" max="8156" customWidth="1" bestFit="1" width="3.0" style="1122"/>
    <col min="8157" max="8157" customWidth="1" bestFit="1" width="3.0" style="1122"/>
    <col min="8158" max="8158" customWidth="1" bestFit="1" width="3.0" style="1122"/>
    <col min="8159" max="8159" customWidth="1" bestFit="1" width="3.0" style="1122"/>
    <col min="8160" max="8160" customWidth="1" bestFit="1" width="3.0" style="1122"/>
    <col min="8161" max="8161" customWidth="1" bestFit="1" width="3.0" style="1122"/>
    <col min="8162" max="8162" customWidth="1" bestFit="1" width="3.0" style="1122"/>
    <col min="8163" max="8163" customWidth="1" bestFit="1" width="3.0" style="1122"/>
    <col min="8164" max="8164" customWidth="1" bestFit="1" width="3.0" style="1122"/>
    <col min="8165" max="8165" customWidth="1" bestFit="1" width="3.0" style="1122"/>
    <col min="8166" max="8166" customWidth="1" bestFit="1" width="3.0" style="1122"/>
    <col min="8167" max="8167" customWidth="1" bestFit="1" width="3.0" style="1122"/>
    <col min="8168" max="8168" customWidth="1" bestFit="1" width="3.0" style="1122"/>
    <col min="8169" max="8169" customWidth="1" bestFit="1" width="3.0" style="1122"/>
    <col min="8170" max="8170" customWidth="1" bestFit="1" width="3.0" style="1122"/>
    <col min="8171" max="8171" customWidth="1" bestFit="1" width="3.0" style="1122"/>
    <col min="8172" max="8172" customWidth="1" bestFit="1" width="3.0" style="1122"/>
    <col min="8173" max="8173" customWidth="1" bestFit="1" width="3.0" style="1122"/>
    <col min="8174" max="8174" customWidth="1" bestFit="1" width="3.0" style="1122"/>
    <col min="8175" max="8175" customWidth="1" bestFit="1" width="3.0" style="1122"/>
    <col min="8176" max="8176" customWidth="1" bestFit="1" width="3.0" style="1122"/>
    <col min="8177" max="8177" customWidth="1" bestFit="1" width="3.0" style="1122"/>
    <col min="8178" max="8178" customWidth="1" bestFit="1" width="3.0" style="1122"/>
    <col min="8179" max="8179" customWidth="1" bestFit="1" width="3.0" style="1122"/>
    <col min="8180" max="8180" customWidth="1" bestFit="1" width="3.0" style="1122"/>
    <col min="8181" max="8181" customWidth="1" bestFit="1" width="3.0" style="1122"/>
    <col min="8182" max="8182" customWidth="1" bestFit="1" width="3.0" style="1122"/>
    <col min="8183" max="8183" customWidth="1" bestFit="1" width="3.0" style="1122"/>
    <col min="8184" max="8184" customWidth="1" bestFit="1" width="3.0" style="1122"/>
    <col min="8185" max="8185" customWidth="1" bestFit="1" width="3.0" style="1122"/>
    <col min="8186" max="8186" customWidth="1" bestFit="1" width="3.0" style="1122"/>
    <col min="8187" max="8187" customWidth="1" bestFit="1" width="3.0" style="1122"/>
    <col min="8188" max="8188" customWidth="1" bestFit="1" width="3.0" style="1122"/>
    <col min="8189" max="8189" customWidth="1" bestFit="1" width="3.0" style="1122"/>
    <col min="8190" max="8190" customWidth="1" bestFit="1" width="3.0" style="1122"/>
    <col min="8191" max="8191" customWidth="1" bestFit="1" width="3.0" style="1122"/>
    <col min="8192" max="8192" customWidth="1" bestFit="1" width="3.0" style="1122"/>
    <col min="8193" max="8193" customWidth="1" bestFit="1" width="3.0" style="1122"/>
    <col min="8194" max="8194" customWidth="1" bestFit="1" width="3.0" style="1122"/>
    <col min="8195" max="8195" customWidth="1" bestFit="1" width="3.0" style="1122"/>
    <col min="8196" max="8196" customWidth="1" bestFit="1" width="3.0" style="1122"/>
    <col min="8197" max="8197" customWidth="1" bestFit="1" width="3.0" style="1122"/>
    <col min="8198" max="8198" customWidth="1" bestFit="1" width="3.0" style="1122"/>
    <col min="8199" max="8199" customWidth="1" bestFit="1" width="3.0" style="1122"/>
    <col min="8200" max="8200" customWidth="1" bestFit="1" width="3.0" style="1122"/>
    <col min="8201" max="8201" customWidth="1" bestFit="1" width="3.0" style="1122"/>
    <col min="8202" max="8202" customWidth="1" bestFit="1" width="3.0" style="1122"/>
    <col min="8203" max="8203" customWidth="1" bestFit="1" width="3.0" style="1122"/>
    <col min="8204" max="8204" customWidth="1" bestFit="1" width="3.0" style="1122"/>
    <col min="8205" max="8205" customWidth="1" bestFit="1" width="3.0" style="1122"/>
    <col min="8206" max="8206" customWidth="1" bestFit="1" width="3.0" style="1122"/>
    <col min="8207" max="8207" customWidth="1" bestFit="1" width="3.0" style="1122"/>
    <col min="8208" max="8208" customWidth="1" bestFit="1" width="3.0" style="1122"/>
    <col min="8209" max="8209" customWidth="1" bestFit="1" width="3.0" style="1122"/>
    <col min="8210" max="8210" customWidth="1" bestFit="1" width="3.0" style="1122"/>
    <col min="8211" max="8211" customWidth="1" bestFit="1" width="3.0" style="1122"/>
    <col min="8212" max="8212" customWidth="1" bestFit="1" width="3.0" style="1122"/>
    <col min="8213" max="8213" customWidth="1" bestFit="1" width="3.0" style="1122"/>
    <col min="8214" max="8214" customWidth="1" bestFit="1" width="3.0" style="1122"/>
    <col min="8215" max="8215" customWidth="1" bestFit="1" width="3.0" style="1122"/>
    <col min="8216" max="8216" customWidth="1" bestFit="1" width="3.0" style="1122"/>
    <col min="8217" max="8217" customWidth="1" bestFit="1" width="3.0" style="1122"/>
    <col min="8218" max="8218" customWidth="1" bestFit="1" width="3.0" style="1122"/>
    <col min="8219" max="8219" customWidth="1" bestFit="1" width="3.0" style="1122"/>
    <col min="8220" max="8220" customWidth="1" bestFit="1" width="3.0" style="1122"/>
    <col min="8221" max="8221" customWidth="1" bestFit="1" width="3.0" style="1122"/>
    <col min="8222" max="8222" customWidth="1" bestFit="1" width="3.0" style="1122"/>
    <col min="8223" max="8223" customWidth="1" bestFit="1" width="3.0" style="1122"/>
    <col min="8224" max="8224" customWidth="1" bestFit="1" width="3.0" style="1122"/>
    <col min="8225" max="8225" customWidth="1" bestFit="1" width="3.0" style="1122"/>
    <col min="8226" max="8226" customWidth="1" bestFit="1" width="3.0" style="1122"/>
    <col min="8227" max="8227" customWidth="1" bestFit="1" width="3.0" style="1122"/>
    <col min="8228" max="8228" customWidth="1" bestFit="1" width="3.0" style="1122"/>
    <col min="8229" max="8229" customWidth="1" bestFit="1" width="3.0" style="1122"/>
    <col min="8230" max="8230" customWidth="1" bestFit="1" width="3.0" style="1122"/>
    <col min="8231" max="8231" customWidth="1" bestFit="1" width="3.0" style="1122"/>
    <col min="8232" max="8232" customWidth="1" bestFit="1" width="3.0" style="1122"/>
    <col min="8233" max="8233" customWidth="1" bestFit="1" width="3.0" style="1122"/>
    <col min="8234" max="8234" customWidth="1" bestFit="1" width="3.0" style="1122"/>
    <col min="8235" max="8235" customWidth="1" bestFit="1" width="3.0" style="1122"/>
    <col min="8236" max="8236" customWidth="1" bestFit="1" width="3.0" style="1122"/>
    <col min="8237" max="8237" customWidth="1" bestFit="1" width="3.0" style="1122"/>
    <col min="8238" max="8238" customWidth="1" bestFit="1" width="3.0" style="1122"/>
    <col min="8239" max="8239" customWidth="1" bestFit="1" width="3.0" style="1122"/>
    <col min="8240" max="8240" customWidth="1" bestFit="1" width="3.0" style="1122"/>
    <col min="8241" max="8241" customWidth="1" bestFit="1" width="3.0" style="1122"/>
    <col min="8242" max="8242" customWidth="1" bestFit="1" width="3.0" style="1122"/>
    <col min="8243" max="8243" customWidth="1" bestFit="1" width="3.0" style="1122"/>
    <col min="8244" max="8244" customWidth="1" bestFit="1" width="3.0" style="1122"/>
    <col min="8245" max="8245" customWidth="1" bestFit="1" width="3.0" style="1122"/>
    <col min="8246" max="8246" customWidth="1" bestFit="1" width="3.0" style="1122"/>
    <col min="8247" max="8247" customWidth="1" bestFit="1" width="3.0" style="1122"/>
    <col min="8248" max="8248" customWidth="1" bestFit="1" width="3.0" style="1122"/>
    <col min="8249" max="8249" customWidth="1" bestFit="1" width="3.0" style="1122"/>
    <col min="8250" max="8250" customWidth="1" bestFit="1" width="3.0" style="1122"/>
    <col min="8251" max="8251" customWidth="1" bestFit="1" width="3.0" style="1122"/>
    <col min="8252" max="8252" customWidth="1" bestFit="1" width="3.0" style="1122"/>
    <col min="8253" max="8253" customWidth="1" bestFit="1" width="3.0" style="1122"/>
    <col min="8254" max="8254" customWidth="1" bestFit="1" width="3.0" style="1122"/>
    <col min="8255" max="8255" customWidth="1" bestFit="1" width="3.0" style="1122"/>
    <col min="8256" max="8256" customWidth="1" bestFit="1" width="3.0" style="1122"/>
    <col min="8257" max="8257" customWidth="1" bestFit="1" width="3.0" style="1122"/>
    <col min="8258" max="8258" customWidth="1" bestFit="1" width="3.0" style="1122"/>
    <col min="8259" max="8259" customWidth="1" bestFit="1" width="3.0" style="1122"/>
    <col min="8260" max="8260" customWidth="1" bestFit="1" width="3.0" style="1122"/>
    <col min="8261" max="8261" customWidth="1" bestFit="1" width="3.0" style="1122"/>
    <col min="8262" max="8262" customWidth="1" bestFit="1" width="3.0" style="1122"/>
    <col min="8263" max="8263" customWidth="1" bestFit="1" width="3.0" style="1122"/>
    <col min="8264" max="8264" customWidth="1" bestFit="1" width="3.0" style="1122"/>
    <col min="8265" max="8265" customWidth="1" bestFit="1" width="3.0" style="1122"/>
    <col min="8266" max="8266" customWidth="1" bestFit="1" width="3.0" style="1122"/>
    <col min="8267" max="8267" customWidth="1" bestFit="1" width="3.0" style="1122"/>
    <col min="8268" max="8268" customWidth="1" bestFit="1" width="3.0" style="1122"/>
    <col min="8269" max="8269" customWidth="1" bestFit="1" width="3.0" style="1122"/>
    <col min="8270" max="8270" customWidth="1" bestFit="1" width="3.0" style="1122"/>
    <col min="8271" max="8271" customWidth="1" bestFit="1" width="3.0" style="1122"/>
    <col min="8272" max="8272" customWidth="1" bestFit="1" width="3.0" style="1122"/>
    <col min="8273" max="8273" customWidth="1" bestFit="1" width="3.0" style="1122"/>
    <col min="8274" max="8274" customWidth="1" bestFit="1" width="3.0" style="1122"/>
    <col min="8275" max="8275" customWidth="1" bestFit="1" width="3.0" style="1122"/>
    <col min="8276" max="8276" customWidth="1" bestFit="1" width="3.0" style="1122"/>
    <col min="8277" max="8277" customWidth="1" bestFit="1" width="3.0" style="1122"/>
    <col min="8278" max="8278" customWidth="1" bestFit="1" width="3.0" style="1122"/>
    <col min="8279" max="8279" customWidth="1" bestFit="1" width="3.0" style="1122"/>
    <col min="8280" max="8280" customWidth="1" bestFit="1" width="3.0" style="1122"/>
    <col min="8281" max="8281" customWidth="1" bestFit="1" width="3.0" style="1122"/>
    <col min="8282" max="8282" customWidth="1" bestFit="1" width="3.0" style="1122"/>
    <col min="8283" max="8283" customWidth="1" bestFit="1" width="3.0" style="1122"/>
    <col min="8284" max="8284" customWidth="1" bestFit="1" width="3.0" style="1122"/>
    <col min="8285" max="8285" customWidth="1" bestFit="1" width="3.0" style="1122"/>
    <col min="8286" max="8286" customWidth="1" bestFit="1" width="3.0" style="1122"/>
    <col min="8287" max="8287" customWidth="1" bestFit="1" width="3.0" style="1122"/>
    <col min="8288" max="8288" customWidth="1" bestFit="1" width="3.0" style="1122"/>
    <col min="8289" max="8289" customWidth="1" bestFit="1" width="3.0" style="1122"/>
    <col min="8290" max="8290" customWidth="1" bestFit="1" width="3.0" style="1122"/>
    <col min="8291" max="8291" customWidth="1" bestFit="1" width="3.0" style="1122"/>
    <col min="8292" max="8292" customWidth="1" bestFit="1" width="3.0" style="1122"/>
    <col min="8293" max="8293" customWidth="1" bestFit="1" width="3.0" style="1122"/>
    <col min="8294" max="8294" customWidth="1" bestFit="1" width="3.0" style="1122"/>
    <col min="8295" max="8295" customWidth="1" bestFit="1" width="3.0" style="1122"/>
    <col min="8296" max="8296" customWidth="1" bestFit="1" width="3.0" style="1122"/>
    <col min="8297" max="8297" customWidth="1" bestFit="1" width="3.0" style="1122"/>
    <col min="8298" max="8298" customWidth="1" bestFit="1" width="3.0" style="1122"/>
    <col min="8299" max="8299" customWidth="1" bestFit="1" width="3.0" style="1122"/>
    <col min="8300" max="8300" customWidth="1" bestFit="1" width="3.0" style="1122"/>
    <col min="8301" max="8301" customWidth="1" bestFit="1" width="3.0" style="1122"/>
    <col min="8302" max="8302" customWidth="1" bestFit="1" width="3.0" style="1122"/>
    <col min="8303" max="8303" customWidth="1" bestFit="1" width="3.0" style="1122"/>
    <col min="8304" max="8304" customWidth="1" bestFit="1" width="3.0" style="1122"/>
    <col min="8305" max="8305" customWidth="1" bestFit="1" width="3.0" style="1122"/>
    <col min="8306" max="8306" customWidth="1" bestFit="1" width="3.0" style="1122"/>
    <col min="8307" max="8307" customWidth="1" bestFit="1" width="3.0" style="1122"/>
    <col min="8308" max="8308" customWidth="1" bestFit="1" width="3.0" style="1122"/>
    <col min="8309" max="8309" customWidth="1" bestFit="1" width="3.0" style="1122"/>
    <col min="8310" max="8310" customWidth="1" bestFit="1" width="3.0" style="1122"/>
    <col min="8311" max="8311" customWidth="1" bestFit="1" width="3.0" style="1122"/>
    <col min="8312" max="8312" customWidth="1" bestFit="1" width="3.0" style="1122"/>
    <col min="8313" max="8313" customWidth="1" bestFit="1" width="3.0" style="1122"/>
    <col min="8314" max="8314" customWidth="1" bestFit="1" width="3.0" style="1122"/>
    <col min="8315" max="8315" customWidth="1" bestFit="1" width="3.0" style="1122"/>
    <col min="8316" max="8316" customWidth="1" bestFit="1" width="3.0" style="1122"/>
    <col min="8317" max="8317" customWidth="1" bestFit="1" width="3.0" style="1122"/>
    <col min="8318" max="8318" customWidth="1" bestFit="1" width="3.0" style="1122"/>
    <col min="8319" max="8319" customWidth="1" bestFit="1" width="3.0" style="1122"/>
    <col min="8320" max="8320" customWidth="1" bestFit="1" width="3.0" style="1122"/>
    <col min="8321" max="8321" customWidth="1" bestFit="1" width="3.0" style="1122"/>
    <col min="8322" max="8322" customWidth="1" bestFit="1" width="3.0" style="1122"/>
    <col min="8323" max="8323" customWidth="1" bestFit="1" width="3.0" style="1122"/>
    <col min="8324" max="8324" customWidth="1" bestFit="1" width="3.0" style="1122"/>
    <col min="8325" max="8325" customWidth="1" bestFit="1" width="3.0" style="1122"/>
    <col min="8326" max="8326" customWidth="1" bestFit="1" width="3.0" style="1122"/>
    <col min="8327" max="8327" customWidth="1" bestFit="1" width="3.0" style="1122"/>
    <col min="8328" max="8328" customWidth="1" bestFit="1" width="3.0" style="1122"/>
    <col min="8329" max="8329" customWidth="1" bestFit="1" width="3.0" style="1122"/>
    <col min="8330" max="8330" customWidth="1" bestFit="1" width="3.0" style="1122"/>
    <col min="8331" max="8331" customWidth="1" bestFit="1" width="3.0" style="1122"/>
    <col min="8332" max="8332" customWidth="1" bestFit="1" width="3.0" style="1122"/>
    <col min="8333" max="8333" customWidth="1" bestFit="1" width="3.0" style="1122"/>
    <col min="8334" max="8334" customWidth="1" bestFit="1" width="3.0" style="1122"/>
    <col min="8335" max="8335" customWidth="1" bestFit="1" width="3.0" style="1122"/>
    <col min="8336" max="8336" customWidth="1" bestFit="1" width="3.0" style="1122"/>
    <col min="8337" max="8337" customWidth="1" bestFit="1" width="3.0" style="1122"/>
    <col min="8338" max="8338" customWidth="1" bestFit="1" width="3.0" style="1122"/>
    <col min="8339" max="8339" customWidth="1" bestFit="1" width="3.0" style="1122"/>
    <col min="8340" max="8340" customWidth="1" bestFit="1" width="3.0" style="1122"/>
    <col min="8341" max="8341" customWidth="1" bestFit="1" width="3.0" style="1122"/>
    <col min="8342" max="8342" customWidth="1" bestFit="1" width="3.0" style="1122"/>
    <col min="8343" max="8343" customWidth="1" bestFit="1" width="3.0" style="1122"/>
    <col min="8344" max="8344" customWidth="1" bestFit="1" width="3.0" style="1122"/>
    <col min="8345" max="8345" customWidth="1" bestFit="1" width="3.0" style="1122"/>
    <col min="8346" max="8346" customWidth="1" bestFit="1" width="3.0" style="1122"/>
    <col min="8347" max="8347" customWidth="1" bestFit="1" width="3.0" style="1122"/>
    <col min="8348" max="8348" customWidth="1" bestFit="1" width="3.0" style="1122"/>
    <col min="8349" max="8349" customWidth="1" bestFit="1" width="3.0" style="1122"/>
    <col min="8350" max="8350" customWidth="1" bestFit="1" width="3.0" style="1122"/>
    <col min="8351" max="8351" customWidth="1" bestFit="1" width="3.0" style="1122"/>
    <col min="8352" max="8352" customWidth="1" bestFit="1" width="3.0" style="1122"/>
    <col min="8353" max="8353" customWidth="1" bestFit="1" width="3.0" style="1122"/>
    <col min="8354" max="8354" customWidth="1" bestFit="1" width="3.0" style="1122"/>
    <col min="8355" max="8355" customWidth="1" bestFit="1" width="3.0" style="1122"/>
    <col min="8356" max="8356" customWidth="1" bestFit="1" width="3.0" style="1122"/>
    <col min="8357" max="8357" customWidth="1" bestFit="1" width="3.0" style="1122"/>
    <col min="8358" max="8358" customWidth="1" bestFit="1" width="3.0" style="1122"/>
    <col min="8359" max="8359" customWidth="1" bestFit="1" width="3.0" style="1122"/>
    <col min="8360" max="8360" customWidth="1" bestFit="1" width="3.0" style="1122"/>
    <col min="8361" max="8361" customWidth="1" bestFit="1" width="3.0" style="1122"/>
    <col min="8362" max="8362" customWidth="1" bestFit="1" width="3.0" style="1122"/>
    <col min="8363" max="8363" customWidth="1" bestFit="1" width="3.0" style="1122"/>
    <col min="8364" max="8364" customWidth="1" bestFit="1" width="3.0" style="1122"/>
    <col min="8365" max="8365" customWidth="1" bestFit="1" width="3.0" style="1122"/>
    <col min="8366" max="8366" customWidth="1" bestFit="1" width="3.0" style="1122"/>
    <col min="8367" max="8367" customWidth="1" bestFit="1" width="3.0" style="1122"/>
    <col min="8368" max="8368" customWidth="1" bestFit="1" width="3.0" style="1122"/>
    <col min="8369" max="8369" customWidth="1" bestFit="1" width="3.0" style="1122"/>
    <col min="8370" max="8370" customWidth="1" bestFit="1" width="3.0" style="1122"/>
    <col min="8371" max="8371" customWidth="1" bestFit="1" width="3.0" style="1122"/>
    <col min="8372" max="8372" customWidth="1" bestFit="1" width="3.0" style="1122"/>
    <col min="8373" max="8373" customWidth="1" bestFit="1" width="3.0" style="1122"/>
    <col min="8374" max="8374" customWidth="1" bestFit="1" width="3.0" style="1122"/>
    <col min="8375" max="8375" customWidth="1" bestFit="1" width="3.0" style="1122"/>
    <col min="8376" max="8376" customWidth="1" bestFit="1" width="3.0" style="1122"/>
    <col min="8377" max="8377" customWidth="1" bestFit="1" width="3.0" style="1122"/>
    <col min="8378" max="8378" customWidth="1" bestFit="1" width="3.0" style="1122"/>
    <col min="8379" max="8379" customWidth="1" bestFit="1" width="3.0" style="1122"/>
    <col min="8380" max="8380" customWidth="1" bestFit="1" width="3.0" style="1122"/>
    <col min="8381" max="8381" customWidth="1" bestFit="1" width="3.0" style="1122"/>
    <col min="8382" max="8382" customWidth="1" bestFit="1" width="3.0" style="1122"/>
    <col min="8383" max="8383" customWidth="1" bestFit="1" width="3.0" style="1122"/>
    <col min="8384" max="8384" customWidth="1" bestFit="1" width="3.0" style="1122"/>
    <col min="8385" max="8385" customWidth="1" bestFit="1" width="3.0" style="1122"/>
    <col min="8386" max="8386" customWidth="1" bestFit="1" width="3.0" style="1122"/>
    <col min="8387" max="8387" customWidth="1" bestFit="1" width="3.0" style="1122"/>
    <col min="8388" max="8388" customWidth="1" bestFit="1" width="3.0" style="1122"/>
    <col min="8389" max="8389" customWidth="1" bestFit="1" width="3.0" style="1122"/>
    <col min="8390" max="8390" customWidth="1" bestFit="1" width="3.0" style="1122"/>
    <col min="8391" max="8391" customWidth="1" bestFit="1" width="3.0" style="1122"/>
    <col min="8392" max="8392" customWidth="1" bestFit="1" width="3.0" style="1122"/>
    <col min="8393" max="8393" customWidth="1" bestFit="1" width="3.0" style="1122"/>
    <col min="8394" max="8394" customWidth="1" bestFit="1" width="3.0" style="1122"/>
    <col min="8395" max="8395" customWidth="1" bestFit="1" width="3.0" style="1122"/>
    <col min="8396" max="8396" customWidth="1" bestFit="1" width="3.0" style="1122"/>
    <col min="8397" max="8397" customWidth="1" bestFit="1" width="3.0" style="1122"/>
    <col min="8398" max="8398" customWidth="1" bestFit="1" width="3.0" style="1122"/>
    <col min="8399" max="8399" customWidth="1" bestFit="1" width="3.0" style="1122"/>
    <col min="8400" max="8400" customWidth="1" bestFit="1" width="3.0" style="1122"/>
    <col min="8401" max="8401" customWidth="1" bestFit="1" width="3.0" style="1122"/>
    <col min="8402" max="8402" customWidth="1" bestFit="1" width="3.0" style="1122"/>
    <col min="8403" max="8403" customWidth="1" bestFit="1" width="3.0" style="1122"/>
    <col min="8404" max="8404" customWidth="1" bestFit="1" width="3.0" style="1122"/>
    <col min="8405" max="8405" customWidth="1" bestFit="1" width="3.0" style="1122"/>
    <col min="8406" max="8406" customWidth="1" bestFit="1" width="3.0" style="1122"/>
    <col min="8407" max="8407" customWidth="1" bestFit="1" width="3.0" style="1122"/>
    <col min="8408" max="8408" customWidth="1" bestFit="1" width="3.0" style="1122"/>
    <col min="8409" max="8409" customWidth="1" bestFit="1" width="3.0" style="1122"/>
    <col min="8410" max="8410" customWidth="1" bestFit="1" width="3.0" style="1122"/>
    <col min="8411" max="8411" customWidth="1" bestFit="1" width="3.0" style="1122"/>
    <col min="8412" max="8412" customWidth="1" bestFit="1" width="3.0" style="1122"/>
    <col min="8413" max="8413" customWidth="1" bestFit="1" width="3.0" style="1122"/>
    <col min="8414" max="8414" customWidth="1" bestFit="1" width="3.0" style="1122"/>
    <col min="8415" max="8415" customWidth="1" bestFit="1" width="3.0" style="1122"/>
    <col min="8416" max="8416" customWidth="1" bestFit="1" width="3.0" style="1122"/>
    <col min="8417" max="8417" customWidth="1" bestFit="1" width="3.0" style="1122"/>
    <col min="8418" max="8418" customWidth="1" bestFit="1" width="3.0" style="1122"/>
    <col min="8419" max="8419" customWidth="1" bestFit="1" width="3.0" style="1122"/>
    <col min="8420" max="8420" customWidth="1" bestFit="1" width="3.0" style="1122"/>
    <col min="8421" max="8421" customWidth="1" bestFit="1" width="3.0" style="1122"/>
    <col min="8422" max="8422" customWidth="1" bestFit="1" width="3.0" style="1122"/>
    <col min="8423" max="8423" customWidth="1" bestFit="1" width="3.0" style="1122"/>
    <col min="8424" max="8424" customWidth="1" bestFit="1" width="3.0" style="1122"/>
    <col min="8425" max="8425" customWidth="1" bestFit="1" width="3.0" style="1122"/>
    <col min="8426" max="8426" customWidth="1" bestFit="1" width="3.0" style="1122"/>
    <col min="8427" max="8427" customWidth="1" bestFit="1" width="3.0" style="1122"/>
    <col min="8428" max="8428" customWidth="1" bestFit="1" width="3.0" style="1122"/>
    <col min="8429" max="8429" customWidth="1" bestFit="1" width="3.0" style="1122"/>
    <col min="8430" max="8430" customWidth="1" bestFit="1" width="3.0" style="1122"/>
    <col min="8431" max="8431" customWidth="1" bestFit="1" width="3.0" style="1122"/>
    <col min="8432" max="8432" customWidth="1" bestFit="1" width="3.0" style="1122"/>
    <col min="8433" max="8433" customWidth="1" bestFit="1" width="3.0" style="1122"/>
    <col min="8434" max="8434" customWidth="1" bestFit="1" width="3.0" style="1122"/>
    <col min="8435" max="8435" customWidth="1" bestFit="1" width="3.0" style="1122"/>
    <col min="8436" max="8436" customWidth="1" bestFit="1" width="3.0" style="1122"/>
    <col min="8437" max="8437" customWidth="1" bestFit="1" width="3.0" style="1122"/>
    <col min="8438" max="8438" customWidth="1" bestFit="1" width="3.0" style="1122"/>
    <col min="8439" max="8439" customWidth="1" bestFit="1" width="3.0" style="1122"/>
    <col min="8440" max="8440" customWidth="1" bestFit="1" width="3.0" style="1122"/>
    <col min="8441" max="8441" customWidth="1" bestFit="1" width="3.0" style="1122"/>
    <col min="8442" max="8442" customWidth="1" bestFit="1" width="3.0" style="1122"/>
    <col min="8443" max="8443" customWidth="1" bestFit="1" width="3.0" style="1122"/>
    <col min="8444" max="8444" customWidth="1" bestFit="1" width="3.0" style="1122"/>
    <col min="8445" max="8445" customWidth="1" bestFit="1" width="3.0" style="1122"/>
    <col min="8446" max="8446" customWidth="1" bestFit="1" width="3.0" style="1122"/>
    <col min="8447" max="8447" customWidth="1" bestFit="1" width="3.0" style="1122"/>
    <col min="8448" max="8448" customWidth="1" bestFit="1" width="3.0" style="1122"/>
    <col min="8449" max="8449" customWidth="1" bestFit="1" width="3.0" style="1122"/>
    <col min="8450" max="8450" customWidth="1" bestFit="1" width="3.0" style="1122"/>
    <col min="8451" max="8451" customWidth="1" bestFit="1" width="3.0" style="1122"/>
    <col min="8452" max="8452" customWidth="1" bestFit="1" width="3.0" style="1122"/>
    <col min="8453" max="8453" customWidth="1" bestFit="1" width="3.0" style="1122"/>
    <col min="8454" max="8454" customWidth="1" bestFit="1" width="3.0" style="1122"/>
    <col min="8455" max="8455" customWidth="1" bestFit="1" width="3.0" style="1122"/>
    <col min="8456" max="8456" customWidth="1" bestFit="1" width="3.0" style="1122"/>
    <col min="8457" max="8457" customWidth="1" bestFit="1" width="3.0" style="1122"/>
    <col min="8458" max="8458" customWidth="1" bestFit="1" width="3.0" style="1122"/>
    <col min="8459" max="8459" customWidth="1" bestFit="1" width="3.0" style="1122"/>
    <col min="8460" max="8460" customWidth="1" bestFit="1" width="3.0" style="1122"/>
    <col min="8461" max="8461" customWidth="1" bestFit="1" width="3.0" style="1122"/>
    <col min="8462" max="8462" customWidth="1" bestFit="1" width="3.0" style="1122"/>
    <col min="8463" max="8463" customWidth="1" bestFit="1" width="3.0" style="1122"/>
    <col min="8464" max="8464" customWidth="1" bestFit="1" width="3.0" style="1122"/>
    <col min="8465" max="8465" customWidth="1" bestFit="1" width="3.0" style="1122"/>
    <col min="8466" max="8466" customWidth="1" bestFit="1" width="3.0" style="1122"/>
    <col min="8467" max="8467" customWidth="1" bestFit="1" width="3.0" style="1122"/>
    <col min="8468" max="8468" customWidth="1" bestFit="1" width="3.0" style="1122"/>
    <col min="8469" max="8469" customWidth="1" bestFit="1" width="3.0" style="1122"/>
    <col min="8470" max="8470" customWidth="1" bestFit="1" width="3.0" style="1122"/>
    <col min="8471" max="8471" customWidth="1" bestFit="1" width="3.0" style="1122"/>
    <col min="8472" max="8472" customWidth="1" bestFit="1" width="3.0" style="1122"/>
    <col min="8473" max="8473" customWidth="1" bestFit="1" width="3.0" style="1122"/>
    <col min="8474" max="8474" customWidth="1" bestFit="1" width="3.0" style="1122"/>
    <col min="8475" max="8475" customWidth="1" bestFit="1" width="3.0" style="1122"/>
    <col min="8476" max="8476" customWidth="1" bestFit="1" width="3.0" style="1122"/>
    <col min="8477" max="8477" customWidth="1" bestFit="1" width="3.0" style="1122"/>
    <col min="8478" max="8478" customWidth="1" bestFit="1" width="3.0" style="1122"/>
    <col min="8479" max="8479" customWidth="1" bestFit="1" width="3.0" style="1122"/>
    <col min="8480" max="8480" customWidth="1" bestFit="1" width="3.0" style="1122"/>
    <col min="8481" max="8481" customWidth="1" bestFit="1" width="3.0" style="1122"/>
    <col min="8482" max="8482" customWidth="1" bestFit="1" width="3.0" style="1122"/>
    <col min="8483" max="8483" customWidth="1" bestFit="1" width="3.0" style="1122"/>
    <col min="8484" max="8484" customWidth="1" bestFit="1" width="3.0" style="1122"/>
    <col min="8485" max="8485" customWidth="1" bestFit="1" width="3.0" style="1122"/>
    <col min="8486" max="8486" customWidth="1" bestFit="1" width="3.0" style="1122"/>
    <col min="8487" max="8487" customWidth="1" bestFit="1" width="3.0" style="1122"/>
    <col min="8488" max="8488" customWidth="1" bestFit="1" width="3.0" style="1122"/>
    <col min="8489" max="8489" customWidth="1" bestFit="1" width="3.0" style="1122"/>
    <col min="8490" max="8490" customWidth="1" bestFit="1" width="3.0" style="1122"/>
    <col min="8491" max="8491" customWidth="1" bestFit="1" width="3.0" style="1122"/>
    <col min="8492" max="8492" customWidth="1" bestFit="1" width="3.0" style="1122"/>
    <col min="8493" max="8493" customWidth="1" bestFit="1" width="3.0" style="1122"/>
    <col min="8494" max="8494" customWidth="1" bestFit="1" width="3.0" style="1122"/>
    <col min="8495" max="8495" customWidth="1" bestFit="1" width="3.0" style="1122"/>
    <col min="8496" max="8496" customWidth="1" bestFit="1" width="3.0" style="1122"/>
    <col min="8497" max="8497" customWidth="1" bestFit="1" width="3.0" style="1122"/>
    <col min="8498" max="8498" customWidth="1" bestFit="1" width="3.0" style="1122"/>
    <col min="8499" max="8499" customWidth="1" bestFit="1" width="3.0" style="1122"/>
    <col min="8500" max="8500" customWidth="1" bestFit="1" width="3.0" style="1122"/>
    <col min="8501" max="8501" customWidth="1" bestFit="1" width="3.0" style="1122"/>
    <col min="8502" max="8502" customWidth="1" bestFit="1" width="3.0" style="1122"/>
    <col min="8503" max="8503" customWidth="1" bestFit="1" width="3.0" style="1122"/>
    <col min="8504" max="8504" customWidth="1" bestFit="1" width="3.0" style="1122"/>
    <col min="8505" max="8505" customWidth="1" bestFit="1" width="3.0" style="1122"/>
    <col min="8506" max="8506" customWidth="1" bestFit="1" width="3.0" style="1122"/>
    <col min="8507" max="8507" customWidth="1" bestFit="1" width="3.0" style="1122"/>
    <col min="8508" max="8508" customWidth="1" bestFit="1" width="3.0" style="1122"/>
    <col min="8509" max="8509" customWidth="1" bestFit="1" width="3.0" style="1122"/>
    <col min="8510" max="8510" customWidth="1" bestFit="1" width="3.0" style="1122"/>
    <col min="8511" max="8511" customWidth="1" bestFit="1" width="3.0" style="1122"/>
    <col min="8512" max="8512" customWidth="1" bestFit="1" width="3.0" style="1122"/>
    <col min="8513" max="8513" customWidth="1" bestFit="1" width="3.0" style="1122"/>
    <col min="8514" max="8514" customWidth="1" bestFit="1" width="3.0" style="1122"/>
    <col min="8515" max="8515" customWidth="1" bestFit="1" width="3.0" style="1122"/>
    <col min="8516" max="8516" customWidth="1" bestFit="1" width="3.0" style="1122"/>
    <col min="8517" max="8517" customWidth="1" bestFit="1" width="3.0" style="1122"/>
    <col min="8518" max="8518" customWidth="1" bestFit="1" width="3.0" style="1122"/>
    <col min="8519" max="8519" customWidth="1" bestFit="1" width="3.0" style="1122"/>
    <col min="8520" max="8520" customWidth="1" bestFit="1" width="3.0" style="1122"/>
    <col min="8521" max="8521" customWidth="1" bestFit="1" width="3.0" style="1122"/>
    <col min="8522" max="8522" customWidth="1" bestFit="1" width="3.0" style="1122"/>
    <col min="8523" max="8523" customWidth="1" bestFit="1" width="3.0" style="1122"/>
    <col min="8524" max="8524" customWidth="1" bestFit="1" width="3.0" style="1122"/>
    <col min="8525" max="8525" customWidth="1" bestFit="1" width="3.0" style="1122"/>
    <col min="8526" max="8526" customWidth="1" bestFit="1" width="3.0" style="1122"/>
    <col min="8527" max="8527" customWidth="1" bestFit="1" width="3.0" style="1122"/>
    <col min="8528" max="8528" customWidth="1" bestFit="1" width="3.0" style="1122"/>
    <col min="8529" max="8529" customWidth="1" bestFit="1" width="3.0" style="1122"/>
    <col min="8530" max="8530" customWidth="1" bestFit="1" width="3.0" style="1122"/>
    <col min="8531" max="8531" customWidth="1" bestFit="1" width="3.0" style="1122"/>
    <col min="8532" max="8532" customWidth="1" bestFit="1" width="3.0" style="1122"/>
    <col min="8533" max="8533" customWidth="1" bestFit="1" width="3.0" style="1122"/>
    <col min="8534" max="8534" customWidth="1" bestFit="1" width="3.0" style="1122"/>
    <col min="8535" max="8535" customWidth="1" bestFit="1" width="3.0" style="1122"/>
    <col min="8536" max="8536" customWidth="1" bestFit="1" width="3.0" style="1122"/>
    <col min="8537" max="8537" customWidth="1" bestFit="1" width="3.0" style="1122"/>
    <col min="8538" max="8538" customWidth="1" bestFit="1" width="3.0" style="1122"/>
    <col min="8539" max="8539" customWidth="1" bestFit="1" width="3.0" style="1122"/>
    <col min="8540" max="8540" customWidth="1" bestFit="1" width="3.0" style="1122"/>
    <col min="8541" max="8541" customWidth="1" bestFit="1" width="3.0" style="1122"/>
    <col min="8542" max="8542" customWidth="1" bestFit="1" width="3.0" style="1122"/>
    <col min="8543" max="8543" customWidth="1" bestFit="1" width="3.0" style="1122"/>
    <col min="8544" max="8544" customWidth="1" bestFit="1" width="3.0" style="1122"/>
    <col min="8545" max="8545" customWidth="1" bestFit="1" width="3.0" style="1122"/>
    <col min="8546" max="8546" customWidth="1" bestFit="1" width="3.0" style="1122"/>
    <col min="8547" max="8547" customWidth="1" bestFit="1" width="3.0" style="1122"/>
    <col min="8548" max="8548" customWidth="1" bestFit="1" width="3.0" style="1122"/>
    <col min="8549" max="8549" customWidth="1" bestFit="1" width="3.0" style="1122"/>
    <col min="8550" max="8550" customWidth="1" bestFit="1" width="3.0" style="1122"/>
    <col min="8551" max="8551" customWidth="1" bestFit="1" width="3.0" style="1122"/>
    <col min="8552" max="8552" customWidth="1" bestFit="1" width="3.0" style="1122"/>
    <col min="8553" max="8553" customWidth="1" bestFit="1" width="3.0" style="1122"/>
    <col min="8554" max="8554" customWidth="1" bestFit="1" width="3.0" style="1122"/>
    <col min="8555" max="8555" customWidth="1" bestFit="1" width="3.0" style="1122"/>
    <col min="8556" max="8556" customWidth="1" bestFit="1" width="3.0" style="1122"/>
    <col min="8557" max="8557" customWidth="1" bestFit="1" width="3.0" style="1122"/>
    <col min="8558" max="8558" customWidth="1" bestFit="1" width="3.0" style="1122"/>
    <col min="8559" max="8559" customWidth="1" bestFit="1" width="3.0" style="1122"/>
    <col min="8560" max="8560" customWidth="1" bestFit="1" width="3.0" style="1122"/>
    <col min="8561" max="8561" customWidth="1" bestFit="1" width="3.0" style="1122"/>
    <col min="8562" max="8562" customWidth="1" bestFit="1" width="3.0" style="1122"/>
    <col min="8563" max="8563" customWidth="1" bestFit="1" width="3.0" style="1122"/>
    <col min="8564" max="8564" customWidth="1" bestFit="1" width="3.0" style="1122"/>
    <col min="8565" max="8565" customWidth="1" bestFit="1" width="3.0" style="1122"/>
    <col min="8566" max="8566" customWidth="1" bestFit="1" width="3.0" style="1122"/>
    <col min="8567" max="8567" customWidth="1" bestFit="1" width="3.0" style="1122"/>
    <col min="8568" max="8568" customWidth="1" bestFit="1" width="3.0" style="1122"/>
    <col min="8569" max="8569" customWidth="1" bestFit="1" width="3.0" style="1122"/>
    <col min="8570" max="8570" customWidth="1" bestFit="1" width="3.0" style="1122"/>
    <col min="8571" max="8571" customWidth="1" bestFit="1" width="3.0" style="1122"/>
    <col min="8572" max="8572" customWidth="1" bestFit="1" width="3.0" style="1122"/>
    <col min="8573" max="8573" customWidth="1" bestFit="1" width="3.0" style="1122"/>
    <col min="8574" max="8574" customWidth="1" bestFit="1" width="3.0" style="1122"/>
    <col min="8575" max="8575" customWidth="1" bestFit="1" width="3.0" style="1122"/>
    <col min="8576" max="8576" customWidth="1" bestFit="1" width="3.0" style="1122"/>
    <col min="8577" max="8577" customWidth="1" bestFit="1" width="3.0" style="1122"/>
    <col min="8578" max="8578" customWidth="1" bestFit="1" width="3.0" style="1122"/>
    <col min="8579" max="8579" customWidth="1" bestFit="1" width="3.0" style="1122"/>
    <col min="8580" max="8580" customWidth="1" bestFit="1" width="3.0" style="1122"/>
    <col min="8581" max="8581" customWidth="1" bestFit="1" width="3.0" style="1122"/>
    <col min="8582" max="8582" customWidth="1" bestFit="1" width="3.0" style="1122"/>
    <col min="8583" max="8583" customWidth="1" bestFit="1" width="3.0" style="1122"/>
    <col min="8584" max="8584" customWidth="1" bestFit="1" width="3.0" style="1122"/>
    <col min="8585" max="8585" customWidth="1" bestFit="1" width="3.0" style="1122"/>
    <col min="8586" max="8586" customWidth="1" bestFit="1" width="3.0" style="1122"/>
    <col min="8587" max="8587" customWidth="1" bestFit="1" width="3.0" style="1122"/>
    <col min="8588" max="8588" customWidth="1" bestFit="1" width="3.0" style="1122"/>
    <col min="8589" max="8589" customWidth="1" bestFit="1" width="3.0" style="1122"/>
    <col min="8590" max="8590" customWidth="1" bestFit="1" width="3.0" style="1122"/>
    <col min="8591" max="8591" customWidth="1" bestFit="1" width="3.0" style="1122"/>
    <col min="8592" max="8592" customWidth="1" bestFit="1" width="3.0" style="1122"/>
    <col min="8593" max="8593" customWidth="1" bestFit="1" width="3.0" style="1122"/>
    <col min="8594" max="8594" customWidth="1" bestFit="1" width="3.0" style="1122"/>
    <col min="8595" max="8595" customWidth="1" bestFit="1" width="3.0" style="1122"/>
    <col min="8596" max="8596" customWidth="1" bestFit="1" width="3.0" style="1122"/>
    <col min="8597" max="8597" customWidth="1" bestFit="1" width="3.0" style="1122"/>
    <col min="8598" max="8598" customWidth="1" bestFit="1" width="3.0" style="1122"/>
    <col min="8599" max="8599" customWidth="1" bestFit="1" width="3.0" style="1122"/>
    <col min="8600" max="8600" customWidth="1" bestFit="1" width="3.0" style="1122"/>
    <col min="8601" max="8601" customWidth="1" bestFit="1" width="3.0" style="1122"/>
    <col min="8602" max="8602" customWidth="1" bestFit="1" width="3.0" style="1122"/>
    <col min="8603" max="8603" customWidth="1" bestFit="1" width="3.0" style="1122"/>
    <col min="8604" max="8604" customWidth="1" bestFit="1" width="3.0" style="1122"/>
    <col min="8605" max="8605" customWidth="1" bestFit="1" width="3.0" style="1122"/>
    <col min="8606" max="8606" customWidth="1" bestFit="1" width="3.0" style="1122"/>
    <col min="8607" max="8607" customWidth="1" bestFit="1" width="3.0" style="1122"/>
    <col min="8608" max="8608" customWidth="1" bestFit="1" width="3.0" style="1122"/>
    <col min="8609" max="8609" customWidth="1" bestFit="1" width="3.0" style="1122"/>
    <col min="8610" max="8610" customWidth="1" bestFit="1" width="3.0" style="1122"/>
    <col min="8611" max="8611" customWidth="1" bestFit="1" width="3.0" style="1122"/>
    <col min="8612" max="8612" customWidth="1" bestFit="1" width="3.0" style="1122"/>
    <col min="8613" max="8613" customWidth="1" bestFit="1" width="3.0" style="1122"/>
    <col min="8614" max="8614" customWidth="1" bestFit="1" width="3.0" style="1122"/>
    <col min="8615" max="8615" customWidth="1" bestFit="1" width="3.0" style="1122"/>
    <col min="8616" max="8616" customWidth="1" bestFit="1" width="3.0" style="1122"/>
    <col min="8617" max="8617" customWidth="1" bestFit="1" width="3.0" style="1122"/>
    <col min="8618" max="8618" customWidth="1" bestFit="1" width="3.0" style="1122"/>
    <col min="8619" max="8619" customWidth="1" bestFit="1" width="3.0" style="1122"/>
    <col min="8620" max="8620" customWidth="1" bestFit="1" width="3.0" style="1122"/>
    <col min="8621" max="8621" customWidth="1" bestFit="1" width="3.0" style="1122"/>
    <col min="8622" max="8622" customWidth="1" bestFit="1" width="3.0" style="1122"/>
    <col min="8623" max="8623" customWidth="1" bestFit="1" width="3.0" style="1122"/>
    <col min="8624" max="8624" customWidth="1" bestFit="1" width="3.0" style="1122"/>
    <col min="8625" max="8625" customWidth="1" bestFit="1" width="3.0" style="1122"/>
    <col min="8626" max="8626" customWidth="1" bestFit="1" width="3.0" style="1122"/>
    <col min="8627" max="8627" customWidth="1" bestFit="1" width="3.0" style="1122"/>
    <col min="8628" max="8628" customWidth="1" bestFit="1" width="3.0" style="1122"/>
    <col min="8629" max="8629" customWidth="1" bestFit="1" width="3.0" style="1122"/>
    <col min="8630" max="8630" customWidth="1" bestFit="1" width="3.0" style="1122"/>
    <col min="8631" max="8631" customWidth="1" bestFit="1" width="3.0" style="1122"/>
    <col min="8632" max="8632" customWidth="1" bestFit="1" width="3.0" style="1122"/>
    <col min="8633" max="8633" customWidth="1" bestFit="1" width="3.0" style="1122"/>
    <col min="8634" max="8634" customWidth="1" bestFit="1" width="3.0" style="1122"/>
    <col min="8635" max="8635" customWidth="1" bestFit="1" width="3.0" style="1122"/>
    <col min="8636" max="8636" customWidth="1" bestFit="1" width="3.0" style="1122"/>
    <col min="8637" max="8637" customWidth="1" bestFit="1" width="3.0" style="1122"/>
    <col min="8638" max="8638" customWidth="1" bestFit="1" width="3.0" style="1122"/>
    <col min="8639" max="8639" customWidth="1" bestFit="1" width="3.0" style="1122"/>
    <col min="8640" max="8640" customWidth="1" bestFit="1" width="3.0" style="1122"/>
    <col min="8641" max="8641" customWidth="1" bestFit="1" width="3.0" style="1122"/>
    <col min="8642" max="8642" customWidth="1" bestFit="1" width="3.0" style="1122"/>
    <col min="8643" max="8643" customWidth="1" bestFit="1" width="3.0" style="1122"/>
    <col min="8644" max="8644" customWidth="1" bestFit="1" width="3.0" style="1122"/>
    <col min="8645" max="8645" customWidth="1" bestFit="1" width="3.0" style="1122"/>
    <col min="8646" max="8646" customWidth="1" bestFit="1" width="3.0" style="1122"/>
    <col min="8647" max="8647" customWidth="1" bestFit="1" width="3.0" style="1122"/>
    <col min="8648" max="8648" customWidth="1" bestFit="1" width="3.0" style="1122"/>
    <col min="8649" max="8649" customWidth="1" bestFit="1" width="3.0" style="1122"/>
    <col min="8650" max="8650" customWidth="1" bestFit="1" width="3.0" style="1122"/>
    <col min="8651" max="8651" customWidth="1" bestFit="1" width="3.0" style="1122"/>
    <col min="8652" max="8652" customWidth="1" bestFit="1" width="3.0" style="1122"/>
    <col min="8653" max="8653" customWidth="1" bestFit="1" width="3.0" style="1122"/>
    <col min="8654" max="8654" customWidth="1" bestFit="1" width="3.0" style="1122"/>
    <col min="8655" max="8655" customWidth="1" bestFit="1" width="3.0" style="1122"/>
    <col min="8656" max="8656" customWidth="1" bestFit="1" width="3.0" style="1122"/>
    <col min="8657" max="8657" customWidth="1" bestFit="1" width="3.0" style="1122"/>
    <col min="8658" max="8658" customWidth="1" bestFit="1" width="3.0" style="1122"/>
    <col min="8659" max="8659" customWidth="1" bestFit="1" width="3.0" style="1122"/>
    <col min="8660" max="8660" customWidth="1" bestFit="1" width="3.0" style="1122"/>
    <col min="8661" max="8661" customWidth="1" bestFit="1" width="3.0" style="1122"/>
    <col min="8662" max="8662" customWidth="1" bestFit="1" width="3.0" style="1122"/>
    <col min="8663" max="8663" customWidth="1" bestFit="1" width="3.0" style="1122"/>
    <col min="8664" max="8664" customWidth="1" bestFit="1" width="3.0" style="1122"/>
    <col min="8665" max="8665" customWidth="1" bestFit="1" width="3.0" style="1122"/>
    <col min="8666" max="8666" customWidth="1" bestFit="1" width="3.0" style="1122"/>
    <col min="8667" max="8667" customWidth="1" bestFit="1" width="3.0" style="1122"/>
    <col min="8668" max="8668" customWidth="1" bestFit="1" width="3.0" style="1122"/>
    <col min="8669" max="8669" customWidth="1" bestFit="1" width="3.0" style="1122"/>
    <col min="8670" max="8670" customWidth="1" bestFit="1" width="3.0" style="1122"/>
    <col min="8671" max="8671" customWidth="1" bestFit="1" width="3.0" style="1122"/>
    <col min="8672" max="8672" customWidth="1" bestFit="1" width="3.0" style="1122"/>
    <col min="8673" max="8673" customWidth="1" bestFit="1" width="3.0" style="1122"/>
    <col min="8674" max="8674" customWidth="1" bestFit="1" width="3.0" style="1122"/>
    <col min="8675" max="8675" customWidth="1" bestFit="1" width="3.0" style="1122"/>
    <col min="8676" max="8676" customWidth="1" bestFit="1" width="3.0" style="1122"/>
    <col min="8677" max="8677" customWidth="1" bestFit="1" width="3.0" style="1122"/>
    <col min="8678" max="8678" customWidth="1" bestFit="1" width="3.0" style="1122"/>
    <col min="8679" max="8679" customWidth="1" bestFit="1" width="3.0" style="1122"/>
    <col min="8680" max="8680" customWidth="1" bestFit="1" width="3.0" style="1122"/>
    <col min="8681" max="8681" customWidth="1" bestFit="1" width="3.0" style="1122"/>
    <col min="8682" max="8682" customWidth="1" bestFit="1" width="3.0" style="1122"/>
    <col min="8683" max="8683" customWidth="1" bestFit="1" width="3.0" style="1122"/>
    <col min="8684" max="8684" customWidth="1" bestFit="1" width="3.0" style="1122"/>
    <col min="8685" max="8685" customWidth="1" bestFit="1" width="3.0" style="1122"/>
    <col min="8686" max="8686" customWidth="1" bestFit="1" width="3.0" style="1122"/>
    <col min="8687" max="8687" customWidth="1" bestFit="1" width="3.0" style="1122"/>
    <col min="8688" max="8688" customWidth="1" bestFit="1" width="3.0" style="1122"/>
    <col min="8689" max="8689" customWidth="1" bestFit="1" width="3.0" style="1122"/>
    <col min="8690" max="8690" customWidth="1" bestFit="1" width="3.0" style="1122"/>
    <col min="8691" max="8691" customWidth="1" bestFit="1" width="3.0" style="1122"/>
    <col min="8692" max="8692" customWidth="1" bestFit="1" width="3.0" style="1122"/>
    <col min="8693" max="8693" customWidth="1" bestFit="1" width="3.0" style="1122"/>
    <col min="8694" max="8694" customWidth="1" bestFit="1" width="3.0" style="1122"/>
    <col min="8695" max="8695" customWidth="1" bestFit="1" width="3.0" style="1122"/>
    <col min="8696" max="8696" customWidth="1" bestFit="1" width="3.0" style="1122"/>
    <col min="8697" max="8697" customWidth="1" bestFit="1" width="3.0" style="1122"/>
    <col min="8698" max="8698" customWidth="1" bestFit="1" width="3.0" style="1122"/>
    <col min="8699" max="8699" customWidth="1" bestFit="1" width="3.0" style="1122"/>
    <col min="8700" max="8700" customWidth="1" bestFit="1" width="3.0" style="1122"/>
    <col min="8701" max="8701" customWidth="1" bestFit="1" width="3.0" style="1122"/>
    <col min="8702" max="8702" customWidth="1" bestFit="1" width="3.0" style="1122"/>
    <col min="8703" max="8703" customWidth="1" bestFit="1" width="3.0" style="1122"/>
    <col min="8704" max="8704" customWidth="1" bestFit="1" width="3.0" style="1122"/>
    <col min="8705" max="8705" customWidth="1" bestFit="1" width="3.0" style="1122"/>
    <col min="8706" max="8706" customWidth="1" bestFit="1" width="3.0" style="1122"/>
    <col min="8707" max="8707" customWidth="1" bestFit="1" width="3.0" style="1122"/>
    <col min="8708" max="8708" customWidth="1" bestFit="1" width="3.0" style="1122"/>
    <col min="8709" max="8709" customWidth="1" bestFit="1" width="3.0" style="1122"/>
    <col min="8710" max="8710" customWidth="1" bestFit="1" width="3.0" style="1122"/>
    <col min="8711" max="8711" customWidth="1" bestFit="1" width="3.0" style="1122"/>
    <col min="8712" max="8712" customWidth="1" bestFit="1" width="3.0" style="1122"/>
    <col min="8713" max="8713" customWidth="1" bestFit="1" width="3.0" style="1122"/>
    <col min="8714" max="8714" customWidth="1" bestFit="1" width="3.0" style="1122"/>
    <col min="8715" max="8715" customWidth="1" bestFit="1" width="3.0" style="1122"/>
    <col min="8716" max="8716" customWidth="1" bestFit="1" width="3.0" style="1122"/>
    <col min="8717" max="8717" customWidth="1" bestFit="1" width="3.0" style="1122"/>
    <col min="8718" max="8718" customWidth="1" bestFit="1" width="3.0" style="1122"/>
    <col min="8719" max="8719" customWidth="1" bestFit="1" width="3.0" style="1122"/>
    <col min="8720" max="8720" customWidth="1" bestFit="1" width="3.0" style="1122"/>
    <col min="8721" max="8721" customWidth="1" bestFit="1" width="3.0" style="1122"/>
    <col min="8722" max="8722" customWidth="1" bestFit="1" width="3.0" style="1122"/>
    <col min="8723" max="8723" customWidth="1" bestFit="1" width="3.0" style="1122"/>
    <col min="8724" max="8724" customWidth="1" bestFit="1" width="3.0" style="1122"/>
    <col min="8725" max="8725" customWidth="1" bestFit="1" width="3.0" style="1122"/>
    <col min="8726" max="8726" customWidth="1" bestFit="1" width="3.0" style="1122"/>
    <col min="8727" max="8727" customWidth="1" bestFit="1" width="3.0" style="1122"/>
    <col min="8728" max="8728" customWidth="1" bestFit="1" width="3.0" style="1122"/>
    <col min="8729" max="8729" customWidth="1" bestFit="1" width="3.0" style="1122"/>
    <col min="8730" max="8730" customWidth="1" bestFit="1" width="3.0" style="1122"/>
    <col min="8731" max="8731" customWidth="1" bestFit="1" width="3.0" style="1122"/>
    <col min="8732" max="8732" customWidth="1" bestFit="1" width="3.0" style="1122"/>
    <col min="8733" max="8733" customWidth="1" bestFit="1" width="3.0" style="1122"/>
    <col min="8734" max="8734" customWidth="1" bestFit="1" width="3.0" style="1122"/>
    <col min="8735" max="8735" customWidth="1" bestFit="1" width="3.0" style="1122"/>
    <col min="8736" max="8736" customWidth="1" bestFit="1" width="3.0" style="1122"/>
    <col min="8737" max="8737" customWidth="1" bestFit="1" width="3.0" style="1122"/>
    <col min="8738" max="8738" customWidth="1" bestFit="1" width="3.0" style="1122"/>
    <col min="8739" max="8739" customWidth="1" bestFit="1" width="3.0" style="1122"/>
    <col min="8740" max="8740" customWidth="1" bestFit="1" width="3.0" style="1122"/>
    <col min="8741" max="8741" customWidth="1" bestFit="1" width="3.0" style="1122"/>
    <col min="8742" max="8742" customWidth="1" bestFit="1" width="3.0" style="1122"/>
    <col min="8743" max="8743" customWidth="1" bestFit="1" width="3.0" style="1122"/>
    <col min="8744" max="8744" customWidth="1" bestFit="1" width="3.0" style="1122"/>
    <col min="8745" max="8745" customWidth="1" bestFit="1" width="3.0" style="1122"/>
    <col min="8746" max="8746" customWidth="1" bestFit="1" width="3.0" style="1122"/>
    <col min="8747" max="8747" customWidth="1" bestFit="1" width="3.0" style="1122"/>
    <col min="8748" max="8748" customWidth="1" bestFit="1" width="3.0" style="1122"/>
    <col min="8749" max="8749" customWidth="1" bestFit="1" width="3.0" style="1122"/>
    <col min="8750" max="8750" customWidth="1" bestFit="1" width="3.0" style="1122"/>
    <col min="8751" max="8751" customWidth="1" bestFit="1" width="3.0" style="1122"/>
    <col min="8752" max="8752" customWidth="1" bestFit="1" width="3.0" style="1122"/>
    <col min="8753" max="8753" customWidth="1" bestFit="1" width="3.0" style="1122"/>
    <col min="8754" max="8754" customWidth="1" bestFit="1" width="3.0" style="1122"/>
    <col min="8755" max="8755" customWidth="1" bestFit="1" width="3.0" style="1122"/>
    <col min="8756" max="8756" customWidth="1" bestFit="1" width="3.0" style="1122"/>
    <col min="8757" max="8757" customWidth="1" bestFit="1" width="3.0" style="1122"/>
    <col min="8758" max="8758" customWidth="1" bestFit="1" width="3.0" style="1122"/>
    <col min="8759" max="8759" customWidth="1" bestFit="1" width="3.0" style="1122"/>
    <col min="8760" max="8760" customWidth="1" bestFit="1" width="3.0" style="1122"/>
    <col min="8761" max="8761" customWidth="1" bestFit="1" width="3.0" style="1122"/>
    <col min="8762" max="8762" customWidth="1" bestFit="1" width="3.0" style="1122"/>
    <col min="8763" max="8763" customWidth="1" bestFit="1" width="3.0" style="1122"/>
    <col min="8764" max="8764" customWidth="1" bestFit="1" width="3.0" style="1122"/>
    <col min="8765" max="8765" customWidth="1" bestFit="1" width="3.0" style="1122"/>
    <col min="8766" max="8766" customWidth="1" bestFit="1" width="3.0" style="1122"/>
    <col min="8767" max="8767" customWidth="1" bestFit="1" width="3.0" style="1122"/>
    <col min="8768" max="8768" customWidth="1" bestFit="1" width="3.0" style="1122"/>
    <col min="8769" max="8769" customWidth="1" bestFit="1" width="3.0" style="1122"/>
    <col min="8770" max="8770" customWidth="1" bestFit="1" width="3.0" style="1122"/>
    <col min="8771" max="8771" customWidth="1" bestFit="1" width="3.0" style="1122"/>
    <col min="8772" max="8772" customWidth="1" bestFit="1" width="3.0" style="1122"/>
    <col min="8773" max="8773" customWidth="1" bestFit="1" width="3.0" style="1122"/>
    <col min="8774" max="8774" customWidth="1" bestFit="1" width="3.0" style="1122"/>
    <col min="8775" max="8775" customWidth="1" bestFit="1" width="3.0" style="1122"/>
    <col min="8776" max="8776" customWidth="1" bestFit="1" width="3.0" style="1122"/>
    <col min="8777" max="8777" customWidth="1" bestFit="1" width="3.0" style="1122"/>
    <col min="8778" max="8778" customWidth="1" bestFit="1" width="3.0" style="1122"/>
    <col min="8779" max="8779" customWidth="1" bestFit="1" width="3.0" style="1122"/>
    <col min="8780" max="8780" customWidth="1" bestFit="1" width="3.0" style="1122"/>
    <col min="8781" max="8781" customWidth="1" bestFit="1" width="3.0" style="1122"/>
    <col min="8782" max="8782" customWidth="1" bestFit="1" width="3.0" style="1122"/>
    <col min="8783" max="8783" customWidth="1" bestFit="1" width="3.0" style="1122"/>
    <col min="8784" max="8784" customWidth="1" bestFit="1" width="3.0" style="1122"/>
    <col min="8785" max="8785" customWidth="1" bestFit="1" width="3.0" style="1122"/>
    <col min="8786" max="8786" customWidth="1" bestFit="1" width="3.0" style="1122"/>
    <col min="8787" max="8787" customWidth="1" bestFit="1" width="3.0" style="1122"/>
    <col min="8788" max="8788" customWidth="1" bestFit="1" width="3.0" style="1122"/>
    <col min="8789" max="8789" customWidth="1" bestFit="1" width="3.0" style="1122"/>
    <col min="8790" max="8790" customWidth="1" bestFit="1" width="3.0" style="1122"/>
    <col min="8791" max="8791" customWidth="1" bestFit="1" width="3.0" style="1122"/>
    <col min="8792" max="8792" customWidth="1" bestFit="1" width="3.0" style="1122"/>
    <col min="8793" max="8793" customWidth="1" bestFit="1" width="3.0" style="1122"/>
    <col min="8794" max="8794" customWidth="1" bestFit="1" width="3.0" style="1122"/>
    <col min="8795" max="8795" customWidth="1" bestFit="1" width="3.0" style="1122"/>
    <col min="8796" max="8796" customWidth="1" bestFit="1" width="3.0" style="1122"/>
    <col min="8797" max="8797" customWidth="1" bestFit="1" width="3.0" style="1122"/>
    <col min="8798" max="8798" customWidth="1" bestFit="1" width="3.0" style="1122"/>
    <col min="8799" max="8799" customWidth="1" bestFit="1" width="3.0" style="1122"/>
    <col min="8800" max="8800" customWidth="1" bestFit="1" width="3.0" style="1122"/>
    <col min="8801" max="8801" customWidth="1" bestFit="1" width="3.0" style="1122"/>
    <col min="8802" max="8802" customWidth="1" bestFit="1" width="3.0" style="1122"/>
    <col min="8803" max="8803" customWidth="1" bestFit="1" width="3.0" style="1122"/>
    <col min="8804" max="8804" customWidth="1" bestFit="1" width="3.0" style="1122"/>
    <col min="8805" max="8805" customWidth="1" bestFit="1" width="3.0" style="1122"/>
    <col min="8806" max="8806" customWidth="1" bestFit="1" width="3.0" style="1122"/>
    <col min="8807" max="8807" customWidth="1" bestFit="1" width="3.0" style="1122"/>
    <col min="8808" max="8808" customWidth="1" bestFit="1" width="3.0" style="1122"/>
    <col min="8809" max="8809" customWidth="1" bestFit="1" width="3.0" style="1122"/>
    <col min="8810" max="8810" customWidth="1" bestFit="1" width="3.0" style="1122"/>
    <col min="8811" max="8811" customWidth="1" bestFit="1" width="3.0" style="1122"/>
    <col min="8812" max="8812" customWidth="1" bestFit="1" width="3.0" style="1122"/>
    <col min="8813" max="8813" customWidth="1" bestFit="1" width="3.0" style="1122"/>
    <col min="8814" max="8814" customWidth="1" bestFit="1" width="3.0" style="1122"/>
    <col min="8815" max="8815" customWidth="1" bestFit="1" width="3.0" style="1122"/>
    <col min="8816" max="8816" customWidth="1" bestFit="1" width="3.0" style="1122"/>
    <col min="8817" max="8817" customWidth="1" bestFit="1" width="3.0" style="1122"/>
    <col min="8818" max="8818" customWidth="1" bestFit="1" width="3.0" style="1122"/>
    <col min="8819" max="8819" customWidth="1" bestFit="1" width="3.0" style="1122"/>
    <col min="8820" max="8820" customWidth="1" bestFit="1" width="3.0" style="1122"/>
    <col min="8821" max="8821" customWidth="1" bestFit="1" width="3.0" style="1122"/>
    <col min="8822" max="8822" customWidth="1" bestFit="1" width="3.0" style="1122"/>
    <col min="8823" max="8823" customWidth="1" bestFit="1" width="3.0" style="1122"/>
    <col min="8824" max="8824" customWidth="1" bestFit="1" width="3.0" style="1122"/>
    <col min="8825" max="8825" customWidth="1" bestFit="1" width="3.0" style="1122"/>
    <col min="8826" max="8826" customWidth="1" bestFit="1" width="3.0" style="1122"/>
    <col min="8827" max="8827" customWidth="1" bestFit="1" width="3.0" style="1122"/>
    <col min="8828" max="8828" customWidth="1" bestFit="1" width="3.0" style="1122"/>
    <col min="8829" max="8829" customWidth="1" bestFit="1" width="3.0" style="1122"/>
    <col min="8830" max="8830" customWidth="1" bestFit="1" width="3.0" style="1122"/>
    <col min="8831" max="8831" customWidth="1" bestFit="1" width="3.0" style="1122"/>
    <col min="8832" max="8832" customWidth="1" bestFit="1" width="3.0" style="1122"/>
    <col min="8833" max="8833" customWidth="1" bestFit="1" width="3.0" style="1122"/>
    <col min="8834" max="8834" customWidth="1" bestFit="1" width="3.0" style="1122"/>
    <col min="8835" max="8835" customWidth="1" bestFit="1" width="3.0" style="1122"/>
    <col min="8836" max="8836" customWidth="1" bestFit="1" width="3.0" style="1122"/>
    <col min="8837" max="8837" customWidth="1" bestFit="1" width="3.0" style="1122"/>
    <col min="8838" max="8838" customWidth="1" bestFit="1" width="3.0" style="1122"/>
    <col min="8839" max="8839" customWidth="1" bestFit="1" width="3.0" style="1122"/>
    <col min="8840" max="8840" customWidth="1" bestFit="1" width="3.0" style="1122"/>
    <col min="8841" max="8841" customWidth="1" bestFit="1" width="3.0" style="1122"/>
    <col min="8842" max="8842" customWidth="1" bestFit="1" width="3.0" style="1122"/>
    <col min="8843" max="8843" customWidth="1" bestFit="1" width="3.0" style="1122"/>
    <col min="8844" max="8844" customWidth="1" bestFit="1" width="3.0" style="1122"/>
    <col min="8845" max="8845" customWidth="1" bestFit="1" width="3.0" style="1122"/>
    <col min="8846" max="8846" customWidth="1" bestFit="1" width="3.0" style="1122"/>
    <col min="8847" max="8847" customWidth="1" bestFit="1" width="3.0" style="1122"/>
    <col min="8848" max="8848" customWidth="1" bestFit="1" width="3.0" style="1122"/>
    <col min="8849" max="8849" customWidth="1" bestFit="1" width="3.0" style="1122"/>
    <col min="8850" max="8850" customWidth="1" bestFit="1" width="3.0" style="1122"/>
    <col min="8851" max="8851" customWidth="1" bestFit="1" width="3.0" style="1122"/>
    <col min="8852" max="8852" customWidth="1" bestFit="1" width="3.0" style="1122"/>
    <col min="8853" max="8853" customWidth="1" bestFit="1" width="3.0" style="1122"/>
    <col min="8854" max="8854" customWidth="1" bestFit="1" width="3.0" style="1122"/>
    <col min="8855" max="8855" customWidth="1" bestFit="1" width="3.0" style="1122"/>
    <col min="8856" max="8856" customWidth="1" bestFit="1" width="3.0" style="1122"/>
    <col min="8857" max="8857" customWidth="1" bestFit="1" width="3.0" style="1122"/>
    <col min="8858" max="8858" customWidth="1" bestFit="1" width="3.0" style="1122"/>
    <col min="8859" max="8859" customWidth="1" bestFit="1" width="3.0" style="1122"/>
    <col min="8860" max="8860" customWidth="1" bestFit="1" width="3.0" style="1122"/>
    <col min="8861" max="8861" customWidth="1" bestFit="1" width="3.0" style="1122"/>
    <col min="8862" max="8862" customWidth="1" bestFit="1" width="3.0" style="1122"/>
    <col min="8863" max="8863" customWidth="1" bestFit="1" width="3.0" style="1122"/>
    <col min="8864" max="8864" customWidth="1" bestFit="1" width="3.0" style="1122"/>
    <col min="8865" max="8865" customWidth="1" bestFit="1" width="3.0" style="1122"/>
    <col min="8866" max="8866" customWidth="1" bestFit="1" width="3.0" style="1122"/>
    <col min="8867" max="8867" customWidth="1" bestFit="1" width="3.0" style="1122"/>
    <col min="8868" max="8868" customWidth="1" bestFit="1" width="3.0" style="1122"/>
    <col min="8869" max="8869" customWidth="1" bestFit="1" width="3.0" style="1122"/>
    <col min="8870" max="8870" customWidth="1" bestFit="1" width="3.0" style="1122"/>
    <col min="8871" max="8871" customWidth="1" bestFit="1" width="3.0" style="1122"/>
    <col min="8872" max="8872" customWidth="1" bestFit="1" width="3.0" style="1122"/>
    <col min="8873" max="8873" customWidth="1" bestFit="1" width="3.0" style="1122"/>
    <col min="8874" max="8874" customWidth="1" bestFit="1" width="3.0" style="1122"/>
    <col min="8875" max="8875" customWidth="1" bestFit="1" width="3.0" style="1122"/>
    <col min="8876" max="8876" customWidth="1" bestFit="1" width="3.0" style="1122"/>
    <col min="8877" max="8877" customWidth="1" bestFit="1" width="3.0" style="1122"/>
    <col min="8878" max="8878" customWidth="1" bestFit="1" width="3.0" style="1122"/>
    <col min="8879" max="8879" customWidth="1" bestFit="1" width="3.0" style="1122"/>
    <col min="8880" max="8880" customWidth="1" bestFit="1" width="3.0" style="1122"/>
    <col min="8881" max="8881" customWidth="1" bestFit="1" width="3.0" style="1122"/>
    <col min="8882" max="8882" customWidth="1" bestFit="1" width="3.0" style="1122"/>
    <col min="8883" max="8883" customWidth="1" bestFit="1" width="3.0" style="1122"/>
    <col min="8884" max="8884" customWidth="1" bestFit="1" width="3.0" style="1122"/>
    <col min="8885" max="8885" customWidth="1" bestFit="1" width="3.0" style="1122"/>
    <col min="8886" max="8886" customWidth="1" bestFit="1" width="3.0" style="1122"/>
    <col min="8887" max="8887" customWidth="1" bestFit="1" width="3.0" style="1122"/>
    <col min="8888" max="8888" customWidth="1" bestFit="1" width="3.0" style="1122"/>
    <col min="8889" max="8889" customWidth="1" bestFit="1" width="3.0" style="1122"/>
    <col min="8890" max="8890" customWidth="1" bestFit="1" width="3.0" style="1122"/>
    <col min="8891" max="8891" customWidth="1" bestFit="1" width="3.0" style="1122"/>
    <col min="8892" max="8892" customWidth="1" bestFit="1" width="3.0" style="1122"/>
    <col min="8893" max="8893" customWidth="1" bestFit="1" width="3.0" style="1122"/>
    <col min="8894" max="8894" customWidth="1" bestFit="1" width="3.0" style="1122"/>
    <col min="8895" max="8895" customWidth="1" bestFit="1" width="3.0" style="1122"/>
    <col min="8896" max="8896" customWidth="1" bestFit="1" width="3.0" style="1122"/>
    <col min="8897" max="8897" customWidth="1" bestFit="1" width="3.0" style="1122"/>
    <col min="8898" max="8898" customWidth="1" bestFit="1" width="3.0" style="1122"/>
    <col min="8899" max="8899" customWidth="1" bestFit="1" width="3.0" style="1122"/>
    <col min="8900" max="8900" customWidth="1" bestFit="1" width="3.0" style="1122"/>
    <col min="8901" max="8901" customWidth="1" bestFit="1" width="3.0" style="1122"/>
    <col min="8902" max="8902" customWidth="1" bestFit="1" width="3.0" style="1122"/>
    <col min="8903" max="8903" customWidth="1" bestFit="1" width="3.0" style="1122"/>
    <col min="8904" max="8904" customWidth="1" bestFit="1" width="3.0" style="1122"/>
    <col min="8905" max="8905" customWidth="1" bestFit="1" width="3.0" style="1122"/>
    <col min="8906" max="8906" customWidth="1" bestFit="1" width="3.0" style="1122"/>
    <col min="8907" max="8907" customWidth="1" bestFit="1" width="3.0" style="1122"/>
    <col min="8908" max="8908" customWidth="1" bestFit="1" width="3.0" style="1122"/>
    <col min="8909" max="8909" customWidth="1" bestFit="1" width="3.0" style="1122"/>
    <col min="8910" max="8910" customWidth="1" bestFit="1" width="3.0" style="1122"/>
    <col min="8911" max="8911" customWidth="1" bestFit="1" width="3.0" style="1122"/>
    <col min="8912" max="8912" customWidth="1" bestFit="1" width="3.0" style="1122"/>
    <col min="8913" max="8913" customWidth="1" bestFit="1" width="3.0" style="1122"/>
    <col min="8914" max="8914" customWidth="1" bestFit="1" width="3.0" style="1122"/>
    <col min="8915" max="8915" customWidth="1" bestFit="1" width="3.0" style="1122"/>
    <col min="8916" max="8916" customWidth="1" bestFit="1" width="3.0" style="1122"/>
    <col min="8917" max="8917" customWidth="1" bestFit="1" width="3.0" style="1122"/>
    <col min="8918" max="8918" customWidth="1" bestFit="1" width="3.0" style="1122"/>
    <col min="8919" max="8919" customWidth="1" bestFit="1" width="3.0" style="1122"/>
    <col min="8920" max="8920" customWidth="1" bestFit="1" width="3.0" style="1122"/>
    <col min="8921" max="8921" customWidth="1" bestFit="1" width="3.0" style="1122"/>
    <col min="8922" max="8922" customWidth="1" bestFit="1" width="3.0" style="1122"/>
    <col min="8923" max="8923" customWidth="1" bestFit="1" width="3.0" style="1122"/>
    <col min="8924" max="8924" customWidth="1" bestFit="1" width="3.0" style="1122"/>
    <col min="8925" max="8925" customWidth="1" bestFit="1" width="3.0" style="1122"/>
    <col min="8926" max="8926" customWidth="1" bestFit="1" width="3.0" style="1122"/>
    <col min="8927" max="8927" customWidth="1" bestFit="1" width="3.0" style="1122"/>
    <col min="8928" max="8928" customWidth="1" bestFit="1" width="3.0" style="1122"/>
    <col min="8929" max="8929" customWidth="1" bestFit="1" width="3.0" style="1122"/>
    <col min="8930" max="8930" customWidth="1" bestFit="1" width="3.0" style="1122"/>
    <col min="8931" max="8931" customWidth="1" bestFit="1" width="3.0" style="1122"/>
    <col min="8932" max="8932" customWidth="1" bestFit="1" width="3.0" style="1122"/>
    <col min="8933" max="8933" customWidth="1" bestFit="1" width="3.0" style="1122"/>
    <col min="8934" max="8934" customWidth="1" bestFit="1" width="3.0" style="1122"/>
    <col min="8935" max="8935" customWidth="1" bestFit="1" width="3.0" style="1122"/>
    <col min="8936" max="8936" customWidth="1" bestFit="1" width="3.0" style="1122"/>
    <col min="8937" max="8937" customWidth="1" bestFit="1" width="3.0" style="1122"/>
    <col min="8938" max="8938" customWidth="1" bestFit="1" width="3.0" style="1122"/>
    <col min="8939" max="8939" customWidth="1" bestFit="1" width="3.0" style="1122"/>
    <col min="8940" max="8940" customWidth="1" bestFit="1" width="3.0" style="1122"/>
    <col min="8941" max="8941" customWidth="1" bestFit="1" width="3.0" style="1122"/>
    <col min="8942" max="8942" customWidth="1" bestFit="1" width="3.0" style="1122"/>
    <col min="8943" max="8943" customWidth="1" bestFit="1" width="3.0" style="1122"/>
    <col min="8944" max="8944" customWidth="1" bestFit="1" width="3.0" style="1122"/>
    <col min="8945" max="8945" customWidth="1" bestFit="1" width="3.0" style="1122"/>
    <col min="8946" max="8946" customWidth="1" bestFit="1" width="3.0" style="1122"/>
    <col min="8947" max="8947" customWidth="1" bestFit="1" width="3.0" style="1122"/>
    <col min="8948" max="8948" customWidth="1" bestFit="1" width="3.0" style="1122"/>
    <col min="8949" max="8949" customWidth="1" bestFit="1" width="3.0" style="1122"/>
    <col min="8950" max="8950" customWidth="1" bestFit="1" width="3.0" style="1122"/>
    <col min="8951" max="8951" customWidth="1" bestFit="1" width="3.0" style="1122"/>
    <col min="8952" max="8952" customWidth="1" bestFit="1" width="3.0" style="1122"/>
    <col min="8953" max="8953" customWidth="1" bestFit="1" width="3.0" style="1122"/>
    <col min="8954" max="8954" customWidth="1" bestFit="1" width="3.0" style="1122"/>
    <col min="8955" max="8955" customWidth="1" bestFit="1" width="3.0" style="1122"/>
    <col min="8956" max="8956" customWidth="1" bestFit="1" width="3.0" style="1122"/>
    <col min="8957" max="8957" customWidth="1" bestFit="1" width="3.0" style="1122"/>
    <col min="8958" max="8958" customWidth="1" bestFit="1" width="3.0" style="1122"/>
    <col min="8959" max="8959" customWidth="1" bestFit="1" width="3.0" style="1122"/>
    <col min="8960" max="8960" customWidth="1" bestFit="1" width="3.0" style="1122"/>
    <col min="8961" max="8961" customWidth="1" bestFit="1" width="3.0" style="1122"/>
    <col min="8962" max="8962" customWidth="1" bestFit="1" width="3.0" style="1122"/>
    <col min="8963" max="8963" customWidth="1" bestFit="1" width="3.0" style="1122"/>
    <col min="8964" max="8964" customWidth="1" bestFit="1" width="3.0" style="1122"/>
    <col min="8965" max="8965" customWidth="1" bestFit="1" width="3.0" style="1122"/>
    <col min="8966" max="8966" customWidth="1" bestFit="1" width="3.0" style="1122"/>
    <col min="8967" max="8967" customWidth="1" bestFit="1" width="3.0" style="1122"/>
    <col min="8968" max="8968" customWidth="1" bestFit="1" width="3.0" style="1122"/>
    <col min="8969" max="8969" customWidth="1" bestFit="1" width="3.0" style="1122"/>
    <col min="8970" max="8970" customWidth="1" bestFit="1" width="3.0" style="1122"/>
    <col min="8971" max="8971" customWidth="1" bestFit="1" width="3.0" style="1122"/>
    <col min="8972" max="8972" customWidth="1" bestFit="1" width="3.0" style="1122"/>
    <col min="8973" max="8973" customWidth="1" bestFit="1" width="3.0" style="1122"/>
    <col min="8974" max="8974" customWidth="1" bestFit="1" width="3.0" style="1122"/>
    <col min="8975" max="8975" customWidth="1" bestFit="1" width="3.0" style="1122"/>
    <col min="8976" max="8976" customWidth="1" bestFit="1" width="3.0" style="1122"/>
    <col min="8977" max="8977" customWidth="1" bestFit="1" width="3.0" style="1122"/>
    <col min="8978" max="8978" customWidth="1" bestFit="1" width="3.0" style="1122"/>
    <col min="8979" max="8979" customWidth="1" bestFit="1" width="3.0" style="1122"/>
    <col min="8980" max="8980" customWidth="1" bestFit="1" width="3.0" style="1122"/>
    <col min="8981" max="8981" customWidth="1" bestFit="1" width="3.0" style="1122"/>
    <col min="8982" max="8982" customWidth="1" bestFit="1" width="3.0" style="1122"/>
    <col min="8983" max="8983" customWidth="1" bestFit="1" width="3.0" style="1122"/>
    <col min="8984" max="8984" customWidth="1" bestFit="1" width="3.0" style="1122"/>
    <col min="8985" max="8985" customWidth="1" bestFit="1" width="3.0" style="1122"/>
    <col min="8986" max="8986" customWidth="1" bestFit="1" width="3.0" style="1122"/>
    <col min="8987" max="8987" customWidth="1" bestFit="1" width="3.0" style="1122"/>
    <col min="8988" max="8988" customWidth="1" bestFit="1" width="3.0" style="1122"/>
    <col min="8989" max="8989" customWidth="1" bestFit="1" width="3.0" style="1122"/>
    <col min="8990" max="8990" customWidth="1" bestFit="1" width="3.0" style="1122"/>
    <col min="8991" max="8991" customWidth="1" bestFit="1" width="3.0" style="1122"/>
    <col min="8992" max="8992" customWidth="1" bestFit="1" width="3.0" style="1122"/>
    <col min="8993" max="8993" customWidth="1" bestFit="1" width="3.0" style="1122"/>
    <col min="8994" max="8994" customWidth="1" bestFit="1" width="3.0" style="1122"/>
    <col min="8995" max="8995" customWidth="1" bestFit="1" width="3.0" style="1122"/>
    <col min="8996" max="8996" customWidth="1" bestFit="1" width="3.0" style="1122"/>
    <col min="8997" max="8997" customWidth="1" bestFit="1" width="3.0" style="1122"/>
    <col min="8998" max="8998" customWidth="1" bestFit="1" width="3.0" style="1122"/>
    <col min="8999" max="8999" customWidth="1" bestFit="1" width="3.0" style="1122"/>
    <col min="9000" max="9000" customWidth="1" bestFit="1" width="3.0" style="1122"/>
    <col min="9001" max="9001" customWidth="1" bestFit="1" width="3.0" style="1122"/>
    <col min="9002" max="9002" customWidth="1" bestFit="1" width="3.0" style="1122"/>
    <col min="9003" max="9003" customWidth="1" bestFit="1" width="3.0" style="1122"/>
    <col min="9004" max="9004" customWidth="1" bestFit="1" width="3.0" style="1122"/>
    <col min="9005" max="9005" customWidth="1" bestFit="1" width="3.0" style="1122"/>
    <col min="9006" max="9006" customWidth="1" bestFit="1" width="3.0" style="1122"/>
    <col min="9007" max="9007" customWidth="1" bestFit="1" width="3.0" style="1122"/>
    <col min="9008" max="9008" customWidth="1" bestFit="1" width="3.0" style="1122"/>
    <col min="9009" max="9009" customWidth="1" bestFit="1" width="3.0" style="1122"/>
    <col min="9010" max="9010" customWidth="1" bestFit="1" width="3.0" style="1122"/>
    <col min="9011" max="9011" customWidth="1" bestFit="1" width="3.0" style="1122"/>
    <col min="9012" max="9012" customWidth="1" bestFit="1" width="3.0" style="1122"/>
    <col min="9013" max="9013" customWidth="1" bestFit="1" width="3.0" style="1122"/>
    <col min="9014" max="9014" customWidth="1" bestFit="1" width="3.0" style="1122"/>
    <col min="9015" max="9015" customWidth="1" bestFit="1" width="3.0" style="1122"/>
    <col min="9016" max="9016" customWidth="1" bestFit="1" width="3.0" style="1122"/>
    <col min="9017" max="9017" customWidth="1" bestFit="1" width="3.0" style="1122"/>
    <col min="9018" max="9018" customWidth="1" bestFit="1" width="3.0" style="1122"/>
    <col min="9019" max="9019" customWidth="1" bestFit="1" width="3.0" style="1122"/>
    <col min="9020" max="9020" customWidth="1" bestFit="1" width="3.0" style="1122"/>
    <col min="9021" max="9021" customWidth="1" bestFit="1" width="3.0" style="1122"/>
    <col min="9022" max="9022" customWidth="1" bestFit="1" width="3.0" style="1122"/>
    <col min="9023" max="9023" customWidth="1" bestFit="1" width="3.0" style="1122"/>
    <col min="9024" max="9024" customWidth="1" bestFit="1" width="3.0" style="1122"/>
    <col min="9025" max="9025" customWidth="1" bestFit="1" width="3.0" style="1122"/>
    <col min="9026" max="9026" customWidth="1" bestFit="1" width="3.0" style="1122"/>
    <col min="9027" max="9027" customWidth="1" bestFit="1" width="3.0" style="1122"/>
    <col min="9028" max="9028" customWidth="1" bestFit="1" width="3.0" style="1122"/>
    <col min="9029" max="9029" customWidth="1" bestFit="1" width="3.0" style="1122"/>
    <col min="9030" max="9030" customWidth="1" bestFit="1" width="3.0" style="1122"/>
    <col min="9031" max="9031" customWidth="1" bestFit="1" width="3.0" style="1122"/>
    <col min="9032" max="9032" customWidth="1" bestFit="1" width="3.0" style="1122"/>
    <col min="9033" max="9033" customWidth="1" bestFit="1" width="3.0" style="1122"/>
    <col min="9034" max="9034" customWidth="1" bestFit="1" width="3.0" style="1122"/>
    <col min="9035" max="9035" customWidth="1" bestFit="1" width="3.0" style="1122"/>
    <col min="9036" max="9036" customWidth="1" bestFit="1" width="3.0" style="1122"/>
    <col min="9037" max="9037" customWidth="1" bestFit="1" width="3.0" style="1122"/>
    <col min="9038" max="9038" customWidth="1" bestFit="1" width="3.0" style="1122"/>
    <col min="9039" max="9039" customWidth="1" bestFit="1" width="3.0" style="1122"/>
    <col min="9040" max="9040" customWidth="1" bestFit="1" width="3.0" style="1122"/>
    <col min="9041" max="9041" customWidth="1" bestFit="1" width="3.0" style="1122"/>
    <col min="9042" max="9042" customWidth="1" bestFit="1" width="3.0" style="1122"/>
    <col min="9043" max="9043" customWidth="1" bestFit="1" width="3.0" style="1122"/>
    <col min="9044" max="9044" customWidth="1" bestFit="1" width="3.0" style="1122"/>
    <col min="9045" max="9045" customWidth="1" bestFit="1" width="3.0" style="1122"/>
    <col min="9046" max="9046" customWidth="1" bestFit="1" width="3.0" style="1122"/>
    <col min="9047" max="9047" customWidth="1" bestFit="1" width="3.0" style="1122"/>
    <col min="9048" max="9048" customWidth="1" bestFit="1" width="3.0" style="1122"/>
    <col min="9049" max="9049" customWidth="1" bestFit="1" width="3.0" style="1122"/>
    <col min="9050" max="9050" customWidth="1" bestFit="1" width="3.0" style="1122"/>
    <col min="9051" max="9051" customWidth="1" bestFit="1" width="3.0" style="1122"/>
    <col min="9052" max="9052" customWidth="1" bestFit="1" width="3.0" style="1122"/>
    <col min="9053" max="9053" customWidth="1" bestFit="1" width="3.0" style="1122"/>
    <col min="9054" max="9054" customWidth="1" bestFit="1" width="3.0" style="1122"/>
    <col min="9055" max="9055" customWidth="1" bestFit="1" width="3.0" style="1122"/>
    <col min="9056" max="9056" customWidth="1" bestFit="1" width="3.0" style="1122"/>
    <col min="9057" max="9057" customWidth="1" bestFit="1" width="3.0" style="1122"/>
    <col min="9058" max="9058" customWidth="1" bestFit="1" width="3.0" style="1122"/>
    <col min="9059" max="9059" customWidth="1" bestFit="1" width="3.0" style="1122"/>
    <col min="9060" max="9060" customWidth="1" bestFit="1" width="3.0" style="1122"/>
    <col min="9061" max="9061" customWidth="1" bestFit="1" width="3.0" style="1122"/>
    <col min="9062" max="9062" customWidth="1" bestFit="1" width="3.0" style="1122"/>
    <col min="9063" max="9063" customWidth="1" bestFit="1" width="3.0" style="1122"/>
    <col min="9064" max="9064" customWidth="1" bestFit="1" width="3.0" style="1122"/>
    <col min="9065" max="9065" customWidth="1" bestFit="1" width="3.0" style="1122"/>
    <col min="9066" max="9066" customWidth="1" bestFit="1" width="3.0" style="1122"/>
    <col min="9067" max="9067" customWidth="1" bestFit="1" width="3.0" style="1122"/>
    <col min="9068" max="9068" customWidth="1" bestFit="1" width="3.0" style="1122"/>
    <col min="9069" max="9069" customWidth="1" bestFit="1" width="3.0" style="1122"/>
    <col min="9070" max="9070" customWidth="1" bestFit="1" width="3.0" style="1122"/>
    <col min="9071" max="9071" customWidth="1" bestFit="1" width="3.0" style="1122"/>
    <col min="9072" max="9072" customWidth="1" bestFit="1" width="3.0" style="1122"/>
    <col min="9073" max="9073" customWidth="1" bestFit="1" width="3.0" style="1122"/>
    <col min="9074" max="9074" customWidth="1" bestFit="1" width="3.0" style="1122"/>
    <col min="9075" max="9075" customWidth="1" bestFit="1" width="3.0" style="1122"/>
    <col min="9076" max="9076" customWidth="1" bestFit="1" width="3.0" style="1122"/>
    <col min="9077" max="9077" customWidth="1" bestFit="1" width="3.0" style="1122"/>
    <col min="9078" max="9078" customWidth="1" bestFit="1" width="3.0" style="1122"/>
    <col min="9079" max="9079" customWidth="1" bestFit="1" width="3.0" style="1122"/>
    <col min="9080" max="9080" customWidth="1" bestFit="1" width="3.0" style="1122"/>
    <col min="9081" max="9081" customWidth="1" bestFit="1" width="3.0" style="1122"/>
    <col min="9082" max="9082" customWidth="1" bestFit="1" width="3.0" style="1122"/>
    <col min="9083" max="9083" customWidth="1" bestFit="1" width="3.0" style="1122"/>
    <col min="9084" max="9084" customWidth="1" bestFit="1" width="3.0" style="1122"/>
    <col min="9085" max="9085" customWidth="1" bestFit="1" width="3.0" style="1122"/>
    <col min="9086" max="9086" customWidth="1" bestFit="1" width="3.0" style="1122"/>
    <col min="9087" max="9087" customWidth="1" bestFit="1" width="3.0" style="1122"/>
    <col min="9088" max="9088" customWidth="1" bestFit="1" width="3.0" style="1122"/>
    <col min="9089" max="9089" customWidth="1" bestFit="1" width="3.0" style="1122"/>
    <col min="9090" max="9090" customWidth="1" bestFit="1" width="3.0" style="1122"/>
    <col min="9091" max="9091" customWidth="1" bestFit="1" width="3.0" style="1122"/>
    <col min="9092" max="9092" customWidth="1" bestFit="1" width="3.0" style="1122"/>
    <col min="9093" max="9093" customWidth="1" bestFit="1" width="3.0" style="1122"/>
    <col min="9094" max="9094" customWidth="1" bestFit="1" width="3.0" style="1122"/>
    <col min="9095" max="9095" customWidth="1" bestFit="1" width="3.0" style="1122"/>
    <col min="9096" max="9096" customWidth="1" bestFit="1" width="3.0" style="1122"/>
    <col min="9097" max="9097" customWidth="1" bestFit="1" width="3.0" style="1122"/>
    <col min="9098" max="9098" customWidth="1" bestFit="1" width="3.0" style="1122"/>
    <col min="9099" max="9099" customWidth="1" bestFit="1" width="3.0" style="1122"/>
    <col min="9100" max="9100" customWidth="1" bestFit="1" width="3.0" style="1122"/>
    <col min="9101" max="9101" customWidth="1" bestFit="1" width="3.0" style="1122"/>
    <col min="9102" max="9102" customWidth="1" bestFit="1" width="3.0" style="1122"/>
    <col min="9103" max="9103" customWidth="1" bestFit="1" width="3.0" style="1122"/>
    <col min="9104" max="9104" customWidth="1" bestFit="1" width="3.0" style="1122"/>
    <col min="9105" max="9105" customWidth="1" bestFit="1" width="3.0" style="1122"/>
    <col min="9106" max="9106" customWidth="1" bestFit="1" width="3.0" style="1122"/>
    <col min="9107" max="9107" customWidth="1" bestFit="1" width="3.0" style="1122"/>
    <col min="9108" max="9108" customWidth="1" bestFit="1" width="3.0" style="1122"/>
    <col min="9109" max="9109" customWidth="1" bestFit="1" width="3.0" style="1122"/>
    <col min="9110" max="9110" customWidth="1" bestFit="1" width="3.0" style="1122"/>
    <col min="9111" max="9111" customWidth="1" bestFit="1" width="3.0" style="1122"/>
    <col min="9112" max="9112" customWidth="1" bestFit="1" width="3.0" style="1122"/>
    <col min="9113" max="9113" customWidth="1" bestFit="1" width="3.0" style="1122"/>
    <col min="9114" max="9114" customWidth="1" bestFit="1" width="3.0" style="1122"/>
    <col min="9115" max="9115" customWidth="1" bestFit="1" width="3.0" style="1122"/>
    <col min="9116" max="9116" customWidth="1" bestFit="1" width="3.0" style="1122"/>
    <col min="9117" max="9117" customWidth="1" bestFit="1" width="3.0" style="1122"/>
    <col min="9118" max="9118" customWidth="1" bestFit="1" width="3.0" style="1122"/>
    <col min="9119" max="9119" customWidth="1" bestFit="1" width="3.0" style="1122"/>
    <col min="9120" max="9120" customWidth="1" bestFit="1" width="3.0" style="1122"/>
    <col min="9121" max="9121" customWidth="1" bestFit="1" width="3.0" style="1122"/>
    <col min="9122" max="9122" customWidth="1" bestFit="1" width="3.0" style="1122"/>
    <col min="9123" max="9123" customWidth="1" bestFit="1" width="3.0" style="1122"/>
    <col min="9124" max="9124" customWidth="1" bestFit="1" width="3.0" style="1122"/>
    <col min="9125" max="9125" customWidth="1" bestFit="1" width="3.0" style="1122"/>
    <col min="9126" max="9126" customWidth="1" bestFit="1" width="3.0" style="1122"/>
    <col min="9127" max="9127" customWidth="1" bestFit="1" width="3.0" style="1122"/>
    <col min="9128" max="9128" customWidth="1" bestFit="1" width="3.0" style="1122"/>
    <col min="9129" max="9129" customWidth="1" bestFit="1" width="3.0" style="1122"/>
    <col min="9130" max="9130" customWidth="1" bestFit="1" width="3.0" style="1122"/>
    <col min="9131" max="9131" customWidth="1" bestFit="1" width="3.0" style="1122"/>
    <col min="9132" max="9132" customWidth="1" bestFit="1" width="3.0" style="1122"/>
    <col min="9133" max="9133" customWidth="1" bestFit="1" width="3.0" style="1122"/>
    <col min="9134" max="9134" customWidth="1" bestFit="1" width="3.0" style="1122"/>
    <col min="9135" max="9135" customWidth="1" bestFit="1" width="3.0" style="1122"/>
    <col min="9136" max="9136" customWidth="1" bestFit="1" width="3.0" style="1122"/>
    <col min="9137" max="9137" customWidth="1" bestFit="1" width="3.0" style="1122"/>
    <col min="9138" max="9138" customWidth="1" bestFit="1" width="3.0" style="1122"/>
    <col min="9139" max="9139" customWidth="1" bestFit="1" width="3.0" style="1122"/>
    <col min="9140" max="9140" customWidth="1" bestFit="1" width="3.0" style="1122"/>
    <col min="9141" max="9141" customWidth="1" bestFit="1" width="3.0" style="1122"/>
    <col min="9142" max="9142" customWidth="1" bestFit="1" width="3.0" style="1122"/>
    <col min="9143" max="9143" customWidth="1" bestFit="1" width="3.0" style="1122"/>
    <col min="9144" max="9144" customWidth="1" bestFit="1" width="3.0" style="1122"/>
    <col min="9145" max="9145" customWidth="1" bestFit="1" width="3.0" style="1122"/>
    <col min="9146" max="9146" customWidth="1" bestFit="1" width="3.0" style="1122"/>
    <col min="9147" max="9147" customWidth="1" bestFit="1" width="3.0" style="1122"/>
    <col min="9148" max="9148" customWidth="1" bestFit="1" width="3.0" style="1122"/>
    <col min="9149" max="9149" customWidth="1" bestFit="1" width="3.0" style="1122"/>
    <col min="9150" max="9150" customWidth="1" bestFit="1" width="3.0" style="1122"/>
    <col min="9151" max="9151" customWidth="1" bestFit="1" width="3.0" style="1122"/>
    <col min="9152" max="9152" customWidth="1" bestFit="1" width="3.0" style="1122"/>
    <col min="9153" max="9153" customWidth="1" bestFit="1" width="3.0" style="1122"/>
    <col min="9154" max="9154" customWidth="1" bestFit="1" width="3.0" style="1122"/>
    <col min="9155" max="9155" customWidth="1" bestFit="1" width="3.0" style="1122"/>
    <col min="9156" max="9156" customWidth="1" bestFit="1" width="3.0" style="1122"/>
    <col min="9157" max="9157" customWidth="1" bestFit="1" width="3.0" style="1122"/>
    <col min="9158" max="9158" customWidth="1" bestFit="1" width="3.0" style="1122"/>
    <col min="9159" max="9159" customWidth="1" bestFit="1" width="3.0" style="1122"/>
    <col min="9160" max="9160" customWidth="1" bestFit="1" width="3.0" style="1122"/>
    <col min="9161" max="9161" customWidth="1" bestFit="1" width="3.0" style="1122"/>
    <col min="9162" max="9162" customWidth="1" bestFit="1" width="3.0" style="1122"/>
    <col min="9163" max="9163" customWidth="1" bestFit="1" width="3.0" style="1122"/>
    <col min="9164" max="9164" customWidth="1" bestFit="1" width="3.0" style="1122"/>
    <col min="9165" max="9165" customWidth="1" bestFit="1" width="3.0" style="1122"/>
    <col min="9166" max="9166" customWidth="1" bestFit="1" width="3.0" style="1122"/>
    <col min="9167" max="9167" customWidth="1" bestFit="1" width="3.0" style="1122"/>
    <col min="9168" max="9168" customWidth="1" bestFit="1" width="3.0" style="1122"/>
    <col min="9169" max="9169" customWidth="1" bestFit="1" width="3.0" style="1122"/>
    <col min="9170" max="9170" customWidth="1" bestFit="1" width="3.0" style="1122"/>
    <col min="9171" max="9171" customWidth="1" bestFit="1" width="3.0" style="1122"/>
    <col min="9172" max="9172" customWidth="1" bestFit="1" width="3.0" style="1122"/>
    <col min="9173" max="9173" customWidth="1" bestFit="1" width="3.0" style="1122"/>
    <col min="9174" max="9174" customWidth="1" bestFit="1" width="3.0" style="1122"/>
    <col min="9175" max="9175" customWidth="1" bestFit="1" width="3.0" style="1122"/>
    <col min="9176" max="9176" customWidth="1" bestFit="1" width="3.0" style="1122"/>
    <col min="9177" max="9177" customWidth="1" bestFit="1" width="3.0" style="1122"/>
    <col min="9178" max="9178" customWidth="1" bestFit="1" width="3.0" style="1122"/>
    <col min="9179" max="9179" customWidth="1" bestFit="1" width="3.0" style="1122"/>
    <col min="9180" max="9180" customWidth="1" bestFit="1" width="3.0" style="1122"/>
    <col min="9181" max="9181" customWidth="1" bestFit="1" width="3.0" style="1122"/>
    <col min="9182" max="9182" customWidth="1" bestFit="1" width="3.0" style="1122"/>
    <col min="9183" max="9183" customWidth="1" bestFit="1" width="3.0" style="1122"/>
    <col min="9184" max="9184" customWidth="1" bestFit="1" width="3.0" style="1122"/>
    <col min="9185" max="9185" customWidth="1" bestFit="1" width="3.0" style="1122"/>
    <col min="9186" max="9186" customWidth="1" bestFit="1" width="3.0" style="1122"/>
    <col min="9187" max="9187" customWidth="1" bestFit="1" width="3.0" style="1122"/>
    <col min="9188" max="9188" customWidth="1" bestFit="1" width="3.0" style="1122"/>
    <col min="9189" max="9189" customWidth="1" bestFit="1" width="3.0" style="1122"/>
    <col min="9190" max="9190" customWidth="1" bestFit="1" width="3.0" style="1122"/>
    <col min="9191" max="9191" customWidth="1" bestFit="1" width="3.0" style="1122"/>
    <col min="9192" max="9192" customWidth="1" bestFit="1" width="3.0" style="1122"/>
    <col min="9193" max="9193" customWidth="1" bestFit="1" width="3.0" style="1122"/>
    <col min="9194" max="9194" customWidth="1" bestFit="1" width="3.0" style="1122"/>
    <col min="9195" max="9195" customWidth="1" bestFit="1" width="3.0" style="1122"/>
    <col min="9196" max="9196" customWidth="1" bestFit="1" width="3.0" style="1122"/>
    <col min="9197" max="9197" customWidth="1" bestFit="1" width="3.0" style="1122"/>
    <col min="9198" max="9198" customWidth="1" bestFit="1" width="3.0" style="1122"/>
    <col min="9199" max="9199" customWidth="1" bestFit="1" width="3.0" style="1122"/>
    <col min="9200" max="9200" customWidth="1" bestFit="1" width="3.0" style="1122"/>
    <col min="9201" max="9201" customWidth="1" bestFit="1" width="3.0" style="1122"/>
    <col min="9202" max="9202" customWidth="1" bestFit="1" width="3.0" style="1122"/>
    <col min="9203" max="9203" customWidth="1" bestFit="1" width="3.0" style="1122"/>
    <col min="9204" max="9204" customWidth="1" bestFit="1" width="3.0" style="1122"/>
    <col min="9205" max="9205" customWidth="1" bestFit="1" width="3.0" style="1122"/>
    <col min="9206" max="9206" customWidth="1" bestFit="1" width="3.0" style="1122"/>
    <col min="9207" max="9207" customWidth="1" bestFit="1" width="3.0" style="1122"/>
    <col min="9208" max="9208" customWidth="1" bestFit="1" width="3.0" style="1122"/>
    <col min="9209" max="9209" customWidth="1" bestFit="1" width="3.0" style="1122"/>
    <col min="9210" max="9210" customWidth="1" bestFit="1" width="3.0" style="1122"/>
    <col min="9211" max="9211" customWidth="1" bestFit="1" width="3.0" style="1122"/>
    <col min="9212" max="9212" customWidth="1" bestFit="1" width="3.0" style="1122"/>
    <col min="9213" max="9213" customWidth="1" bestFit="1" width="3.0" style="1122"/>
    <col min="9214" max="9214" customWidth="1" bestFit="1" width="3.0" style="1122"/>
    <col min="9215" max="9215" customWidth="1" bestFit="1" width="3.0" style="1122"/>
    <col min="9216" max="9216" customWidth="1" bestFit="1" width="3.0" style="1122"/>
    <col min="9217" max="9217" customWidth="1" bestFit="1" width="3.0" style="1122"/>
    <col min="9218" max="9218" customWidth="1" bestFit="1" width="3.0" style="1122"/>
    <col min="9219" max="9219" customWidth="1" bestFit="1" width="3.0" style="1122"/>
    <col min="9220" max="9220" customWidth="1" bestFit="1" width="3.0" style="1122"/>
    <col min="9221" max="9221" customWidth="1" bestFit="1" width="3.0" style="1122"/>
    <col min="9222" max="9222" customWidth="1" bestFit="1" width="3.0" style="1122"/>
    <col min="9223" max="9223" customWidth="1" bestFit="1" width="3.0" style="1122"/>
    <col min="9224" max="9224" customWidth="1" bestFit="1" width="3.0" style="1122"/>
    <col min="9225" max="9225" customWidth="1" bestFit="1" width="3.0" style="1122"/>
    <col min="9226" max="9226" customWidth="1" bestFit="1" width="3.0" style="1122"/>
    <col min="9227" max="9227" customWidth="1" bestFit="1" width="3.0" style="1122"/>
    <col min="9228" max="9228" customWidth="1" bestFit="1" width="3.0" style="1122"/>
    <col min="9229" max="9229" customWidth="1" bestFit="1" width="3.0" style="1122"/>
    <col min="9230" max="9230" customWidth="1" bestFit="1" width="3.0" style="1122"/>
    <col min="9231" max="9231" customWidth="1" bestFit="1" width="3.0" style="1122"/>
    <col min="9232" max="9232" customWidth="1" bestFit="1" width="3.0" style="1122"/>
    <col min="9233" max="9233" customWidth="1" bestFit="1" width="3.0" style="1122"/>
    <col min="9234" max="9234" customWidth="1" bestFit="1" width="3.0" style="1122"/>
    <col min="9235" max="9235" customWidth="1" bestFit="1" width="3.0" style="1122"/>
    <col min="9236" max="9236" customWidth="1" bestFit="1" width="3.0" style="1122"/>
    <col min="9237" max="9237" customWidth="1" bestFit="1" width="3.0" style="1122"/>
    <col min="9238" max="9238" customWidth="1" bestFit="1" width="3.0" style="1122"/>
    <col min="9239" max="9239" customWidth="1" bestFit="1" width="3.0" style="1122"/>
    <col min="9240" max="9240" customWidth="1" bestFit="1" width="3.0" style="1122"/>
    <col min="9241" max="9241" customWidth="1" bestFit="1" width="3.0" style="1122"/>
    <col min="9242" max="9242" customWidth="1" bestFit="1" width="3.0" style="1122"/>
    <col min="9243" max="9243" customWidth="1" bestFit="1" width="3.0" style="1122"/>
    <col min="9244" max="9244" customWidth="1" bestFit="1" width="3.0" style="1122"/>
    <col min="9245" max="9245" customWidth="1" bestFit="1" width="3.0" style="1122"/>
    <col min="9246" max="9246" customWidth="1" bestFit="1" width="3.0" style="1122"/>
    <col min="9247" max="9247" customWidth="1" bestFit="1" width="3.0" style="1122"/>
    <col min="9248" max="9248" customWidth="1" bestFit="1" width="3.0" style="1122"/>
    <col min="9249" max="9249" customWidth="1" bestFit="1" width="3.0" style="1122"/>
    <col min="9250" max="9250" customWidth="1" bestFit="1" width="3.0" style="1122"/>
    <col min="9251" max="9251" customWidth="1" bestFit="1" width="3.0" style="1122"/>
    <col min="9252" max="9252" customWidth="1" bestFit="1" width="3.0" style="1122"/>
    <col min="9253" max="9253" customWidth="1" bestFit="1" width="3.0" style="1122"/>
    <col min="9254" max="9254" customWidth="1" bestFit="1" width="3.0" style="1122"/>
    <col min="9255" max="9255" customWidth="1" bestFit="1" width="3.0" style="1122"/>
    <col min="9256" max="9256" customWidth="1" bestFit="1" width="3.0" style="1122"/>
    <col min="9257" max="9257" customWidth="1" bestFit="1" width="3.0" style="1122"/>
    <col min="9258" max="9258" customWidth="1" bestFit="1" width="3.0" style="1122"/>
    <col min="9259" max="9259" customWidth="1" bestFit="1" width="3.0" style="1122"/>
    <col min="9260" max="9260" customWidth="1" bestFit="1" width="3.0" style="1122"/>
    <col min="9261" max="9261" customWidth="1" bestFit="1" width="3.0" style="1122"/>
    <col min="9262" max="9262" customWidth="1" bestFit="1" width="3.0" style="1122"/>
    <col min="9263" max="9263" customWidth="1" bestFit="1" width="3.0" style="1122"/>
    <col min="9264" max="9264" customWidth="1" bestFit="1" width="3.0" style="1122"/>
    <col min="9265" max="9265" customWidth="1" bestFit="1" width="3.0" style="1122"/>
    <col min="9266" max="9266" customWidth="1" bestFit="1" width="3.0" style="1122"/>
    <col min="9267" max="9267" customWidth="1" bestFit="1" width="3.0" style="1122"/>
    <col min="9268" max="9268" customWidth="1" bestFit="1" width="3.0" style="1122"/>
    <col min="9269" max="9269" customWidth="1" bestFit="1" width="3.0" style="1122"/>
    <col min="9270" max="9270" customWidth="1" bestFit="1" width="3.0" style="1122"/>
    <col min="9271" max="9271" customWidth="1" bestFit="1" width="3.0" style="1122"/>
    <col min="9272" max="9272" customWidth="1" bestFit="1" width="3.0" style="1122"/>
    <col min="9273" max="9273" customWidth="1" bestFit="1" width="3.0" style="1122"/>
    <col min="9274" max="9274" customWidth="1" bestFit="1" width="3.0" style="1122"/>
    <col min="9275" max="9275" customWidth="1" bestFit="1" width="3.0" style="1122"/>
    <col min="9276" max="9276" customWidth="1" bestFit="1" width="3.0" style="1122"/>
    <col min="9277" max="9277" customWidth="1" bestFit="1" width="3.0" style="1122"/>
    <col min="9278" max="9278" customWidth="1" bestFit="1" width="3.0" style="1122"/>
    <col min="9279" max="9279" customWidth="1" bestFit="1" width="3.0" style="1122"/>
    <col min="9280" max="9280" customWidth="1" bestFit="1" width="3.0" style="1122"/>
    <col min="9281" max="9281" customWidth="1" bestFit="1" width="3.0" style="1122"/>
    <col min="9282" max="9282" customWidth="1" bestFit="1" width="3.0" style="1122"/>
    <col min="9283" max="9283" customWidth="1" bestFit="1" width="3.0" style="1122"/>
    <col min="9284" max="9284" customWidth="1" bestFit="1" width="3.0" style="1122"/>
    <col min="9285" max="9285" customWidth="1" bestFit="1" width="3.0" style="1122"/>
    <col min="9286" max="9286" customWidth="1" bestFit="1" width="3.0" style="1122"/>
    <col min="9287" max="9287" customWidth="1" bestFit="1" width="3.0" style="1122"/>
    <col min="9288" max="9288" customWidth="1" bestFit="1" width="3.0" style="1122"/>
    <col min="9289" max="9289" customWidth="1" bestFit="1" width="3.0" style="1122"/>
    <col min="9290" max="9290" customWidth="1" bestFit="1" width="3.0" style="1122"/>
    <col min="9291" max="9291" customWidth="1" bestFit="1" width="3.0" style="1122"/>
    <col min="9292" max="9292" customWidth="1" bestFit="1" width="3.0" style="1122"/>
    <col min="9293" max="9293" customWidth="1" bestFit="1" width="3.0" style="1122"/>
    <col min="9294" max="9294" customWidth="1" bestFit="1" width="3.0" style="1122"/>
    <col min="9295" max="9295" customWidth="1" bestFit="1" width="3.0" style="1122"/>
    <col min="9296" max="9296" customWidth="1" bestFit="1" width="3.0" style="1122"/>
    <col min="9297" max="9297" customWidth="1" bestFit="1" width="3.0" style="1122"/>
    <col min="9298" max="9298" customWidth="1" bestFit="1" width="3.0" style="1122"/>
    <col min="9299" max="9299" customWidth="1" bestFit="1" width="3.0" style="1122"/>
    <col min="9300" max="9300" customWidth="1" bestFit="1" width="3.0" style="1122"/>
    <col min="9301" max="9301" customWidth="1" bestFit="1" width="3.0" style="1122"/>
    <col min="9302" max="9302" customWidth="1" bestFit="1" width="3.0" style="1122"/>
    <col min="9303" max="9303" customWidth="1" bestFit="1" width="3.0" style="1122"/>
    <col min="9304" max="9304" customWidth="1" bestFit="1" width="3.0" style="1122"/>
    <col min="9305" max="9305" customWidth="1" bestFit="1" width="3.0" style="1122"/>
    <col min="9306" max="9306" customWidth="1" bestFit="1" width="3.0" style="1122"/>
    <col min="9307" max="9307" customWidth="1" bestFit="1" width="3.0" style="1122"/>
    <col min="9308" max="9308" customWidth="1" bestFit="1" width="3.0" style="1122"/>
    <col min="9309" max="9309" customWidth="1" bestFit="1" width="3.0" style="1122"/>
    <col min="9310" max="9310" customWidth="1" bestFit="1" width="3.0" style="1122"/>
    <col min="9311" max="9311" customWidth="1" bestFit="1" width="3.0" style="1122"/>
    <col min="9312" max="9312" customWidth="1" bestFit="1" width="3.0" style="1122"/>
    <col min="9313" max="9313" customWidth="1" bestFit="1" width="3.0" style="1122"/>
    <col min="9314" max="9314" customWidth="1" bestFit="1" width="3.0" style="1122"/>
    <col min="9315" max="9315" customWidth="1" bestFit="1" width="3.0" style="1122"/>
    <col min="9316" max="9316" customWidth="1" bestFit="1" width="3.0" style="1122"/>
    <col min="9317" max="9317" customWidth="1" bestFit="1" width="3.0" style="1122"/>
    <col min="9318" max="9318" customWidth="1" bestFit="1" width="3.0" style="1122"/>
    <col min="9319" max="9319" customWidth="1" bestFit="1" width="3.0" style="1122"/>
    <col min="9320" max="9320" customWidth="1" bestFit="1" width="3.0" style="1122"/>
    <col min="9321" max="9321" customWidth="1" bestFit="1" width="3.0" style="1122"/>
    <col min="9322" max="9322" customWidth="1" bestFit="1" width="3.0" style="1122"/>
    <col min="9323" max="9323" customWidth="1" bestFit="1" width="3.0" style="1122"/>
    <col min="9324" max="9324" customWidth="1" bestFit="1" width="3.0" style="1122"/>
    <col min="9325" max="9325" customWidth="1" bestFit="1" width="3.0" style="1122"/>
    <col min="9326" max="9326" customWidth="1" bestFit="1" width="3.0" style="1122"/>
    <col min="9327" max="9327" customWidth="1" bestFit="1" width="3.0" style="1122"/>
    <col min="9328" max="9328" customWidth="1" bestFit="1" width="3.0" style="1122"/>
    <col min="9329" max="9329" customWidth="1" bestFit="1" width="3.0" style="1122"/>
    <col min="9330" max="9330" customWidth="1" bestFit="1" width="3.0" style="1122"/>
    <col min="9331" max="9331" customWidth="1" bestFit="1" width="3.0" style="1122"/>
    <col min="9332" max="9332" customWidth="1" bestFit="1" width="3.0" style="1122"/>
    <col min="9333" max="9333" customWidth="1" bestFit="1" width="3.0" style="1122"/>
    <col min="9334" max="9334" customWidth="1" bestFit="1" width="3.0" style="1122"/>
    <col min="9335" max="9335" customWidth="1" bestFit="1" width="3.0" style="1122"/>
    <col min="9336" max="9336" customWidth="1" bestFit="1" width="3.0" style="1122"/>
    <col min="9337" max="9337" customWidth="1" bestFit="1" width="3.0" style="1122"/>
    <col min="9338" max="9338" customWidth="1" bestFit="1" width="3.0" style="1122"/>
    <col min="9339" max="9339" customWidth="1" bestFit="1" width="3.0" style="1122"/>
    <col min="9340" max="9340" customWidth="1" bestFit="1" width="3.0" style="1122"/>
    <col min="9341" max="9341" customWidth="1" bestFit="1" width="3.0" style="1122"/>
    <col min="9342" max="9342" customWidth="1" bestFit="1" width="3.0" style="1122"/>
    <col min="9343" max="9343" customWidth="1" bestFit="1" width="3.0" style="1122"/>
    <col min="9344" max="9344" customWidth="1" bestFit="1" width="3.0" style="1122"/>
    <col min="9345" max="9345" customWidth="1" bestFit="1" width="3.0" style="1122"/>
    <col min="9346" max="9346" customWidth="1" bestFit="1" width="3.0" style="1122"/>
    <col min="9347" max="9347" customWidth="1" bestFit="1" width="3.0" style="1122"/>
    <col min="9348" max="9348" customWidth="1" bestFit="1" width="3.0" style="1122"/>
    <col min="9349" max="9349" customWidth="1" bestFit="1" width="3.0" style="1122"/>
    <col min="9350" max="9350" customWidth="1" bestFit="1" width="3.0" style="1122"/>
    <col min="9351" max="9351" customWidth="1" bestFit="1" width="3.0" style="1122"/>
    <col min="9352" max="9352" customWidth="1" bestFit="1" width="3.0" style="1122"/>
    <col min="9353" max="9353" customWidth="1" bestFit="1" width="3.0" style="1122"/>
    <col min="9354" max="9354" customWidth="1" bestFit="1" width="3.0" style="1122"/>
    <col min="9355" max="9355" customWidth="1" bestFit="1" width="3.0" style="1122"/>
    <col min="9356" max="9356" customWidth="1" bestFit="1" width="3.0" style="1122"/>
    <col min="9357" max="9357" customWidth="1" bestFit="1" width="3.0" style="1122"/>
    <col min="9358" max="9358" customWidth="1" bestFit="1" width="3.0" style="1122"/>
    <col min="9359" max="9359" customWidth="1" bestFit="1" width="3.0" style="1122"/>
    <col min="9360" max="9360" customWidth="1" bestFit="1" width="3.0" style="1122"/>
    <col min="9361" max="9361" customWidth="1" bestFit="1" width="3.0" style="1122"/>
    <col min="9362" max="9362" customWidth="1" bestFit="1" width="3.0" style="1122"/>
    <col min="9363" max="9363" customWidth="1" bestFit="1" width="3.0" style="1122"/>
    <col min="9364" max="9364" customWidth="1" bestFit="1" width="3.0" style="1122"/>
    <col min="9365" max="9365" customWidth="1" bestFit="1" width="3.0" style="1122"/>
    <col min="9366" max="9366" customWidth="1" bestFit="1" width="3.0" style="1122"/>
    <col min="9367" max="9367" customWidth="1" bestFit="1" width="3.0" style="1122"/>
    <col min="9368" max="9368" customWidth="1" bestFit="1" width="3.0" style="1122"/>
    <col min="9369" max="9369" customWidth="1" bestFit="1" width="3.0" style="1122"/>
    <col min="9370" max="9370" customWidth="1" bestFit="1" width="3.0" style="1122"/>
    <col min="9371" max="9371" customWidth="1" bestFit="1" width="3.0" style="1122"/>
    <col min="9372" max="9372" customWidth="1" bestFit="1" width="3.0" style="1122"/>
    <col min="9373" max="9373" customWidth="1" bestFit="1" width="3.0" style="1122"/>
    <col min="9374" max="9374" customWidth="1" bestFit="1" width="3.0" style="1122"/>
    <col min="9375" max="9375" customWidth="1" bestFit="1" width="3.0" style="1122"/>
    <col min="9376" max="9376" customWidth="1" bestFit="1" width="3.0" style="1122"/>
    <col min="9377" max="9377" customWidth="1" bestFit="1" width="3.0" style="1122"/>
    <col min="9378" max="9378" customWidth="1" bestFit="1" width="3.0" style="1122"/>
    <col min="9379" max="9379" customWidth="1" bestFit="1" width="3.0" style="1122"/>
    <col min="9380" max="9380" customWidth="1" bestFit="1" width="3.0" style="1122"/>
    <col min="9381" max="9381" customWidth="1" bestFit="1" width="3.0" style="1122"/>
    <col min="9382" max="9382" customWidth="1" bestFit="1" width="3.0" style="1122"/>
    <col min="9383" max="9383" customWidth="1" bestFit="1" width="3.0" style="1122"/>
    <col min="9384" max="9384" customWidth="1" bestFit="1" width="3.0" style="1122"/>
    <col min="9385" max="9385" customWidth="1" bestFit="1" width="3.0" style="1122"/>
    <col min="9386" max="9386" customWidth="1" bestFit="1" width="3.0" style="1122"/>
    <col min="9387" max="9387" customWidth="1" bestFit="1" width="3.0" style="1122"/>
    <col min="9388" max="9388" customWidth="1" bestFit="1" width="3.0" style="1122"/>
    <col min="9389" max="9389" customWidth="1" bestFit="1" width="3.0" style="1122"/>
    <col min="9390" max="9390" customWidth="1" bestFit="1" width="3.0" style="1122"/>
    <col min="9391" max="9391" customWidth="1" bestFit="1" width="3.0" style="1122"/>
    <col min="9392" max="9392" customWidth="1" bestFit="1" width="3.0" style="1122"/>
    <col min="9393" max="9393" customWidth="1" bestFit="1" width="3.0" style="1122"/>
    <col min="9394" max="9394" customWidth="1" bestFit="1" width="3.0" style="1122"/>
    <col min="9395" max="9395" customWidth="1" bestFit="1" width="3.0" style="1122"/>
    <col min="9396" max="9396" customWidth="1" bestFit="1" width="3.0" style="1122"/>
    <col min="9397" max="9397" customWidth="1" bestFit="1" width="3.0" style="1122"/>
    <col min="9398" max="9398" customWidth="1" bestFit="1" width="3.0" style="1122"/>
    <col min="9399" max="9399" customWidth="1" bestFit="1" width="3.0" style="1122"/>
    <col min="9400" max="9400" customWidth="1" bestFit="1" width="3.0" style="1122"/>
    <col min="9401" max="9401" customWidth="1" bestFit="1" width="3.0" style="1122"/>
    <col min="9402" max="9402" customWidth="1" bestFit="1" width="3.0" style="1122"/>
    <col min="9403" max="9403" customWidth="1" bestFit="1" width="3.0" style="1122"/>
    <col min="9404" max="9404" customWidth="1" bestFit="1" width="3.0" style="1122"/>
    <col min="9405" max="9405" customWidth="1" bestFit="1" width="3.0" style="1122"/>
    <col min="9406" max="9406" customWidth="1" bestFit="1" width="3.0" style="1122"/>
    <col min="9407" max="9407" customWidth="1" bestFit="1" width="3.0" style="1122"/>
    <col min="9408" max="9408" customWidth="1" bestFit="1" width="3.0" style="1122"/>
    <col min="9409" max="9409" customWidth="1" bestFit="1" width="3.0" style="1122"/>
    <col min="9410" max="9410" customWidth="1" bestFit="1" width="3.0" style="1122"/>
    <col min="9411" max="9411" customWidth="1" bestFit="1" width="3.0" style="1122"/>
    <col min="9412" max="9412" customWidth="1" bestFit="1" width="3.0" style="1122"/>
    <col min="9413" max="9413" customWidth="1" bestFit="1" width="3.0" style="1122"/>
    <col min="9414" max="9414" customWidth="1" bestFit="1" width="3.0" style="1122"/>
    <col min="9415" max="9415" customWidth="1" bestFit="1" width="3.0" style="1122"/>
    <col min="9416" max="9416" customWidth="1" bestFit="1" width="3.0" style="1122"/>
    <col min="9417" max="9417" customWidth="1" bestFit="1" width="3.0" style="1122"/>
    <col min="9418" max="9418" customWidth="1" bestFit="1" width="3.0" style="1122"/>
    <col min="9419" max="9419" customWidth="1" bestFit="1" width="3.0" style="1122"/>
    <col min="9420" max="9420" customWidth="1" bestFit="1" width="3.0" style="1122"/>
    <col min="9421" max="9421" customWidth="1" bestFit="1" width="3.0" style="1122"/>
    <col min="9422" max="9422" customWidth="1" bestFit="1" width="3.0" style="1122"/>
    <col min="9423" max="9423" customWidth="1" bestFit="1" width="3.0" style="1122"/>
    <col min="9424" max="9424" customWidth="1" bestFit="1" width="3.0" style="1122"/>
    <col min="9425" max="9425" customWidth="1" bestFit="1" width="3.0" style="1122"/>
    <col min="9426" max="9426" customWidth="1" bestFit="1" width="3.0" style="1122"/>
    <col min="9427" max="9427" customWidth="1" bestFit="1" width="3.0" style="1122"/>
    <col min="9428" max="9428" customWidth="1" bestFit="1" width="3.0" style="1122"/>
    <col min="9429" max="9429" customWidth="1" bestFit="1" width="3.0" style="1122"/>
    <col min="9430" max="9430" customWidth="1" bestFit="1" width="3.0" style="1122"/>
    <col min="9431" max="9431" customWidth="1" bestFit="1" width="3.0" style="1122"/>
    <col min="9432" max="9432" customWidth="1" bestFit="1" width="3.0" style="1122"/>
    <col min="9433" max="9433" customWidth="1" bestFit="1" width="3.0" style="1122"/>
    <col min="9434" max="9434" customWidth="1" bestFit="1" width="3.0" style="1122"/>
    <col min="9435" max="9435" customWidth="1" bestFit="1" width="3.0" style="1122"/>
    <col min="9436" max="9436" customWidth="1" bestFit="1" width="3.0" style="1122"/>
    <col min="9437" max="9437" customWidth="1" bestFit="1" width="3.0" style="1122"/>
    <col min="9438" max="9438" customWidth="1" bestFit="1" width="3.0" style="1122"/>
    <col min="9439" max="9439" customWidth="1" bestFit="1" width="3.0" style="1122"/>
    <col min="9440" max="9440" customWidth="1" bestFit="1" width="3.0" style="1122"/>
    <col min="9441" max="9441" customWidth="1" bestFit="1" width="3.0" style="1122"/>
    <col min="9442" max="9442" customWidth="1" bestFit="1" width="3.0" style="1122"/>
    <col min="9443" max="9443" customWidth="1" bestFit="1" width="3.0" style="1122"/>
    <col min="9444" max="9444" customWidth="1" bestFit="1" width="3.0" style="1122"/>
    <col min="9445" max="9445" customWidth="1" bestFit="1" width="3.0" style="1122"/>
    <col min="9446" max="9446" customWidth="1" bestFit="1" width="3.0" style="1122"/>
    <col min="9447" max="9447" customWidth="1" bestFit="1" width="3.0" style="1122"/>
    <col min="9448" max="9448" customWidth="1" bestFit="1" width="3.0" style="1122"/>
    <col min="9449" max="9449" customWidth="1" bestFit="1" width="3.0" style="1122"/>
    <col min="9450" max="9450" customWidth="1" bestFit="1" width="3.0" style="1122"/>
    <col min="9451" max="9451" customWidth="1" bestFit="1" width="3.0" style="1122"/>
    <col min="9452" max="9452" customWidth="1" bestFit="1" width="3.0" style="1122"/>
    <col min="9453" max="9453" customWidth="1" bestFit="1" width="3.0" style="1122"/>
    <col min="9454" max="9454" customWidth="1" bestFit="1" width="3.0" style="1122"/>
    <col min="9455" max="9455" customWidth="1" bestFit="1" width="3.0" style="1122"/>
    <col min="9456" max="9456" customWidth="1" bestFit="1" width="3.0" style="1122"/>
    <col min="9457" max="9457" customWidth="1" bestFit="1" width="3.0" style="1122"/>
    <col min="9458" max="9458" customWidth="1" bestFit="1" width="3.0" style="1122"/>
    <col min="9459" max="9459" customWidth="1" bestFit="1" width="3.0" style="1122"/>
    <col min="9460" max="9460" customWidth="1" bestFit="1" width="3.0" style="1122"/>
    <col min="9461" max="9461" customWidth="1" bestFit="1" width="3.0" style="1122"/>
    <col min="9462" max="9462" customWidth="1" bestFit="1" width="3.0" style="1122"/>
    <col min="9463" max="9463" customWidth="1" bestFit="1" width="3.0" style="1122"/>
    <col min="9464" max="9464" customWidth="1" bestFit="1" width="3.0" style="1122"/>
    <col min="9465" max="9465" customWidth="1" bestFit="1" width="3.0" style="1122"/>
    <col min="9466" max="9466" customWidth="1" bestFit="1" width="3.0" style="1122"/>
    <col min="9467" max="9467" customWidth="1" bestFit="1" width="3.0" style="1122"/>
    <col min="9468" max="9468" customWidth="1" bestFit="1" width="3.0" style="1122"/>
    <col min="9469" max="9469" customWidth="1" bestFit="1" width="3.0" style="1122"/>
    <col min="9470" max="9470" customWidth="1" bestFit="1" width="3.0" style="1122"/>
    <col min="9471" max="9471" customWidth="1" bestFit="1" width="3.0" style="1122"/>
    <col min="9472" max="9472" customWidth="1" bestFit="1" width="3.0" style="1122"/>
    <col min="9473" max="9473" customWidth="1" bestFit="1" width="3.0" style="1122"/>
    <col min="9474" max="9474" customWidth="1" bestFit="1" width="3.0" style="1122"/>
    <col min="9475" max="9475" customWidth="1" bestFit="1" width="3.0" style="1122"/>
    <col min="9476" max="9476" customWidth="1" bestFit="1" width="3.0" style="1122"/>
    <col min="9477" max="9477" customWidth="1" bestFit="1" width="3.0" style="1122"/>
    <col min="9478" max="9478" customWidth="1" bestFit="1" width="3.0" style="1122"/>
    <col min="9479" max="9479" customWidth="1" bestFit="1" width="3.0" style="1122"/>
    <col min="9480" max="9480" customWidth="1" bestFit="1" width="3.0" style="1122"/>
    <col min="9481" max="9481" customWidth="1" bestFit="1" width="3.0" style="1122"/>
    <col min="9482" max="9482" customWidth="1" bestFit="1" width="3.0" style="1122"/>
    <col min="9483" max="9483" customWidth="1" bestFit="1" width="3.0" style="1122"/>
    <col min="9484" max="9484" customWidth="1" bestFit="1" width="3.0" style="1122"/>
    <col min="9485" max="9485" customWidth="1" bestFit="1" width="3.0" style="1122"/>
    <col min="9486" max="9486" customWidth="1" bestFit="1" width="3.0" style="1122"/>
    <col min="9487" max="9487" customWidth="1" bestFit="1" width="3.0" style="1122"/>
    <col min="9488" max="9488" customWidth="1" bestFit="1" width="3.0" style="1122"/>
    <col min="9489" max="9489" customWidth="1" bestFit="1" width="3.0" style="1122"/>
    <col min="9490" max="9490" customWidth="1" bestFit="1" width="3.0" style="1122"/>
    <col min="9491" max="9491" customWidth="1" bestFit="1" width="3.0" style="1122"/>
    <col min="9492" max="9492" customWidth="1" bestFit="1" width="3.0" style="1122"/>
    <col min="9493" max="9493" customWidth="1" bestFit="1" width="3.0" style="1122"/>
    <col min="9494" max="9494" customWidth="1" bestFit="1" width="3.0" style="1122"/>
    <col min="9495" max="9495" customWidth="1" bestFit="1" width="3.0" style="1122"/>
    <col min="9496" max="9496" customWidth="1" bestFit="1" width="3.0" style="1122"/>
    <col min="9497" max="9497" customWidth="1" bestFit="1" width="3.0" style="1122"/>
    <col min="9498" max="9498" customWidth="1" bestFit="1" width="3.0" style="1122"/>
    <col min="9499" max="9499" customWidth="1" bestFit="1" width="3.0" style="1122"/>
    <col min="9500" max="9500" customWidth="1" bestFit="1" width="3.0" style="1122"/>
    <col min="9501" max="9501" customWidth="1" bestFit="1" width="3.0" style="1122"/>
    <col min="9502" max="9502" customWidth="1" bestFit="1" width="3.0" style="1122"/>
    <col min="9503" max="9503" customWidth="1" bestFit="1" width="3.0" style="1122"/>
    <col min="9504" max="9504" customWidth="1" bestFit="1" width="3.0" style="1122"/>
    <col min="9505" max="9505" customWidth="1" bestFit="1" width="3.0" style="1122"/>
    <col min="9506" max="9506" customWidth="1" bestFit="1" width="3.0" style="1122"/>
    <col min="9507" max="9507" customWidth="1" bestFit="1" width="3.0" style="1122"/>
    <col min="9508" max="9508" customWidth="1" bestFit="1" width="3.0" style="1122"/>
    <col min="9509" max="9509" customWidth="1" bestFit="1" width="3.0" style="1122"/>
    <col min="9510" max="9510" customWidth="1" bestFit="1" width="3.0" style="1122"/>
    <col min="9511" max="9511" customWidth="1" bestFit="1" width="3.0" style="1122"/>
    <col min="9512" max="9512" customWidth="1" bestFit="1" width="3.0" style="1122"/>
    <col min="9513" max="9513" customWidth="1" bestFit="1" width="3.0" style="1122"/>
    <col min="9514" max="9514" customWidth="1" bestFit="1" width="3.0" style="1122"/>
    <col min="9515" max="9515" customWidth="1" bestFit="1" width="3.0" style="1122"/>
    <col min="9516" max="9516" customWidth="1" bestFit="1" width="3.0" style="1122"/>
    <col min="9517" max="9517" customWidth="1" bestFit="1" width="3.0" style="1122"/>
    <col min="9518" max="9518" customWidth="1" bestFit="1" width="3.0" style="1122"/>
    <col min="9519" max="9519" customWidth="1" bestFit="1" width="3.0" style="1122"/>
    <col min="9520" max="9520" customWidth="1" bestFit="1" width="3.0" style="1122"/>
    <col min="9521" max="9521" customWidth="1" bestFit="1" width="3.0" style="1122"/>
    <col min="9522" max="9522" customWidth="1" bestFit="1" width="3.0" style="1122"/>
    <col min="9523" max="9523" customWidth="1" bestFit="1" width="3.0" style="1122"/>
    <col min="9524" max="9524" customWidth="1" bestFit="1" width="3.0" style="1122"/>
    <col min="9525" max="9525" customWidth="1" bestFit="1" width="3.0" style="1122"/>
    <col min="9526" max="9526" customWidth="1" bestFit="1" width="3.0" style="1122"/>
    <col min="9527" max="9527" customWidth="1" bestFit="1" width="3.0" style="1122"/>
    <col min="9528" max="9528" customWidth="1" bestFit="1" width="3.0" style="1122"/>
    <col min="9529" max="9529" customWidth="1" bestFit="1" width="3.0" style="1122"/>
    <col min="9530" max="9530" customWidth="1" bestFit="1" width="3.0" style="1122"/>
    <col min="9531" max="9531" customWidth="1" bestFit="1" width="3.0" style="1122"/>
    <col min="9532" max="9532" customWidth="1" bestFit="1" width="3.0" style="1122"/>
    <col min="9533" max="9533" customWidth="1" bestFit="1" width="3.0" style="1122"/>
    <col min="9534" max="9534" customWidth="1" bestFit="1" width="3.0" style="1122"/>
    <col min="9535" max="9535" customWidth="1" bestFit="1" width="3.0" style="1122"/>
    <col min="9536" max="9536" customWidth="1" bestFit="1" width="3.0" style="1122"/>
    <col min="9537" max="9537" customWidth="1" bestFit="1" width="3.0" style="1122"/>
    <col min="9538" max="9538" customWidth="1" bestFit="1" width="3.0" style="1122"/>
    <col min="9539" max="9539" customWidth="1" bestFit="1" width="3.0" style="1122"/>
    <col min="9540" max="9540" customWidth="1" bestFit="1" width="3.0" style="1122"/>
    <col min="9541" max="9541" customWidth="1" bestFit="1" width="3.0" style="1122"/>
    <col min="9542" max="9542" customWidth="1" bestFit="1" width="3.0" style="1122"/>
    <col min="9543" max="9543" customWidth="1" bestFit="1" width="3.0" style="1122"/>
    <col min="9544" max="9544" customWidth="1" bestFit="1" width="3.0" style="1122"/>
    <col min="9545" max="9545" customWidth="1" bestFit="1" width="3.0" style="1122"/>
    <col min="9546" max="9546" customWidth="1" bestFit="1" width="3.0" style="1122"/>
    <col min="9547" max="9547" customWidth="1" bestFit="1" width="3.0" style="1122"/>
    <col min="9548" max="9548" customWidth="1" bestFit="1" width="3.0" style="1122"/>
    <col min="9549" max="9549" customWidth="1" bestFit="1" width="3.0" style="1122"/>
    <col min="9550" max="9550" customWidth="1" bestFit="1" width="3.0" style="1122"/>
    <col min="9551" max="9551" customWidth="1" bestFit="1" width="3.0" style="1122"/>
    <col min="9552" max="9552" customWidth="1" bestFit="1" width="3.0" style="1122"/>
    <col min="9553" max="9553" customWidth="1" bestFit="1" width="3.0" style="1122"/>
    <col min="9554" max="9554" customWidth="1" bestFit="1" width="3.0" style="1122"/>
    <col min="9555" max="9555" customWidth="1" bestFit="1" width="3.0" style="1122"/>
    <col min="9556" max="9556" customWidth="1" bestFit="1" width="3.0" style="1122"/>
    <col min="9557" max="9557" customWidth="1" bestFit="1" width="3.0" style="1122"/>
    <col min="9558" max="9558" customWidth="1" bestFit="1" width="3.0" style="1122"/>
    <col min="9559" max="9559" customWidth="1" bestFit="1" width="3.0" style="1122"/>
    <col min="9560" max="9560" customWidth="1" bestFit="1" width="3.0" style="1122"/>
    <col min="9561" max="9561" customWidth="1" bestFit="1" width="3.0" style="1122"/>
    <col min="9562" max="9562" customWidth="1" bestFit="1" width="3.0" style="1122"/>
    <col min="9563" max="9563" customWidth="1" bestFit="1" width="3.0" style="1122"/>
    <col min="9564" max="9564" customWidth="1" bestFit="1" width="3.0" style="1122"/>
    <col min="9565" max="9565" customWidth="1" bestFit="1" width="3.0" style="1122"/>
    <col min="9566" max="9566" customWidth="1" bestFit="1" width="3.0" style="1122"/>
    <col min="9567" max="9567" customWidth="1" bestFit="1" width="3.0" style="1122"/>
    <col min="9568" max="9568" customWidth="1" bestFit="1" width="3.0" style="1122"/>
    <col min="9569" max="9569" customWidth="1" bestFit="1" width="3.0" style="1122"/>
    <col min="9570" max="9570" customWidth="1" bestFit="1" width="3.0" style="1122"/>
    <col min="9571" max="9571" customWidth="1" bestFit="1" width="3.0" style="1122"/>
    <col min="9572" max="9572" customWidth="1" bestFit="1" width="3.0" style="1122"/>
    <col min="9573" max="9573" customWidth="1" bestFit="1" width="3.0" style="1122"/>
    <col min="9574" max="9574" customWidth="1" bestFit="1" width="3.0" style="1122"/>
    <col min="9575" max="9575" customWidth="1" bestFit="1" width="3.0" style="1122"/>
    <col min="9576" max="9576" customWidth="1" bestFit="1" width="3.0" style="1122"/>
    <col min="9577" max="9577" customWidth="1" bestFit="1" width="3.0" style="1122"/>
    <col min="9578" max="9578" customWidth="1" bestFit="1" width="3.0" style="1122"/>
    <col min="9579" max="9579" customWidth="1" bestFit="1" width="3.0" style="1122"/>
    <col min="9580" max="9580" customWidth="1" bestFit="1" width="3.0" style="1122"/>
    <col min="9581" max="9581" customWidth="1" bestFit="1" width="3.0" style="1122"/>
    <col min="9582" max="9582" customWidth="1" bestFit="1" width="3.0" style="1122"/>
    <col min="9583" max="9583" customWidth="1" bestFit="1" width="3.0" style="1122"/>
    <col min="9584" max="9584" customWidth="1" bestFit="1" width="3.0" style="1122"/>
    <col min="9585" max="9585" customWidth="1" bestFit="1" width="3.0" style="1122"/>
    <col min="9586" max="9586" customWidth="1" bestFit="1" width="3.0" style="1122"/>
    <col min="9587" max="9587" customWidth="1" bestFit="1" width="3.0" style="1122"/>
    <col min="9588" max="9588" customWidth="1" bestFit="1" width="3.0" style="1122"/>
    <col min="9589" max="9589" customWidth="1" bestFit="1" width="3.0" style="1122"/>
    <col min="9590" max="9590" customWidth="1" bestFit="1" width="3.0" style="1122"/>
    <col min="9591" max="9591" customWidth="1" bestFit="1" width="3.0" style="1122"/>
    <col min="9592" max="9592" customWidth="1" bestFit="1" width="3.0" style="1122"/>
    <col min="9593" max="9593" customWidth="1" bestFit="1" width="3.0" style="1122"/>
    <col min="9594" max="9594" customWidth="1" bestFit="1" width="3.0" style="1122"/>
    <col min="9595" max="9595" customWidth="1" bestFit="1" width="3.0" style="1122"/>
    <col min="9596" max="9596" customWidth="1" bestFit="1" width="3.0" style="1122"/>
    <col min="9597" max="9597" customWidth="1" bestFit="1" width="3.0" style="1122"/>
    <col min="9598" max="9598" customWidth="1" bestFit="1" width="3.0" style="1122"/>
    <col min="9599" max="9599" customWidth="1" bestFit="1" width="3.0" style="1122"/>
    <col min="9600" max="9600" customWidth="1" bestFit="1" width="3.0" style="1122"/>
    <col min="9601" max="9601" customWidth="1" bestFit="1" width="3.0" style="1122"/>
    <col min="9602" max="9602" customWidth="1" bestFit="1" width="3.0" style="1122"/>
    <col min="9603" max="9603" customWidth="1" bestFit="1" width="3.0" style="1122"/>
    <col min="9604" max="9604" customWidth="1" bestFit="1" width="3.0" style="1122"/>
    <col min="9605" max="9605" customWidth="1" bestFit="1" width="3.0" style="1122"/>
    <col min="9606" max="9606" customWidth="1" bestFit="1" width="3.0" style="1122"/>
    <col min="9607" max="9607" customWidth="1" bestFit="1" width="3.0" style="1122"/>
    <col min="9608" max="9608" customWidth="1" bestFit="1" width="3.0" style="1122"/>
    <col min="9609" max="9609" customWidth="1" bestFit="1" width="3.0" style="1122"/>
    <col min="9610" max="9610" customWidth="1" bestFit="1" width="3.0" style="1122"/>
    <col min="9611" max="9611" customWidth="1" bestFit="1" width="3.0" style="1122"/>
    <col min="9612" max="9612" customWidth="1" bestFit="1" width="3.0" style="1122"/>
    <col min="9613" max="9613" customWidth="1" bestFit="1" width="3.0" style="1122"/>
    <col min="9614" max="9614" customWidth="1" bestFit="1" width="3.0" style="1122"/>
    <col min="9615" max="9615" customWidth="1" bestFit="1" width="3.0" style="1122"/>
    <col min="9616" max="9616" customWidth="1" bestFit="1" width="3.0" style="1122"/>
    <col min="9617" max="9617" customWidth="1" bestFit="1" width="3.0" style="1122"/>
    <col min="9618" max="9618" customWidth="1" bestFit="1" width="3.0" style="1122"/>
    <col min="9619" max="9619" customWidth="1" bestFit="1" width="3.0" style="1122"/>
    <col min="9620" max="9620" customWidth="1" bestFit="1" width="3.0" style="1122"/>
    <col min="9621" max="9621" customWidth="1" bestFit="1" width="3.0" style="1122"/>
    <col min="9622" max="9622" customWidth="1" bestFit="1" width="3.0" style="1122"/>
    <col min="9623" max="9623" customWidth="1" bestFit="1" width="3.0" style="1122"/>
    <col min="9624" max="9624" customWidth="1" bestFit="1" width="3.0" style="1122"/>
    <col min="9625" max="9625" customWidth="1" bestFit="1" width="3.0" style="1122"/>
    <col min="9626" max="9626" customWidth="1" bestFit="1" width="3.0" style="1122"/>
    <col min="9627" max="9627" customWidth="1" bestFit="1" width="3.0" style="1122"/>
    <col min="9628" max="9628" customWidth="1" bestFit="1" width="3.0" style="1122"/>
    <col min="9629" max="9629" customWidth="1" bestFit="1" width="3.0" style="1122"/>
    <col min="9630" max="9630" customWidth="1" bestFit="1" width="3.0" style="1122"/>
    <col min="9631" max="9631" customWidth="1" bestFit="1" width="3.0" style="1122"/>
    <col min="9632" max="9632" customWidth="1" bestFit="1" width="3.0" style="1122"/>
    <col min="9633" max="9633" customWidth="1" bestFit="1" width="3.0" style="1122"/>
    <col min="9634" max="9634" customWidth="1" bestFit="1" width="3.0" style="1122"/>
    <col min="9635" max="9635" customWidth="1" bestFit="1" width="3.0" style="1122"/>
    <col min="9636" max="9636" customWidth="1" bestFit="1" width="3.0" style="1122"/>
    <col min="9637" max="9637" customWidth="1" bestFit="1" width="3.0" style="1122"/>
    <col min="9638" max="9638" customWidth="1" bestFit="1" width="3.0" style="1122"/>
    <col min="9639" max="9639" customWidth="1" bestFit="1" width="3.0" style="1122"/>
    <col min="9640" max="9640" customWidth="1" bestFit="1" width="3.0" style="1122"/>
    <col min="9641" max="9641" customWidth="1" bestFit="1" width="3.0" style="1122"/>
    <col min="9642" max="9642" customWidth="1" bestFit="1" width="3.0" style="1122"/>
    <col min="9643" max="9643" customWidth="1" bestFit="1" width="3.0" style="1122"/>
    <col min="9644" max="9644" customWidth="1" bestFit="1" width="3.0" style="1122"/>
    <col min="9645" max="9645" customWidth="1" bestFit="1" width="3.0" style="1122"/>
    <col min="9646" max="9646" customWidth="1" bestFit="1" width="3.0" style="1122"/>
    <col min="9647" max="9647" customWidth="1" bestFit="1" width="3.0" style="1122"/>
    <col min="9648" max="9648" customWidth="1" bestFit="1" width="3.0" style="1122"/>
    <col min="9649" max="9649" customWidth="1" bestFit="1" width="3.0" style="1122"/>
    <col min="9650" max="9650" customWidth="1" bestFit="1" width="3.0" style="1122"/>
    <col min="9651" max="9651" customWidth="1" bestFit="1" width="3.0" style="1122"/>
    <col min="9652" max="9652" customWidth="1" bestFit="1" width="3.0" style="1122"/>
    <col min="9653" max="9653" customWidth="1" bestFit="1" width="3.0" style="1122"/>
    <col min="9654" max="9654" customWidth="1" bestFit="1" width="3.0" style="1122"/>
    <col min="9655" max="9655" customWidth="1" bestFit="1" width="3.0" style="1122"/>
    <col min="9656" max="9656" customWidth="1" bestFit="1" width="3.0" style="1122"/>
    <col min="9657" max="9657" customWidth="1" bestFit="1" width="3.0" style="1122"/>
    <col min="9658" max="9658" customWidth="1" bestFit="1" width="3.0" style="1122"/>
    <col min="9659" max="9659" customWidth="1" bestFit="1" width="3.0" style="1122"/>
    <col min="9660" max="9660" customWidth="1" bestFit="1" width="3.0" style="1122"/>
    <col min="9661" max="9661" customWidth="1" bestFit="1" width="3.0" style="1122"/>
    <col min="9662" max="9662" customWidth="1" bestFit="1" width="3.0" style="1122"/>
    <col min="9663" max="9663" customWidth="1" bestFit="1" width="3.0" style="1122"/>
    <col min="9664" max="9664" customWidth="1" bestFit="1" width="3.0" style="1122"/>
    <col min="9665" max="9665" customWidth="1" bestFit="1" width="3.0" style="1122"/>
    <col min="9666" max="9666" customWidth="1" bestFit="1" width="3.0" style="1122"/>
    <col min="9667" max="9667" customWidth="1" bestFit="1" width="3.0" style="1122"/>
    <col min="9668" max="9668" customWidth="1" bestFit="1" width="3.0" style="1122"/>
    <col min="9669" max="9669" customWidth="1" bestFit="1" width="3.0" style="1122"/>
    <col min="9670" max="9670" customWidth="1" bestFit="1" width="3.0" style="1122"/>
    <col min="9671" max="9671" customWidth="1" bestFit="1" width="3.0" style="1122"/>
    <col min="9672" max="9672" customWidth="1" bestFit="1" width="3.0" style="1122"/>
    <col min="9673" max="9673" customWidth="1" bestFit="1" width="3.0" style="1122"/>
    <col min="9674" max="9674" customWidth="1" bestFit="1" width="3.0" style="1122"/>
    <col min="9675" max="9675" customWidth="1" bestFit="1" width="3.0" style="1122"/>
    <col min="9676" max="9676" customWidth="1" bestFit="1" width="3.0" style="1122"/>
    <col min="9677" max="9677" customWidth="1" bestFit="1" width="3.0" style="1122"/>
    <col min="9678" max="9678" customWidth="1" bestFit="1" width="3.0" style="1122"/>
    <col min="9679" max="9679" customWidth="1" bestFit="1" width="3.0" style="1122"/>
    <col min="9680" max="9680" customWidth="1" bestFit="1" width="3.0" style="1122"/>
    <col min="9681" max="9681" customWidth="1" bestFit="1" width="3.0" style="1122"/>
    <col min="9682" max="9682" customWidth="1" bestFit="1" width="3.0" style="1122"/>
    <col min="9683" max="9683" customWidth="1" bestFit="1" width="3.0" style="1122"/>
    <col min="9684" max="9684" customWidth="1" bestFit="1" width="3.0" style="1122"/>
    <col min="9685" max="9685" customWidth="1" bestFit="1" width="3.0" style="1122"/>
    <col min="9686" max="9686" customWidth="1" bestFit="1" width="3.0" style="1122"/>
    <col min="9687" max="9687" customWidth="1" bestFit="1" width="3.0" style="1122"/>
    <col min="9688" max="9688" customWidth="1" bestFit="1" width="3.0" style="1122"/>
    <col min="9689" max="9689" customWidth="1" bestFit="1" width="3.0" style="1122"/>
    <col min="9690" max="9690" customWidth="1" bestFit="1" width="3.0" style="1122"/>
    <col min="9691" max="9691" customWidth="1" bestFit="1" width="3.0" style="1122"/>
    <col min="9692" max="9692" customWidth="1" bestFit="1" width="3.0" style="1122"/>
    <col min="9693" max="9693" customWidth="1" bestFit="1" width="3.0" style="1122"/>
    <col min="9694" max="9694" customWidth="1" bestFit="1" width="3.0" style="1122"/>
    <col min="9695" max="9695" customWidth="1" bestFit="1" width="3.0" style="1122"/>
    <col min="9696" max="9696" customWidth="1" bestFit="1" width="3.0" style="1122"/>
    <col min="9697" max="9697" customWidth="1" bestFit="1" width="3.0" style="1122"/>
    <col min="9698" max="9698" customWidth="1" bestFit="1" width="3.0" style="1122"/>
    <col min="9699" max="9699" customWidth="1" bestFit="1" width="3.0" style="1122"/>
    <col min="9700" max="9700" customWidth="1" bestFit="1" width="3.0" style="1122"/>
    <col min="9701" max="9701" customWidth="1" bestFit="1" width="3.0" style="1122"/>
    <col min="9702" max="9702" customWidth="1" bestFit="1" width="3.0" style="1122"/>
    <col min="9703" max="9703" customWidth="1" bestFit="1" width="3.0" style="1122"/>
    <col min="9704" max="9704" customWidth="1" bestFit="1" width="3.0" style="1122"/>
    <col min="9705" max="9705" customWidth="1" bestFit="1" width="3.0" style="1122"/>
    <col min="9706" max="9706" customWidth="1" bestFit="1" width="3.0" style="1122"/>
    <col min="9707" max="9707" customWidth="1" bestFit="1" width="3.0" style="1122"/>
    <col min="9708" max="9708" customWidth="1" bestFit="1" width="3.0" style="1122"/>
    <col min="9709" max="9709" customWidth="1" bestFit="1" width="3.0" style="1122"/>
    <col min="9710" max="9710" customWidth="1" bestFit="1" width="3.0" style="1122"/>
    <col min="9711" max="9711" customWidth="1" bestFit="1" width="3.0" style="1122"/>
    <col min="9712" max="9712" customWidth="1" bestFit="1" width="3.0" style="1122"/>
    <col min="9713" max="9713" customWidth="1" bestFit="1" width="3.0" style="1122"/>
    <col min="9714" max="9714" customWidth="1" bestFit="1" width="3.0" style="1122"/>
    <col min="9715" max="9715" customWidth="1" bestFit="1" width="3.0" style="1122"/>
    <col min="9716" max="9716" customWidth="1" bestFit="1" width="3.0" style="1122"/>
    <col min="9717" max="9717" customWidth="1" bestFit="1" width="3.0" style="1122"/>
    <col min="9718" max="9718" customWidth="1" bestFit="1" width="3.0" style="1122"/>
    <col min="9719" max="9719" customWidth="1" bestFit="1" width="3.0" style="1122"/>
    <col min="9720" max="9720" customWidth="1" bestFit="1" width="3.0" style="1122"/>
    <col min="9721" max="9721" customWidth="1" bestFit="1" width="3.0" style="1122"/>
    <col min="9722" max="9722" customWidth="1" bestFit="1" width="3.0" style="1122"/>
    <col min="9723" max="9723" customWidth="1" bestFit="1" width="3.0" style="1122"/>
    <col min="9724" max="9724" customWidth="1" bestFit="1" width="3.0" style="1122"/>
    <col min="9725" max="9725" customWidth="1" bestFit="1" width="3.0" style="1122"/>
    <col min="9726" max="9726" customWidth="1" bestFit="1" width="3.0" style="1122"/>
    <col min="9727" max="9727" customWidth="1" bestFit="1" width="3.0" style="1122"/>
    <col min="9728" max="9728" customWidth="1" bestFit="1" width="3.0" style="1122"/>
    <col min="9729" max="9729" customWidth="1" bestFit="1" width="3.0" style="1122"/>
    <col min="9730" max="9730" customWidth="1" bestFit="1" width="3.0" style="1122"/>
    <col min="9731" max="9731" customWidth="1" bestFit="1" width="3.0" style="1122"/>
    <col min="9732" max="9732" customWidth="1" bestFit="1" width="3.0" style="1122"/>
    <col min="9733" max="9733" customWidth="1" bestFit="1" width="3.0" style="1122"/>
    <col min="9734" max="9734" customWidth="1" bestFit="1" width="3.0" style="1122"/>
    <col min="9735" max="9735" customWidth="1" bestFit="1" width="3.0" style="1122"/>
    <col min="9736" max="9736" customWidth="1" bestFit="1" width="3.0" style="1122"/>
    <col min="9737" max="9737" customWidth="1" bestFit="1" width="3.0" style="1122"/>
    <col min="9738" max="9738" customWidth="1" bestFit="1" width="3.0" style="1122"/>
    <col min="9739" max="9739" customWidth="1" bestFit="1" width="3.0" style="1122"/>
    <col min="9740" max="9740" customWidth="1" bestFit="1" width="3.0" style="1122"/>
    <col min="9741" max="9741" customWidth="1" bestFit="1" width="3.0" style="1122"/>
    <col min="9742" max="9742" customWidth="1" bestFit="1" width="3.0" style="1122"/>
    <col min="9743" max="9743" customWidth="1" bestFit="1" width="3.0" style="1122"/>
    <col min="9744" max="9744" customWidth="1" bestFit="1" width="3.0" style="1122"/>
    <col min="9745" max="9745" customWidth="1" bestFit="1" width="3.0" style="1122"/>
    <col min="9746" max="9746" customWidth="1" bestFit="1" width="3.0" style="1122"/>
    <col min="9747" max="9747" customWidth="1" bestFit="1" width="3.0" style="1122"/>
    <col min="9748" max="9748" customWidth="1" bestFit="1" width="3.0" style="1122"/>
    <col min="9749" max="9749" customWidth="1" bestFit="1" width="3.0" style="1122"/>
    <col min="9750" max="9750" customWidth="1" bestFit="1" width="3.0" style="1122"/>
    <col min="9751" max="9751" customWidth="1" bestFit="1" width="3.0" style="1122"/>
    <col min="9752" max="9752" customWidth="1" bestFit="1" width="3.0" style="1122"/>
    <col min="9753" max="9753" customWidth="1" bestFit="1" width="3.0" style="1122"/>
    <col min="9754" max="9754" customWidth="1" bestFit="1" width="3.0" style="1122"/>
    <col min="9755" max="9755" customWidth="1" bestFit="1" width="3.0" style="1122"/>
    <col min="9756" max="9756" customWidth="1" bestFit="1" width="3.0" style="1122"/>
    <col min="9757" max="9757" customWidth="1" bestFit="1" width="3.0" style="1122"/>
    <col min="9758" max="9758" customWidth="1" bestFit="1" width="3.0" style="1122"/>
    <col min="9759" max="9759" customWidth="1" bestFit="1" width="3.0" style="1122"/>
    <col min="9760" max="9760" customWidth="1" bestFit="1" width="3.0" style="1122"/>
    <col min="9761" max="9761" customWidth="1" bestFit="1" width="3.0" style="1122"/>
    <col min="9762" max="9762" customWidth="1" bestFit="1" width="3.0" style="1122"/>
    <col min="9763" max="9763" customWidth="1" bestFit="1" width="3.0" style="1122"/>
    <col min="9764" max="9764" customWidth="1" bestFit="1" width="3.0" style="1122"/>
    <col min="9765" max="9765" customWidth="1" bestFit="1" width="3.0" style="1122"/>
    <col min="9766" max="9766" customWidth="1" bestFit="1" width="3.0" style="1122"/>
    <col min="9767" max="9767" customWidth="1" bestFit="1" width="3.0" style="1122"/>
    <col min="9768" max="9768" customWidth="1" bestFit="1" width="3.0" style="1122"/>
    <col min="9769" max="9769" customWidth="1" bestFit="1" width="3.0" style="1122"/>
    <col min="9770" max="9770" customWidth="1" bestFit="1" width="3.0" style="1122"/>
    <col min="9771" max="9771" customWidth="1" bestFit="1" width="3.0" style="1122"/>
    <col min="9772" max="9772" customWidth="1" bestFit="1" width="3.0" style="1122"/>
    <col min="9773" max="9773" customWidth="1" bestFit="1" width="3.0" style="1122"/>
    <col min="9774" max="9774" customWidth="1" bestFit="1" width="3.0" style="1122"/>
    <col min="9775" max="9775" customWidth="1" bestFit="1" width="3.0" style="1122"/>
    <col min="9776" max="9776" customWidth="1" bestFit="1" width="3.0" style="1122"/>
    <col min="9777" max="9777" customWidth="1" bestFit="1" width="3.0" style="1122"/>
    <col min="9778" max="9778" customWidth="1" bestFit="1" width="3.0" style="1122"/>
    <col min="9779" max="9779" customWidth="1" bestFit="1" width="3.0" style="1122"/>
    <col min="9780" max="9780" customWidth="1" bestFit="1" width="3.0" style="1122"/>
    <col min="9781" max="9781" customWidth="1" bestFit="1" width="3.0" style="1122"/>
    <col min="9782" max="9782" customWidth="1" bestFit="1" width="3.0" style="1122"/>
    <col min="9783" max="9783" customWidth="1" bestFit="1" width="3.0" style="1122"/>
    <col min="9784" max="9784" customWidth="1" bestFit="1" width="3.0" style="1122"/>
    <col min="9785" max="9785" customWidth="1" bestFit="1" width="3.0" style="1122"/>
    <col min="9786" max="9786" customWidth="1" bestFit="1" width="3.0" style="1122"/>
    <col min="9787" max="9787" customWidth="1" bestFit="1" width="3.0" style="1122"/>
    <col min="9788" max="9788" customWidth="1" bestFit="1" width="3.0" style="1122"/>
    <col min="9789" max="9789" customWidth="1" bestFit="1" width="3.0" style="1122"/>
    <col min="9790" max="9790" customWidth="1" bestFit="1" width="3.0" style="1122"/>
    <col min="9791" max="9791" customWidth="1" bestFit="1" width="3.0" style="1122"/>
    <col min="9792" max="9792" customWidth="1" bestFit="1" width="3.0" style="1122"/>
    <col min="9793" max="9793" customWidth="1" bestFit="1" width="3.0" style="1122"/>
    <col min="9794" max="9794" customWidth="1" bestFit="1" width="3.0" style="1122"/>
    <col min="9795" max="9795" customWidth="1" bestFit="1" width="3.0" style="1122"/>
    <col min="9796" max="9796" customWidth="1" bestFit="1" width="3.0" style="1122"/>
    <col min="9797" max="9797" customWidth="1" bestFit="1" width="3.0" style="1122"/>
    <col min="9798" max="9798" customWidth="1" bestFit="1" width="3.0" style="1122"/>
    <col min="9799" max="9799" customWidth="1" bestFit="1" width="3.0" style="1122"/>
    <col min="9800" max="9800" customWidth="1" bestFit="1" width="3.0" style="1122"/>
    <col min="9801" max="9801" customWidth="1" bestFit="1" width="3.0" style="1122"/>
    <col min="9802" max="9802" customWidth="1" bestFit="1" width="3.0" style="1122"/>
    <col min="9803" max="9803" customWidth="1" bestFit="1" width="3.0" style="1122"/>
    <col min="9804" max="9804" customWidth="1" bestFit="1" width="3.0" style="1122"/>
    <col min="9805" max="9805" customWidth="1" bestFit="1" width="3.0" style="1122"/>
    <col min="9806" max="9806" customWidth="1" bestFit="1" width="3.0" style="1122"/>
    <col min="9807" max="9807" customWidth="1" bestFit="1" width="3.0" style="1122"/>
    <col min="9808" max="9808" customWidth="1" bestFit="1" width="3.0" style="1122"/>
    <col min="9809" max="9809" customWidth="1" bestFit="1" width="3.0" style="1122"/>
    <col min="9810" max="9810" customWidth="1" bestFit="1" width="3.0" style="1122"/>
    <col min="9811" max="9811" customWidth="1" bestFit="1" width="3.0" style="1122"/>
    <col min="9812" max="9812" customWidth="1" bestFit="1" width="3.0" style="1122"/>
    <col min="9813" max="9813" customWidth="1" bestFit="1" width="3.0" style="1122"/>
    <col min="9814" max="9814" customWidth="1" bestFit="1" width="3.0" style="1122"/>
    <col min="9815" max="9815" customWidth="1" bestFit="1" width="3.0" style="1122"/>
    <col min="9816" max="9816" customWidth="1" bestFit="1" width="3.0" style="1122"/>
    <col min="9817" max="9817" customWidth="1" bestFit="1" width="3.0" style="1122"/>
    <col min="9818" max="9818" customWidth="1" bestFit="1" width="3.0" style="1122"/>
    <col min="9819" max="9819" customWidth="1" bestFit="1" width="3.0" style="1122"/>
    <col min="9820" max="9820" customWidth="1" bestFit="1" width="3.0" style="1122"/>
    <col min="9821" max="9821" customWidth="1" bestFit="1" width="3.0" style="1122"/>
    <col min="9822" max="9822" customWidth="1" bestFit="1" width="3.0" style="1122"/>
    <col min="9823" max="9823" customWidth="1" bestFit="1" width="3.0" style="1122"/>
    <col min="9824" max="9824" customWidth="1" bestFit="1" width="3.0" style="1122"/>
    <col min="9825" max="9825" customWidth="1" bestFit="1" width="3.0" style="1122"/>
    <col min="9826" max="9826" customWidth="1" bestFit="1" width="3.0" style="1122"/>
    <col min="9827" max="9827" customWidth="1" bestFit="1" width="3.0" style="1122"/>
    <col min="9828" max="9828" customWidth="1" bestFit="1" width="3.0" style="1122"/>
    <col min="9829" max="9829" customWidth="1" bestFit="1" width="3.0" style="1122"/>
    <col min="9830" max="9830" customWidth="1" bestFit="1" width="3.0" style="1122"/>
    <col min="9831" max="9831" customWidth="1" bestFit="1" width="3.0" style="1122"/>
    <col min="9832" max="9832" customWidth="1" bestFit="1" width="3.0" style="1122"/>
    <col min="9833" max="9833" customWidth="1" bestFit="1" width="3.0" style="1122"/>
    <col min="9834" max="9834" customWidth="1" bestFit="1" width="3.0" style="1122"/>
    <col min="9835" max="9835" customWidth="1" bestFit="1" width="3.0" style="1122"/>
    <col min="9836" max="9836" customWidth="1" bestFit="1" width="3.0" style="1122"/>
    <col min="9837" max="9837" customWidth="1" bestFit="1" width="3.0" style="1122"/>
    <col min="9838" max="9838" customWidth="1" bestFit="1" width="3.0" style="1122"/>
    <col min="9839" max="9839" customWidth="1" bestFit="1" width="3.0" style="1122"/>
    <col min="9840" max="9840" customWidth="1" bestFit="1" width="3.0" style="1122"/>
    <col min="9841" max="9841" customWidth="1" bestFit="1" width="3.0" style="1122"/>
    <col min="9842" max="9842" customWidth="1" bestFit="1" width="3.0" style="1122"/>
    <col min="9843" max="9843" customWidth="1" bestFit="1" width="3.0" style="1122"/>
    <col min="9844" max="9844" customWidth="1" bestFit="1" width="3.0" style="1122"/>
    <col min="9845" max="9845" customWidth="1" bestFit="1" width="3.0" style="1122"/>
    <col min="9846" max="9846" customWidth="1" bestFit="1" width="3.0" style="1122"/>
    <col min="9847" max="9847" customWidth="1" bestFit="1" width="3.0" style="1122"/>
    <col min="9848" max="9848" customWidth="1" bestFit="1" width="3.0" style="1122"/>
    <col min="9849" max="9849" customWidth="1" bestFit="1" width="3.0" style="1122"/>
    <col min="9850" max="9850" customWidth="1" bestFit="1" width="3.0" style="1122"/>
    <col min="9851" max="9851" customWidth="1" bestFit="1" width="3.0" style="1122"/>
    <col min="9852" max="9852" customWidth="1" bestFit="1" width="3.0" style="1122"/>
    <col min="9853" max="9853" customWidth="1" bestFit="1" width="3.0" style="1122"/>
    <col min="9854" max="9854" customWidth="1" bestFit="1" width="3.0" style="1122"/>
    <col min="9855" max="9855" customWidth="1" bestFit="1" width="3.0" style="1122"/>
    <col min="9856" max="9856" customWidth="1" bestFit="1" width="3.0" style="1122"/>
    <col min="9857" max="9857" customWidth="1" bestFit="1" width="3.0" style="1122"/>
    <col min="9858" max="9858" customWidth="1" bestFit="1" width="3.0" style="1122"/>
    <col min="9859" max="9859" customWidth="1" bestFit="1" width="3.0" style="1122"/>
    <col min="9860" max="9860" customWidth="1" bestFit="1" width="3.0" style="1122"/>
    <col min="9861" max="9861" customWidth="1" bestFit="1" width="3.0" style="1122"/>
    <col min="9862" max="9862" customWidth="1" bestFit="1" width="3.0" style="1122"/>
    <col min="9863" max="9863" customWidth="1" bestFit="1" width="3.0" style="1122"/>
    <col min="9864" max="9864" customWidth="1" bestFit="1" width="3.0" style="1122"/>
    <col min="9865" max="9865" customWidth="1" bestFit="1" width="3.0" style="1122"/>
    <col min="9866" max="9866" customWidth="1" bestFit="1" width="3.0" style="1122"/>
    <col min="9867" max="9867" customWidth="1" bestFit="1" width="3.0" style="1122"/>
    <col min="9868" max="9868" customWidth="1" bestFit="1" width="3.0" style="1122"/>
    <col min="9869" max="9869" customWidth="1" bestFit="1" width="3.0" style="1122"/>
    <col min="9870" max="9870" customWidth="1" bestFit="1" width="3.0" style="1122"/>
    <col min="9871" max="9871" customWidth="1" bestFit="1" width="3.0" style="1122"/>
    <col min="9872" max="9872" customWidth="1" bestFit="1" width="3.0" style="1122"/>
    <col min="9873" max="9873" customWidth="1" bestFit="1" width="3.0" style="1122"/>
    <col min="9874" max="9874" customWidth="1" bestFit="1" width="3.0" style="1122"/>
    <col min="9875" max="9875" customWidth="1" bestFit="1" width="3.0" style="1122"/>
    <col min="9876" max="9876" customWidth="1" bestFit="1" width="3.0" style="1122"/>
    <col min="9877" max="9877" customWidth="1" bestFit="1" width="3.0" style="1122"/>
    <col min="9878" max="9878" customWidth="1" bestFit="1" width="3.0" style="1122"/>
    <col min="9879" max="9879" customWidth="1" bestFit="1" width="3.0" style="1122"/>
    <col min="9880" max="9880" customWidth="1" bestFit="1" width="3.0" style="1122"/>
    <col min="9881" max="9881" customWidth="1" bestFit="1" width="3.0" style="1122"/>
    <col min="9882" max="9882" customWidth="1" bestFit="1" width="3.0" style="1122"/>
    <col min="9883" max="9883" customWidth="1" bestFit="1" width="3.0" style="1122"/>
    <col min="9884" max="9884" customWidth="1" bestFit="1" width="3.0" style="1122"/>
    <col min="9885" max="9885" customWidth="1" bestFit="1" width="3.0" style="1122"/>
    <col min="9886" max="9886" customWidth="1" bestFit="1" width="3.0" style="1122"/>
    <col min="9887" max="9887" customWidth="1" bestFit="1" width="3.0" style="1122"/>
    <col min="9888" max="9888" customWidth="1" bestFit="1" width="3.0" style="1122"/>
    <col min="9889" max="9889" customWidth="1" bestFit="1" width="3.0" style="1122"/>
    <col min="9890" max="9890" customWidth="1" bestFit="1" width="3.0" style="1122"/>
    <col min="9891" max="9891" customWidth="1" bestFit="1" width="3.0" style="1122"/>
    <col min="9892" max="9892" customWidth="1" bestFit="1" width="3.0" style="1122"/>
    <col min="9893" max="9893" customWidth="1" bestFit="1" width="3.0" style="1122"/>
    <col min="9894" max="9894" customWidth="1" bestFit="1" width="3.0" style="1122"/>
    <col min="9895" max="9895" customWidth="1" bestFit="1" width="3.0" style="1122"/>
    <col min="9896" max="9896" customWidth="1" bestFit="1" width="3.0" style="1122"/>
    <col min="9897" max="9897" customWidth="1" bestFit="1" width="3.0" style="1122"/>
    <col min="9898" max="9898" customWidth="1" bestFit="1" width="3.0" style="1122"/>
    <col min="9899" max="9899" customWidth="1" bestFit="1" width="3.0" style="1122"/>
    <col min="9900" max="9900" customWidth="1" bestFit="1" width="3.0" style="1122"/>
    <col min="9901" max="9901" customWidth="1" bestFit="1" width="3.0" style="1122"/>
    <col min="9902" max="9902" customWidth="1" bestFit="1" width="3.0" style="1122"/>
    <col min="9903" max="9903" customWidth="1" bestFit="1" width="3.0" style="1122"/>
    <col min="9904" max="9904" customWidth="1" bestFit="1" width="3.0" style="1122"/>
    <col min="9905" max="9905" customWidth="1" bestFit="1" width="3.0" style="1122"/>
    <col min="9906" max="9906" customWidth="1" bestFit="1" width="3.0" style="1122"/>
    <col min="9907" max="9907" customWidth="1" bestFit="1" width="3.0" style="1122"/>
    <col min="9908" max="9908" customWidth="1" bestFit="1" width="3.0" style="1122"/>
    <col min="9909" max="9909" customWidth="1" bestFit="1" width="3.0" style="1122"/>
    <col min="9910" max="9910" customWidth="1" bestFit="1" width="3.0" style="1122"/>
    <col min="9911" max="9911" customWidth="1" bestFit="1" width="3.0" style="1122"/>
    <col min="9912" max="9912" customWidth="1" bestFit="1" width="3.0" style="1122"/>
    <col min="9913" max="9913" customWidth="1" bestFit="1" width="3.0" style="1122"/>
    <col min="9914" max="9914" customWidth="1" bestFit="1" width="3.0" style="1122"/>
    <col min="9915" max="9915" customWidth="1" bestFit="1" width="3.0" style="1122"/>
    <col min="9916" max="9916" customWidth="1" bestFit="1" width="3.0" style="1122"/>
    <col min="9917" max="9917" customWidth="1" bestFit="1" width="3.0" style="1122"/>
    <col min="9918" max="9918" customWidth="1" bestFit="1" width="3.0" style="1122"/>
    <col min="9919" max="9919" customWidth="1" bestFit="1" width="3.0" style="1122"/>
    <col min="9920" max="9920" customWidth="1" bestFit="1" width="3.0" style="1122"/>
    <col min="9921" max="9921" customWidth="1" bestFit="1" width="3.0" style="1122"/>
    <col min="9922" max="9922" customWidth="1" bestFit="1" width="3.0" style="1122"/>
    <col min="9923" max="9923" customWidth="1" bestFit="1" width="3.0" style="1122"/>
    <col min="9924" max="9924" customWidth="1" bestFit="1" width="3.0" style="1122"/>
    <col min="9925" max="9925" customWidth="1" bestFit="1" width="3.0" style="1122"/>
    <col min="9926" max="9926" customWidth="1" bestFit="1" width="3.0" style="1122"/>
    <col min="9927" max="9927" customWidth="1" bestFit="1" width="3.0" style="1122"/>
    <col min="9928" max="9928" customWidth="1" bestFit="1" width="3.0" style="1122"/>
    <col min="9929" max="9929" customWidth="1" bestFit="1" width="3.0" style="1122"/>
    <col min="9930" max="9930" customWidth="1" bestFit="1" width="3.0" style="1122"/>
    <col min="9931" max="9931" customWidth="1" bestFit="1" width="3.0" style="1122"/>
    <col min="9932" max="9932" customWidth="1" bestFit="1" width="3.0" style="1122"/>
    <col min="9933" max="9933" customWidth="1" bestFit="1" width="3.0" style="1122"/>
    <col min="9934" max="9934" customWidth="1" bestFit="1" width="3.0" style="1122"/>
    <col min="9935" max="9935" customWidth="1" bestFit="1" width="3.0" style="1122"/>
    <col min="9936" max="9936" customWidth="1" bestFit="1" width="3.0" style="1122"/>
    <col min="9937" max="9937" customWidth="1" bestFit="1" width="3.0" style="1122"/>
    <col min="9938" max="9938" customWidth="1" bestFit="1" width="3.0" style="1122"/>
    <col min="9939" max="9939" customWidth="1" bestFit="1" width="3.0" style="1122"/>
    <col min="9940" max="9940" customWidth="1" bestFit="1" width="3.0" style="1122"/>
    <col min="9941" max="9941" customWidth="1" bestFit="1" width="3.0" style="1122"/>
    <col min="9942" max="9942" customWidth="1" bestFit="1" width="3.0" style="1122"/>
    <col min="9943" max="9943" customWidth="1" bestFit="1" width="3.0" style="1122"/>
    <col min="9944" max="9944" customWidth="1" bestFit="1" width="3.0" style="1122"/>
    <col min="9945" max="9945" customWidth="1" bestFit="1" width="3.0" style="1122"/>
    <col min="9946" max="9946" customWidth="1" bestFit="1" width="3.0" style="1122"/>
    <col min="9947" max="9947" customWidth="1" bestFit="1" width="3.0" style="1122"/>
    <col min="9948" max="9948" customWidth="1" bestFit="1" width="3.0" style="1122"/>
    <col min="9949" max="9949" customWidth="1" bestFit="1" width="3.0" style="1122"/>
    <col min="9950" max="9950" customWidth="1" bestFit="1" width="3.0" style="1122"/>
    <col min="9951" max="9951" customWidth="1" bestFit="1" width="3.0" style="1122"/>
    <col min="9952" max="9952" customWidth="1" bestFit="1" width="3.0" style="1122"/>
    <col min="9953" max="9953" customWidth="1" bestFit="1" width="3.0" style="1122"/>
    <col min="9954" max="9954" customWidth="1" bestFit="1" width="3.0" style="1122"/>
    <col min="9955" max="9955" customWidth="1" bestFit="1" width="3.0" style="1122"/>
    <col min="9956" max="9956" customWidth="1" bestFit="1" width="3.0" style="1122"/>
    <col min="9957" max="9957" customWidth="1" bestFit="1" width="3.0" style="1122"/>
    <col min="9958" max="9958" customWidth="1" bestFit="1" width="3.0" style="1122"/>
    <col min="9959" max="9959" customWidth="1" bestFit="1" width="3.0" style="1122"/>
    <col min="9960" max="9960" customWidth="1" bestFit="1" width="3.0" style="1122"/>
    <col min="9961" max="9961" customWidth="1" bestFit="1" width="3.0" style="1122"/>
    <col min="9962" max="9962" customWidth="1" bestFit="1" width="3.0" style="1122"/>
    <col min="9963" max="9963" customWidth="1" bestFit="1" width="3.0" style="1122"/>
    <col min="9964" max="9964" customWidth="1" bestFit="1" width="3.0" style="1122"/>
    <col min="9965" max="9965" customWidth="1" bestFit="1" width="3.0" style="1122"/>
    <col min="9966" max="9966" customWidth="1" bestFit="1" width="3.0" style="1122"/>
    <col min="9967" max="9967" customWidth="1" bestFit="1" width="3.0" style="1122"/>
    <col min="9968" max="9968" customWidth="1" bestFit="1" width="3.0" style="1122"/>
    <col min="9969" max="9969" customWidth="1" bestFit="1" width="3.0" style="1122"/>
    <col min="9970" max="9970" customWidth="1" bestFit="1" width="3.0" style="1122"/>
    <col min="9971" max="9971" customWidth="1" bestFit="1" width="3.0" style="1122"/>
    <col min="9972" max="9972" customWidth="1" bestFit="1" width="3.0" style="1122"/>
    <col min="9973" max="9973" customWidth="1" bestFit="1" width="3.0" style="1122"/>
    <col min="9974" max="9974" customWidth="1" bestFit="1" width="3.0" style="1122"/>
    <col min="9975" max="9975" customWidth="1" bestFit="1" width="3.0" style="1122"/>
    <col min="9976" max="9976" customWidth="1" bestFit="1" width="3.0" style="1122"/>
    <col min="9977" max="9977" customWidth="1" bestFit="1" width="3.0" style="1122"/>
    <col min="9978" max="9978" customWidth="1" bestFit="1" width="3.0" style="1122"/>
    <col min="9979" max="9979" customWidth="1" bestFit="1" width="3.0" style="1122"/>
    <col min="9980" max="9980" customWidth="1" bestFit="1" width="3.0" style="1122"/>
    <col min="9981" max="9981" customWidth="1" bestFit="1" width="3.0" style="1122"/>
    <col min="9982" max="9982" customWidth="1" bestFit="1" width="3.0" style="1122"/>
    <col min="9983" max="9983" customWidth="1" bestFit="1" width="3.0" style="1122"/>
    <col min="9984" max="9984" customWidth="1" bestFit="1" width="3.0" style="1122"/>
    <col min="9985" max="9985" customWidth="1" bestFit="1" width="3.0" style="1122"/>
    <col min="9986" max="9986" customWidth="1" bestFit="1" width="3.0" style="1122"/>
    <col min="9987" max="9987" customWidth="1" bestFit="1" width="3.0" style="1122"/>
    <col min="9988" max="9988" customWidth="1" bestFit="1" width="3.0" style="1122"/>
    <col min="9989" max="9989" customWidth="1" bestFit="1" width="3.0" style="1122"/>
    <col min="9990" max="9990" customWidth="1" bestFit="1" width="3.0" style="1122"/>
    <col min="9991" max="9991" customWidth="1" bestFit="1" width="3.0" style="1122"/>
    <col min="9992" max="9992" customWidth="1" bestFit="1" width="3.0" style="1122"/>
    <col min="9993" max="9993" customWidth="1" bestFit="1" width="3.0" style="1122"/>
    <col min="9994" max="9994" customWidth="1" bestFit="1" width="3.0" style="1122"/>
    <col min="9995" max="9995" customWidth="1" bestFit="1" width="3.0" style="1122"/>
    <col min="9996" max="9996" customWidth="1" bestFit="1" width="3.0" style="1122"/>
    <col min="9997" max="9997" customWidth="1" bestFit="1" width="3.0" style="1122"/>
    <col min="9998" max="9998" customWidth="1" bestFit="1" width="3.0" style="1122"/>
    <col min="9999" max="9999" customWidth="1" bestFit="1" width="3.0" style="1122"/>
    <col min="10000" max="10000" customWidth="1" bestFit="1" width="3.0" style="1122"/>
    <col min="10001" max="10001" customWidth="1" bestFit="1" width="3.0" style="1122"/>
    <col min="10002" max="10002" customWidth="1" bestFit="1" width="3.0" style="1122"/>
    <col min="10003" max="10003" customWidth="1" bestFit="1" width="3.0" style="1122"/>
    <col min="10004" max="10004" customWidth="1" bestFit="1" width="3.0" style="1122"/>
    <col min="10005" max="10005" customWidth="1" bestFit="1" width="3.0" style="1122"/>
    <col min="10006" max="10006" customWidth="1" bestFit="1" width="3.0" style="1122"/>
    <col min="10007" max="10007" customWidth="1" bestFit="1" width="3.0" style="1122"/>
    <col min="10008" max="10008" customWidth="1" bestFit="1" width="3.0" style="1122"/>
    <col min="10009" max="10009" customWidth="1" bestFit="1" width="3.0" style="1122"/>
    <col min="10010" max="10010" customWidth="1" bestFit="1" width="3.0" style="1122"/>
    <col min="10011" max="10011" customWidth="1" bestFit="1" width="3.0" style="1122"/>
    <col min="10012" max="10012" customWidth="1" bestFit="1" width="3.0" style="1122"/>
    <col min="10013" max="10013" customWidth="1" bestFit="1" width="3.0" style="1122"/>
    <col min="10014" max="10014" customWidth="1" bestFit="1" width="3.0" style="1122"/>
    <col min="10015" max="10015" customWidth="1" bestFit="1" width="3.0" style="1122"/>
    <col min="10016" max="10016" customWidth="1" bestFit="1" width="3.0" style="1122"/>
    <col min="10017" max="10017" customWidth="1" bestFit="1" width="3.0" style="1122"/>
    <col min="10018" max="10018" customWidth="1" bestFit="1" width="3.0" style="1122"/>
    <col min="10019" max="10019" customWidth="1" bestFit="1" width="3.0" style="1122"/>
    <col min="10020" max="10020" customWidth="1" bestFit="1" width="3.0" style="1122"/>
    <col min="10021" max="10021" customWidth="1" bestFit="1" width="3.0" style="1122"/>
    <col min="10022" max="10022" customWidth="1" bestFit="1" width="3.0" style="1122"/>
    <col min="10023" max="10023" customWidth="1" bestFit="1" width="3.0" style="1122"/>
    <col min="10024" max="10024" customWidth="1" bestFit="1" width="3.0" style="1122"/>
    <col min="10025" max="10025" customWidth="1" bestFit="1" width="3.0" style="1122"/>
    <col min="10026" max="10026" customWidth="1" bestFit="1" width="3.0" style="1122"/>
    <col min="10027" max="10027" customWidth="1" bestFit="1" width="3.0" style="1122"/>
    <col min="10028" max="10028" customWidth="1" bestFit="1" width="3.0" style="1122"/>
    <col min="10029" max="10029" customWidth="1" bestFit="1" width="3.0" style="1122"/>
    <col min="10030" max="10030" customWidth="1" bestFit="1" width="3.0" style="1122"/>
    <col min="10031" max="10031" customWidth="1" bestFit="1" width="3.0" style="1122"/>
    <col min="10032" max="10032" customWidth="1" bestFit="1" width="3.0" style="1122"/>
    <col min="10033" max="10033" customWidth="1" bestFit="1" width="3.0" style="1122"/>
    <col min="10034" max="10034" customWidth="1" bestFit="1" width="3.0" style="1122"/>
    <col min="10035" max="10035" customWidth="1" bestFit="1" width="3.0" style="1122"/>
    <col min="10036" max="10036" customWidth="1" bestFit="1" width="3.0" style="1122"/>
    <col min="10037" max="10037" customWidth="1" bestFit="1" width="3.0" style="1122"/>
    <col min="10038" max="10038" customWidth="1" bestFit="1" width="3.0" style="1122"/>
    <col min="10039" max="10039" customWidth="1" bestFit="1" width="3.0" style="1122"/>
    <col min="10040" max="10040" customWidth="1" bestFit="1" width="3.0" style="1122"/>
    <col min="10041" max="10041" customWidth="1" bestFit="1" width="3.0" style="1122"/>
    <col min="10042" max="10042" customWidth="1" bestFit="1" width="3.0" style="1122"/>
    <col min="10043" max="10043" customWidth="1" bestFit="1" width="3.0" style="1122"/>
    <col min="10044" max="10044" customWidth="1" bestFit="1" width="3.0" style="1122"/>
    <col min="10045" max="10045" customWidth="1" bestFit="1" width="3.0" style="1122"/>
    <col min="10046" max="10046" customWidth="1" bestFit="1" width="3.0" style="1122"/>
    <col min="10047" max="10047" customWidth="1" bestFit="1" width="3.0" style="1122"/>
    <col min="10048" max="10048" customWidth="1" bestFit="1" width="3.0" style="1122"/>
    <col min="10049" max="10049" customWidth="1" bestFit="1" width="3.0" style="1122"/>
    <col min="10050" max="10050" customWidth="1" bestFit="1" width="3.0" style="1122"/>
    <col min="10051" max="10051" customWidth="1" bestFit="1" width="3.0" style="1122"/>
    <col min="10052" max="10052" customWidth="1" bestFit="1" width="3.0" style="1122"/>
    <col min="10053" max="10053" customWidth="1" bestFit="1" width="3.0" style="1122"/>
    <col min="10054" max="10054" customWidth="1" bestFit="1" width="3.0" style="1122"/>
    <col min="10055" max="10055" customWidth="1" bestFit="1" width="3.0" style="1122"/>
    <col min="10056" max="10056" customWidth="1" bestFit="1" width="3.0" style="1122"/>
    <col min="10057" max="10057" customWidth="1" bestFit="1" width="3.0" style="1122"/>
    <col min="10058" max="10058" customWidth="1" bestFit="1" width="3.0" style="1122"/>
    <col min="10059" max="10059" customWidth="1" bestFit="1" width="3.0" style="1122"/>
    <col min="10060" max="10060" customWidth="1" bestFit="1" width="3.0" style="1122"/>
    <col min="10061" max="10061" customWidth="1" bestFit="1" width="3.0" style="1122"/>
    <col min="10062" max="10062" customWidth="1" bestFit="1" width="3.0" style="1122"/>
    <col min="10063" max="10063" customWidth="1" bestFit="1" width="3.0" style="1122"/>
    <col min="10064" max="10064" customWidth="1" bestFit="1" width="3.0" style="1122"/>
    <col min="10065" max="10065" customWidth="1" bestFit="1" width="3.0" style="1122"/>
    <col min="10066" max="10066" customWidth="1" bestFit="1" width="3.0" style="1122"/>
    <col min="10067" max="10067" customWidth="1" bestFit="1" width="3.0" style="1122"/>
    <col min="10068" max="10068" customWidth="1" bestFit="1" width="3.0" style="1122"/>
    <col min="10069" max="10069" customWidth="1" bestFit="1" width="3.0" style="1122"/>
    <col min="10070" max="10070" customWidth="1" bestFit="1" width="3.0" style="1122"/>
    <col min="10071" max="10071" customWidth="1" bestFit="1" width="3.0" style="1122"/>
    <col min="10072" max="10072" customWidth="1" bestFit="1" width="3.0" style="1122"/>
    <col min="10073" max="10073" customWidth="1" bestFit="1" width="3.0" style="1122"/>
    <col min="10074" max="10074" customWidth="1" bestFit="1" width="3.0" style="1122"/>
    <col min="10075" max="10075" customWidth="1" bestFit="1" width="3.0" style="1122"/>
    <col min="10076" max="10076" customWidth="1" bestFit="1" width="3.0" style="1122"/>
    <col min="10077" max="10077" customWidth="1" bestFit="1" width="3.0" style="1122"/>
    <col min="10078" max="10078" customWidth="1" bestFit="1" width="3.0" style="1122"/>
    <col min="10079" max="10079" customWidth="1" bestFit="1" width="3.0" style="1122"/>
    <col min="10080" max="10080" customWidth="1" bestFit="1" width="3.0" style="1122"/>
    <col min="10081" max="10081" customWidth="1" bestFit="1" width="3.0" style="1122"/>
    <col min="10082" max="10082" customWidth="1" bestFit="1" width="3.0" style="1122"/>
    <col min="10083" max="10083" customWidth="1" bestFit="1" width="3.0" style="1122"/>
    <col min="10084" max="10084" customWidth="1" bestFit="1" width="3.0" style="1122"/>
    <col min="10085" max="10085" customWidth="1" bestFit="1" width="3.0" style="1122"/>
    <col min="10086" max="10086" customWidth="1" bestFit="1" width="3.0" style="1122"/>
    <col min="10087" max="10087" customWidth="1" bestFit="1" width="3.0" style="1122"/>
    <col min="10088" max="10088" customWidth="1" bestFit="1" width="3.0" style="1122"/>
    <col min="10089" max="10089" customWidth="1" bestFit="1" width="3.0" style="1122"/>
    <col min="10090" max="10090" customWidth="1" bestFit="1" width="3.0" style="1122"/>
    <col min="10091" max="10091" customWidth="1" bestFit="1" width="3.0" style="1122"/>
    <col min="10092" max="10092" customWidth="1" bestFit="1" width="3.0" style="1122"/>
    <col min="10093" max="10093" customWidth="1" bestFit="1" width="3.0" style="1122"/>
    <col min="10094" max="10094" customWidth="1" bestFit="1" width="3.0" style="1122"/>
    <col min="10095" max="10095" customWidth="1" bestFit="1" width="3.0" style="1122"/>
    <col min="10096" max="10096" customWidth="1" bestFit="1" width="3.0" style="1122"/>
    <col min="10097" max="10097" customWidth="1" bestFit="1" width="3.0" style="1122"/>
    <col min="10098" max="10098" customWidth="1" bestFit="1" width="3.0" style="1122"/>
    <col min="10099" max="10099" customWidth="1" bestFit="1" width="3.0" style="1122"/>
    <col min="10100" max="10100" customWidth="1" bestFit="1" width="3.0" style="1122"/>
    <col min="10101" max="10101" customWidth="1" bestFit="1" width="3.0" style="1122"/>
    <col min="10102" max="10102" customWidth="1" bestFit="1" width="3.0" style="1122"/>
    <col min="10103" max="10103" customWidth="1" bestFit="1" width="3.0" style="1122"/>
    <col min="10104" max="10104" customWidth="1" bestFit="1" width="3.0" style="1122"/>
    <col min="10105" max="10105" customWidth="1" bestFit="1" width="3.0" style="1122"/>
    <col min="10106" max="10106" customWidth="1" bestFit="1" width="3.0" style="1122"/>
    <col min="10107" max="10107" customWidth="1" bestFit="1" width="3.0" style="1122"/>
    <col min="10108" max="10108" customWidth="1" bestFit="1" width="3.0" style="1122"/>
    <col min="10109" max="10109" customWidth="1" bestFit="1" width="3.0" style="1122"/>
    <col min="10110" max="10110" customWidth="1" bestFit="1" width="3.0" style="1122"/>
    <col min="10111" max="10111" customWidth="1" bestFit="1" width="3.0" style="1122"/>
    <col min="10112" max="10112" customWidth="1" bestFit="1" width="3.0" style="1122"/>
    <col min="10113" max="10113" customWidth="1" bestFit="1" width="3.0" style="1122"/>
    <col min="10114" max="10114" customWidth="1" bestFit="1" width="3.0" style="1122"/>
    <col min="10115" max="10115" customWidth="1" bestFit="1" width="3.0" style="1122"/>
    <col min="10116" max="10116" customWidth="1" bestFit="1" width="3.0" style="1122"/>
    <col min="10117" max="10117" customWidth="1" bestFit="1" width="3.0" style="1122"/>
    <col min="10118" max="10118" customWidth="1" bestFit="1" width="3.0" style="1122"/>
    <col min="10119" max="10119" customWidth="1" bestFit="1" width="3.0" style="1122"/>
    <col min="10120" max="10120" customWidth="1" bestFit="1" width="3.0" style="1122"/>
    <col min="10121" max="10121" customWidth="1" bestFit="1" width="3.0" style="1122"/>
    <col min="10122" max="10122" customWidth="1" bestFit="1" width="3.0" style="1122"/>
    <col min="10123" max="10123" customWidth="1" bestFit="1" width="3.0" style="1122"/>
    <col min="10124" max="10124" customWidth="1" bestFit="1" width="3.0" style="1122"/>
    <col min="10125" max="10125" customWidth="1" bestFit="1" width="3.0" style="1122"/>
    <col min="10126" max="10126" customWidth="1" bestFit="1" width="3.0" style="1122"/>
    <col min="10127" max="10127" customWidth="1" bestFit="1" width="3.0" style="1122"/>
    <col min="10128" max="10128" customWidth="1" bestFit="1" width="3.0" style="1122"/>
    <col min="10129" max="10129" customWidth="1" bestFit="1" width="3.0" style="1122"/>
    <col min="10130" max="10130" customWidth="1" bestFit="1" width="3.0" style="1122"/>
    <col min="10131" max="10131" customWidth="1" bestFit="1" width="3.0" style="1122"/>
    <col min="10132" max="10132" customWidth="1" bestFit="1" width="3.0" style="1122"/>
    <col min="10133" max="10133" customWidth="1" bestFit="1" width="3.0" style="1122"/>
    <col min="10134" max="10134" customWidth="1" bestFit="1" width="3.0" style="1122"/>
    <col min="10135" max="10135" customWidth="1" bestFit="1" width="3.0" style="1122"/>
    <col min="10136" max="10136" customWidth="1" bestFit="1" width="3.0" style="1122"/>
    <col min="10137" max="10137" customWidth="1" bestFit="1" width="3.0" style="1122"/>
    <col min="10138" max="10138" customWidth="1" bestFit="1" width="3.0" style="1122"/>
    <col min="10139" max="10139" customWidth="1" bestFit="1" width="3.0" style="1122"/>
    <col min="10140" max="10140" customWidth="1" bestFit="1" width="3.0" style="1122"/>
    <col min="10141" max="10141" customWidth="1" bestFit="1" width="3.0" style="1122"/>
    <col min="10142" max="10142" customWidth="1" bestFit="1" width="3.0" style="1122"/>
    <col min="10143" max="10143" customWidth="1" bestFit="1" width="3.0" style="1122"/>
    <col min="10144" max="10144" customWidth="1" bestFit="1" width="3.0" style="1122"/>
    <col min="10145" max="10145" customWidth="1" bestFit="1" width="3.0" style="1122"/>
    <col min="10146" max="10146" customWidth="1" bestFit="1" width="3.0" style="1122"/>
    <col min="10147" max="10147" customWidth="1" bestFit="1" width="3.0" style="1122"/>
    <col min="10148" max="10148" customWidth="1" bestFit="1" width="3.0" style="1122"/>
    <col min="10149" max="10149" customWidth="1" bestFit="1" width="3.0" style="1122"/>
    <col min="10150" max="10150" customWidth="1" bestFit="1" width="3.0" style="1122"/>
    <col min="10151" max="10151" customWidth="1" bestFit="1" width="3.0" style="1122"/>
    <col min="10152" max="10152" customWidth="1" bestFit="1" width="3.0" style="1122"/>
    <col min="10153" max="10153" customWidth="1" bestFit="1" width="3.0" style="1122"/>
    <col min="10154" max="10154" customWidth="1" bestFit="1" width="3.0" style="1122"/>
    <col min="10155" max="10155" customWidth="1" bestFit="1" width="3.0" style="1122"/>
    <col min="10156" max="10156" customWidth="1" bestFit="1" width="3.0" style="1122"/>
    <col min="10157" max="10157" customWidth="1" bestFit="1" width="3.0" style="1122"/>
    <col min="10158" max="10158" customWidth="1" bestFit="1" width="3.0" style="1122"/>
    <col min="10159" max="10159" customWidth="1" bestFit="1" width="3.0" style="1122"/>
    <col min="10160" max="10160" customWidth="1" bestFit="1" width="3.0" style="1122"/>
    <col min="10161" max="10161" customWidth="1" bestFit="1" width="3.0" style="1122"/>
    <col min="10162" max="10162" customWidth="1" bestFit="1" width="3.0" style="1122"/>
    <col min="10163" max="10163" customWidth="1" bestFit="1" width="3.0" style="1122"/>
    <col min="10164" max="10164" customWidth="1" bestFit="1" width="3.0" style="1122"/>
    <col min="10165" max="10165" customWidth="1" bestFit="1" width="3.0" style="1122"/>
    <col min="10166" max="10166" customWidth="1" bestFit="1" width="3.0" style="1122"/>
    <col min="10167" max="10167" customWidth="1" bestFit="1" width="3.0" style="1122"/>
    <col min="10168" max="10168" customWidth="1" bestFit="1" width="3.0" style="1122"/>
    <col min="10169" max="10169" customWidth="1" bestFit="1" width="3.0" style="1122"/>
    <col min="10170" max="10170" customWidth="1" bestFit="1" width="3.0" style="1122"/>
    <col min="10171" max="10171" customWidth="1" bestFit="1" width="3.0" style="1122"/>
    <col min="10172" max="10172" customWidth="1" bestFit="1" width="3.0" style="1122"/>
    <col min="10173" max="10173" customWidth="1" bestFit="1" width="3.0" style="1122"/>
    <col min="10174" max="10174" customWidth="1" bestFit="1" width="3.0" style="1122"/>
    <col min="10175" max="10175" customWidth="1" bestFit="1" width="3.0" style="1122"/>
    <col min="10176" max="10176" customWidth="1" bestFit="1" width="3.0" style="1122"/>
    <col min="10177" max="10177" customWidth="1" bestFit="1" width="3.0" style="1122"/>
    <col min="10178" max="10178" customWidth="1" bestFit="1" width="3.0" style="1122"/>
    <col min="10179" max="10179" customWidth="1" bestFit="1" width="3.0" style="1122"/>
    <col min="10180" max="10180" customWidth="1" bestFit="1" width="3.0" style="1122"/>
    <col min="10181" max="10181" customWidth="1" bestFit="1" width="3.0" style="1122"/>
    <col min="10182" max="10182" customWidth="1" bestFit="1" width="3.0" style="1122"/>
    <col min="10183" max="10183" customWidth="1" bestFit="1" width="3.0" style="1122"/>
    <col min="10184" max="10184" customWidth="1" bestFit="1" width="3.0" style="1122"/>
    <col min="10185" max="10185" customWidth="1" bestFit="1" width="3.0" style="1122"/>
    <col min="10186" max="10186" customWidth="1" bestFit="1" width="3.0" style="1122"/>
    <col min="10187" max="10187" customWidth="1" bestFit="1" width="3.0" style="1122"/>
    <col min="10188" max="10188" customWidth="1" bestFit="1" width="3.0" style="1122"/>
    <col min="10189" max="10189" customWidth="1" bestFit="1" width="3.0" style="1122"/>
    <col min="10190" max="10190" customWidth="1" bestFit="1" width="3.0" style="1122"/>
    <col min="10191" max="10191" customWidth="1" bestFit="1" width="3.0" style="1122"/>
    <col min="10192" max="10192" customWidth="1" bestFit="1" width="3.0" style="1122"/>
    <col min="10193" max="10193" customWidth="1" bestFit="1" width="3.0" style="1122"/>
    <col min="10194" max="10194" customWidth="1" bestFit="1" width="3.0" style="1122"/>
    <col min="10195" max="10195" customWidth="1" bestFit="1" width="3.0" style="1122"/>
    <col min="10196" max="10196" customWidth="1" bestFit="1" width="3.0" style="1122"/>
    <col min="10197" max="10197" customWidth="1" bestFit="1" width="3.0" style="1122"/>
    <col min="10198" max="10198" customWidth="1" bestFit="1" width="3.0" style="1122"/>
    <col min="10199" max="10199" customWidth="1" bestFit="1" width="3.0" style="1122"/>
    <col min="10200" max="10200" customWidth="1" bestFit="1" width="3.0" style="1122"/>
    <col min="10201" max="10201" customWidth="1" bestFit="1" width="3.0" style="1122"/>
    <col min="10202" max="10202" customWidth="1" bestFit="1" width="3.0" style="1122"/>
    <col min="10203" max="10203" customWidth="1" bestFit="1" width="3.0" style="1122"/>
    <col min="10204" max="10204" customWidth="1" bestFit="1" width="3.0" style="1122"/>
    <col min="10205" max="10205" customWidth="1" bestFit="1" width="3.0" style="1122"/>
    <col min="10206" max="10206" customWidth="1" bestFit="1" width="3.0" style="1122"/>
    <col min="10207" max="10207" customWidth="1" bestFit="1" width="3.0" style="1122"/>
    <col min="10208" max="10208" customWidth="1" bestFit="1" width="3.0" style="1122"/>
    <col min="10209" max="10209" customWidth="1" bestFit="1" width="3.0" style="1122"/>
    <col min="10210" max="10210" customWidth="1" bestFit="1" width="3.0" style="1122"/>
    <col min="10211" max="10211" customWidth="1" bestFit="1" width="3.0" style="1122"/>
    <col min="10212" max="10212" customWidth="1" bestFit="1" width="3.0" style="1122"/>
    <col min="10213" max="10213" customWidth="1" bestFit="1" width="3.0" style="1122"/>
    <col min="10214" max="10214" customWidth="1" bestFit="1" width="3.0" style="1122"/>
    <col min="10215" max="10215" customWidth="1" bestFit="1" width="3.0" style="1122"/>
    <col min="10216" max="10216" customWidth="1" bestFit="1" width="3.0" style="1122"/>
    <col min="10217" max="10217" customWidth="1" bestFit="1" width="3.0" style="1122"/>
    <col min="10218" max="10218" customWidth="1" bestFit="1" width="3.0" style="1122"/>
    <col min="10219" max="10219" customWidth="1" bestFit="1" width="3.0" style="1122"/>
    <col min="10220" max="10220" customWidth="1" bestFit="1" width="3.0" style="1122"/>
    <col min="10221" max="10221" customWidth="1" bestFit="1" width="3.0" style="1122"/>
    <col min="10222" max="10222" customWidth="1" bestFit="1" width="3.0" style="1122"/>
    <col min="10223" max="10223" customWidth="1" bestFit="1" width="3.0" style="1122"/>
    <col min="10224" max="10224" customWidth="1" bestFit="1" width="3.0" style="1122"/>
    <col min="10225" max="10225" customWidth="1" bestFit="1" width="3.0" style="1122"/>
    <col min="10226" max="10226" customWidth="1" bestFit="1" width="3.0" style="1122"/>
    <col min="10227" max="10227" customWidth="1" bestFit="1" width="3.0" style="1122"/>
    <col min="10228" max="10228" customWidth="1" bestFit="1" width="3.0" style="1122"/>
    <col min="10229" max="10229" customWidth="1" bestFit="1" width="3.0" style="1122"/>
    <col min="10230" max="10230" customWidth="1" bestFit="1" width="3.0" style="1122"/>
    <col min="10231" max="10231" customWidth="1" bestFit="1" width="3.0" style="1122"/>
    <col min="10232" max="10232" customWidth="1" bestFit="1" width="3.0" style="1122"/>
    <col min="10233" max="10233" customWidth="1" bestFit="1" width="3.0" style="1122"/>
    <col min="10234" max="10234" customWidth="1" bestFit="1" width="3.0" style="1122"/>
    <col min="10235" max="10235" customWidth="1" bestFit="1" width="3.0" style="1122"/>
    <col min="10236" max="10236" customWidth="1" bestFit="1" width="3.0" style="1122"/>
    <col min="10237" max="10237" customWidth="1" bestFit="1" width="3.0" style="1122"/>
    <col min="10238" max="10238" customWidth="1" bestFit="1" width="3.0" style="1122"/>
    <col min="10239" max="10239" customWidth="1" bestFit="1" width="3.0" style="1122"/>
    <col min="10240" max="10240" customWidth="1" bestFit="1" width="3.0" style="1122"/>
    <col min="10241" max="10241" customWidth="1" bestFit="1" width="3.0" style="1122"/>
    <col min="10242" max="10242" customWidth="1" bestFit="1" width="3.0" style="1122"/>
    <col min="10243" max="10243" customWidth="1" bestFit="1" width="3.0" style="1122"/>
    <col min="10244" max="10244" customWidth="1" bestFit="1" width="3.0" style="1122"/>
    <col min="10245" max="10245" customWidth="1" bestFit="1" width="3.0" style="1122"/>
    <col min="10246" max="10246" customWidth="1" bestFit="1" width="3.0" style="1122"/>
    <col min="10247" max="10247" customWidth="1" bestFit="1" width="3.0" style="1122"/>
    <col min="10248" max="10248" customWidth="1" bestFit="1" width="3.0" style="1122"/>
    <col min="10249" max="10249" customWidth="1" bestFit="1" width="3.0" style="1122"/>
    <col min="10250" max="10250" customWidth="1" bestFit="1" width="3.0" style="1122"/>
    <col min="10251" max="10251" customWidth="1" bestFit="1" width="3.0" style="1122"/>
    <col min="10252" max="10252" customWidth="1" bestFit="1" width="3.0" style="1122"/>
    <col min="10253" max="10253" customWidth="1" bestFit="1" width="3.0" style="1122"/>
    <col min="10254" max="10254" customWidth="1" bestFit="1" width="3.0" style="1122"/>
    <col min="10255" max="10255" customWidth="1" bestFit="1" width="3.0" style="1122"/>
    <col min="10256" max="10256" customWidth="1" bestFit="1" width="3.0" style="1122"/>
    <col min="10257" max="10257" customWidth="1" bestFit="1" width="3.0" style="1122"/>
    <col min="10258" max="10258" customWidth="1" bestFit="1" width="3.0" style="1122"/>
    <col min="10259" max="10259" customWidth="1" bestFit="1" width="3.0" style="1122"/>
    <col min="10260" max="10260" customWidth="1" bestFit="1" width="3.0" style="1122"/>
    <col min="10261" max="10261" customWidth="1" bestFit="1" width="3.0" style="1122"/>
    <col min="10262" max="10262" customWidth="1" bestFit="1" width="3.0" style="1122"/>
    <col min="10263" max="10263" customWidth="1" bestFit="1" width="3.0" style="1122"/>
    <col min="10264" max="10264" customWidth="1" bestFit="1" width="3.0" style="1122"/>
    <col min="10265" max="10265" customWidth="1" bestFit="1" width="3.0" style="1122"/>
    <col min="10266" max="10266" customWidth="1" bestFit="1" width="3.0" style="1122"/>
    <col min="10267" max="10267" customWidth="1" bestFit="1" width="3.0" style="1122"/>
    <col min="10268" max="10268" customWidth="1" bestFit="1" width="3.0" style="1122"/>
    <col min="10269" max="10269" customWidth="1" bestFit="1" width="3.0" style="1122"/>
    <col min="10270" max="10270" customWidth="1" bestFit="1" width="3.0" style="1122"/>
    <col min="10271" max="10271" customWidth="1" bestFit="1" width="3.0" style="1122"/>
    <col min="10272" max="10272" customWidth="1" bestFit="1" width="3.0" style="1122"/>
    <col min="10273" max="10273" customWidth="1" bestFit="1" width="3.0" style="1122"/>
    <col min="10274" max="10274" customWidth="1" bestFit="1" width="3.0" style="1122"/>
    <col min="10275" max="10275" customWidth="1" bestFit="1" width="3.0" style="1122"/>
    <col min="10276" max="10276" customWidth="1" bestFit="1" width="3.0" style="1122"/>
    <col min="10277" max="10277" customWidth="1" bestFit="1" width="3.0" style="1122"/>
    <col min="10278" max="10278" customWidth="1" bestFit="1" width="3.0" style="1122"/>
    <col min="10279" max="10279" customWidth="1" bestFit="1" width="3.0" style="1122"/>
    <col min="10280" max="10280" customWidth="1" bestFit="1" width="3.0" style="1122"/>
    <col min="10281" max="10281" customWidth="1" bestFit="1" width="3.0" style="1122"/>
    <col min="10282" max="10282" customWidth="1" bestFit="1" width="3.0" style="1122"/>
    <col min="10283" max="10283" customWidth="1" bestFit="1" width="3.0" style="1122"/>
    <col min="10284" max="10284" customWidth="1" bestFit="1" width="3.0" style="1122"/>
    <col min="10285" max="10285" customWidth="1" bestFit="1" width="3.0" style="1122"/>
    <col min="10286" max="10286" customWidth="1" bestFit="1" width="3.0" style="1122"/>
    <col min="10287" max="10287" customWidth="1" bestFit="1" width="3.0" style="1122"/>
    <col min="10288" max="10288" customWidth="1" bestFit="1" width="3.0" style="1122"/>
    <col min="10289" max="10289" customWidth="1" bestFit="1" width="3.0" style="1122"/>
    <col min="10290" max="10290" customWidth="1" bestFit="1" width="3.0" style="1122"/>
    <col min="10291" max="10291" customWidth="1" bestFit="1" width="3.0" style="1122"/>
    <col min="10292" max="10292" customWidth="1" bestFit="1" width="3.0" style="1122"/>
    <col min="10293" max="10293" customWidth="1" bestFit="1" width="3.0" style="1122"/>
    <col min="10294" max="10294" customWidth="1" bestFit="1" width="3.0" style="1122"/>
    <col min="10295" max="10295" customWidth="1" bestFit="1" width="3.0" style="1122"/>
    <col min="10296" max="10296" customWidth="1" bestFit="1" width="3.0" style="1122"/>
    <col min="10297" max="10297" customWidth="1" bestFit="1" width="3.0" style="1122"/>
    <col min="10298" max="10298" customWidth="1" bestFit="1" width="3.0" style="1122"/>
    <col min="10299" max="10299" customWidth="1" bestFit="1" width="3.0" style="1122"/>
    <col min="10300" max="10300" customWidth="1" bestFit="1" width="3.0" style="1122"/>
    <col min="10301" max="10301" customWidth="1" bestFit="1" width="3.0" style="1122"/>
    <col min="10302" max="10302" customWidth="1" bestFit="1" width="3.0" style="1122"/>
    <col min="10303" max="10303" customWidth="1" bestFit="1" width="3.0" style="1122"/>
    <col min="10304" max="10304" customWidth="1" bestFit="1" width="3.0" style="1122"/>
    <col min="10305" max="10305" customWidth="1" bestFit="1" width="3.0" style="1122"/>
    <col min="10306" max="10306" customWidth="1" bestFit="1" width="3.0" style="1122"/>
    <col min="10307" max="10307" customWidth="1" bestFit="1" width="3.0" style="1122"/>
    <col min="10308" max="10308" customWidth="1" bestFit="1" width="3.0" style="1122"/>
    <col min="10309" max="10309" customWidth="1" bestFit="1" width="3.0" style="1122"/>
    <col min="10310" max="10310" customWidth="1" bestFit="1" width="3.0" style="1122"/>
    <col min="10311" max="10311" customWidth="1" bestFit="1" width="3.0" style="1122"/>
    <col min="10312" max="10312" customWidth="1" bestFit="1" width="3.0" style="1122"/>
    <col min="10313" max="10313" customWidth="1" bestFit="1" width="3.0" style="1122"/>
    <col min="10314" max="10314" customWidth="1" bestFit="1" width="3.0" style="1122"/>
    <col min="10315" max="10315" customWidth="1" bestFit="1" width="3.0" style="1122"/>
    <col min="10316" max="10316" customWidth="1" bestFit="1" width="3.0" style="1122"/>
    <col min="10317" max="10317" customWidth="1" bestFit="1" width="3.0" style="1122"/>
    <col min="10318" max="10318" customWidth="1" bestFit="1" width="3.0" style="1122"/>
    <col min="10319" max="10319" customWidth="1" bestFit="1" width="3.0" style="1122"/>
    <col min="10320" max="10320" customWidth="1" bestFit="1" width="3.0" style="1122"/>
    <col min="10321" max="10321" customWidth="1" bestFit="1" width="3.0" style="1122"/>
    <col min="10322" max="10322" customWidth="1" bestFit="1" width="3.0" style="1122"/>
    <col min="10323" max="10323" customWidth="1" bestFit="1" width="3.0" style="1122"/>
    <col min="10324" max="10324" customWidth="1" bestFit="1" width="3.0" style="1122"/>
    <col min="10325" max="10325" customWidth="1" bestFit="1" width="3.0" style="1122"/>
    <col min="10326" max="10326" customWidth="1" bestFit="1" width="3.0" style="1122"/>
    <col min="10327" max="10327" customWidth="1" bestFit="1" width="3.0" style="1122"/>
    <col min="10328" max="10328" customWidth="1" bestFit="1" width="3.0" style="1122"/>
    <col min="10329" max="10329" customWidth="1" bestFit="1" width="3.0" style="1122"/>
    <col min="10330" max="10330" customWidth="1" bestFit="1" width="3.0" style="1122"/>
    <col min="10331" max="10331" customWidth="1" bestFit="1" width="3.0" style="1122"/>
    <col min="10332" max="10332" customWidth="1" bestFit="1" width="3.0" style="1122"/>
    <col min="10333" max="10333" customWidth="1" bestFit="1" width="3.0" style="1122"/>
    <col min="10334" max="10334" customWidth="1" bestFit="1" width="3.0" style="1122"/>
    <col min="10335" max="10335" customWidth="1" bestFit="1" width="3.0" style="1122"/>
    <col min="10336" max="10336" customWidth="1" bestFit="1" width="3.0" style="1122"/>
    <col min="10337" max="10337" customWidth="1" bestFit="1" width="3.0" style="1122"/>
    <col min="10338" max="10338" customWidth="1" bestFit="1" width="3.0" style="1122"/>
    <col min="10339" max="10339" customWidth="1" bestFit="1" width="3.0" style="1122"/>
    <col min="10340" max="10340" customWidth="1" bestFit="1" width="3.0" style="1122"/>
    <col min="10341" max="10341" customWidth="1" bestFit="1" width="3.0" style="1122"/>
    <col min="10342" max="10342" customWidth="1" bestFit="1" width="3.0" style="1122"/>
    <col min="10343" max="10343" customWidth="1" bestFit="1" width="3.0" style="1122"/>
    <col min="10344" max="10344" customWidth="1" bestFit="1" width="3.0" style="1122"/>
    <col min="10345" max="10345" customWidth="1" bestFit="1" width="3.0" style="1122"/>
    <col min="10346" max="10346" customWidth="1" bestFit="1" width="3.0" style="1122"/>
    <col min="10347" max="10347" customWidth="1" bestFit="1" width="3.0" style="1122"/>
    <col min="10348" max="10348" customWidth="1" bestFit="1" width="3.0" style="1122"/>
    <col min="10349" max="10349" customWidth="1" bestFit="1" width="3.0" style="1122"/>
    <col min="10350" max="10350" customWidth="1" bestFit="1" width="3.0" style="1122"/>
    <col min="10351" max="10351" customWidth="1" bestFit="1" width="3.0" style="1122"/>
    <col min="10352" max="10352" customWidth="1" bestFit="1" width="3.0" style="1122"/>
    <col min="10353" max="10353" customWidth="1" bestFit="1" width="3.0" style="1122"/>
    <col min="10354" max="10354" customWidth="1" bestFit="1" width="3.0" style="1122"/>
    <col min="10355" max="10355" customWidth="1" bestFit="1" width="3.0" style="1122"/>
    <col min="10356" max="10356" customWidth="1" bestFit="1" width="3.0" style="1122"/>
    <col min="10357" max="10357" customWidth="1" bestFit="1" width="3.0" style="1122"/>
    <col min="10358" max="10358" customWidth="1" bestFit="1" width="3.0" style="1122"/>
    <col min="10359" max="10359" customWidth="1" bestFit="1" width="3.0" style="1122"/>
    <col min="10360" max="10360" customWidth="1" bestFit="1" width="3.0" style="1122"/>
    <col min="10361" max="10361" customWidth="1" bestFit="1" width="3.0" style="1122"/>
    <col min="10362" max="10362" customWidth="1" bestFit="1" width="3.0" style="1122"/>
    <col min="10363" max="10363" customWidth="1" bestFit="1" width="3.0" style="1122"/>
    <col min="10364" max="10364" customWidth="1" bestFit="1" width="3.0" style="1122"/>
    <col min="10365" max="10365" customWidth="1" bestFit="1" width="3.0" style="1122"/>
    <col min="10366" max="10366" customWidth="1" bestFit="1" width="3.0" style="1122"/>
    <col min="10367" max="10367" customWidth="1" bestFit="1" width="3.0" style="1122"/>
    <col min="10368" max="10368" customWidth="1" bestFit="1" width="3.0" style="1122"/>
    <col min="10369" max="10369" customWidth="1" bestFit="1" width="3.0" style="1122"/>
    <col min="10370" max="10370" customWidth="1" bestFit="1" width="3.0" style="1122"/>
    <col min="10371" max="10371" customWidth="1" bestFit="1" width="3.0" style="1122"/>
    <col min="10372" max="10372" customWidth="1" bestFit="1" width="3.0" style="1122"/>
    <col min="10373" max="10373" customWidth="1" bestFit="1" width="3.0" style="1122"/>
    <col min="10374" max="10374" customWidth="1" bestFit="1" width="3.0" style="1122"/>
    <col min="10375" max="10375" customWidth="1" bestFit="1" width="3.0" style="1122"/>
    <col min="10376" max="10376" customWidth="1" bestFit="1" width="3.0" style="1122"/>
    <col min="10377" max="10377" customWidth="1" bestFit="1" width="3.0" style="1122"/>
    <col min="10378" max="10378" customWidth="1" bestFit="1" width="3.0" style="1122"/>
    <col min="10379" max="10379" customWidth="1" bestFit="1" width="3.0" style="1122"/>
    <col min="10380" max="10380" customWidth="1" bestFit="1" width="3.0" style="1122"/>
    <col min="10381" max="10381" customWidth="1" bestFit="1" width="3.0" style="1122"/>
    <col min="10382" max="10382" customWidth="1" bestFit="1" width="3.0" style="1122"/>
    <col min="10383" max="10383" customWidth="1" bestFit="1" width="3.0" style="1122"/>
    <col min="10384" max="10384" customWidth="1" bestFit="1" width="3.0" style="1122"/>
    <col min="10385" max="10385" customWidth="1" bestFit="1" width="3.0" style="1122"/>
    <col min="10386" max="10386" customWidth="1" bestFit="1" width="3.0" style="1122"/>
    <col min="10387" max="10387" customWidth="1" bestFit="1" width="3.0" style="1122"/>
    <col min="10388" max="10388" customWidth="1" bestFit="1" width="3.0" style="1122"/>
    <col min="10389" max="10389" customWidth="1" bestFit="1" width="3.0" style="1122"/>
    <col min="10390" max="10390" customWidth="1" bestFit="1" width="3.0" style="1122"/>
    <col min="10391" max="10391" customWidth="1" bestFit="1" width="3.0" style="1122"/>
    <col min="10392" max="10392" customWidth="1" bestFit="1" width="3.0" style="1122"/>
    <col min="10393" max="10393" customWidth="1" bestFit="1" width="3.0" style="1122"/>
    <col min="10394" max="10394" customWidth="1" bestFit="1" width="3.0" style="1122"/>
    <col min="10395" max="10395" customWidth="1" bestFit="1" width="3.0" style="1122"/>
    <col min="10396" max="10396" customWidth="1" bestFit="1" width="3.0" style="1122"/>
    <col min="10397" max="10397" customWidth="1" bestFit="1" width="3.0" style="1122"/>
    <col min="10398" max="10398" customWidth="1" bestFit="1" width="3.0" style="1122"/>
    <col min="10399" max="10399" customWidth="1" bestFit="1" width="3.0" style="1122"/>
    <col min="10400" max="10400" customWidth="1" bestFit="1" width="3.0" style="1122"/>
    <col min="10401" max="10401" customWidth="1" bestFit="1" width="3.0" style="1122"/>
    <col min="10402" max="10402" customWidth="1" bestFit="1" width="3.0" style="1122"/>
    <col min="10403" max="10403" customWidth="1" bestFit="1" width="3.0" style="1122"/>
    <col min="10404" max="10404" customWidth="1" bestFit="1" width="3.0" style="1122"/>
    <col min="10405" max="10405" customWidth="1" bestFit="1" width="3.0" style="1122"/>
    <col min="10406" max="10406" customWidth="1" bestFit="1" width="3.0" style="1122"/>
    <col min="10407" max="10407" customWidth="1" bestFit="1" width="3.0" style="1122"/>
    <col min="10408" max="10408" customWidth="1" bestFit="1" width="3.0" style="1122"/>
    <col min="10409" max="10409" customWidth="1" bestFit="1" width="3.0" style="1122"/>
    <col min="10410" max="10410" customWidth="1" bestFit="1" width="3.0" style="1122"/>
    <col min="10411" max="10411" customWidth="1" bestFit="1" width="3.0" style="1122"/>
    <col min="10412" max="10412" customWidth="1" bestFit="1" width="3.0" style="1122"/>
    <col min="10413" max="10413" customWidth="1" bestFit="1" width="3.0" style="1122"/>
    <col min="10414" max="10414" customWidth="1" bestFit="1" width="3.0" style="1122"/>
    <col min="10415" max="10415" customWidth="1" bestFit="1" width="3.0" style="1122"/>
    <col min="10416" max="10416" customWidth="1" bestFit="1" width="3.0" style="1122"/>
    <col min="10417" max="10417" customWidth="1" bestFit="1" width="3.0" style="1122"/>
    <col min="10418" max="10418" customWidth="1" bestFit="1" width="3.0" style="1122"/>
    <col min="10419" max="10419" customWidth="1" bestFit="1" width="3.0" style="1122"/>
    <col min="10420" max="10420" customWidth="1" bestFit="1" width="3.0" style="1122"/>
    <col min="10421" max="10421" customWidth="1" bestFit="1" width="3.0" style="1122"/>
    <col min="10422" max="10422" customWidth="1" bestFit="1" width="3.0" style="1122"/>
    <col min="10423" max="10423" customWidth="1" bestFit="1" width="3.0" style="1122"/>
    <col min="10424" max="10424" customWidth="1" bestFit="1" width="3.0" style="1122"/>
    <col min="10425" max="10425" customWidth="1" bestFit="1" width="3.0" style="1122"/>
    <col min="10426" max="10426" customWidth="1" bestFit="1" width="3.0" style="1122"/>
    <col min="10427" max="10427" customWidth="1" bestFit="1" width="3.0" style="1122"/>
    <col min="10428" max="10428" customWidth="1" bestFit="1" width="3.0" style="1122"/>
    <col min="10429" max="10429" customWidth="1" bestFit="1" width="3.0" style="1122"/>
    <col min="10430" max="10430" customWidth="1" bestFit="1" width="3.0" style="1122"/>
    <col min="10431" max="10431" customWidth="1" bestFit="1" width="3.0" style="1122"/>
    <col min="10432" max="10432" customWidth="1" bestFit="1" width="3.0" style="1122"/>
    <col min="10433" max="10433" customWidth="1" bestFit="1" width="3.0" style="1122"/>
    <col min="10434" max="10434" customWidth="1" bestFit="1" width="3.0" style="1122"/>
    <col min="10435" max="10435" customWidth="1" bestFit="1" width="3.0" style="1122"/>
    <col min="10436" max="10436" customWidth="1" bestFit="1" width="3.0" style="1122"/>
    <col min="10437" max="10437" customWidth="1" bestFit="1" width="3.0" style="1122"/>
    <col min="10438" max="10438" customWidth="1" bestFit="1" width="3.0" style="1122"/>
    <col min="10439" max="10439" customWidth="1" bestFit="1" width="3.0" style="1122"/>
    <col min="10440" max="10440" customWidth="1" bestFit="1" width="3.0" style="1122"/>
    <col min="10441" max="10441" customWidth="1" bestFit="1" width="3.0" style="1122"/>
    <col min="10442" max="10442" customWidth="1" bestFit="1" width="3.0" style="1122"/>
    <col min="10443" max="10443" customWidth="1" bestFit="1" width="3.0" style="1122"/>
    <col min="10444" max="10444" customWidth="1" bestFit="1" width="3.0" style="1122"/>
    <col min="10445" max="10445" customWidth="1" bestFit="1" width="3.0" style="1122"/>
    <col min="10446" max="10446" customWidth="1" bestFit="1" width="3.0" style="1122"/>
    <col min="10447" max="10447" customWidth="1" bestFit="1" width="3.0" style="1122"/>
    <col min="10448" max="10448" customWidth="1" bestFit="1" width="3.0" style="1122"/>
    <col min="10449" max="10449" customWidth="1" bestFit="1" width="3.0" style="1122"/>
    <col min="10450" max="10450" customWidth="1" bestFit="1" width="3.0" style="1122"/>
    <col min="10451" max="10451" customWidth="1" bestFit="1" width="3.0" style="1122"/>
    <col min="10452" max="10452" customWidth="1" bestFit="1" width="3.0" style="1122"/>
    <col min="10453" max="10453" customWidth="1" bestFit="1" width="3.0" style="1122"/>
    <col min="10454" max="10454" customWidth="1" bestFit="1" width="3.0" style="1122"/>
    <col min="10455" max="10455" customWidth="1" bestFit="1" width="3.0" style="1122"/>
    <col min="10456" max="10456" customWidth="1" bestFit="1" width="3.0" style="1122"/>
    <col min="10457" max="10457" customWidth="1" bestFit="1" width="3.0" style="1122"/>
    <col min="10458" max="10458" customWidth="1" bestFit="1" width="3.0" style="1122"/>
    <col min="10459" max="10459" customWidth="1" bestFit="1" width="3.0" style="1122"/>
    <col min="10460" max="10460" customWidth="1" bestFit="1" width="3.0" style="1122"/>
    <col min="10461" max="10461" customWidth="1" bestFit="1" width="3.0" style="1122"/>
    <col min="10462" max="10462" customWidth="1" bestFit="1" width="3.0" style="1122"/>
    <col min="10463" max="10463" customWidth="1" bestFit="1" width="3.0" style="1122"/>
    <col min="10464" max="10464" customWidth="1" bestFit="1" width="3.0" style="1122"/>
    <col min="10465" max="10465" customWidth="1" bestFit="1" width="3.0" style="1122"/>
    <col min="10466" max="10466" customWidth="1" bestFit="1" width="3.0" style="1122"/>
    <col min="10467" max="10467" customWidth="1" bestFit="1" width="3.0" style="1122"/>
    <col min="10468" max="10468" customWidth="1" bestFit="1" width="3.0" style="1122"/>
    <col min="10469" max="10469" customWidth="1" bestFit="1" width="3.0" style="1122"/>
    <col min="10470" max="10470" customWidth="1" bestFit="1" width="3.0" style="1122"/>
    <col min="10471" max="10471" customWidth="1" bestFit="1" width="3.0" style="1122"/>
    <col min="10472" max="10472" customWidth="1" bestFit="1" width="3.0" style="1122"/>
    <col min="10473" max="10473" customWidth="1" bestFit="1" width="3.0" style="1122"/>
    <col min="10474" max="10474" customWidth="1" bestFit="1" width="3.0" style="1122"/>
    <col min="10475" max="10475" customWidth="1" bestFit="1" width="3.0" style="1122"/>
    <col min="10476" max="10476" customWidth="1" bestFit="1" width="3.0" style="1122"/>
    <col min="10477" max="10477" customWidth="1" bestFit="1" width="3.0" style="1122"/>
    <col min="10478" max="10478" customWidth="1" bestFit="1" width="3.0" style="1122"/>
    <col min="10479" max="10479" customWidth="1" bestFit="1" width="3.0" style="1122"/>
    <col min="10480" max="10480" customWidth="1" bestFit="1" width="3.0" style="1122"/>
    <col min="10481" max="10481" customWidth="1" bestFit="1" width="3.0" style="1122"/>
    <col min="10482" max="10482" customWidth="1" bestFit="1" width="3.0" style="1122"/>
    <col min="10483" max="10483" customWidth="1" bestFit="1" width="3.0" style="1122"/>
    <col min="10484" max="10484" customWidth="1" bestFit="1" width="3.0" style="1122"/>
    <col min="10485" max="10485" customWidth="1" bestFit="1" width="3.0" style="1122"/>
    <col min="10486" max="10486" customWidth="1" bestFit="1" width="3.0" style="1122"/>
    <col min="10487" max="10487" customWidth="1" bestFit="1" width="3.0" style="1122"/>
    <col min="10488" max="10488" customWidth="1" bestFit="1" width="3.0" style="1122"/>
    <col min="10489" max="10489" customWidth="1" bestFit="1" width="3.0" style="1122"/>
    <col min="10490" max="10490" customWidth="1" bestFit="1" width="3.0" style="1122"/>
    <col min="10491" max="10491" customWidth="1" bestFit="1" width="3.0" style="1122"/>
    <col min="10492" max="10492" customWidth="1" bestFit="1" width="3.0" style="1122"/>
    <col min="10493" max="10493" customWidth="1" bestFit="1" width="3.0" style="1122"/>
    <col min="10494" max="10494" customWidth="1" bestFit="1" width="3.0" style="1122"/>
    <col min="10495" max="10495" customWidth="1" bestFit="1" width="3.0" style="1122"/>
    <col min="10496" max="10496" customWidth="1" bestFit="1" width="3.0" style="1122"/>
    <col min="10497" max="10497" customWidth="1" bestFit="1" width="3.0" style="1122"/>
    <col min="10498" max="10498" customWidth="1" bestFit="1" width="3.0" style="1122"/>
    <col min="10499" max="10499" customWidth="1" bestFit="1" width="3.0" style="1122"/>
    <col min="10500" max="10500" customWidth="1" bestFit="1" width="3.0" style="1122"/>
    <col min="10501" max="10501" customWidth="1" bestFit="1" width="3.0" style="1122"/>
    <col min="10502" max="10502" customWidth="1" bestFit="1" width="3.0" style="1122"/>
    <col min="10503" max="10503" customWidth="1" bestFit="1" width="3.0" style="1122"/>
    <col min="10504" max="10504" customWidth="1" bestFit="1" width="3.0" style="1122"/>
    <col min="10505" max="10505" customWidth="1" bestFit="1" width="3.0" style="1122"/>
    <col min="10506" max="10506" customWidth="1" bestFit="1" width="3.0" style="1122"/>
    <col min="10507" max="10507" customWidth="1" bestFit="1" width="3.0" style="1122"/>
    <col min="10508" max="10508" customWidth="1" bestFit="1" width="3.0" style="1122"/>
    <col min="10509" max="10509" customWidth="1" bestFit="1" width="3.0" style="1122"/>
    <col min="10510" max="10510" customWidth="1" bestFit="1" width="3.0" style="1122"/>
    <col min="10511" max="10511" customWidth="1" bestFit="1" width="3.0" style="1122"/>
    <col min="10512" max="10512" customWidth="1" bestFit="1" width="3.0" style="1122"/>
    <col min="10513" max="10513" customWidth="1" bestFit="1" width="3.0" style="1122"/>
    <col min="10514" max="10514" customWidth="1" bestFit="1" width="3.0" style="1122"/>
    <col min="10515" max="10515" customWidth="1" bestFit="1" width="3.0" style="1122"/>
    <col min="10516" max="10516" customWidth="1" bestFit="1" width="3.0" style="1122"/>
    <col min="10517" max="10517" customWidth="1" bestFit="1" width="3.0" style="1122"/>
    <col min="10518" max="10518" customWidth="1" bestFit="1" width="3.0" style="1122"/>
    <col min="10519" max="10519" customWidth="1" bestFit="1" width="3.0" style="1122"/>
    <col min="10520" max="10520" customWidth="1" bestFit="1" width="3.0" style="1122"/>
    <col min="10521" max="10521" customWidth="1" bestFit="1" width="3.0" style="1122"/>
    <col min="10522" max="10522" customWidth="1" bestFit="1" width="3.0" style="1122"/>
    <col min="10523" max="10523" customWidth="1" bestFit="1" width="3.0" style="1122"/>
    <col min="10524" max="10524" customWidth="1" bestFit="1" width="3.0" style="1122"/>
    <col min="10525" max="10525" customWidth="1" bestFit="1" width="3.0" style="1122"/>
    <col min="10526" max="10526" customWidth="1" bestFit="1" width="3.0" style="1122"/>
    <col min="10527" max="10527" customWidth="1" bestFit="1" width="3.0" style="1122"/>
    <col min="10528" max="10528" customWidth="1" bestFit="1" width="3.0" style="1122"/>
    <col min="10529" max="10529" customWidth="1" bestFit="1" width="3.0" style="1122"/>
    <col min="10530" max="10530" customWidth="1" bestFit="1" width="3.0" style="1122"/>
    <col min="10531" max="10531" customWidth="1" bestFit="1" width="3.0" style="1122"/>
    <col min="10532" max="10532" customWidth="1" bestFit="1" width="3.0" style="1122"/>
    <col min="10533" max="10533" customWidth="1" bestFit="1" width="3.0" style="1122"/>
    <col min="10534" max="10534" customWidth="1" bestFit="1" width="3.0" style="1122"/>
    <col min="10535" max="10535" customWidth="1" bestFit="1" width="3.0" style="1122"/>
    <col min="10536" max="10536" customWidth="1" bestFit="1" width="3.0" style="1122"/>
    <col min="10537" max="10537" customWidth="1" bestFit="1" width="3.0" style="1122"/>
    <col min="10538" max="10538" customWidth="1" bestFit="1" width="3.0" style="1122"/>
    <col min="10539" max="10539" customWidth="1" bestFit="1" width="3.0" style="1122"/>
    <col min="10540" max="10540" customWidth="1" bestFit="1" width="3.0" style="1122"/>
    <col min="10541" max="10541" customWidth="1" bestFit="1" width="3.0" style="1122"/>
    <col min="10542" max="10542" customWidth="1" bestFit="1" width="3.0" style="1122"/>
    <col min="10543" max="10543" customWidth="1" bestFit="1" width="3.0" style="1122"/>
    <col min="10544" max="10544" customWidth="1" bestFit="1" width="3.0" style="1122"/>
    <col min="10545" max="10545" customWidth="1" bestFit="1" width="3.0" style="1122"/>
    <col min="10546" max="10546" customWidth="1" bestFit="1" width="3.0" style="1122"/>
    <col min="10547" max="10547" customWidth="1" bestFit="1" width="3.0" style="1122"/>
    <col min="10548" max="10548" customWidth="1" bestFit="1" width="3.0" style="1122"/>
    <col min="10549" max="10549" customWidth="1" bestFit="1" width="3.0" style="1122"/>
    <col min="10550" max="10550" customWidth="1" bestFit="1" width="3.0" style="1122"/>
    <col min="10551" max="10551" customWidth="1" bestFit="1" width="3.0" style="1122"/>
    <col min="10552" max="10552" customWidth="1" bestFit="1" width="3.0" style="1122"/>
    <col min="10553" max="10553" customWidth="1" bestFit="1" width="3.0" style="1122"/>
    <col min="10554" max="10554" customWidth="1" bestFit="1" width="3.0" style="1122"/>
    <col min="10555" max="10555" customWidth="1" bestFit="1" width="3.0" style="1122"/>
    <col min="10556" max="10556" customWidth="1" bestFit="1" width="3.0" style="1122"/>
    <col min="10557" max="10557" customWidth="1" bestFit="1" width="3.0" style="1122"/>
    <col min="10558" max="10558" customWidth="1" bestFit="1" width="3.0" style="1122"/>
    <col min="10559" max="10559" customWidth="1" bestFit="1" width="3.0" style="1122"/>
    <col min="10560" max="10560" customWidth="1" bestFit="1" width="3.0" style="1122"/>
    <col min="10561" max="10561" customWidth="1" bestFit="1" width="3.0" style="1122"/>
    <col min="10562" max="10562" customWidth="1" bestFit="1" width="3.0" style="1122"/>
    <col min="10563" max="10563" customWidth="1" bestFit="1" width="3.0" style="1122"/>
    <col min="10564" max="10564" customWidth="1" bestFit="1" width="3.0" style="1122"/>
    <col min="10565" max="10565" customWidth="1" bestFit="1" width="3.0" style="1122"/>
    <col min="10566" max="10566" customWidth="1" bestFit="1" width="3.0" style="1122"/>
    <col min="10567" max="10567" customWidth="1" bestFit="1" width="3.0" style="1122"/>
    <col min="10568" max="10568" customWidth="1" bestFit="1" width="3.0" style="1122"/>
    <col min="10569" max="10569" customWidth="1" bestFit="1" width="3.0" style="1122"/>
    <col min="10570" max="10570" customWidth="1" bestFit="1" width="3.0" style="1122"/>
    <col min="10571" max="10571" customWidth="1" bestFit="1" width="3.0" style="1122"/>
    <col min="10572" max="10572" customWidth="1" bestFit="1" width="3.0" style="1122"/>
    <col min="10573" max="10573" customWidth="1" bestFit="1" width="3.0" style="1122"/>
    <col min="10574" max="10574" customWidth="1" bestFit="1" width="3.0" style="1122"/>
    <col min="10575" max="10575" customWidth="1" bestFit="1" width="3.0" style="1122"/>
    <col min="10576" max="10576" customWidth="1" bestFit="1" width="3.0" style="1122"/>
    <col min="10577" max="10577" customWidth="1" bestFit="1" width="3.0" style="1122"/>
    <col min="10578" max="10578" customWidth="1" bestFit="1" width="3.0" style="1122"/>
    <col min="10579" max="10579" customWidth="1" bestFit="1" width="3.0" style="1122"/>
    <col min="10580" max="10580" customWidth="1" bestFit="1" width="3.0" style="1122"/>
    <col min="10581" max="10581" customWidth="1" bestFit="1" width="3.0" style="1122"/>
    <col min="10582" max="10582" customWidth="1" bestFit="1" width="3.0" style="1122"/>
    <col min="10583" max="10583" customWidth="1" bestFit="1" width="3.0" style="1122"/>
    <col min="10584" max="10584" customWidth="1" bestFit="1" width="3.0" style="1122"/>
    <col min="10585" max="10585" customWidth="1" bestFit="1" width="3.0" style="1122"/>
    <col min="10586" max="10586" customWidth="1" bestFit="1" width="3.0" style="1122"/>
    <col min="10587" max="10587" customWidth="1" bestFit="1" width="3.0" style="1122"/>
    <col min="10588" max="10588" customWidth="1" bestFit="1" width="3.0" style="1122"/>
    <col min="10589" max="10589" customWidth="1" bestFit="1" width="3.0" style="1122"/>
    <col min="10590" max="10590" customWidth="1" bestFit="1" width="3.0" style="1122"/>
    <col min="10591" max="10591" customWidth="1" bestFit="1" width="3.0" style="1122"/>
    <col min="10592" max="10592" customWidth="1" bestFit="1" width="3.0" style="1122"/>
    <col min="10593" max="10593" customWidth="1" bestFit="1" width="3.0" style="1122"/>
    <col min="10594" max="10594" customWidth="1" bestFit="1" width="3.0" style="1122"/>
    <col min="10595" max="10595" customWidth="1" bestFit="1" width="3.0" style="1122"/>
    <col min="10596" max="10596" customWidth="1" bestFit="1" width="3.0" style="1122"/>
    <col min="10597" max="10597" customWidth="1" bestFit="1" width="3.0" style="1122"/>
    <col min="10598" max="10598" customWidth="1" bestFit="1" width="3.0" style="1122"/>
    <col min="10599" max="10599" customWidth="1" bestFit="1" width="3.0" style="1122"/>
    <col min="10600" max="10600" customWidth="1" bestFit="1" width="3.0" style="1122"/>
    <col min="10601" max="10601" customWidth="1" bestFit="1" width="3.0" style="1122"/>
    <col min="10602" max="10602" customWidth="1" bestFit="1" width="3.0" style="1122"/>
    <col min="10603" max="10603" customWidth="1" bestFit="1" width="3.0" style="1122"/>
    <col min="10604" max="10604" customWidth="1" bestFit="1" width="3.0" style="1122"/>
    <col min="10605" max="10605" customWidth="1" bestFit="1" width="3.0" style="1122"/>
    <col min="10606" max="10606" customWidth="1" bestFit="1" width="3.0" style="1122"/>
    <col min="10607" max="10607" customWidth="1" bestFit="1" width="3.0" style="1122"/>
    <col min="10608" max="10608" customWidth="1" bestFit="1" width="3.0" style="1122"/>
    <col min="10609" max="10609" customWidth="1" bestFit="1" width="3.0" style="1122"/>
    <col min="10610" max="10610" customWidth="1" bestFit="1" width="3.0" style="1122"/>
    <col min="10611" max="10611" customWidth="1" bestFit="1" width="3.0" style="1122"/>
    <col min="10612" max="10612" customWidth="1" bestFit="1" width="3.0" style="1122"/>
    <col min="10613" max="10613" customWidth="1" bestFit="1" width="3.0" style="1122"/>
    <col min="10614" max="10614" customWidth="1" bestFit="1" width="3.0" style="1122"/>
    <col min="10615" max="10615" customWidth="1" bestFit="1" width="3.0" style="1122"/>
    <col min="10616" max="10616" customWidth="1" bestFit="1" width="3.0" style="1122"/>
    <col min="10617" max="10617" customWidth="1" bestFit="1" width="3.0" style="1122"/>
    <col min="10618" max="10618" customWidth="1" bestFit="1" width="3.0" style="1122"/>
    <col min="10619" max="10619" customWidth="1" bestFit="1" width="3.0" style="1122"/>
    <col min="10620" max="10620" customWidth="1" bestFit="1" width="3.0" style="1122"/>
    <col min="10621" max="10621" customWidth="1" bestFit="1" width="3.0" style="1122"/>
    <col min="10622" max="10622" customWidth="1" bestFit="1" width="3.0" style="1122"/>
    <col min="10623" max="10623" customWidth="1" bestFit="1" width="3.0" style="1122"/>
    <col min="10624" max="10624" customWidth="1" bestFit="1" width="3.0" style="1122"/>
    <col min="10625" max="10625" customWidth="1" bestFit="1" width="3.0" style="1122"/>
    <col min="10626" max="10626" customWidth="1" bestFit="1" width="3.0" style="1122"/>
    <col min="10627" max="10627" customWidth="1" bestFit="1" width="3.0" style="1122"/>
    <col min="10628" max="10628" customWidth="1" bestFit="1" width="3.0" style="1122"/>
    <col min="10629" max="10629" customWidth="1" bestFit="1" width="3.0" style="1122"/>
    <col min="10630" max="10630" customWidth="1" bestFit="1" width="3.0" style="1122"/>
    <col min="10631" max="10631" customWidth="1" bestFit="1" width="3.0" style="1122"/>
    <col min="10632" max="10632" customWidth="1" bestFit="1" width="3.0" style="1122"/>
    <col min="10633" max="10633" customWidth="1" bestFit="1" width="3.0" style="1122"/>
    <col min="10634" max="10634" customWidth="1" bestFit="1" width="3.0" style="1122"/>
    <col min="10635" max="10635" customWidth="1" bestFit="1" width="3.0" style="1122"/>
    <col min="10636" max="10636" customWidth="1" bestFit="1" width="3.0" style="1122"/>
    <col min="10637" max="10637" customWidth="1" bestFit="1" width="3.0" style="1122"/>
    <col min="10638" max="10638" customWidth="1" bestFit="1" width="3.0" style="1122"/>
    <col min="10639" max="10639" customWidth="1" bestFit="1" width="3.0" style="1122"/>
    <col min="10640" max="10640" customWidth="1" bestFit="1" width="3.0" style="1122"/>
    <col min="10641" max="10641" customWidth="1" bestFit="1" width="3.0" style="1122"/>
    <col min="10642" max="10642" customWidth="1" bestFit="1" width="3.0" style="1122"/>
    <col min="10643" max="10643" customWidth="1" bestFit="1" width="3.0" style="1122"/>
    <col min="10644" max="10644" customWidth="1" bestFit="1" width="3.0" style="1122"/>
    <col min="10645" max="10645" customWidth="1" bestFit="1" width="3.0" style="1122"/>
    <col min="10646" max="10646" customWidth="1" bestFit="1" width="3.0" style="1122"/>
    <col min="10647" max="10647" customWidth="1" bestFit="1" width="3.0" style="1122"/>
    <col min="10648" max="10648" customWidth="1" bestFit="1" width="3.0" style="1122"/>
    <col min="10649" max="10649" customWidth="1" bestFit="1" width="3.0" style="1122"/>
    <col min="10650" max="10650" customWidth="1" bestFit="1" width="3.0" style="1122"/>
    <col min="10651" max="10651" customWidth="1" bestFit="1" width="3.0" style="1122"/>
    <col min="10652" max="10652" customWidth="1" bestFit="1" width="3.0" style="1122"/>
    <col min="10653" max="10653" customWidth="1" bestFit="1" width="3.0" style="1122"/>
    <col min="10654" max="10654" customWidth="1" bestFit="1" width="3.0" style="1122"/>
    <col min="10655" max="10655" customWidth="1" bestFit="1" width="3.0" style="1122"/>
    <col min="10656" max="10656" customWidth="1" bestFit="1" width="3.0" style="1122"/>
    <col min="10657" max="10657" customWidth="1" bestFit="1" width="3.0" style="1122"/>
    <col min="10658" max="10658" customWidth="1" bestFit="1" width="3.0" style="1122"/>
    <col min="10659" max="10659" customWidth="1" bestFit="1" width="3.0" style="1122"/>
    <col min="10660" max="10660" customWidth="1" bestFit="1" width="3.0" style="1122"/>
    <col min="10661" max="10661" customWidth="1" bestFit="1" width="3.0" style="1122"/>
    <col min="10662" max="10662" customWidth="1" bestFit="1" width="3.0" style="1122"/>
    <col min="10663" max="10663" customWidth="1" bestFit="1" width="3.0" style="1122"/>
    <col min="10664" max="10664" customWidth="1" bestFit="1" width="3.0" style="1122"/>
    <col min="10665" max="10665" customWidth="1" bestFit="1" width="3.0" style="1122"/>
    <col min="10666" max="10666" customWidth="1" bestFit="1" width="3.0" style="1122"/>
    <col min="10667" max="10667" customWidth="1" bestFit="1" width="3.0" style="1122"/>
    <col min="10668" max="10668" customWidth="1" bestFit="1" width="3.0" style="1122"/>
    <col min="10669" max="10669" customWidth="1" bestFit="1" width="3.0" style="1122"/>
    <col min="10670" max="10670" customWidth="1" bestFit="1" width="3.0" style="1122"/>
    <col min="10671" max="10671" customWidth="1" bestFit="1" width="3.0" style="1122"/>
    <col min="10672" max="10672" customWidth="1" bestFit="1" width="3.0" style="1122"/>
    <col min="10673" max="10673" customWidth="1" bestFit="1" width="3.0" style="1122"/>
    <col min="10674" max="10674" customWidth="1" bestFit="1" width="3.0" style="1122"/>
    <col min="10675" max="10675" customWidth="1" bestFit="1" width="3.0" style="1122"/>
    <col min="10676" max="10676" customWidth="1" bestFit="1" width="3.0" style="1122"/>
    <col min="10677" max="10677" customWidth="1" bestFit="1" width="3.0" style="1122"/>
    <col min="10678" max="10678" customWidth="1" bestFit="1" width="3.0" style="1122"/>
    <col min="10679" max="10679" customWidth="1" bestFit="1" width="3.0" style="1122"/>
    <col min="10680" max="10680" customWidth="1" bestFit="1" width="3.0" style="1122"/>
    <col min="10681" max="10681" customWidth="1" bestFit="1" width="3.0" style="1122"/>
    <col min="10682" max="10682" customWidth="1" bestFit="1" width="3.0" style="1122"/>
    <col min="10683" max="10683" customWidth="1" bestFit="1" width="3.0" style="1122"/>
    <col min="10684" max="10684" customWidth="1" bestFit="1" width="3.0" style="1122"/>
    <col min="10685" max="10685" customWidth="1" bestFit="1" width="3.0" style="1122"/>
    <col min="10686" max="10686" customWidth="1" bestFit="1" width="3.0" style="1122"/>
    <col min="10687" max="10687" customWidth="1" bestFit="1" width="3.0" style="1122"/>
    <col min="10688" max="10688" customWidth="1" bestFit="1" width="3.0" style="1122"/>
    <col min="10689" max="10689" customWidth="1" bestFit="1" width="3.0" style="1122"/>
    <col min="10690" max="10690" customWidth="1" bestFit="1" width="3.0" style="1122"/>
    <col min="10691" max="10691" customWidth="1" bestFit="1" width="3.0" style="1122"/>
    <col min="10692" max="10692" customWidth="1" bestFit="1" width="3.0" style="1122"/>
    <col min="10693" max="10693" customWidth="1" bestFit="1" width="3.0" style="1122"/>
    <col min="10694" max="10694" customWidth="1" bestFit="1" width="3.0" style="1122"/>
    <col min="10695" max="10695" customWidth="1" bestFit="1" width="3.0" style="1122"/>
    <col min="10696" max="10696" customWidth="1" bestFit="1" width="3.0" style="1122"/>
    <col min="10697" max="10697" customWidth="1" bestFit="1" width="3.0" style="1122"/>
    <col min="10698" max="10698" customWidth="1" bestFit="1" width="3.0" style="1122"/>
    <col min="10699" max="10699" customWidth="1" bestFit="1" width="3.0" style="1122"/>
    <col min="10700" max="10700" customWidth="1" bestFit="1" width="3.0" style="1122"/>
    <col min="10701" max="10701" customWidth="1" bestFit="1" width="3.0" style="1122"/>
    <col min="10702" max="10702" customWidth="1" bestFit="1" width="3.0" style="1122"/>
    <col min="10703" max="10703" customWidth="1" bestFit="1" width="3.0" style="1122"/>
    <col min="10704" max="10704" customWidth="1" bestFit="1" width="3.0" style="1122"/>
    <col min="10705" max="10705" customWidth="1" bestFit="1" width="3.0" style="1122"/>
    <col min="10706" max="10706" customWidth="1" bestFit="1" width="3.0" style="1122"/>
    <col min="10707" max="10707" customWidth="1" bestFit="1" width="3.0" style="1122"/>
    <col min="10708" max="10708" customWidth="1" bestFit="1" width="3.0" style="1122"/>
    <col min="10709" max="10709" customWidth="1" bestFit="1" width="3.0" style="1122"/>
    <col min="10710" max="10710" customWidth="1" bestFit="1" width="3.0" style="1122"/>
    <col min="10711" max="10711" customWidth="1" bestFit="1" width="3.0" style="1122"/>
    <col min="10712" max="10712" customWidth="1" bestFit="1" width="3.0" style="1122"/>
    <col min="10713" max="10713" customWidth="1" bestFit="1" width="3.0" style="1122"/>
    <col min="10714" max="10714" customWidth="1" bestFit="1" width="3.0" style="1122"/>
    <col min="10715" max="10715" customWidth="1" bestFit="1" width="3.0" style="1122"/>
    <col min="10716" max="10716" customWidth="1" bestFit="1" width="3.0" style="1122"/>
    <col min="10717" max="10717" customWidth="1" bestFit="1" width="3.0" style="1122"/>
    <col min="10718" max="10718" customWidth="1" bestFit="1" width="3.0" style="1122"/>
    <col min="10719" max="10719" customWidth="1" bestFit="1" width="3.0" style="1122"/>
    <col min="10720" max="10720" customWidth="1" bestFit="1" width="3.0" style="1122"/>
    <col min="10721" max="10721" customWidth="1" bestFit="1" width="3.0" style="1122"/>
    <col min="10722" max="10722" customWidth="1" bestFit="1" width="3.0" style="1122"/>
    <col min="10723" max="10723" customWidth="1" bestFit="1" width="3.0" style="1122"/>
    <col min="10724" max="10724" customWidth="1" bestFit="1" width="3.0" style="1122"/>
    <col min="10725" max="10725" customWidth="1" bestFit="1" width="3.0" style="1122"/>
    <col min="10726" max="10726" customWidth="1" bestFit="1" width="3.0" style="1122"/>
    <col min="10727" max="10727" customWidth="1" bestFit="1" width="3.0" style="1122"/>
    <col min="10728" max="10728" customWidth="1" bestFit="1" width="3.0" style="1122"/>
    <col min="10729" max="10729" customWidth="1" bestFit="1" width="3.0" style="1122"/>
    <col min="10730" max="10730" customWidth="1" bestFit="1" width="3.0" style="1122"/>
    <col min="10731" max="10731" customWidth="1" bestFit="1" width="3.0" style="1122"/>
    <col min="10732" max="10732" customWidth="1" bestFit="1" width="3.0" style="1122"/>
    <col min="10733" max="10733" customWidth="1" bestFit="1" width="3.0" style="1122"/>
    <col min="10734" max="10734" customWidth="1" bestFit="1" width="3.0" style="1122"/>
    <col min="10735" max="10735" customWidth="1" bestFit="1" width="3.0" style="1122"/>
    <col min="10736" max="10736" customWidth="1" bestFit="1" width="3.0" style="1122"/>
    <col min="10737" max="10737" customWidth="1" bestFit="1" width="3.0" style="1122"/>
    <col min="10738" max="10738" customWidth="1" bestFit="1" width="3.0" style="1122"/>
    <col min="10739" max="10739" customWidth="1" bestFit="1" width="3.0" style="1122"/>
    <col min="10740" max="10740" customWidth="1" bestFit="1" width="3.0" style="1122"/>
    <col min="10741" max="10741" customWidth="1" bestFit="1" width="3.0" style="1122"/>
    <col min="10742" max="10742" customWidth="1" bestFit="1" width="3.0" style="1122"/>
    <col min="10743" max="10743" customWidth="1" bestFit="1" width="3.0" style="1122"/>
    <col min="10744" max="10744" customWidth="1" bestFit="1" width="3.0" style="1122"/>
    <col min="10745" max="10745" customWidth="1" bestFit="1" width="3.0" style="1122"/>
    <col min="10746" max="10746" customWidth="1" bestFit="1" width="3.0" style="1122"/>
    <col min="10747" max="10747" customWidth="1" bestFit="1" width="3.0" style="1122"/>
    <col min="10748" max="10748" customWidth="1" bestFit="1" width="3.0" style="1122"/>
    <col min="10749" max="10749" customWidth="1" bestFit="1" width="3.0" style="1122"/>
    <col min="10750" max="10750" customWidth="1" bestFit="1" width="3.0" style="1122"/>
    <col min="10751" max="10751" customWidth="1" bestFit="1" width="3.0" style="1122"/>
    <col min="10752" max="10752" customWidth="1" bestFit="1" width="3.0" style="1122"/>
    <col min="10753" max="10753" customWidth="1" bestFit="1" width="3.0" style="1122"/>
    <col min="10754" max="10754" customWidth="1" bestFit="1" width="3.0" style="1122"/>
    <col min="10755" max="10755" customWidth="1" bestFit="1" width="3.0" style="1122"/>
    <col min="10756" max="10756" customWidth="1" bestFit="1" width="3.0" style="1122"/>
    <col min="10757" max="10757" customWidth="1" bestFit="1" width="3.0" style="1122"/>
    <col min="10758" max="10758" customWidth="1" bestFit="1" width="3.0" style="1122"/>
    <col min="10759" max="10759" customWidth="1" bestFit="1" width="3.0" style="1122"/>
    <col min="10760" max="10760" customWidth="1" bestFit="1" width="3.0" style="1122"/>
    <col min="10761" max="10761" customWidth="1" bestFit="1" width="3.0" style="1122"/>
    <col min="10762" max="10762" customWidth="1" bestFit="1" width="3.0" style="1122"/>
    <col min="10763" max="10763" customWidth="1" bestFit="1" width="3.0" style="1122"/>
    <col min="10764" max="10764" customWidth="1" bestFit="1" width="3.0" style="1122"/>
    <col min="10765" max="10765" customWidth="1" bestFit="1" width="3.0" style="1122"/>
    <col min="10766" max="10766" customWidth="1" bestFit="1" width="3.0" style="1122"/>
    <col min="10767" max="10767" customWidth="1" bestFit="1" width="3.0" style="1122"/>
    <col min="10768" max="10768" customWidth="1" bestFit="1" width="3.0" style="1122"/>
    <col min="10769" max="10769" customWidth="1" bestFit="1" width="3.0" style="1122"/>
    <col min="10770" max="10770" customWidth="1" bestFit="1" width="3.0" style="1122"/>
    <col min="10771" max="10771" customWidth="1" bestFit="1" width="3.0" style="1122"/>
    <col min="10772" max="10772" customWidth="1" bestFit="1" width="3.0" style="1122"/>
    <col min="10773" max="10773" customWidth="1" bestFit="1" width="3.0" style="1122"/>
    <col min="10774" max="10774" customWidth="1" bestFit="1" width="3.0" style="1122"/>
    <col min="10775" max="10775" customWidth="1" bestFit="1" width="3.0" style="1122"/>
    <col min="10776" max="10776" customWidth="1" bestFit="1" width="3.0" style="1122"/>
    <col min="10777" max="10777" customWidth="1" bestFit="1" width="3.0" style="1122"/>
    <col min="10778" max="10778" customWidth="1" bestFit="1" width="3.0" style="1122"/>
    <col min="10779" max="10779" customWidth="1" bestFit="1" width="3.0" style="1122"/>
    <col min="10780" max="10780" customWidth="1" bestFit="1" width="3.0" style="1122"/>
    <col min="10781" max="10781" customWidth="1" bestFit="1" width="3.0" style="1122"/>
    <col min="10782" max="10782" customWidth="1" bestFit="1" width="3.0" style="1122"/>
    <col min="10783" max="10783" customWidth="1" bestFit="1" width="3.0" style="1122"/>
    <col min="10784" max="10784" customWidth="1" bestFit="1" width="3.0" style="1122"/>
    <col min="10785" max="10785" customWidth="1" bestFit="1" width="3.0" style="1122"/>
    <col min="10786" max="10786" customWidth="1" bestFit="1" width="3.0" style="1122"/>
    <col min="10787" max="10787" customWidth="1" bestFit="1" width="3.0" style="1122"/>
    <col min="10788" max="10788" customWidth="1" bestFit="1" width="3.0" style="1122"/>
    <col min="10789" max="10789" customWidth="1" bestFit="1" width="3.0" style="1122"/>
    <col min="10790" max="10790" customWidth="1" bestFit="1" width="3.0" style="1122"/>
    <col min="10791" max="10791" customWidth="1" bestFit="1" width="3.0" style="1122"/>
    <col min="10792" max="10792" customWidth="1" bestFit="1" width="3.0" style="1122"/>
    <col min="10793" max="10793" customWidth="1" bestFit="1" width="3.0" style="1122"/>
    <col min="10794" max="10794" customWidth="1" bestFit="1" width="3.0" style="1122"/>
    <col min="10795" max="10795" customWidth="1" bestFit="1" width="3.0" style="1122"/>
    <col min="10796" max="10796" customWidth="1" bestFit="1" width="3.0" style="1122"/>
    <col min="10797" max="10797" customWidth="1" bestFit="1" width="3.0" style="1122"/>
    <col min="10798" max="10798" customWidth="1" bestFit="1" width="3.0" style="1122"/>
    <col min="10799" max="10799" customWidth="1" bestFit="1" width="3.0" style="1122"/>
    <col min="10800" max="10800" customWidth="1" bestFit="1" width="3.0" style="1122"/>
    <col min="10801" max="10801" customWidth="1" bestFit="1" width="3.0" style="1122"/>
    <col min="10802" max="10802" customWidth="1" bestFit="1" width="3.0" style="1122"/>
    <col min="10803" max="10803" customWidth="1" bestFit="1" width="3.0" style="1122"/>
    <col min="10804" max="10804" customWidth="1" bestFit="1" width="3.0" style="1122"/>
    <col min="10805" max="10805" customWidth="1" bestFit="1" width="3.0" style="1122"/>
    <col min="10806" max="10806" customWidth="1" bestFit="1" width="3.0" style="1122"/>
    <col min="10807" max="10807" customWidth="1" bestFit="1" width="3.0" style="1122"/>
    <col min="10808" max="10808" customWidth="1" bestFit="1" width="3.0" style="1122"/>
    <col min="10809" max="10809" customWidth="1" bestFit="1" width="3.0" style="1122"/>
    <col min="10810" max="10810" customWidth="1" bestFit="1" width="3.0" style="1122"/>
    <col min="10811" max="10811" customWidth="1" bestFit="1" width="3.0" style="1122"/>
    <col min="10812" max="10812" customWidth="1" bestFit="1" width="3.0" style="1122"/>
    <col min="10813" max="10813" customWidth="1" bestFit="1" width="3.0" style="1122"/>
    <col min="10814" max="10814" customWidth="1" bestFit="1" width="3.0" style="1122"/>
    <col min="10815" max="10815" customWidth="1" bestFit="1" width="3.0" style="1122"/>
    <col min="10816" max="10816" customWidth="1" bestFit="1" width="3.0" style="1122"/>
    <col min="10817" max="10817" customWidth="1" bestFit="1" width="3.0" style="1122"/>
    <col min="10818" max="10818" customWidth="1" bestFit="1" width="3.0" style="1122"/>
    <col min="10819" max="10819" customWidth="1" bestFit="1" width="3.0" style="1122"/>
    <col min="10820" max="10820" customWidth="1" bestFit="1" width="3.0" style="1122"/>
    <col min="10821" max="10821" customWidth="1" bestFit="1" width="3.0" style="1122"/>
    <col min="10822" max="10822" customWidth="1" bestFit="1" width="3.0" style="1122"/>
    <col min="10823" max="10823" customWidth="1" bestFit="1" width="3.0" style="1122"/>
    <col min="10824" max="10824" customWidth="1" bestFit="1" width="3.0" style="1122"/>
    <col min="10825" max="10825" customWidth="1" bestFit="1" width="3.0" style="1122"/>
    <col min="10826" max="10826" customWidth="1" bestFit="1" width="3.0" style="1122"/>
    <col min="10827" max="10827" customWidth="1" bestFit="1" width="3.0" style="1122"/>
    <col min="10828" max="10828" customWidth="1" bestFit="1" width="3.0" style="1122"/>
    <col min="10829" max="10829" customWidth="1" bestFit="1" width="3.0" style="1122"/>
    <col min="10830" max="10830" customWidth="1" bestFit="1" width="3.0" style="1122"/>
    <col min="10831" max="10831" customWidth="1" bestFit="1" width="3.0" style="1122"/>
    <col min="10832" max="10832" customWidth="1" bestFit="1" width="3.0" style="1122"/>
    <col min="10833" max="10833" customWidth="1" bestFit="1" width="3.0" style="1122"/>
    <col min="10834" max="10834" customWidth="1" bestFit="1" width="3.0" style="1122"/>
    <col min="10835" max="10835" customWidth="1" bestFit="1" width="3.0" style="1122"/>
    <col min="10836" max="10836" customWidth="1" bestFit="1" width="3.0" style="1122"/>
    <col min="10837" max="10837" customWidth="1" bestFit="1" width="3.0" style="1122"/>
    <col min="10838" max="10838" customWidth="1" bestFit="1" width="3.0" style="1122"/>
    <col min="10839" max="10839" customWidth="1" bestFit="1" width="3.0" style="1122"/>
    <col min="10840" max="10840" customWidth="1" bestFit="1" width="3.0" style="1122"/>
    <col min="10841" max="10841" customWidth="1" bestFit="1" width="3.0" style="1122"/>
    <col min="10842" max="10842" customWidth="1" bestFit="1" width="3.0" style="1122"/>
    <col min="10843" max="10843" customWidth="1" bestFit="1" width="3.0" style="1122"/>
    <col min="10844" max="10844" customWidth="1" bestFit="1" width="3.0" style="1122"/>
    <col min="10845" max="10845" customWidth="1" bestFit="1" width="3.0" style="1122"/>
    <col min="10846" max="10846" customWidth="1" bestFit="1" width="3.0" style="1122"/>
    <col min="10847" max="10847" customWidth="1" bestFit="1" width="3.0" style="1122"/>
    <col min="10848" max="10848" customWidth="1" bestFit="1" width="3.0" style="1122"/>
    <col min="10849" max="10849" customWidth="1" bestFit="1" width="3.0" style="1122"/>
    <col min="10850" max="10850" customWidth="1" bestFit="1" width="3.0" style="1122"/>
    <col min="10851" max="10851" customWidth="1" bestFit="1" width="3.0" style="1122"/>
    <col min="10852" max="10852" customWidth="1" bestFit="1" width="3.0" style="1122"/>
    <col min="10853" max="10853" customWidth="1" bestFit="1" width="3.0" style="1122"/>
    <col min="10854" max="10854" customWidth="1" bestFit="1" width="3.0" style="1122"/>
    <col min="10855" max="10855" customWidth="1" bestFit="1" width="3.0" style="1122"/>
    <col min="10856" max="10856" customWidth="1" bestFit="1" width="3.0" style="1122"/>
    <col min="10857" max="10857" customWidth="1" bestFit="1" width="3.0" style="1122"/>
    <col min="10858" max="10858" customWidth="1" bestFit="1" width="3.0" style="1122"/>
    <col min="10859" max="10859" customWidth="1" bestFit="1" width="3.0" style="1122"/>
    <col min="10860" max="10860" customWidth="1" bestFit="1" width="3.0" style="1122"/>
    <col min="10861" max="10861" customWidth="1" bestFit="1" width="3.0" style="1122"/>
    <col min="10862" max="10862" customWidth="1" bestFit="1" width="3.0" style="1122"/>
    <col min="10863" max="10863" customWidth="1" bestFit="1" width="3.0" style="1122"/>
    <col min="10864" max="10864" customWidth="1" bestFit="1" width="3.0" style="1122"/>
    <col min="10865" max="10865" customWidth="1" bestFit="1" width="3.0" style="1122"/>
    <col min="10866" max="10866" customWidth="1" bestFit="1" width="3.0" style="1122"/>
    <col min="10867" max="10867" customWidth="1" bestFit="1" width="3.0" style="1122"/>
    <col min="10868" max="10868" customWidth="1" bestFit="1" width="3.0" style="1122"/>
    <col min="10869" max="10869" customWidth="1" bestFit="1" width="3.0" style="1122"/>
    <col min="10870" max="10870" customWidth="1" bestFit="1" width="3.0" style="1122"/>
    <col min="10871" max="10871" customWidth="1" bestFit="1" width="3.0" style="1122"/>
    <col min="10872" max="10872" customWidth="1" bestFit="1" width="3.0" style="1122"/>
    <col min="10873" max="10873" customWidth="1" bestFit="1" width="3.0" style="1122"/>
    <col min="10874" max="10874" customWidth="1" bestFit="1" width="3.0" style="1122"/>
    <col min="10875" max="10875" customWidth="1" bestFit="1" width="3.0" style="1122"/>
    <col min="10876" max="10876" customWidth="1" bestFit="1" width="3.0" style="1122"/>
    <col min="10877" max="10877" customWidth="1" bestFit="1" width="3.0" style="1122"/>
    <col min="10878" max="10878" customWidth="1" bestFit="1" width="3.0" style="1122"/>
    <col min="10879" max="10879" customWidth="1" bestFit="1" width="3.0" style="1122"/>
    <col min="10880" max="10880" customWidth="1" bestFit="1" width="3.0" style="1122"/>
    <col min="10881" max="10881" customWidth="1" bestFit="1" width="3.0" style="1122"/>
    <col min="10882" max="10882" customWidth="1" bestFit="1" width="3.0" style="1122"/>
    <col min="10883" max="10883" customWidth="1" bestFit="1" width="3.0" style="1122"/>
    <col min="10884" max="10884" customWidth="1" bestFit="1" width="3.0" style="1122"/>
    <col min="10885" max="10885" customWidth="1" bestFit="1" width="3.0" style="1122"/>
    <col min="10886" max="10886" customWidth="1" bestFit="1" width="3.0" style="1122"/>
    <col min="10887" max="10887" customWidth="1" bestFit="1" width="3.0" style="1122"/>
    <col min="10888" max="10888" customWidth="1" bestFit="1" width="3.0" style="1122"/>
    <col min="10889" max="10889" customWidth="1" bestFit="1" width="3.0" style="1122"/>
    <col min="10890" max="10890" customWidth="1" bestFit="1" width="3.0" style="1122"/>
    <col min="10891" max="10891" customWidth="1" bestFit="1" width="3.0" style="1122"/>
    <col min="10892" max="10892" customWidth="1" bestFit="1" width="3.0" style="1122"/>
    <col min="10893" max="10893" customWidth="1" bestFit="1" width="3.0" style="1122"/>
    <col min="10894" max="10894" customWidth="1" bestFit="1" width="3.0" style="1122"/>
    <col min="10895" max="10895" customWidth="1" bestFit="1" width="3.0" style="1122"/>
    <col min="10896" max="10896" customWidth="1" bestFit="1" width="3.0" style="1122"/>
    <col min="10897" max="10897" customWidth="1" bestFit="1" width="3.0" style="1122"/>
    <col min="10898" max="10898" customWidth="1" bestFit="1" width="3.0" style="1122"/>
    <col min="10899" max="10899" customWidth="1" bestFit="1" width="3.0" style="1122"/>
    <col min="10900" max="10900" customWidth="1" bestFit="1" width="3.0" style="1122"/>
    <col min="10901" max="10901" customWidth="1" bestFit="1" width="3.0" style="1122"/>
    <col min="10902" max="10902" customWidth="1" bestFit="1" width="3.0" style="1122"/>
    <col min="10903" max="10903" customWidth="1" bestFit="1" width="3.0" style="1122"/>
    <col min="10904" max="10904" customWidth="1" bestFit="1" width="3.0" style="1122"/>
    <col min="10905" max="10905" customWidth="1" bestFit="1" width="3.0" style="1122"/>
    <col min="10906" max="10906" customWidth="1" bestFit="1" width="3.0" style="1122"/>
    <col min="10907" max="10907" customWidth="1" bestFit="1" width="3.0" style="1122"/>
    <col min="10908" max="10908" customWidth="1" bestFit="1" width="3.0" style="1122"/>
    <col min="10909" max="10909" customWidth="1" bestFit="1" width="3.0" style="1122"/>
    <col min="10910" max="10910" customWidth="1" bestFit="1" width="3.0" style="1122"/>
    <col min="10911" max="10911" customWidth="1" bestFit="1" width="3.0" style="1122"/>
    <col min="10912" max="10912" customWidth="1" bestFit="1" width="3.0" style="1122"/>
    <col min="10913" max="10913" customWidth="1" bestFit="1" width="3.0" style="1122"/>
    <col min="10914" max="10914" customWidth="1" bestFit="1" width="3.0" style="1122"/>
    <col min="10915" max="10915" customWidth="1" bestFit="1" width="3.0" style="1122"/>
    <col min="10916" max="10916" customWidth="1" bestFit="1" width="3.0" style="1122"/>
    <col min="10917" max="10917" customWidth="1" bestFit="1" width="3.0" style="1122"/>
    <col min="10918" max="10918" customWidth="1" bestFit="1" width="3.0" style="1122"/>
    <col min="10919" max="10919" customWidth="1" bestFit="1" width="3.0" style="1122"/>
    <col min="10920" max="10920" customWidth="1" bestFit="1" width="3.0" style="1122"/>
    <col min="10921" max="10921" customWidth="1" bestFit="1" width="3.0" style="1122"/>
    <col min="10922" max="10922" customWidth="1" bestFit="1" width="3.0" style="1122"/>
    <col min="10923" max="10923" customWidth="1" bestFit="1" width="3.0" style="1122"/>
    <col min="10924" max="10924" customWidth="1" bestFit="1" width="3.0" style="1122"/>
    <col min="10925" max="10925" customWidth="1" bestFit="1" width="3.0" style="1122"/>
    <col min="10926" max="10926" customWidth="1" bestFit="1" width="3.0" style="1122"/>
    <col min="10927" max="10927" customWidth="1" bestFit="1" width="3.0" style="1122"/>
    <col min="10928" max="10928" customWidth="1" bestFit="1" width="3.0" style="1122"/>
    <col min="10929" max="10929" customWidth="1" bestFit="1" width="3.0" style="1122"/>
    <col min="10930" max="10930" customWidth="1" bestFit="1" width="3.0" style="1122"/>
    <col min="10931" max="10931" customWidth="1" bestFit="1" width="3.0" style="1122"/>
    <col min="10932" max="10932" customWidth="1" bestFit="1" width="3.0" style="1122"/>
    <col min="10933" max="10933" customWidth="1" bestFit="1" width="3.0" style="1122"/>
    <col min="10934" max="10934" customWidth="1" bestFit="1" width="3.0" style="1122"/>
    <col min="10935" max="10935" customWidth="1" bestFit="1" width="3.0" style="1122"/>
    <col min="10936" max="10936" customWidth="1" bestFit="1" width="3.0" style="1122"/>
    <col min="10937" max="10937" customWidth="1" bestFit="1" width="3.0" style="1122"/>
    <col min="10938" max="10938" customWidth="1" bestFit="1" width="3.0" style="1122"/>
    <col min="10939" max="10939" customWidth="1" bestFit="1" width="3.0" style="1122"/>
    <col min="10940" max="10940" customWidth="1" bestFit="1" width="3.0" style="1122"/>
    <col min="10941" max="10941" customWidth="1" bestFit="1" width="3.0" style="1122"/>
    <col min="10942" max="10942" customWidth="1" bestFit="1" width="3.0" style="1122"/>
    <col min="10943" max="10943" customWidth="1" bestFit="1" width="3.0" style="1122"/>
    <col min="10944" max="10944" customWidth="1" bestFit="1" width="3.0" style="1122"/>
    <col min="10945" max="10945" customWidth="1" bestFit="1" width="3.0" style="1122"/>
    <col min="10946" max="10946" customWidth="1" bestFit="1" width="3.0" style="1122"/>
    <col min="10947" max="10947" customWidth="1" bestFit="1" width="3.0" style="1122"/>
    <col min="10948" max="10948" customWidth="1" bestFit="1" width="3.0" style="1122"/>
    <col min="10949" max="10949" customWidth="1" bestFit="1" width="3.0" style="1122"/>
    <col min="10950" max="10950" customWidth="1" bestFit="1" width="3.0" style="1122"/>
    <col min="10951" max="10951" customWidth="1" bestFit="1" width="3.0" style="1122"/>
    <col min="10952" max="10952" customWidth="1" bestFit="1" width="3.0" style="1122"/>
    <col min="10953" max="10953" customWidth="1" bestFit="1" width="3.0" style="1122"/>
    <col min="10954" max="10954" customWidth="1" bestFit="1" width="3.0" style="1122"/>
    <col min="10955" max="10955" customWidth="1" bestFit="1" width="3.0" style="1122"/>
    <col min="10956" max="10956" customWidth="1" bestFit="1" width="3.0" style="1122"/>
    <col min="10957" max="10957" customWidth="1" bestFit="1" width="3.0" style="1122"/>
    <col min="10958" max="10958" customWidth="1" bestFit="1" width="3.0" style="1122"/>
    <col min="10959" max="10959" customWidth="1" bestFit="1" width="3.0" style="1122"/>
    <col min="10960" max="10960" customWidth="1" bestFit="1" width="3.0" style="1122"/>
    <col min="10961" max="10961" customWidth="1" bestFit="1" width="3.0" style="1122"/>
    <col min="10962" max="10962" customWidth="1" bestFit="1" width="3.0" style="1122"/>
    <col min="10963" max="10963" customWidth="1" bestFit="1" width="3.0" style="1122"/>
    <col min="10964" max="10964" customWidth="1" bestFit="1" width="3.0" style="1122"/>
    <col min="10965" max="10965" customWidth="1" bestFit="1" width="3.0" style="1122"/>
    <col min="10966" max="10966" customWidth="1" bestFit="1" width="3.0" style="1122"/>
    <col min="10967" max="10967" customWidth="1" bestFit="1" width="3.0" style="1122"/>
    <col min="10968" max="10968" customWidth="1" bestFit="1" width="3.0" style="1122"/>
    <col min="10969" max="10969" customWidth="1" bestFit="1" width="3.0" style="1122"/>
    <col min="10970" max="10970" customWidth="1" bestFit="1" width="3.0" style="1122"/>
    <col min="10971" max="10971" customWidth="1" bestFit="1" width="3.0" style="1122"/>
    <col min="10972" max="10972" customWidth="1" bestFit="1" width="3.0" style="1122"/>
    <col min="10973" max="10973" customWidth="1" bestFit="1" width="3.0" style="1122"/>
    <col min="10974" max="10974" customWidth="1" bestFit="1" width="3.0" style="1122"/>
    <col min="10975" max="10975" customWidth="1" bestFit="1" width="3.0" style="1122"/>
    <col min="10976" max="10976" customWidth="1" bestFit="1" width="3.0" style="1122"/>
    <col min="10977" max="10977" customWidth="1" bestFit="1" width="3.0" style="1122"/>
    <col min="10978" max="10978" customWidth="1" bestFit="1" width="3.0" style="1122"/>
    <col min="10979" max="10979" customWidth="1" bestFit="1" width="3.0" style="1122"/>
    <col min="10980" max="10980" customWidth="1" bestFit="1" width="3.0" style="1122"/>
    <col min="10981" max="10981" customWidth="1" bestFit="1" width="3.0" style="1122"/>
    <col min="10982" max="10982" customWidth="1" bestFit="1" width="3.0" style="1122"/>
    <col min="10983" max="10983" customWidth="1" bestFit="1" width="3.0" style="1122"/>
    <col min="10984" max="10984" customWidth="1" bestFit="1" width="3.0" style="1122"/>
    <col min="10985" max="10985" customWidth="1" bestFit="1" width="3.0" style="1122"/>
    <col min="10986" max="10986" customWidth="1" bestFit="1" width="3.0" style="1122"/>
    <col min="10987" max="10987" customWidth="1" bestFit="1" width="3.0" style="1122"/>
    <col min="10988" max="10988" customWidth="1" bestFit="1" width="3.0" style="1122"/>
    <col min="10989" max="10989" customWidth="1" bestFit="1" width="3.0" style="1122"/>
    <col min="10990" max="10990" customWidth="1" bestFit="1" width="3.0" style="1122"/>
    <col min="10991" max="10991" customWidth="1" bestFit="1" width="3.0" style="1122"/>
    <col min="10992" max="10992" customWidth="1" bestFit="1" width="3.0" style="1122"/>
    <col min="10993" max="10993" customWidth="1" bestFit="1" width="3.0" style="1122"/>
    <col min="10994" max="10994" customWidth="1" bestFit="1" width="3.0" style="1122"/>
    <col min="10995" max="10995" customWidth="1" bestFit="1" width="3.0" style="1122"/>
    <col min="10996" max="10996" customWidth="1" bestFit="1" width="3.0" style="1122"/>
    <col min="10997" max="10997" customWidth="1" bestFit="1" width="3.0" style="1122"/>
    <col min="10998" max="10998" customWidth="1" bestFit="1" width="3.0" style="1122"/>
    <col min="10999" max="10999" customWidth="1" bestFit="1" width="3.0" style="1122"/>
    <col min="11000" max="11000" customWidth="1" bestFit="1" width="3.0" style="1122"/>
    <col min="11001" max="11001" customWidth="1" bestFit="1" width="3.0" style="1122"/>
    <col min="11002" max="11002" customWidth="1" bestFit="1" width="3.0" style="1122"/>
    <col min="11003" max="11003" customWidth="1" bestFit="1" width="3.0" style="1122"/>
    <col min="11004" max="11004" customWidth="1" bestFit="1" width="3.0" style="1122"/>
    <col min="11005" max="11005" customWidth="1" bestFit="1" width="3.0" style="1122"/>
    <col min="11006" max="11006" customWidth="1" bestFit="1" width="3.0" style="1122"/>
    <col min="11007" max="11007" customWidth="1" bestFit="1" width="3.0" style="1122"/>
    <col min="11008" max="11008" customWidth="1" bestFit="1" width="3.0" style="1122"/>
    <col min="11009" max="11009" customWidth="1" bestFit="1" width="3.0" style="1122"/>
    <col min="11010" max="11010" customWidth="1" bestFit="1" width="3.0" style="1122"/>
    <col min="11011" max="11011" customWidth="1" bestFit="1" width="3.0" style="1122"/>
    <col min="11012" max="11012" customWidth="1" bestFit="1" width="3.0" style="1122"/>
    <col min="11013" max="11013" customWidth="1" bestFit="1" width="3.0" style="1122"/>
    <col min="11014" max="11014" customWidth="1" bestFit="1" width="3.0" style="1122"/>
    <col min="11015" max="11015" customWidth="1" bestFit="1" width="3.0" style="1122"/>
    <col min="11016" max="11016" customWidth="1" bestFit="1" width="3.0" style="1122"/>
    <col min="11017" max="11017" customWidth="1" bestFit="1" width="3.0" style="1122"/>
    <col min="11018" max="11018" customWidth="1" bestFit="1" width="3.0" style="1122"/>
    <col min="11019" max="11019" customWidth="1" bestFit="1" width="3.0" style="1122"/>
    <col min="11020" max="11020" customWidth="1" bestFit="1" width="3.0" style="1122"/>
    <col min="11021" max="11021" customWidth="1" bestFit="1" width="3.0" style="1122"/>
    <col min="11022" max="11022" customWidth="1" bestFit="1" width="3.0" style="1122"/>
    <col min="11023" max="11023" customWidth="1" bestFit="1" width="3.0" style="1122"/>
    <col min="11024" max="11024" customWidth="1" bestFit="1" width="3.0" style="1122"/>
    <col min="11025" max="11025" customWidth="1" bestFit="1" width="3.0" style="1122"/>
    <col min="11026" max="11026" customWidth="1" bestFit="1" width="3.0" style="1122"/>
    <col min="11027" max="11027" customWidth="1" bestFit="1" width="3.0" style="1122"/>
    <col min="11028" max="11028" customWidth="1" bestFit="1" width="3.0" style="1122"/>
    <col min="11029" max="11029" customWidth="1" bestFit="1" width="3.0" style="1122"/>
    <col min="11030" max="11030" customWidth="1" bestFit="1" width="3.0" style="1122"/>
    <col min="11031" max="11031" customWidth="1" bestFit="1" width="3.0" style="1122"/>
    <col min="11032" max="11032" customWidth="1" bestFit="1" width="3.0" style="1122"/>
    <col min="11033" max="11033" customWidth="1" bestFit="1" width="3.0" style="1122"/>
    <col min="11034" max="11034" customWidth="1" bestFit="1" width="3.0" style="1122"/>
    <col min="11035" max="11035" customWidth="1" bestFit="1" width="3.0" style="1122"/>
    <col min="11036" max="11036" customWidth="1" bestFit="1" width="3.0" style="1122"/>
    <col min="11037" max="11037" customWidth="1" bestFit="1" width="3.0" style="1122"/>
    <col min="11038" max="11038" customWidth="1" bestFit="1" width="3.0" style="1122"/>
    <col min="11039" max="11039" customWidth="1" bestFit="1" width="3.0" style="1122"/>
    <col min="11040" max="11040" customWidth="1" bestFit="1" width="3.0" style="1122"/>
    <col min="11041" max="11041" customWidth="1" bestFit="1" width="3.0" style="1122"/>
    <col min="11042" max="11042" customWidth="1" bestFit="1" width="3.0" style="1122"/>
    <col min="11043" max="11043" customWidth="1" bestFit="1" width="3.0" style="1122"/>
    <col min="11044" max="11044" customWidth="1" bestFit="1" width="3.0" style="1122"/>
    <col min="11045" max="11045" customWidth="1" bestFit="1" width="3.0" style="1122"/>
    <col min="11046" max="11046" customWidth="1" bestFit="1" width="3.0" style="1122"/>
    <col min="11047" max="11047" customWidth="1" bestFit="1" width="3.0" style="1122"/>
    <col min="11048" max="11048" customWidth="1" bestFit="1" width="3.0" style="1122"/>
    <col min="11049" max="11049" customWidth="1" bestFit="1" width="3.0" style="1122"/>
    <col min="11050" max="11050" customWidth="1" bestFit="1" width="3.0" style="1122"/>
    <col min="11051" max="11051" customWidth="1" bestFit="1" width="3.0" style="1122"/>
    <col min="11052" max="11052" customWidth="1" bestFit="1" width="3.0" style="1122"/>
    <col min="11053" max="11053" customWidth="1" bestFit="1" width="3.0" style="1122"/>
    <col min="11054" max="11054" customWidth="1" bestFit="1" width="3.0" style="1122"/>
    <col min="11055" max="11055" customWidth="1" bestFit="1" width="3.0" style="1122"/>
    <col min="11056" max="11056" customWidth="1" bestFit="1" width="3.0" style="1122"/>
    <col min="11057" max="11057" customWidth="1" bestFit="1" width="3.0" style="1122"/>
    <col min="11058" max="11058" customWidth="1" bestFit="1" width="3.0" style="1122"/>
    <col min="11059" max="11059" customWidth="1" bestFit="1" width="3.0" style="1122"/>
    <col min="11060" max="11060" customWidth="1" bestFit="1" width="3.0" style="1122"/>
    <col min="11061" max="11061" customWidth="1" bestFit="1" width="3.0" style="1122"/>
    <col min="11062" max="11062" customWidth="1" bestFit="1" width="3.0" style="1122"/>
    <col min="11063" max="11063" customWidth="1" bestFit="1" width="3.0" style="1122"/>
    <col min="11064" max="11064" customWidth="1" bestFit="1" width="3.0" style="1122"/>
    <col min="11065" max="11065" customWidth="1" bestFit="1" width="3.0" style="1122"/>
    <col min="11066" max="11066" customWidth="1" bestFit="1" width="3.0" style="1122"/>
    <col min="11067" max="11067" customWidth="1" bestFit="1" width="3.0" style="1122"/>
    <col min="11068" max="11068" customWidth="1" bestFit="1" width="3.0" style="1122"/>
    <col min="11069" max="11069" customWidth="1" bestFit="1" width="3.0" style="1122"/>
    <col min="11070" max="11070" customWidth="1" bestFit="1" width="3.0" style="1122"/>
    <col min="11071" max="11071" customWidth="1" bestFit="1" width="3.0" style="1122"/>
    <col min="11072" max="11072" customWidth="1" bestFit="1" width="3.0" style="1122"/>
    <col min="11073" max="11073" customWidth="1" bestFit="1" width="3.0" style="1122"/>
    <col min="11074" max="11074" customWidth="1" bestFit="1" width="3.0" style="1122"/>
    <col min="11075" max="11075" customWidth="1" bestFit="1" width="3.0" style="1122"/>
    <col min="11076" max="11076" customWidth="1" bestFit="1" width="3.0" style="1122"/>
    <col min="11077" max="11077" customWidth="1" bestFit="1" width="3.0" style="1122"/>
    <col min="11078" max="11078" customWidth="1" bestFit="1" width="3.0" style="1122"/>
    <col min="11079" max="11079" customWidth="1" bestFit="1" width="3.0" style="1122"/>
    <col min="11080" max="11080" customWidth="1" bestFit="1" width="3.0" style="1122"/>
    <col min="11081" max="11081" customWidth="1" bestFit="1" width="3.0" style="1122"/>
    <col min="11082" max="11082" customWidth="1" bestFit="1" width="3.0" style="1122"/>
    <col min="11083" max="11083" customWidth="1" bestFit="1" width="3.0" style="1122"/>
    <col min="11084" max="11084" customWidth="1" bestFit="1" width="3.0" style="1122"/>
    <col min="11085" max="11085" customWidth="1" bestFit="1" width="3.0" style="1122"/>
    <col min="11086" max="11086" customWidth="1" bestFit="1" width="3.0" style="1122"/>
    <col min="11087" max="11087" customWidth="1" bestFit="1" width="3.0" style="1122"/>
    <col min="11088" max="11088" customWidth="1" bestFit="1" width="3.0" style="1122"/>
    <col min="11089" max="11089" customWidth="1" bestFit="1" width="3.0" style="1122"/>
    <col min="11090" max="11090" customWidth="1" bestFit="1" width="3.0" style="1122"/>
    <col min="11091" max="11091" customWidth="1" bestFit="1" width="3.0" style="1122"/>
    <col min="11092" max="11092" customWidth="1" bestFit="1" width="3.0" style="1122"/>
    <col min="11093" max="11093" customWidth="1" bestFit="1" width="3.0" style="1122"/>
    <col min="11094" max="11094" customWidth="1" bestFit="1" width="3.0" style="1122"/>
    <col min="11095" max="11095" customWidth="1" bestFit="1" width="3.0" style="1122"/>
    <col min="11096" max="11096" customWidth="1" bestFit="1" width="3.0" style="1122"/>
    <col min="11097" max="11097" customWidth="1" bestFit="1" width="3.0" style="1122"/>
    <col min="11098" max="11098" customWidth="1" bestFit="1" width="3.0" style="1122"/>
    <col min="11099" max="11099" customWidth="1" bestFit="1" width="3.0" style="1122"/>
    <col min="11100" max="11100" customWidth="1" bestFit="1" width="3.0" style="1122"/>
    <col min="11101" max="11101" customWidth="1" bestFit="1" width="3.0" style="1122"/>
    <col min="11102" max="11102" customWidth="1" bestFit="1" width="3.0" style="1122"/>
    <col min="11103" max="11103" customWidth="1" bestFit="1" width="3.0" style="1122"/>
    <col min="11104" max="11104" customWidth="1" bestFit="1" width="3.0" style="1122"/>
    <col min="11105" max="11105" customWidth="1" bestFit="1" width="3.0" style="1122"/>
    <col min="11106" max="11106" customWidth="1" bestFit="1" width="3.0" style="1122"/>
    <col min="11107" max="11107" customWidth="1" bestFit="1" width="3.0" style="1122"/>
    <col min="11108" max="11108" customWidth="1" bestFit="1" width="3.0" style="1122"/>
    <col min="11109" max="11109" customWidth="1" bestFit="1" width="3.0" style="1122"/>
    <col min="11110" max="11110" customWidth="1" bestFit="1" width="3.0" style="1122"/>
    <col min="11111" max="11111" customWidth="1" bestFit="1" width="3.0" style="1122"/>
    <col min="11112" max="11112" customWidth="1" bestFit="1" width="3.0" style="1122"/>
    <col min="11113" max="11113" customWidth="1" bestFit="1" width="3.0" style="1122"/>
    <col min="11114" max="11114" customWidth="1" bestFit="1" width="3.0" style="1122"/>
    <col min="11115" max="11115" customWidth="1" bestFit="1" width="3.0" style="1122"/>
    <col min="11116" max="11116" customWidth="1" bestFit="1" width="3.0" style="1122"/>
    <col min="11117" max="11117" customWidth="1" bestFit="1" width="3.0" style="1122"/>
    <col min="11118" max="11118" customWidth="1" bestFit="1" width="3.0" style="1122"/>
    <col min="11119" max="11119" customWidth="1" bestFit="1" width="3.0" style="1122"/>
    <col min="11120" max="11120" customWidth="1" bestFit="1" width="3.0" style="1122"/>
    <col min="11121" max="11121" customWidth="1" bestFit="1" width="3.0" style="1122"/>
    <col min="11122" max="11122" customWidth="1" bestFit="1" width="3.0" style="1122"/>
    <col min="11123" max="11123" customWidth="1" bestFit="1" width="3.0" style="1122"/>
    <col min="11124" max="11124" customWidth="1" bestFit="1" width="3.0" style="1122"/>
    <col min="11125" max="11125" customWidth="1" bestFit="1" width="3.0" style="1122"/>
    <col min="11126" max="11126" customWidth="1" bestFit="1" width="3.0" style="1122"/>
    <col min="11127" max="11127" customWidth="1" bestFit="1" width="3.0" style="1122"/>
    <col min="11128" max="11128" customWidth="1" bestFit="1" width="3.0" style="1122"/>
    <col min="11129" max="11129" customWidth="1" bestFit="1" width="3.0" style="1122"/>
    <col min="11130" max="11130" customWidth="1" bestFit="1" width="3.0" style="1122"/>
    <col min="11131" max="11131" customWidth="1" bestFit="1" width="3.0" style="1122"/>
    <col min="11132" max="11132" customWidth="1" bestFit="1" width="3.0" style="1122"/>
    <col min="11133" max="11133" customWidth="1" bestFit="1" width="3.0" style="1122"/>
    <col min="11134" max="11134" customWidth="1" bestFit="1" width="3.0" style="1122"/>
    <col min="11135" max="11135" customWidth="1" bestFit="1" width="3.0" style="1122"/>
    <col min="11136" max="11136" customWidth="1" bestFit="1" width="3.0" style="1122"/>
    <col min="11137" max="11137" customWidth="1" bestFit="1" width="3.0" style="1122"/>
    <col min="11138" max="11138" customWidth="1" bestFit="1" width="3.0" style="1122"/>
    <col min="11139" max="11139" customWidth="1" bestFit="1" width="3.0" style="1122"/>
    <col min="11140" max="11140" customWidth="1" bestFit="1" width="3.0" style="1122"/>
    <col min="11141" max="11141" customWidth="1" bestFit="1" width="3.0" style="1122"/>
    <col min="11142" max="11142" customWidth="1" bestFit="1" width="3.0" style="1122"/>
    <col min="11143" max="11143" customWidth="1" bestFit="1" width="3.0" style="1122"/>
    <col min="11144" max="11144" customWidth="1" bestFit="1" width="3.0" style="1122"/>
    <col min="11145" max="11145" customWidth="1" bestFit="1" width="3.0" style="1122"/>
    <col min="11146" max="11146" customWidth="1" bestFit="1" width="3.0" style="1122"/>
    <col min="11147" max="11147" customWidth="1" bestFit="1" width="3.0" style="1122"/>
    <col min="11148" max="11148" customWidth="1" bestFit="1" width="3.0" style="1122"/>
    <col min="11149" max="11149" customWidth="1" bestFit="1" width="3.0" style="1122"/>
    <col min="11150" max="11150" customWidth="1" bestFit="1" width="3.0" style="1122"/>
    <col min="11151" max="11151" customWidth="1" bestFit="1" width="3.0" style="1122"/>
    <col min="11152" max="11152" customWidth="1" bestFit="1" width="3.0" style="1122"/>
    <col min="11153" max="11153" customWidth="1" bestFit="1" width="3.0" style="1122"/>
    <col min="11154" max="11154" customWidth="1" bestFit="1" width="3.0" style="1122"/>
    <col min="11155" max="11155" customWidth="1" bestFit="1" width="3.0" style="1122"/>
    <col min="11156" max="11156" customWidth="1" bestFit="1" width="3.0" style="1122"/>
    <col min="11157" max="11157" customWidth="1" bestFit="1" width="3.0" style="1122"/>
    <col min="11158" max="11158" customWidth="1" bestFit="1" width="3.0" style="1122"/>
    <col min="11159" max="11159" customWidth="1" bestFit="1" width="3.0" style="1122"/>
    <col min="11160" max="11160" customWidth="1" bestFit="1" width="3.0" style="1122"/>
    <col min="11161" max="11161" customWidth="1" bestFit="1" width="3.0" style="1122"/>
    <col min="11162" max="11162" customWidth="1" bestFit="1" width="3.0" style="1122"/>
    <col min="11163" max="11163" customWidth="1" bestFit="1" width="3.0" style="1122"/>
    <col min="11164" max="11164" customWidth="1" bestFit="1" width="3.0" style="1122"/>
    <col min="11165" max="11165" customWidth="1" bestFit="1" width="3.0" style="1122"/>
    <col min="11166" max="11166" customWidth="1" bestFit="1" width="3.0" style="1122"/>
    <col min="11167" max="11167" customWidth="1" bestFit="1" width="3.0" style="1122"/>
    <col min="11168" max="11168" customWidth="1" bestFit="1" width="3.0" style="1122"/>
    <col min="11169" max="11169" customWidth="1" bestFit="1" width="3.0" style="1122"/>
    <col min="11170" max="11170" customWidth="1" bestFit="1" width="3.0" style="1122"/>
    <col min="11171" max="11171" customWidth="1" bestFit="1" width="3.0" style="1122"/>
    <col min="11172" max="11172" customWidth="1" bestFit="1" width="3.0" style="1122"/>
    <col min="11173" max="11173" customWidth="1" bestFit="1" width="3.0" style="1122"/>
    <col min="11174" max="11174" customWidth="1" bestFit="1" width="3.0" style="1122"/>
    <col min="11175" max="11175" customWidth="1" bestFit="1" width="3.0" style="1122"/>
    <col min="11176" max="11176" customWidth="1" bestFit="1" width="3.0" style="1122"/>
    <col min="11177" max="11177" customWidth="1" bestFit="1" width="3.0" style="1122"/>
    <col min="11178" max="11178" customWidth="1" bestFit="1" width="3.0" style="1122"/>
    <col min="11179" max="11179" customWidth="1" bestFit="1" width="3.0" style="1122"/>
    <col min="11180" max="11180" customWidth="1" bestFit="1" width="3.0" style="1122"/>
    <col min="11181" max="11181" customWidth="1" bestFit="1" width="3.0" style="1122"/>
    <col min="11182" max="11182" customWidth="1" bestFit="1" width="3.0" style="1122"/>
    <col min="11183" max="11183" customWidth="1" bestFit="1" width="3.0" style="1122"/>
    <col min="11184" max="11184" customWidth="1" bestFit="1" width="3.0" style="1122"/>
    <col min="11185" max="11185" customWidth="1" bestFit="1" width="3.0" style="1122"/>
    <col min="11186" max="11186" customWidth="1" bestFit="1" width="3.0" style="1122"/>
    <col min="11187" max="11187" customWidth="1" bestFit="1" width="3.0" style="1122"/>
    <col min="11188" max="11188" customWidth="1" bestFit="1" width="3.0" style="1122"/>
    <col min="11189" max="11189" customWidth="1" bestFit="1" width="3.0" style="1122"/>
    <col min="11190" max="11190" customWidth="1" bestFit="1" width="3.0" style="1122"/>
    <col min="11191" max="11191" customWidth="1" bestFit="1" width="3.0" style="1122"/>
    <col min="11192" max="11192" customWidth="1" bestFit="1" width="3.0" style="1122"/>
    <col min="11193" max="11193" customWidth="1" bestFit="1" width="3.0" style="1122"/>
    <col min="11194" max="11194" customWidth="1" bestFit="1" width="3.0" style="1122"/>
    <col min="11195" max="11195" customWidth="1" bestFit="1" width="3.0" style="1122"/>
    <col min="11196" max="11196" customWidth="1" bestFit="1" width="3.0" style="1122"/>
    <col min="11197" max="11197" customWidth="1" bestFit="1" width="3.0" style="1122"/>
    <col min="11198" max="11198" customWidth="1" bestFit="1" width="3.0" style="1122"/>
    <col min="11199" max="11199" customWidth="1" bestFit="1" width="3.0" style="1122"/>
    <col min="11200" max="11200" customWidth="1" bestFit="1" width="3.0" style="1122"/>
    <col min="11201" max="11201" customWidth="1" bestFit="1" width="3.0" style="1122"/>
    <col min="11202" max="11202" customWidth="1" bestFit="1" width="3.0" style="1122"/>
    <col min="11203" max="11203" customWidth="1" bestFit="1" width="3.0" style="1122"/>
    <col min="11204" max="11204" customWidth="1" bestFit="1" width="3.0" style="1122"/>
    <col min="11205" max="11205" customWidth="1" bestFit="1" width="3.0" style="1122"/>
    <col min="11206" max="11206" customWidth="1" bestFit="1" width="3.0" style="1122"/>
    <col min="11207" max="11207" customWidth="1" bestFit="1" width="3.0" style="1122"/>
    <col min="11208" max="11208" customWidth="1" bestFit="1" width="3.0" style="1122"/>
    <col min="11209" max="11209" customWidth="1" bestFit="1" width="3.0" style="1122"/>
    <col min="11210" max="11210" customWidth="1" bestFit="1" width="3.0" style="1122"/>
    <col min="11211" max="11211" customWidth="1" bestFit="1" width="3.0" style="1122"/>
    <col min="11212" max="11212" customWidth="1" bestFit="1" width="3.0" style="1122"/>
    <col min="11213" max="11213" customWidth="1" bestFit="1" width="3.0" style="1122"/>
    <col min="11214" max="11214" customWidth="1" bestFit="1" width="3.0" style="1122"/>
    <col min="11215" max="11215" customWidth="1" bestFit="1" width="3.0" style="1122"/>
    <col min="11216" max="11216" customWidth="1" bestFit="1" width="3.0" style="1122"/>
    <col min="11217" max="11217" customWidth="1" bestFit="1" width="3.0" style="1122"/>
    <col min="11218" max="11218" customWidth="1" bestFit="1" width="3.0" style="1122"/>
    <col min="11219" max="11219" customWidth="1" bestFit="1" width="3.0" style="1122"/>
    <col min="11220" max="11220" customWidth="1" bestFit="1" width="3.0" style="1122"/>
    <col min="11221" max="11221" customWidth="1" bestFit="1" width="3.0" style="1122"/>
    <col min="11222" max="11222" customWidth="1" bestFit="1" width="3.0" style="1122"/>
    <col min="11223" max="11223" customWidth="1" bestFit="1" width="3.0" style="1122"/>
    <col min="11224" max="11224" customWidth="1" bestFit="1" width="3.0" style="1122"/>
    <col min="11225" max="11225" customWidth="1" bestFit="1" width="3.0" style="1122"/>
    <col min="11226" max="11226" customWidth="1" bestFit="1" width="3.0" style="1122"/>
    <col min="11227" max="11227" customWidth="1" bestFit="1" width="3.0" style="1122"/>
    <col min="11228" max="11228" customWidth="1" bestFit="1" width="3.0" style="1122"/>
    <col min="11229" max="11229" customWidth="1" bestFit="1" width="3.0" style="1122"/>
    <col min="11230" max="11230" customWidth="1" bestFit="1" width="3.0" style="1122"/>
    <col min="11231" max="11231" customWidth="1" bestFit="1" width="3.0" style="1122"/>
    <col min="11232" max="11232" customWidth="1" bestFit="1" width="3.0" style="1122"/>
    <col min="11233" max="11233" customWidth="1" bestFit="1" width="3.0" style="1122"/>
    <col min="11234" max="11234" customWidth="1" bestFit="1" width="3.0" style="1122"/>
    <col min="11235" max="11235" customWidth="1" bestFit="1" width="3.0" style="1122"/>
    <col min="11236" max="11236" customWidth="1" bestFit="1" width="3.0" style="1122"/>
    <col min="11237" max="11237" customWidth="1" bestFit="1" width="3.0" style="1122"/>
    <col min="11238" max="11238" customWidth="1" bestFit="1" width="3.0" style="1122"/>
    <col min="11239" max="11239" customWidth="1" bestFit="1" width="3.0" style="1122"/>
    <col min="11240" max="11240" customWidth="1" bestFit="1" width="3.0" style="1122"/>
    <col min="11241" max="11241" customWidth="1" bestFit="1" width="3.0" style="1122"/>
    <col min="11242" max="11242" customWidth="1" bestFit="1" width="3.0" style="1122"/>
    <col min="11243" max="11243" customWidth="1" bestFit="1" width="3.0" style="1122"/>
    <col min="11244" max="11244" customWidth="1" bestFit="1" width="3.0" style="1122"/>
    <col min="11245" max="11245" customWidth="1" bestFit="1" width="3.0" style="1122"/>
    <col min="11246" max="11246" customWidth="1" bestFit="1" width="3.0" style="1122"/>
    <col min="11247" max="11247" customWidth="1" bestFit="1" width="3.0" style="1122"/>
    <col min="11248" max="11248" customWidth="1" bestFit="1" width="3.0" style="1122"/>
    <col min="11249" max="11249" customWidth="1" bestFit="1" width="3.0" style="1122"/>
    <col min="11250" max="11250" customWidth="1" bestFit="1" width="3.0" style="1122"/>
    <col min="11251" max="11251" customWidth="1" bestFit="1" width="3.0" style="1122"/>
    <col min="11252" max="11252" customWidth="1" bestFit="1" width="3.0" style="1122"/>
    <col min="11253" max="11253" customWidth="1" bestFit="1" width="3.0" style="1122"/>
    <col min="11254" max="11254" customWidth="1" bestFit="1" width="3.0" style="1122"/>
    <col min="11255" max="11255" customWidth="1" bestFit="1" width="3.0" style="1122"/>
    <col min="11256" max="11256" customWidth="1" bestFit="1" width="3.0" style="1122"/>
    <col min="11257" max="11257" customWidth="1" bestFit="1" width="3.0" style="1122"/>
    <col min="11258" max="11258" customWidth="1" bestFit="1" width="3.0" style="1122"/>
    <col min="11259" max="11259" customWidth="1" bestFit="1" width="3.0" style="1122"/>
    <col min="11260" max="11260" customWidth="1" bestFit="1" width="3.0" style="1122"/>
    <col min="11261" max="11261" customWidth="1" bestFit="1" width="3.0" style="1122"/>
    <col min="11262" max="11262" customWidth="1" bestFit="1" width="3.0" style="1122"/>
    <col min="11263" max="11263" customWidth="1" bestFit="1" width="3.0" style="1122"/>
    <col min="11264" max="11264" customWidth="1" bestFit="1" width="3.0" style="1122"/>
    <col min="11265" max="11265" customWidth="1" bestFit="1" width="3.0" style="1122"/>
    <col min="11266" max="11266" customWidth="1" bestFit="1" width="3.0" style="1122"/>
    <col min="11267" max="11267" customWidth="1" bestFit="1" width="3.0" style="1122"/>
    <col min="11268" max="11268" customWidth="1" bestFit="1" width="3.0" style="1122"/>
    <col min="11269" max="11269" customWidth="1" bestFit="1" width="3.0" style="1122"/>
    <col min="11270" max="11270" customWidth="1" bestFit="1" width="3.0" style="1122"/>
    <col min="11271" max="11271" customWidth="1" bestFit="1" width="3.0" style="1122"/>
    <col min="11272" max="11272" customWidth="1" bestFit="1" width="3.0" style="1122"/>
    <col min="11273" max="11273" customWidth="1" bestFit="1" width="3.0" style="1122"/>
    <col min="11274" max="11274" customWidth="1" bestFit="1" width="3.0" style="1122"/>
    <col min="11275" max="11275" customWidth="1" bestFit="1" width="3.0" style="1122"/>
    <col min="11276" max="11276" customWidth="1" bestFit="1" width="3.0" style="1122"/>
    <col min="11277" max="11277" customWidth="1" bestFit="1" width="3.0" style="1122"/>
    <col min="11278" max="11278" customWidth="1" bestFit="1" width="3.0" style="1122"/>
    <col min="11279" max="11279" customWidth="1" bestFit="1" width="3.0" style="1122"/>
    <col min="11280" max="11280" customWidth="1" bestFit="1" width="3.0" style="1122"/>
    <col min="11281" max="11281" customWidth="1" bestFit="1" width="3.0" style="1122"/>
    <col min="11282" max="11282" customWidth="1" bestFit="1" width="3.0" style="1122"/>
    <col min="11283" max="11283" customWidth="1" bestFit="1" width="3.0" style="1122"/>
    <col min="11284" max="11284" customWidth="1" bestFit="1" width="3.0" style="1122"/>
    <col min="11285" max="11285" customWidth="1" bestFit="1" width="3.0" style="1122"/>
    <col min="11286" max="11286" customWidth="1" bestFit="1" width="3.0" style="1122"/>
    <col min="11287" max="11287" customWidth="1" bestFit="1" width="3.0" style="1122"/>
    <col min="11288" max="11288" customWidth="1" bestFit="1" width="3.0" style="1122"/>
    <col min="11289" max="11289" customWidth="1" bestFit="1" width="3.0" style="1122"/>
    <col min="11290" max="11290" customWidth="1" bestFit="1" width="3.0" style="1122"/>
    <col min="11291" max="11291" customWidth="1" bestFit="1" width="3.0" style="1122"/>
    <col min="11292" max="11292" customWidth="1" bestFit="1" width="3.0" style="1122"/>
    <col min="11293" max="11293" customWidth="1" bestFit="1" width="3.0" style="1122"/>
    <col min="11294" max="11294" customWidth="1" bestFit="1" width="3.0" style="1122"/>
    <col min="11295" max="11295" customWidth="1" bestFit="1" width="3.0" style="1122"/>
    <col min="11296" max="11296" customWidth="1" bestFit="1" width="3.0" style="1122"/>
    <col min="11297" max="11297" customWidth="1" bestFit="1" width="3.0" style="1122"/>
    <col min="11298" max="11298" customWidth="1" bestFit="1" width="3.0" style="1122"/>
    <col min="11299" max="11299" customWidth="1" bestFit="1" width="3.0" style="1122"/>
    <col min="11300" max="11300" customWidth="1" bestFit="1" width="3.0" style="1122"/>
    <col min="11301" max="11301" customWidth="1" bestFit="1" width="3.0" style="1122"/>
    <col min="11302" max="11302" customWidth="1" bestFit="1" width="3.0" style="1122"/>
    <col min="11303" max="11303" customWidth="1" bestFit="1" width="3.0" style="1122"/>
    <col min="11304" max="11304" customWidth="1" bestFit="1" width="3.0" style="1122"/>
    <col min="11305" max="11305" customWidth="1" bestFit="1" width="3.0" style="1122"/>
    <col min="11306" max="11306" customWidth="1" bestFit="1" width="3.0" style="1122"/>
    <col min="11307" max="11307" customWidth="1" bestFit="1" width="3.0" style="1122"/>
    <col min="11308" max="11308" customWidth="1" bestFit="1" width="3.0" style="1122"/>
    <col min="11309" max="11309" customWidth="1" bestFit="1" width="3.0" style="1122"/>
    <col min="11310" max="11310" customWidth="1" bestFit="1" width="3.0" style="1122"/>
    <col min="11311" max="11311" customWidth="1" bestFit="1" width="3.0" style="1122"/>
    <col min="11312" max="11312" customWidth="1" bestFit="1" width="3.0" style="1122"/>
    <col min="11313" max="11313" customWidth="1" bestFit="1" width="3.0" style="1122"/>
    <col min="11314" max="11314" customWidth="1" bestFit="1" width="3.0" style="1122"/>
    <col min="11315" max="11315" customWidth="1" bestFit="1" width="3.0" style="1122"/>
    <col min="11316" max="11316" customWidth="1" bestFit="1" width="3.0" style="1122"/>
    <col min="11317" max="11317" customWidth="1" bestFit="1" width="3.0" style="1122"/>
    <col min="11318" max="11318" customWidth="1" bestFit="1" width="3.0" style="1122"/>
    <col min="11319" max="11319" customWidth="1" bestFit="1" width="3.0" style="1122"/>
    <col min="11320" max="11320" customWidth="1" bestFit="1" width="3.0" style="1122"/>
    <col min="11321" max="11321" customWidth="1" bestFit="1" width="3.0" style="1122"/>
    <col min="11322" max="11322" customWidth="1" bestFit="1" width="3.0" style="1122"/>
    <col min="11323" max="11323" customWidth="1" bestFit="1" width="3.0" style="1122"/>
    <col min="11324" max="11324" customWidth="1" bestFit="1" width="3.0" style="1122"/>
    <col min="11325" max="11325" customWidth="1" bestFit="1" width="3.0" style="1122"/>
    <col min="11326" max="11326" customWidth="1" bestFit="1" width="3.0" style="1122"/>
    <col min="11327" max="11327" customWidth="1" bestFit="1" width="3.0" style="1122"/>
    <col min="11328" max="11328" customWidth="1" bestFit="1" width="3.0" style="1122"/>
    <col min="11329" max="11329" customWidth="1" bestFit="1" width="3.0" style="1122"/>
    <col min="11330" max="11330" customWidth="1" bestFit="1" width="3.0" style="1122"/>
    <col min="11331" max="11331" customWidth="1" bestFit="1" width="3.0" style="1122"/>
    <col min="11332" max="11332" customWidth="1" bestFit="1" width="3.0" style="1122"/>
    <col min="11333" max="11333" customWidth="1" bestFit="1" width="3.0" style="1122"/>
    <col min="11334" max="11334" customWidth="1" bestFit="1" width="3.0" style="1122"/>
    <col min="11335" max="11335" customWidth="1" bestFit="1" width="3.0" style="1122"/>
    <col min="11336" max="11336" customWidth="1" bestFit="1" width="3.0" style="1122"/>
    <col min="11337" max="11337" customWidth="1" bestFit="1" width="3.0" style="1122"/>
    <col min="11338" max="11338" customWidth="1" bestFit="1" width="3.0" style="1122"/>
    <col min="11339" max="11339" customWidth="1" bestFit="1" width="3.0" style="1122"/>
    <col min="11340" max="11340" customWidth="1" bestFit="1" width="3.0" style="1122"/>
    <col min="11341" max="11341" customWidth="1" bestFit="1" width="3.0" style="1122"/>
    <col min="11342" max="11342" customWidth="1" bestFit="1" width="3.0" style="1122"/>
    <col min="11343" max="11343" customWidth="1" bestFit="1" width="3.0" style="1122"/>
    <col min="11344" max="11344" customWidth="1" bestFit="1" width="3.0" style="1122"/>
    <col min="11345" max="11345" customWidth="1" bestFit="1" width="3.0" style="1122"/>
    <col min="11346" max="11346" customWidth="1" bestFit="1" width="3.0" style="1122"/>
    <col min="11347" max="11347" customWidth="1" bestFit="1" width="3.0" style="1122"/>
    <col min="11348" max="11348" customWidth="1" bestFit="1" width="3.0" style="1122"/>
    <col min="11349" max="11349" customWidth="1" bestFit="1" width="3.0" style="1122"/>
    <col min="11350" max="11350" customWidth="1" bestFit="1" width="3.0" style="1122"/>
    <col min="11351" max="11351" customWidth="1" bestFit="1" width="3.0" style="1122"/>
    <col min="11352" max="11352" customWidth="1" bestFit="1" width="3.0" style="1122"/>
    <col min="11353" max="11353" customWidth="1" bestFit="1" width="3.0" style="1122"/>
    <col min="11354" max="11354" customWidth="1" bestFit="1" width="3.0" style="1122"/>
    <col min="11355" max="11355" customWidth="1" bestFit="1" width="3.0" style="1122"/>
    <col min="11356" max="11356" customWidth="1" bestFit="1" width="3.0" style="1122"/>
    <col min="11357" max="11357" customWidth="1" bestFit="1" width="3.0" style="1122"/>
    <col min="11358" max="11358" customWidth="1" bestFit="1" width="3.0" style="1122"/>
    <col min="11359" max="11359" customWidth="1" bestFit="1" width="3.0" style="1122"/>
    <col min="11360" max="11360" customWidth="1" bestFit="1" width="3.0" style="1122"/>
    <col min="11361" max="11361" customWidth="1" bestFit="1" width="3.0" style="1122"/>
    <col min="11362" max="11362" customWidth="1" bestFit="1" width="3.0" style="1122"/>
    <col min="11363" max="11363" customWidth="1" bestFit="1" width="3.0" style="1122"/>
    <col min="11364" max="11364" customWidth="1" bestFit="1" width="3.0" style="1122"/>
    <col min="11365" max="11365" customWidth="1" bestFit="1" width="3.0" style="1122"/>
    <col min="11366" max="11366" customWidth="1" bestFit="1" width="3.0" style="1122"/>
    <col min="11367" max="11367" customWidth="1" bestFit="1" width="3.0" style="1122"/>
    <col min="11368" max="11368" customWidth="1" bestFit="1" width="3.0" style="1122"/>
    <col min="11369" max="11369" customWidth="1" bestFit="1" width="3.0" style="1122"/>
    <col min="11370" max="11370" customWidth="1" bestFit="1" width="3.0" style="1122"/>
    <col min="11371" max="11371" customWidth="1" bestFit="1" width="3.0" style="1122"/>
    <col min="11372" max="11372" customWidth="1" bestFit="1" width="3.0" style="1122"/>
    <col min="11373" max="11373" customWidth="1" bestFit="1" width="3.0" style="1122"/>
    <col min="11374" max="11374" customWidth="1" bestFit="1" width="3.0" style="1122"/>
    <col min="11375" max="11375" customWidth="1" bestFit="1" width="3.0" style="1122"/>
    <col min="11376" max="11376" customWidth="1" bestFit="1" width="3.0" style="1122"/>
    <col min="11377" max="11377" customWidth="1" bestFit="1" width="3.0" style="1122"/>
    <col min="11378" max="11378" customWidth="1" bestFit="1" width="3.0" style="1122"/>
    <col min="11379" max="11379" customWidth="1" bestFit="1" width="3.0" style="1122"/>
    <col min="11380" max="11380" customWidth="1" bestFit="1" width="3.0" style="1122"/>
    <col min="11381" max="11381" customWidth="1" bestFit="1" width="3.0" style="1122"/>
    <col min="11382" max="11382" customWidth="1" bestFit="1" width="3.0" style="1122"/>
    <col min="11383" max="11383" customWidth="1" bestFit="1" width="3.0" style="1122"/>
    <col min="11384" max="11384" customWidth="1" bestFit="1" width="3.0" style="1122"/>
    <col min="11385" max="11385" customWidth="1" bestFit="1" width="3.0" style="1122"/>
    <col min="11386" max="11386" customWidth="1" bestFit="1" width="3.0" style="1122"/>
    <col min="11387" max="11387" customWidth="1" bestFit="1" width="3.0" style="1122"/>
    <col min="11388" max="11388" customWidth="1" bestFit="1" width="3.0" style="1122"/>
    <col min="11389" max="11389" customWidth="1" bestFit="1" width="3.0" style="1122"/>
    <col min="11390" max="11390" customWidth="1" bestFit="1" width="3.0" style="1122"/>
    <col min="11391" max="11391" customWidth="1" bestFit="1" width="3.0" style="1122"/>
    <col min="11392" max="11392" customWidth="1" bestFit="1" width="3.0" style="1122"/>
    <col min="11393" max="11393" customWidth="1" bestFit="1" width="3.0" style="1122"/>
    <col min="11394" max="11394" customWidth="1" bestFit="1" width="3.0" style="1122"/>
    <col min="11395" max="11395" customWidth="1" bestFit="1" width="3.0" style="1122"/>
    <col min="11396" max="11396" customWidth="1" bestFit="1" width="3.0" style="1122"/>
    <col min="11397" max="11397" customWidth="1" bestFit="1" width="3.0" style="1122"/>
    <col min="11398" max="11398" customWidth="1" bestFit="1" width="3.0" style="1122"/>
    <col min="11399" max="11399" customWidth="1" bestFit="1" width="3.0" style="1122"/>
    <col min="11400" max="11400" customWidth="1" bestFit="1" width="3.0" style="1122"/>
    <col min="11401" max="11401" customWidth="1" bestFit="1" width="3.0" style="1122"/>
    <col min="11402" max="11402" customWidth="1" bestFit="1" width="3.0" style="1122"/>
    <col min="11403" max="11403" customWidth="1" bestFit="1" width="3.0" style="1122"/>
    <col min="11404" max="11404" customWidth="1" bestFit="1" width="3.0" style="1122"/>
    <col min="11405" max="11405" customWidth="1" bestFit="1" width="3.0" style="1122"/>
    <col min="11406" max="11406" customWidth="1" bestFit="1" width="3.0" style="1122"/>
    <col min="11407" max="11407" customWidth="1" bestFit="1" width="3.0" style="1122"/>
    <col min="11408" max="11408" customWidth="1" bestFit="1" width="3.0" style="1122"/>
    <col min="11409" max="11409" customWidth="1" bestFit="1" width="3.0" style="1122"/>
    <col min="11410" max="11410" customWidth="1" bestFit="1" width="3.0" style="1122"/>
    <col min="11411" max="11411" customWidth="1" bestFit="1" width="3.0" style="1122"/>
    <col min="11412" max="11412" customWidth="1" bestFit="1" width="3.0" style="1122"/>
    <col min="11413" max="11413" customWidth="1" bestFit="1" width="3.0" style="1122"/>
    <col min="11414" max="11414" customWidth="1" bestFit="1" width="3.0" style="1122"/>
    <col min="11415" max="11415" customWidth="1" bestFit="1" width="3.0" style="1122"/>
    <col min="11416" max="11416" customWidth="1" bestFit="1" width="3.0" style="1122"/>
    <col min="11417" max="11417" customWidth="1" bestFit="1" width="3.0" style="1122"/>
    <col min="11418" max="11418" customWidth="1" bestFit="1" width="3.0" style="1122"/>
    <col min="11419" max="11419" customWidth="1" bestFit="1" width="3.0" style="1122"/>
    <col min="11420" max="11420" customWidth="1" bestFit="1" width="3.0" style="1122"/>
    <col min="11421" max="11421" customWidth="1" bestFit="1" width="3.0" style="1122"/>
    <col min="11422" max="11422" customWidth="1" bestFit="1" width="3.0" style="1122"/>
    <col min="11423" max="11423" customWidth="1" bestFit="1" width="3.0" style="1122"/>
    <col min="11424" max="11424" customWidth="1" bestFit="1" width="3.0" style="1122"/>
    <col min="11425" max="11425" customWidth="1" bestFit="1" width="3.0" style="1122"/>
    <col min="11426" max="11426" customWidth="1" bestFit="1" width="3.0" style="1122"/>
    <col min="11427" max="11427" customWidth="1" bestFit="1" width="3.0" style="1122"/>
    <col min="11428" max="11428" customWidth="1" bestFit="1" width="3.0" style="1122"/>
    <col min="11429" max="11429" customWidth="1" bestFit="1" width="3.0" style="1122"/>
    <col min="11430" max="11430" customWidth="1" bestFit="1" width="3.0" style="1122"/>
    <col min="11431" max="11431" customWidth="1" bestFit="1" width="3.0" style="1122"/>
    <col min="11432" max="11432" customWidth="1" bestFit="1" width="3.0" style="1122"/>
    <col min="11433" max="11433" customWidth="1" bestFit="1" width="3.0" style="1122"/>
    <col min="11434" max="11434" customWidth="1" bestFit="1" width="3.0" style="1122"/>
    <col min="11435" max="11435" customWidth="1" bestFit="1" width="3.0" style="1122"/>
    <col min="11436" max="11436" customWidth="1" bestFit="1" width="3.0" style="1122"/>
    <col min="11437" max="11437" customWidth="1" bestFit="1" width="3.0" style="1122"/>
    <col min="11438" max="11438" customWidth="1" bestFit="1" width="3.0" style="1122"/>
    <col min="11439" max="11439" customWidth="1" bestFit="1" width="3.0" style="1122"/>
    <col min="11440" max="11440" customWidth="1" bestFit="1" width="3.0" style="1122"/>
    <col min="11441" max="11441" customWidth="1" bestFit="1" width="3.0" style="1122"/>
    <col min="11442" max="11442" customWidth="1" bestFit="1" width="3.0" style="1122"/>
    <col min="11443" max="11443" customWidth="1" bestFit="1" width="3.0" style="1122"/>
    <col min="11444" max="11444" customWidth="1" bestFit="1" width="3.0" style="1122"/>
    <col min="11445" max="11445" customWidth="1" bestFit="1" width="3.0" style="1122"/>
    <col min="11446" max="11446" customWidth="1" bestFit="1" width="3.0" style="1122"/>
    <col min="11447" max="11447" customWidth="1" bestFit="1" width="3.0" style="1122"/>
    <col min="11448" max="11448" customWidth="1" bestFit="1" width="3.0" style="1122"/>
    <col min="11449" max="11449" customWidth="1" bestFit="1" width="3.0" style="1122"/>
    <col min="11450" max="11450" customWidth="1" bestFit="1" width="3.0" style="1122"/>
    <col min="11451" max="11451" customWidth="1" bestFit="1" width="3.0" style="1122"/>
    <col min="11452" max="11452" customWidth="1" bestFit="1" width="3.0" style="1122"/>
    <col min="11453" max="11453" customWidth="1" bestFit="1" width="3.0" style="1122"/>
    <col min="11454" max="11454" customWidth="1" bestFit="1" width="3.0" style="1122"/>
    <col min="11455" max="11455" customWidth="1" bestFit="1" width="3.0" style="1122"/>
    <col min="11456" max="11456" customWidth="1" bestFit="1" width="3.0" style="1122"/>
    <col min="11457" max="11457" customWidth="1" bestFit="1" width="3.0" style="1122"/>
    <col min="11458" max="11458" customWidth="1" bestFit="1" width="3.0" style="1122"/>
    <col min="11459" max="11459" customWidth="1" bestFit="1" width="3.0" style="1122"/>
    <col min="11460" max="11460" customWidth="1" bestFit="1" width="3.0" style="1122"/>
    <col min="11461" max="11461" customWidth="1" bestFit="1" width="3.0" style="1122"/>
    <col min="11462" max="11462" customWidth="1" bestFit="1" width="3.0" style="1122"/>
    <col min="11463" max="11463" customWidth="1" bestFit="1" width="3.0" style="1122"/>
    <col min="11464" max="11464" customWidth="1" bestFit="1" width="3.0" style="1122"/>
    <col min="11465" max="11465" customWidth="1" bestFit="1" width="3.0" style="1122"/>
    <col min="11466" max="11466" customWidth="1" bestFit="1" width="3.0" style="1122"/>
    <col min="11467" max="11467" customWidth="1" bestFit="1" width="3.0" style="1122"/>
    <col min="11468" max="11468" customWidth="1" bestFit="1" width="3.0" style="1122"/>
    <col min="11469" max="11469" customWidth="1" bestFit="1" width="3.0" style="1122"/>
    <col min="11470" max="11470" customWidth="1" bestFit="1" width="3.0" style="1122"/>
    <col min="11471" max="11471" customWidth="1" bestFit="1" width="3.0" style="1122"/>
    <col min="11472" max="11472" customWidth="1" bestFit="1" width="3.0" style="1122"/>
    <col min="11473" max="11473" customWidth="1" bestFit="1" width="3.0" style="1122"/>
    <col min="11474" max="11474" customWidth="1" bestFit="1" width="3.0" style="1122"/>
    <col min="11475" max="11475" customWidth="1" bestFit="1" width="3.0" style="1122"/>
    <col min="11476" max="11476" customWidth="1" bestFit="1" width="3.0" style="1122"/>
    <col min="11477" max="11477" customWidth="1" bestFit="1" width="3.0" style="1122"/>
    <col min="11478" max="11478" customWidth="1" bestFit="1" width="3.0" style="1122"/>
    <col min="11479" max="11479" customWidth="1" bestFit="1" width="3.0" style="1122"/>
    <col min="11480" max="11480" customWidth="1" bestFit="1" width="3.0" style="1122"/>
    <col min="11481" max="11481" customWidth="1" bestFit="1" width="3.0" style="1122"/>
    <col min="11482" max="11482" customWidth="1" bestFit="1" width="3.0" style="1122"/>
    <col min="11483" max="11483" customWidth="1" bestFit="1" width="3.0" style="1122"/>
    <col min="11484" max="11484" customWidth="1" bestFit="1" width="3.0" style="1122"/>
    <col min="11485" max="11485" customWidth="1" bestFit="1" width="3.0" style="1122"/>
    <col min="11486" max="11486" customWidth="1" bestFit="1" width="3.0" style="1122"/>
    <col min="11487" max="11487" customWidth="1" bestFit="1" width="3.0" style="1122"/>
    <col min="11488" max="11488" customWidth="1" bestFit="1" width="3.0" style="1122"/>
    <col min="11489" max="11489" customWidth="1" bestFit="1" width="3.0" style="1122"/>
    <col min="11490" max="11490" customWidth="1" bestFit="1" width="3.0" style="1122"/>
    <col min="11491" max="11491" customWidth="1" bestFit="1" width="3.0" style="1122"/>
    <col min="11492" max="11492" customWidth="1" bestFit="1" width="3.0" style="1122"/>
    <col min="11493" max="11493" customWidth="1" bestFit="1" width="3.0" style="1122"/>
    <col min="11494" max="11494" customWidth="1" bestFit="1" width="3.0" style="1122"/>
    <col min="11495" max="11495" customWidth="1" bestFit="1" width="3.0" style="1122"/>
    <col min="11496" max="11496" customWidth="1" bestFit="1" width="3.0" style="1122"/>
    <col min="11497" max="11497" customWidth="1" bestFit="1" width="3.0" style="1122"/>
    <col min="11498" max="11498" customWidth="1" bestFit="1" width="3.0" style="1122"/>
    <col min="11499" max="11499" customWidth="1" bestFit="1" width="3.0" style="1122"/>
    <col min="11500" max="11500" customWidth="1" bestFit="1" width="3.0" style="1122"/>
    <col min="11501" max="11501" customWidth="1" bestFit="1" width="3.0" style="1122"/>
    <col min="11502" max="11502" customWidth="1" bestFit="1" width="3.0" style="1122"/>
    <col min="11503" max="11503" customWidth="1" bestFit="1" width="3.0" style="1122"/>
    <col min="11504" max="11504" customWidth="1" bestFit="1" width="3.0" style="1122"/>
    <col min="11505" max="11505" customWidth="1" bestFit="1" width="3.0" style="1122"/>
    <col min="11506" max="11506" customWidth="1" bestFit="1" width="3.0" style="1122"/>
    <col min="11507" max="11507" customWidth="1" bestFit="1" width="3.0" style="1122"/>
    <col min="11508" max="11508" customWidth="1" bestFit="1" width="3.0" style="1122"/>
    <col min="11509" max="11509" customWidth="1" bestFit="1" width="3.0" style="1122"/>
    <col min="11510" max="11510" customWidth="1" bestFit="1" width="3.0" style="1122"/>
    <col min="11511" max="11511" customWidth="1" bestFit="1" width="3.0" style="1122"/>
    <col min="11512" max="11512" customWidth="1" bestFit="1" width="3.0" style="1122"/>
    <col min="11513" max="11513" customWidth="1" bestFit="1" width="3.0" style="1122"/>
    <col min="11514" max="11514" customWidth="1" bestFit="1" width="3.0" style="1122"/>
    <col min="11515" max="11515" customWidth="1" bestFit="1" width="3.0" style="1122"/>
    <col min="11516" max="11516" customWidth="1" bestFit="1" width="3.0" style="1122"/>
    <col min="11517" max="11517" customWidth="1" bestFit="1" width="3.0" style="1122"/>
    <col min="11518" max="11518" customWidth="1" bestFit="1" width="3.0" style="1122"/>
    <col min="11519" max="11519" customWidth="1" bestFit="1" width="3.0" style="1122"/>
    <col min="11520" max="11520" customWidth="1" bestFit="1" width="3.0" style="1122"/>
    <col min="11521" max="11521" customWidth="1" bestFit="1" width="3.0" style="1122"/>
    <col min="11522" max="11522" customWidth="1" bestFit="1" width="3.0" style="1122"/>
    <col min="11523" max="11523" customWidth="1" bestFit="1" width="3.0" style="1122"/>
    <col min="11524" max="11524" customWidth="1" bestFit="1" width="3.0" style="1122"/>
    <col min="11525" max="11525" customWidth="1" bestFit="1" width="3.0" style="1122"/>
    <col min="11526" max="11526" customWidth="1" bestFit="1" width="3.0" style="1122"/>
    <col min="11527" max="11527" customWidth="1" bestFit="1" width="3.0" style="1122"/>
    <col min="11528" max="11528" customWidth="1" bestFit="1" width="3.0" style="1122"/>
    <col min="11529" max="11529" customWidth="1" bestFit="1" width="3.0" style="1122"/>
    <col min="11530" max="11530" customWidth="1" bestFit="1" width="3.0" style="1122"/>
    <col min="11531" max="11531" customWidth="1" bestFit="1" width="3.0" style="1122"/>
    <col min="11532" max="11532" customWidth="1" bestFit="1" width="3.0" style="1122"/>
    <col min="11533" max="11533" customWidth="1" bestFit="1" width="3.0" style="1122"/>
    <col min="11534" max="11534" customWidth="1" bestFit="1" width="3.0" style="1122"/>
    <col min="11535" max="11535" customWidth="1" bestFit="1" width="3.0" style="1122"/>
    <col min="11536" max="11536" customWidth="1" bestFit="1" width="3.0" style="1122"/>
    <col min="11537" max="11537" customWidth="1" bestFit="1" width="3.0" style="1122"/>
    <col min="11538" max="11538" customWidth="1" bestFit="1" width="3.0" style="1122"/>
    <col min="11539" max="11539" customWidth="1" bestFit="1" width="3.0" style="1122"/>
    <col min="11540" max="11540" customWidth="1" bestFit="1" width="3.0" style="1122"/>
    <col min="11541" max="11541" customWidth="1" bestFit="1" width="3.0" style="1122"/>
    <col min="11542" max="11542" customWidth="1" bestFit="1" width="3.0" style="1122"/>
    <col min="11543" max="11543" customWidth="1" bestFit="1" width="3.0" style="1122"/>
    <col min="11544" max="11544" customWidth="1" bestFit="1" width="3.0" style="1122"/>
    <col min="11545" max="11545" customWidth="1" bestFit="1" width="3.0" style="1122"/>
    <col min="11546" max="11546" customWidth="1" bestFit="1" width="3.0" style="1122"/>
    <col min="11547" max="11547" customWidth="1" bestFit="1" width="3.0" style="1122"/>
    <col min="11548" max="11548" customWidth="1" bestFit="1" width="3.0" style="1122"/>
    <col min="11549" max="11549" customWidth="1" bestFit="1" width="3.0" style="1122"/>
    <col min="11550" max="11550" customWidth="1" bestFit="1" width="3.0" style="1122"/>
    <col min="11551" max="11551" customWidth="1" bestFit="1" width="3.0" style="1122"/>
    <col min="11552" max="11552" customWidth="1" bestFit="1" width="3.0" style="1122"/>
    <col min="11553" max="11553" customWidth="1" bestFit="1" width="3.0" style="1122"/>
    <col min="11554" max="11554" customWidth="1" bestFit="1" width="3.0" style="1122"/>
    <col min="11555" max="11555" customWidth="1" bestFit="1" width="3.0" style="1122"/>
    <col min="11556" max="11556" customWidth="1" bestFit="1" width="3.0" style="1122"/>
    <col min="11557" max="11557" customWidth="1" bestFit="1" width="3.0" style="1122"/>
    <col min="11558" max="11558" customWidth="1" bestFit="1" width="3.0" style="1122"/>
    <col min="11559" max="11559" customWidth="1" bestFit="1" width="3.0" style="1122"/>
    <col min="11560" max="11560" customWidth="1" bestFit="1" width="3.0" style="1122"/>
    <col min="11561" max="11561" customWidth="1" bestFit="1" width="3.0" style="1122"/>
    <col min="11562" max="11562" customWidth="1" bestFit="1" width="3.0" style="1122"/>
    <col min="11563" max="11563" customWidth="1" bestFit="1" width="3.0" style="1122"/>
    <col min="11564" max="11564" customWidth="1" bestFit="1" width="3.0" style="1122"/>
    <col min="11565" max="11565" customWidth="1" bestFit="1" width="3.0" style="1122"/>
    <col min="11566" max="11566" customWidth="1" bestFit="1" width="3.0" style="1122"/>
    <col min="11567" max="11567" customWidth="1" bestFit="1" width="3.0" style="1122"/>
    <col min="11568" max="11568" customWidth="1" bestFit="1" width="3.0" style="1122"/>
    <col min="11569" max="11569" customWidth="1" bestFit="1" width="3.0" style="1122"/>
    <col min="11570" max="11570" customWidth="1" bestFit="1" width="3.0" style="1122"/>
    <col min="11571" max="11571" customWidth="1" bestFit="1" width="3.0" style="1122"/>
    <col min="11572" max="11572" customWidth="1" bestFit="1" width="3.0" style="1122"/>
    <col min="11573" max="11573" customWidth="1" bestFit="1" width="3.0" style="1122"/>
    <col min="11574" max="11574" customWidth="1" bestFit="1" width="3.0" style="1122"/>
    <col min="11575" max="11575" customWidth="1" bestFit="1" width="3.0" style="1122"/>
    <col min="11576" max="11576" customWidth="1" bestFit="1" width="3.0" style="1122"/>
    <col min="11577" max="11577" customWidth="1" bestFit="1" width="3.0" style="1122"/>
    <col min="11578" max="11578" customWidth="1" bestFit="1" width="3.0" style="1122"/>
    <col min="11579" max="11579" customWidth="1" bestFit="1" width="3.0" style="1122"/>
    <col min="11580" max="11580" customWidth="1" bestFit="1" width="3.0" style="1122"/>
    <col min="11581" max="11581" customWidth="1" bestFit="1" width="3.0" style="1122"/>
    <col min="11582" max="11582" customWidth="1" bestFit="1" width="3.0" style="1122"/>
    <col min="11583" max="11583" customWidth="1" bestFit="1" width="3.0" style="1122"/>
    <col min="11584" max="11584" customWidth="1" bestFit="1" width="3.0" style="1122"/>
    <col min="11585" max="11585" customWidth="1" bestFit="1" width="3.0" style="1122"/>
    <col min="11586" max="11586" customWidth="1" bestFit="1" width="3.0" style="1122"/>
    <col min="11587" max="11587" customWidth="1" bestFit="1" width="3.0" style="1122"/>
    <col min="11588" max="11588" customWidth="1" bestFit="1" width="3.0" style="1122"/>
    <col min="11589" max="11589" customWidth="1" bestFit="1" width="3.0" style="1122"/>
    <col min="11590" max="11590" customWidth="1" bestFit="1" width="3.0" style="1122"/>
    <col min="11591" max="11591" customWidth="1" bestFit="1" width="3.0" style="1122"/>
    <col min="11592" max="11592" customWidth="1" bestFit="1" width="3.0" style="1122"/>
    <col min="11593" max="11593" customWidth="1" bestFit="1" width="3.0" style="1122"/>
    <col min="11594" max="11594" customWidth="1" bestFit="1" width="3.0" style="1122"/>
    <col min="11595" max="11595" customWidth="1" bestFit="1" width="3.0" style="1122"/>
    <col min="11596" max="11596" customWidth="1" bestFit="1" width="3.0" style="1122"/>
    <col min="11597" max="11597" customWidth="1" bestFit="1" width="3.0" style="1122"/>
    <col min="11598" max="11598" customWidth="1" bestFit="1" width="3.0" style="1122"/>
    <col min="11599" max="11599" customWidth="1" bestFit="1" width="3.0" style="1122"/>
    <col min="11600" max="11600" customWidth="1" bestFit="1" width="3.0" style="1122"/>
    <col min="11601" max="11601" customWidth="1" bestFit="1" width="3.0" style="1122"/>
    <col min="11602" max="11602" customWidth="1" bestFit="1" width="3.0" style="1122"/>
    <col min="11603" max="11603" customWidth="1" bestFit="1" width="3.0" style="1122"/>
    <col min="11604" max="11604" customWidth="1" bestFit="1" width="3.0" style="1122"/>
    <col min="11605" max="11605" customWidth="1" bestFit="1" width="3.0" style="1122"/>
    <col min="11606" max="11606" customWidth="1" bestFit="1" width="3.0" style="1122"/>
    <col min="11607" max="11607" customWidth="1" bestFit="1" width="3.0" style="1122"/>
    <col min="11608" max="11608" customWidth="1" bestFit="1" width="3.0" style="1122"/>
    <col min="11609" max="11609" customWidth="1" bestFit="1" width="3.0" style="1122"/>
    <col min="11610" max="11610" customWidth="1" bestFit="1" width="3.0" style="1122"/>
    <col min="11611" max="11611" customWidth="1" bestFit="1" width="3.0" style="1122"/>
    <col min="11612" max="11612" customWidth="1" bestFit="1" width="3.0" style="1122"/>
    <col min="11613" max="11613" customWidth="1" bestFit="1" width="3.0" style="1122"/>
    <col min="11614" max="11614" customWidth="1" bestFit="1" width="3.0" style="1122"/>
    <col min="11615" max="11615" customWidth="1" bestFit="1" width="3.0" style="1122"/>
    <col min="11616" max="11616" customWidth="1" bestFit="1" width="3.0" style="1122"/>
    <col min="11617" max="11617" customWidth="1" bestFit="1" width="3.0" style="1122"/>
    <col min="11618" max="11618" customWidth="1" bestFit="1" width="3.0" style="1122"/>
    <col min="11619" max="11619" customWidth="1" bestFit="1" width="3.0" style="1122"/>
    <col min="11620" max="11620" customWidth="1" bestFit="1" width="3.0" style="1122"/>
    <col min="11621" max="11621" customWidth="1" bestFit="1" width="3.0" style="1122"/>
    <col min="11622" max="11622" customWidth="1" bestFit="1" width="3.0" style="1122"/>
    <col min="11623" max="11623" customWidth="1" bestFit="1" width="3.0" style="1122"/>
    <col min="11624" max="11624" customWidth="1" bestFit="1" width="3.0" style="1122"/>
    <col min="11625" max="11625" customWidth="1" bestFit="1" width="3.0" style="1122"/>
    <col min="11626" max="11626" customWidth="1" bestFit="1" width="3.0" style="1122"/>
    <col min="11627" max="11627" customWidth="1" bestFit="1" width="3.0" style="1122"/>
    <col min="11628" max="11628" customWidth="1" bestFit="1" width="3.0" style="1122"/>
    <col min="11629" max="11629" customWidth="1" bestFit="1" width="3.0" style="1122"/>
    <col min="11630" max="11630" customWidth="1" bestFit="1" width="3.0" style="1122"/>
    <col min="11631" max="11631" customWidth="1" bestFit="1" width="3.0" style="1122"/>
    <col min="11632" max="11632" customWidth="1" bestFit="1" width="3.0" style="1122"/>
    <col min="11633" max="11633" customWidth="1" bestFit="1" width="3.0" style="1122"/>
    <col min="11634" max="11634" customWidth="1" bestFit="1" width="3.0" style="1122"/>
    <col min="11635" max="11635" customWidth="1" bestFit="1" width="3.0" style="1122"/>
    <col min="11636" max="11636" customWidth="1" bestFit="1" width="3.0" style="1122"/>
    <col min="11637" max="11637" customWidth="1" bestFit="1" width="3.0" style="1122"/>
    <col min="11638" max="11638" customWidth="1" bestFit="1" width="3.0" style="1122"/>
    <col min="11639" max="11639" customWidth="1" bestFit="1" width="3.0" style="1122"/>
    <col min="11640" max="11640" customWidth="1" bestFit="1" width="3.0" style="1122"/>
    <col min="11641" max="11641" customWidth="1" bestFit="1" width="3.0" style="1122"/>
    <col min="11642" max="11642" customWidth="1" bestFit="1" width="3.0" style="1122"/>
    <col min="11643" max="11643" customWidth="1" bestFit="1" width="3.0" style="1122"/>
    <col min="11644" max="11644" customWidth="1" bestFit="1" width="3.0" style="1122"/>
    <col min="11645" max="11645" customWidth="1" bestFit="1" width="3.0" style="1122"/>
    <col min="11646" max="11646" customWidth="1" bestFit="1" width="3.0" style="1122"/>
    <col min="11647" max="11647" customWidth="1" bestFit="1" width="3.0" style="1122"/>
    <col min="11648" max="11648" customWidth="1" bestFit="1" width="3.0" style="1122"/>
    <col min="11649" max="11649" customWidth="1" bestFit="1" width="3.0" style="1122"/>
    <col min="11650" max="11650" customWidth="1" bestFit="1" width="3.0" style="1122"/>
    <col min="11651" max="11651" customWidth="1" bestFit="1" width="3.0" style="1122"/>
    <col min="11652" max="11652" customWidth="1" bestFit="1" width="3.0" style="1122"/>
    <col min="11653" max="11653" customWidth="1" bestFit="1" width="3.0" style="1122"/>
    <col min="11654" max="11654" customWidth="1" bestFit="1" width="3.0" style="1122"/>
    <col min="11655" max="11655" customWidth="1" bestFit="1" width="3.0" style="1122"/>
    <col min="11656" max="11656" customWidth="1" bestFit="1" width="3.0" style="1122"/>
    <col min="11657" max="11657" customWidth="1" bestFit="1" width="3.0" style="1122"/>
    <col min="11658" max="11658" customWidth="1" bestFit="1" width="3.0" style="1122"/>
    <col min="11659" max="11659" customWidth="1" bestFit="1" width="3.0" style="1122"/>
    <col min="11660" max="11660" customWidth="1" bestFit="1" width="3.0" style="1122"/>
    <col min="11661" max="11661" customWidth="1" bestFit="1" width="3.0" style="1122"/>
    <col min="11662" max="11662" customWidth="1" bestFit="1" width="3.0" style="1122"/>
    <col min="11663" max="11663" customWidth="1" bestFit="1" width="3.0" style="1122"/>
    <col min="11664" max="11664" customWidth="1" bestFit="1" width="3.0" style="1122"/>
    <col min="11665" max="11665" customWidth="1" bestFit="1" width="3.0" style="1122"/>
    <col min="11666" max="11666" customWidth="1" bestFit="1" width="3.0" style="1122"/>
    <col min="11667" max="11667" customWidth="1" bestFit="1" width="3.0" style="1122"/>
    <col min="11668" max="11668" customWidth="1" bestFit="1" width="3.0" style="1122"/>
    <col min="11669" max="11669" customWidth="1" bestFit="1" width="3.0" style="1122"/>
    <col min="11670" max="11670" customWidth="1" bestFit="1" width="3.0" style="1122"/>
    <col min="11671" max="11671" customWidth="1" bestFit="1" width="3.0" style="1122"/>
    <col min="11672" max="11672" customWidth="1" bestFit="1" width="3.0" style="1122"/>
    <col min="11673" max="11673" customWidth="1" bestFit="1" width="3.0" style="1122"/>
    <col min="11674" max="11674" customWidth="1" bestFit="1" width="3.0" style="1122"/>
    <col min="11675" max="11675" customWidth="1" bestFit="1" width="3.0" style="1122"/>
    <col min="11676" max="11676" customWidth="1" bestFit="1" width="3.0" style="1122"/>
    <col min="11677" max="11677" customWidth="1" bestFit="1" width="3.0" style="1122"/>
    <col min="11678" max="11678" customWidth="1" bestFit="1" width="3.0" style="1122"/>
    <col min="11679" max="11679" customWidth="1" bestFit="1" width="3.0" style="1122"/>
    <col min="11680" max="11680" customWidth="1" bestFit="1" width="3.0" style="1122"/>
    <col min="11681" max="11681" customWidth="1" bestFit="1" width="3.0" style="1122"/>
    <col min="11682" max="11682" customWidth="1" bestFit="1" width="3.0" style="1122"/>
    <col min="11683" max="11683" customWidth="1" bestFit="1" width="3.0" style="1122"/>
    <col min="11684" max="11684" customWidth="1" bestFit="1" width="3.0" style="1122"/>
    <col min="11685" max="11685" customWidth="1" bestFit="1" width="3.0" style="1122"/>
    <col min="11686" max="11686" customWidth="1" bestFit="1" width="3.0" style="1122"/>
    <col min="11687" max="11687" customWidth="1" bestFit="1" width="3.0" style="1122"/>
    <col min="11688" max="11688" customWidth="1" bestFit="1" width="3.0" style="1122"/>
    <col min="11689" max="11689" customWidth="1" bestFit="1" width="3.0" style="1122"/>
    <col min="11690" max="11690" customWidth="1" bestFit="1" width="3.0" style="1122"/>
    <col min="11691" max="11691" customWidth="1" bestFit="1" width="3.0" style="1122"/>
    <col min="11692" max="11692" customWidth="1" bestFit="1" width="3.0" style="1122"/>
    <col min="11693" max="11693" customWidth="1" bestFit="1" width="3.0" style="1122"/>
    <col min="11694" max="11694" customWidth="1" bestFit="1" width="3.0" style="1122"/>
    <col min="11695" max="11695" customWidth="1" bestFit="1" width="3.0" style="1122"/>
    <col min="11696" max="11696" customWidth="1" bestFit="1" width="3.0" style="1122"/>
    <col min="11697" max="11697" customWidth="1" bestFit="1" width="3.0" style="1122"/>
    <col min="11698" max="11698" customWidth="1" bestFit="1" width="3.0" style="1122"/>
    <col min="11699" max="11699" customWidth="1" bestFit="1" width="3.0" style="1122"/>
    <col min="11700" max="11700" customWidth="1" bestFit="1" width="3.0" style="1122"/>
    <col min="11701" max="11701" customWidth="1" bestFit="1" width="3.0" style="1122"/>
    <col min="11702" max="11702" customWidth="1" bestFit="1" width="3.0" style="1122"/>
    <col min="11703" max="11703" customWidth="1" bestFit="1" width="3.0" style="1122"/>
    <col min="11704" max="11704" customWidth="1" bestFit="1" width="3.0" style="1122"/>
    <col min="11705" max="11705" customWidth="1" bestFit="1" width="3.0" style="1122"/>
    <col min="11706" max="11706" customWidth="1" bestFit="1" width="3.0" style="1122"/>
    <col min="11707" max="11707" customWidth="1" bestFit="1" width="3.0" style="1122"/>
    <col min="11708" max="11708" customWidth="1" bestFit="1" width="3.0" style="1122"/>
    <col min="11709" max="11709" customWidth="1" bestFit="1" width="3.0" style="1122"/>
    <col min="11710" max="11710" customWidth="1" bestFit="1" width="3.0" style="1122"/>
    <col min="11711" max="11711" customWidth="1" bestFit="1" width="3.0" style="1122"/>
    <col min="11712" max="11712" customWidth="1" bestFit="1" width="3.0" style="1122"/>
    <col min="11713" max="11713" customWidth="1" bestFit="1" width="3.0" style="1122"/>
    <col min="11714" max="11714" customWidth="1" bestFit="1" width="3.0" style="1122"/>
    <col min="11715" max="11715" customWidth="1" bestFit="1" width="3.0" style="1122"/>
    <col min="11716" max="11716" customWidth="1" bestFit="1" width="3.0" style="1122"/>
    <col min="11717" max="11717" customWidth="1" bestFit="1" width="3.0" style="1122"/>
    <col min="11718" max="11718" customWidth="1" bestFit="1" width="3.0" style="1122"/>
    <col min="11719" max="11719" customWidth="1" bestFit="1" width="3.0" style="1122"/>
    <col min="11720" max="11720" customWidth="1" bestFit="1" width="3.0" style="1122"/>
    <col min="11721" max="11721" customWidth="1" bestFit="1" width="3.0" style="1122"/>
    <col min="11722" max="11722" customWidth="1" bestFit="1" width="3.0" style="1122"/>
    <col min="11723" max="11723" customWidth="1" bestFit="1" width="3.0" style="1122"/>
    <col min="11724" max="11724" customWidth="1" bestFit="1" width="3.0" style="1122"/>
    <col min="11725" max="11725" customWidth="1" bestFit="1" width="3.0" style="1122"/>
    <col min="11726" max="11726" customWidth="1" bestFit="1" width="3.0" style="1122"/>
    <col min="11727" max="11727" customWidth="1" bestFit="1" width="3.0" style="1122"/>
    <col min="11728" max="11728" customWidth="1" bestFit="1" width="3.0" style="1122"/>
    <col min="11729" max="11729" customWidth="1" bestFit="1" width="3.0" style="1122"/>
    <col min="11730" max="11730" customWidth="1" bestFit="1" width="3.0" style="1122"/>
    <col min="11731" max="11731" customWidth="1" bestFit="1" width="3.0" style="1122"/>
    <col min="11732" max="11732" customWidth="1" bestFit="1" width="3.0" style="1122"/>
    <col min="11733" max="11733" customWidth="1" bestFit="1" width="3.0" style="1122"/>
    <col min="11734" max="11734" customWidth="1" bestFit="1" width="3.0" style="1122"/>
    <col min="11735" max="11735" customWidth="1" bestFit="1" width="3.0" style="1122"/>
    <col min="11736" max="11736" customWidth="1" bestFit="1" width="3.0" style="1122"/>
    <col min="11737" max="11737" customWidth="1" bestFit="1" width="3.0" style="1122"/>
    <col min="11738" max="11738" customWidth="1" bestFit="1" width="3.0" style="1122"/>
    <col min="11739" max="11739" customWidth="1" bestFit="1" width="3.0" style="1122"/>
    <col min="11740" max="11740" customWidth="1" bestFit="1" width="3.0" style="1122"/>
    <col min="11741" max="11741" customWidth="1" bestFit="1" width="3.0" style="1122"/>
    <col min="11742" max="11742" customWidth="1" bestFit="1" width="3.0" style="1122"/>
    <col min="11743" max="11743" customWidth="1" bestFit="1" width="3.0" style="1122"/>
    <col min="11744" max="11744" customWidth="1" bestFit="1" width="3.0" style="1122"/>
    <col min="11745" max="11745" customWidth="1" bestFit="1" width="3.0" style="1122"/>
    <col min="11746" max="11746" customWidth="1" bestFit="1" width="3.0" style="1122"/>
    <col min="11747" max="11747" customWidth="1" bestFit="1" width="3.0" style="1122"/>
    <col min="11748" max="11748" customWidth="1" bestFit="1" width="3.0" style="1122"/>
    <col min="11749" max="11749" customWidth="1" bestFit="1" width="3.0" style="1122"/>
    <col min="11750" max="11750" customWidth="1" bestFit="1" width="3.0" style="1122"/>
    <col min="11751" max="11751" customWidth="1" bestFit="1" width="3.0" style="1122"/>
    <col min="11752" max="11752" customWidth="1" bestFit="1" width="3.0" style="1122"/>
    <col min="11753" max="11753" customWidth="1" bestFit="1" width="3.0" style="1122"/>
    <col min="11754" max="11754" customWidth="1" bestFit="1" width="3.0" style="1122"/>
    <col min="11755" max="11755" customWidth="1" bestFit="1" width="3.0" style="1122"/>
    <col min="11756" max="11756" customWidth="1" bestFit="1" width="3.0" style="1122"/>
    <col min="11757" max="11757" customWidth="1" bestFit="1" width="3.0" style="1122"/>
    <col min="11758" max="11758" customWidth="1" bestFit="1" width="3.0" style="1122"/>
    <col min="11759" max="11759" customWidth="1" bestFit="1" width="3.0" style="1122"/>
    <col min="11760" max="11760" customWidth="1" bestFit="1" width="3.0" style="1122"/>
    <col min="11761" max="11761" customWidth="1" bestFit="1" width="3.0" style="1122"/>
    <col min="11762" max="11762" customWidth="1" bestFit="1" width="3.0" style="1122"/>
    <col min="11763" max="11763" customWidth="1" bestFit="1" width="3.0" style="1122"/>
    <col min="11764" max="11764" customWidth="1" bestFit="1" width="3.0" style="1122"/>
    <col min="11765" max="11765" customWidth="1" bestFit="1" width="3.0" style="1122"/>
    <col min="11766" max="11766" customWidth="1" bestFit="1" width="3.0" style="1122"/>
    <col min="11767" max="11767" customWidth="1" bestFit="1" width="3.0" style="1122"/>
    <col min="11768" max="11768" customWidth="1" bestFit="1" width="3.0" style="1122"/>
    <col min="11769" max="11769" customWidth="1" bestFit="1" width="3.0" style="1122"/>
    <col min="11770" max="11770" customWidth="1" bestFit="1" width="3.0" style="1122"/>
    <col min="11771" max="11771" customWidth="1" bestFit="1" width="3.0" style="1122"/>
    <col min="11772" max="11772" customWidth="1" bestFit="1" width="3.0" style="1122"/>
    <col min="11773" max="11773" customWidth="1" bestFit="1" width="3.0" style="1122"/>
    <col min="11774" max="11774" customWidth="1" bestFit="1" width="3.0" style="1122"/>
    <col min="11775" max="11775" customWidth="1" bestFit="1" width="3.0" style="1122"/>
    <col min="11776" max="11776" customWidth="1" bestFit="1" width="3.0" style="1122"/>
    <col min="11777" max="11777" customWidth="1" bestFit="1" width="3.0" style="1122"/>
    <col min="11778" max="11778" customWidth="1" bestFit="1" width="3.0" style="1122"/>
    <col min="11779" max="11779" customWidth="1" bestFit="1" width="3.0" style="1122"/>
    <col min="11780" max="11780" customWidth="1" bestFit="1" width="3.0" style="1122"/>
    <col min="11781" max="11781" customWidth="1" bestFit="1" width="3.0" style="1122"/>
    <col min="11782" max="11782" customWidth="1" bestFit="1" width="3.0" style="1122"/>
    <col min="11783" max="11783" customWidth="1" bestFit="1" width="3.0" style="1122"/>
    <col min="11784" max="11784" customWidth="1" bestFit="1" width="3.0" style="1122"/>
    <col min="11785" max="11785" customWidth="1" bestFit="1" width="3.0" style="1122"/>
    <col min="11786" max="11786" customWidth="1" bestFit="1" width="3.0" style="1122"/>
    <col min="11787" max="11787" customWidth="1" bestFit="1" width="3.0" style="1122"/>
    <col min="11788" max="11788" customWidth="1" bestFit="1" width="3.0" style="1122"/>
    <col min="11789" max="11789" customWidth="1" bestFit="1" width="3.0" style="1122"/>
    <col min="11790" max="11790" customWidth="1" bestFit="1" width="3.0" style="1122"/>
    <col min="11791" max="11791" customWidth="1" bestFit="1" width="3.0" style="1122"/>
    <col min="11792" max="11792" customWidth="1" bestFit="1" width="3.0" style="1122"/>
    <col min="11793" max="11793" customWidth="1" bestFit="1" width="3.0" style="1122"/>
    <col min="11794" max="11794" customWidth="1" bestFit="1" width="3.0" style="1122"/>
    <col min="11795" max="11795" customWidth="1" bestFit="1" width="3.0" style="1122"/>
    <col min="11796" max="11796" customWidth="1" bestFit="1" width="3.0" style="1122"/>
    <col min="11797" max="11797" customWidth="1" bestFit="1" width="3.0" style="1122"/>
    <col min="11798" max="11798" customWidth="1" bestFit="1" width="3.0" style="1122"/>
    <col min="11799" max="11799" customWidth="1" bestFit="1" width="3.0" style="1122"/>
    <col min="11800" max="11800" customWidth="1" bestFit="1" width="3.0" style="1122"/>
    <col min="11801" max="11801" customWidth="1" bestFit="1" width="3.0" style="1122"/>
    <col min="11802" max="11802" customWidth="1" bestFit="1" width="3.0" style="1122"/>
    <col min="11803" max="11803" customWidth="1" bestFit="1" width="3.0" style="1122"/>
    <col min="11804" max="11804" customWidth="1" bestFit="1" width="3.0" style="1122"/>
    <col min="11805" max="11805" customWidth="1" bestFit="1" width="3.0" style="1122"/>
    <col min="11806" max="11806" customWidth="1" bestFit="1" width="3.0" style="1122"/>
    <col min="11807" max="11807" customWidth="1" bestFit="1" width="3.0" style="1122"/>
    <col min="11808" max="11808" customWidth="1" bestFit="1" width="3.0" style="1122"/>
    <col min="11809" max="11809" customWidth="1" bestFit="1" width="3.0" style="1122"/>
    <col min="11810" max="11810" customWidth="1" bestFit="1" width="3.0" style="1122"/>
    <col min="11811" max="11811" customWidth="1" bestFit="1" width="3.0" style="1122"/>
    <col min="11812" max="11812" customWidth="1" bestFit="1" width="3.0" style="1122"/>
    <col min="11813" max="11813" customWidth="1" bestFit="1" width="3.0" style="1122"/>
    <col min="11814" max="11814" customWidth="1" bestFit="1" width="3.0" style="1122"/>
    <col min="11815" max="11815" customWidth="1" bestFit="1" width="3.0" style="1122"/>
    <col min="11816" max="11816" customWidth="1" bestFit="1" width="3.0" style="1122"/>
    <col min="11817" max="11817" customWidth="1" bestFit="1" width="3.0" style="1122"/>
    <col min="11818" max="11818" customWidth="1" bestFit="1" width="3.0" style="1122"/>
    <col min="11819" max="11819" customWidth="1" bestFit="1" width="3.0" style="1122"/>
    <col min="11820" max="11820" customWidth="1" bestFit="1" width="3.0" style="1122"/>
    <col min="11821" max="11821" customWidth="1" bestFit="1" width="3.0" style="1122"/>
    <col min="11822" max="11822" customWidth="1" bestFit="1" width="3.0" style="1122"/>
    <col min="11823" max="11823" customWidth="1" bestFit="1" width="3.0" style="1122"/>
    <col min="11824" max="11824" customWidth="1" bestFit="1" width="3.0" style="1122"/>
    <col min="11825" max="11825" customWidth="1" bestFit="1" width="3.0" style="1122"/>
    <col min="11826" max="11826" customWidth="1" bestFit="1" width="3.0" style="1122"/>
    <col min="11827" max="11827" customWidth="1" bestFit="1" width="3.0" style="1122"/>
    <col min="11828" max="11828" customWidth="1" bestFit="1" width="3.0" style="1122"/>
    <col min="11829" max="11829" customWidth="1" bestFit="1" width="3.0" style="1122"/>
    <col min="11830" max="11830" customWidth="1" bestFit="1" width="3.0" style="1122"/>
    <col min="11831" max="11831" customWidth="1" bestFit="1" width="3.0" style="1122"/>
    <col min="11832" max="11832" customWidth="1" bestFit="1" width="3.0" style="1122"/>
    <col min="11833" max="11833" customWidth="1" bestFit="1" width="3.0" style="1122"/>
    <col min="11834" max="11834" customWidth="1" bestFit="1" width="3.0" style="1122"/>
    <col min="11835" max="11835" customWidth="1" bestFit="1" width="3.0" style="1122"/>
    <col min="11836" max="11836" customWidth="1" bestFit="1" width="3.0" style="1122"/>
    <col min="11837" max="11837" customWidth="1" bestFit="1" width="3.0" style="1122"/>
    <col min="11838" max="11838" customWidth="1" bestFit="1" width="3.0" style="1122"/>
    <col min="11839" max="11839" customWidth="1" bestFit="1" width="3.0" style="1122"/>
    <col min="11840" max="11840" customWidth="1" bestFit="1" width="3.0" style="1122"/>
    <col min="11841" max="11841" customWidth="1" bestFit="1" width="3.0" style="1122"/>
    <col min="11842" max="11842" customWidth="1" bestFit="1" width="3.0" style="1122"/>
    <col min="11843" max="11843" customWidth="1" bestFit="1" width="3.0" style="1122"/>
    <col min="11844" max="11844" customWidth="1" bestFit="1" width="3.0" style="1122"/>
    <col min="11845" max="11845" customWidth="1" bestFit="1" width="3.0" style="1122"/>
    <col min="11846" max="11846" customWidth="1" bestFit="1" width="3.0" style="1122"/>
    <col min="11847" max="11847" customWidth="1" bestFit="1" width="3.0" style="1122"/>
    <col min="11848" max="11848" customWidth="1" bestFit="1" width="3.0" style="1122"/>
    <col min="11849" max="11849" customWidth="1" bestFit="1" width="3.0" style="1122"/>
    <col min="11850" max="11850" customWidth="1" bestFit="1" width="3.0" style="1122"/>
    <col min="11851" max="11851" customWidth="1" bestFit="1" width="3.0" style="1122"/>
    <col min="11852" max="11852" customWidth="1" bestFit="1" width="3.0" style="1122"/>
    <col min="11853" max="11853" customWidth="1" bestFit="1" width="3.0" style="1122"/>
    <col min="11854" max="11854" customWidth="1" bestFit="1" width="3.0" style="1122"/>
    <col min="11855" max="11855" customWidth="1" bestFit="1" width="3.0" style="1122"/>
    <col min="11856" max="11856" customWidth="1" bestFit="1" width="3.0" style="1122"/>
    <col min="11857" max="11857" customWidth="1" bestFit="1" width="3.0" style="1122"/>
    <col min="11858" max="11858" customWidth="1" bestFit="1" width="3.0" style="1122"/>
    <col min="11859" max="11859" customWidth="1" bestFit="1" width="3.0" style="1122"/>
    <col min="11860" max="11860" customWidth="1" bestFit="1" width="3.0" style="1122"/>
    <col min="11861" max="11861" customWidth="1" bestFit="1" width="3.0" style="1122"/>
    <col min="11862" max="11862" customWidth="1" bestFit="1" width="3.0" style="1122"/>
    <col min="11863" max="11863" customWidth="1" bestFit="1" width="3.0" style="1122"/>
    <col min="11864" max="11864" customWidth="1" bestFit="1" width="3.0" style="1122"/>
    <col min="11865" max="11865" customWidth="1" bestFit="1" width="3.0" style="1122"/>
    <col min="11866" max="11866" customWidth="1" bestFit="1" width="3.0" style="1122"/>
    <col min="11867" max="11867" customWidth="1" bestFit="1" width="3.0" style="1122"/>
    <col min="11868" max="11868" customWidth="1" bestFit="1" width="3.0" style="1122"/>
    <col min="11869" max="11869" customWidth="1" bestFit="1" width="3.0" style="1122"/>
    <col min="11870" max="11870" customWidth="1" bestFit="1" width="3.0" style="1122"/>
    <col min="11871" max="11871" customWidth="1" bestFit="1" width="3.0" style="1122"/>
    <col min="11872" max="11872" customWidth="1" bestFit="1" width="3.0" style="1122"/>
    <col min="11873" max="11873" customWidth="1" bestFit="1" width="3.0" style="1122"/>
    <col min="11874" max="11874" customWidth="1" bestFit="1" width="3.0" style="1122"/>
    <col min="11875" max="11875" customWidth="1" bestFit="1" width="3.0" style="1122"/>
    <col min="11876" max="11876" customWidth="1" bestFit="1" width="3.0" style="1122"/>
    <col min="11877" max="11877" customWidth="1" bestFit="1" width="3.0" style="1122"/>
    <col min="11878" max="11878" customWidth="1" bestFit="1" width="3.0" style="1122"/>
    <col min="11879" max="11879" customWidth="1" bestFit="1" width="3.0" style="1122"/>
    <col min="11880" max="11880" customWidth="1" bestFit="1" width="3.0" style="1122"/>
    <col min="11881" max="11881" customWidth="1" bestFit="1" width="3.0" style="1122"/>
    <col min="11882" max="11882" customWidth="1" bestFit="1" width="3.0" style="1122"/>
    <col min="11883" max="11883" customWidth="1" bestFit="1" width="3.0" style="1122"/>
    <col min="11884" max="11884" customWidth="1" bestFit="1" width="3.0" style="1122"/>
    <col min="11885" max="11885" customWidth="1" bestFit="1" width="3.0" style="1122"/>
    <col min="11886" max="11886" customWidth="1" bestFit="1" width="3.0" style="1122"/>
    <col min="11887" max="11887" customWidth="1" bestFit="1" width="3.0" style="1122"/>
    <col min="11888" max="11888" customWidth="1" bestFit="1" width="3.0" style="1122"/>
    <col min="11889" max="11889" customWidth="1" bestFit="1" width="3.0" style="1122"/>
    <col min="11890" max="11890" customWidth="1" bestFit="1" width="3.0" style="1122"/>
    <col min="11891" max="11891" customWidth="1" bestFit="1" width="3.0" style="1122"/>
    <col min="11892" max="11892" customWidth="1" bestFit="1" width="3.0" style="1122"/>
    <col min="11893" max="11893" customWidth="1" bestFit="1" width="3.0" style="1122"/>
    <col min="11894" max="11894" customWidth="1" bestFit="1" width="3.0" style="1122"/>
    <col min="11895" max="11895" customWidth="1" bestFit="1" width="3.0" style="1122"/>
    <col min="11896" max="11896" customWidth="1" bestFit="1" width="3.0" style="1122"/>
    <col min="11897" max="11897" customWidth="1" bestFit="1" width="3.0" style="1122"/>
    <col min="11898" max="11898" customWidth="1" bestFit="1" width="3.0" style="1122"/>
    <col min="11899" max="11899" customWidth="1" bestFit="1" width="3.0" style="1122"/>
    <col min="11900" max="11900" customWidth="1" bestFit="1" width="3.0" style="1122"/>
    <col min="11901" max="11901" customWidth="1" bestFit="1" width="3.0" style="1122"/>
    <col min="11902" max="11902" customWidth="1" bestFit="1" width="3.0" style="1122"/>
    <col min="11903" max="11903" customWidth="1" bestFit="1" width="3.0" style="1122"/>
    <col min="11904" max="11904" customWidth="1" bestFit="1" width="3.0" style="1122"/>
    <col min="11905" max="11905" customWidth="1" bestFit="1" width="3.0" style="1122"/>
    <col min="11906" max="11906" customWidth="1" bestFit="1" width="3.0" style="1122"/>
    <col min="11907" max="11907" customWidth="1" bestFit="1" width="3.0" style="1122"/>
    <col min="11908" max="11908" customWidth="1" bestFit="1" width="3.0" style="1122"/>
    <col min="11909" max="11909" customWidth="1" bestFit="1" width="3.0" style="1122"/>
    <col min="11910" max="11910" customWidth="1" bestFit="1" width="3.0" style="1122"/>
    <col min="11911" max="11911" customWidth="1" bestFit="1" width="3.0" style="1122"/>
    <col min="11912" max="11912" customWidth="1" bestFit="1" width="3.0" style="1122"/>
    <col min="11913" max="11913" customWidth="1" bestFit="1" width="3.0" style="1122"/>
    <col min="11914" max="11914" customWidth="1" bestFit="1" width="3.0" style="1122"/>
    <col min="11915" max="11915" customWidth="1" bestFit="1" width="3.0" style="1122"/>
    <col min="11916" max="11916" customWidth="1" bestFit="1" width="3.0" style="1122"/>
    <col min="11917" max="11917" customWidth="1" bestFit="1" width="3.0" style="1122"/>
    <col min="11918" max="11918" customWidth="1" bestFit="1" width="3.0" style="1122"/>
    <col min="11919" max="11919" customWidth="1" bestFit="1" width="3.0" style="1122"/>
    <col min="11920" max="11920" customWidth="1" bestFit="1" width="3.0" style="1122"/>
    <col min="11921" max="11921" customWidth="1" bestFit="1" width="3.0" style="1122"/>
    <col min="11922" max="11922" customWidth="1" bestFit="1" width="3.0" style="1122"/>
    <col min="11923" max="11923" customWidth="1" bestFit="1" width="3.0" style="1122"/>
    <col min="11924" max="11924" customWidth="1" bestFit="1" width="3.0" style="1122"/>
    <col min="11925" max="11925" customWidth="1" bestFit="1" width="3.0" style="1122"/>
    <col min="11926" max="11926" customWidth="1" bestFit="1" width="3.0" style="1122"/>
    <col min="11927" max="11927" customWidth="1" bestFit="1" width="3.0" style="1122"/>
    <col min="11928" max="11928" customWidth="1" bestFit="1" width="3.0" style="1122"/>
    <col min="11929" max="11929" customWidth="1" bestFit="1" width="3.0" style="1122"/>
    <col min="11930" max="11930" customWidth="1" bestFit="1" width="3.0" style="1122"/>
    <col min="11931" max="11931" customWidth="1" bestFit="1" width="3.0" style="1122"/>
    <col min="11932" max="11932" customWidth="1" bestFit="1" width="3.0" style="1122"/>
    <col min="11933" max="11933" customWidth="1" bestFit="1" width="3.0" style="1122"/>
    <col min="11934" max="11934" customWidth="1" bestFit="1" width="3.0" style="1122"/>
    <col min="11935" max="11935" customWidth="1" bestFit="1" width="3.0" style="1122"/>
    <col min="11936" max="11936" customWidth="1" bestFit="1" width="3.0" style="1122"/>
    <col min="11937" max="11937" customWidth="1" bestFit="1" width="3.0" style="1122"/>
    <col min="11938" max="11938" customWidth="1" bestFit="1" width="3.0" style="1122"/>
    <col min="11939" max="11939" customWidth="1" bestFit="1" width="3.0" style="1122"/>
    <col min="11940" max="11940" customWidth="1" bestFit="1" width="3.0" style="1122"/>
    <col min="11941" max="11941" customWidth="1" bestFit="1" width="3.0" style="1122"/>
    <col min="11942" max="11942" customWidth="1" bestFit="1" width="3.0" style="1122"/>
    <col min="11943" max="11943" customWidth="1" bestFit="1" width="3.0" style="1122"/>
    <col min="11944" max="11944" customWidth="1" bestFit="1" width="3.0" style="1122"/>
    <col min="11945" max="11945" customWidth="1" bestFit="1" width="3.0" style="1122"/>
    <col min="11946" max="11946" customWidth="1" bestFit="1" width="3.0" style="1122"/>
    <col min="11947" max="11947" customWidth="1" bestFit="1" width="3.0" style="1122"/>
    <col min="11948" max="11948" customWidth="1" bestFit="1" width="3.0" style="1122"/>
    <col min="11949" max="11949" customWidth="1" bestFit="1" width="3.0" style="1122"/>
    <col min="11950" max="11950" customWidth="1" bestFit="1" width="3.0" style="1122"/>
    <col min="11951" max="11951" customWidth="1" bestFit="1" width="3.0" style="1122"/>
    <col min="11952" max="11952" customWidth="1" bestFit="1" width="3.0" style="1122"/>
    <col min="11953" max="11953" customWidth="1" bestFit="1" width="3.0" style="1122"/>
    <col min="11954" max="11954" customWidth="1" bestFit="1" width="3.0" style="1122"/>
    <col min="11955" max="11955" customWidth="1" bestFit="1" width="3.0" style="1122"/>
    <col min="11956" max="11956" customWidth="1" bestFit="1" width="3.0" style="1122"/>
    <col min="11957" max="11957" customWidth="1" bestFit="1" width="3.0" style="1122"/>
    <col min="11958" max="11958" customWidth="1" bestFit="1" width="3.0" style="1122"/>
    <col min="11959" max="11959" customWidth="1" bestFit="1" width="3.0" style="1122"/>
    <col min="11960" max="11960" customWidth="1" bestFit="1" width="3.0" style="1122"/>
    <col min="11961" max="11961" customWidth="1" bestFit="1" width="3.0" style="1122"/>
    <col min="11962" max="11962" customWidth="1" bestFit="1" width="3.0" style="1122"/>
    <col min="11963" max="11963" customWidth="1" bestFit="1" width="3.0" style="1122"/>
    <col min="11964" max="11964" customWidth="1" bestFit="1" width="3.0" style="1122"/>
    <col min="11965" max="11965" customWidth="1" bestFit="1" width="3.0" style="1122"/>
    <col min="11966" max="11966" customWidth="1" bestFit="1" width="3.0" style="1122"/>
    <col min="11967" max="11967" customWidth="1" bestFit="1" width="3.0" style="1122"/>
    <col min="11968" max="11968" customWidth="1" bestFit="1" width="3.0" style="1122"/>
    <col min="11969" max="11969" customWidth="1" bestFit="1" width="3.0" style="1122"/>
    <col min="11970" max="11970" customWidth="1" bestFit="1" width="3.0" style="1122"/>
    <col min="11971" max="11971" customWidth="1" bestFit="1" width="3.0" style="1122"/>
    <col min="11972" max="11972" customWidth="1" bestFit="1" width="3.0" style="1122"/>
    <col min="11973" max="11973" customWidth="1" bestFit="1" width="3.0" style="1122"/>
    <col min="11974" max="11974" customWidth="1" bestFit="1" width="3.0" style="1122"/>
    <col min="11975" max="11975" customWidth="1" bestFit="1" width="3.0" style="1122"/>
    <col min="11976" max="11976" customWidth="1" bestFit="1" width="3.0" style="1122"/>
    <col min="11977" max="11977" customWidth="1" bestFit="1" width="3.0" style="1122"/>
    <col min="11978" max="11978" customWidth="1" bestFit="1" width="3.0" style="1122"/>
    <col min="11979" max="11979" customWidth="1" bestFit="1" width="3.0" style="1122"/>
    <col min="11980" max="11980" customWidth="1" bestFit="1" width="3.0" style="1122"/>
    <col min="11981" max="11981" customWidth="1" bestFit="1" width="3.0" style="1122"/>
    <col min="11982" max="11982" customWidth="1" bestFit="1" width="3.0" style="1122"/>
    <col min="11983" max="11983" customWidth="1" bestFit="1" width="3.0" style="1122"/>
    <col min="11984" max="11984" customWidth="1" bestFit="1" width="3.0" style="1122"/>
    <col min="11985" max="11985" customWidth="1" bestFit="1" width="3.0" style="1122"/>
    <col min="11986" max="11986" customWidth="1" bestFit="1" width="3.0" style="1122"/>
    <col min="11987" max="11987" customWidth="1" bestFit="1" width="3.0" style="1122"/>
    <col min="11988" max="11988" customWidth="1" bestFit="1" width="3.0" style="1122"/>
    <col min="11989" max="11989" customWidth="1" bestFit="1" width="3.0" style="1122"/>
    <col min="11990" max="11990" customWidth="1" bestFit="1" width="3.0" style="1122"/>
    <col min="11991" max="11991" customWidth="1" bestFit="1" width="3.0" style="1122"/>
    <col min="11992" max="11992" customWidth="1" bestFit="1" width="3.0" style="1122"/>
    <col min="11993" max="11993" customWidth="1" bestFit="1" width="3.0" style="1122"/>
    <col min="11994" max="11994" customWidth="1" bestFit="1" width="3.0" style="1122"/>
    <col min="11995" max="11995" customWidth="1" bestFit="1" width="3.0" style="1122"/>
    <col min="11996" max="11996" customWidth="1" bestFit="1" width="3.0" style="1122"/>
    <col min="11997" max="11997" customWidth="1" bestFit="1" width="3.0" style="1122"/>
    <col min="11998" max="11998" customWidth="1" bestFit="1" width="3.0" style="1122"/>
    <col min="11999" max="11999" customWidth="1" bestFit="1" width="3.0" style="1122"/>
    <col min="12000" max="12000" customWidth="1" bestFit="1" width="3.0" style="1122"/>
    <col min="12001" max="12001" customWidth="1" bestFit="1" width="3.0" style="1122"/>
    <col min="12002" max="12002" customWidth="1" bestFit="1" width="3.0" style="1122"/>
    <col min="12003" max="12003" customWidth="1" bestFit="1" width="3.0" style="1122"/>
    <col min="12004" max="12004" customWidth="1" bestFit="1" width="3.0" style="1122"/>
    <col min="12005" max="12005" customWidth="1" bestFit="1" width="3.0" style="1122"/>
    <col min="12006" max="12006" customWidth="1" bestFit="1" width="3.0" style="1122"/>
    <col min="12007" max="12007" customWidth="1" bestFit="1" width="3.0" style="1122"/>
    <col min="12008" max="12008" customWidth="1" bestFit="1" width="3.0" style="1122"/>
    <col min="12009" max="12009" customWidth="1" bestFit="1" width="3.0" style="1122"/>
    <col min="12010" max="12010" customWidth="1" bestFit="1" width="3.0" style="1122"/>
    <col min="12011" max="12011" customWidth="1" bestFit="1" width="3.0" style="1122"/>
    <col min="12012" max="12012" customWidth="1" bestFit="1" width="3.0" style="1122"/>
    <col min="12013" max="12013" customWidth="1" bestFit="1" width="3.0" style="1122"/>
    <col min="12014" max="12014" customWidth="1" bestFit="1" width="3.0" style="1122"/>
    <col min="12015" max="12015" customWidth="1" bestFit="1" width="3.0" style="1122"/>
    <col min="12016" max="12016" customWidth="1" bestFit="1" width="3.0" style="1122"/>
    <col min="12017" max="12017" customWidth="1" bestFit="1" width="3.0" style="1122"/>
    <col min="12018" max="12018" customWidth="1" bestFit="1" width="3.0" style="1122"/>
    <col min="12019" max="12019" customWidth="1" bestFit="1" width="3.0" style="1122"/>
    <col min="12020" max="12020" customWidth="1" bestFit="1" width="3.0" style="1122"/>
    <col min="12021" max="12021" customWidth="1" bestFit="1" width="3.0" style="1122"/>
    <col min="12022" max="12022" customWidth="1" bestFit="1" width="3.0" style="1122"/>
    <col min="12023" max="12023" customWidth="1" bestFit="1" width="3.0" style="1122"/>
    <col min="12024" max="12024" customWidth="1" bestFit="1" width="3.0" style="1122"/>
    <col min="12025" max="12025" customWidth="1" bestFit="1" width="3.0" style="1122"/>
    <col min="12026" max="12026" customWidth="1" bestFit="1" width="3.0" style="1122"/>
    <col min="12027" max="12027" customWidth="1" bestFit="1" width="3.0" style="1122"/>
    <col min="12028" max="12028" customWidth="1" bestFit="1" width="3.0" style="1122"/>
    <col min="12029" max="12029" customWidth="1" bestFit="1" width="3.0" style="1122"/>
    <col min="12030" max="12030" customWidth="1" bestFit="1" width="3.0" style="1122"/>
    <col min="12031" max="12031" customWidth="1" bestFit="1" width="3.0" style="1122"/>
    <col min="12032" max="12032" customWidth="1" bestFit="1" width="3.0" style="1122"/>
    <col min="12033" max="12033" customWidth="1" bestFit="1" width="3.0" style="1122"/>
    <col min="12034" max="12034" customWidth="1" bestFit="1" width="3.0" style="1122"/>
    <col min="12035" max="12035" customWidth="1" bestFit="1" width="3.0" style="1122"/>
    <col min="12036" max="12036" customWidth="1" bestFit="1" width="3.0" style="1122"/>
    <col min="12037" max="12037" customWidth="1" bestFit="1" width="3.0" style="1122"/>
    <col min="12038" max="12038" customWidth="1" bestFit="1" width="3.0" style="1122"/>
    <col min="12039" max="12039" customWidth="1" bestFit="1" width="3.0" style="1122"/>
    <col min="12040" max="12040" customWidth="1" bestFit="1" width="3.0" style="1122"/>
    <col min="12041" max="12041" customWidth="1" bestFit="1" width="3.0" style="1122"/>
    <col min="12042" max="12042" customWidth="1" bestFit="1" width="3.0" style="1122"/>
    <col min="12043" max="12043" customWidth="1" bestFit="1" width="3.0" style="1122"/>
    <col min="12044" max="12044" customWidth="1" bestFit="1" width="3.0" style="1122"/>
    <col min="12045" max="12045" customWidth="1" bestFit="1" width="3.0" style="1122"/>
    <col min="12046" max="12046" customWidth="1" bestFit="1" width="3.0" style="1122"/>
    <col min="12047" max="12047" customWidth="1" bestFit="1" width="3.0" style="1122"/>
    <col min="12048" max="12048" customWidth="1" bestFit="1" width="3.0" style="1122"/>
    <col min="12049" max="12049" customWidth="1" bestFit="1" width="3.0" style="1122"/>
    <col min="12050" max="12050" customWidth="1" bestFit="1" width="3.0" style="1122"/>
    <col min="12051" max="12051" customWidth="1" bestFit="1" width="3.0" style="1122"/>
    <col min="12052" max="12052" customWidth="1" bestFit="1" width="3.0" style="1122"/>
    <col min="12053" max="12053" customWidth="1" bestFit="1" width="3.0" style="1122"/>
    <col min="12054" max="12054" customWidth="1" bestFit="1" width="3.0" style="1122"/>
    <col min="12055" max="12055" customWidth="1" bestFit="1" width="3.0" style="1122"/>
    <col min="12056" max="12056" customWidth="1" bestFit="1" width="3.0" style="1122"/>
    <col min="12057" max="12057" customWidth="1" bestFit="1" width="3.0" style="1122"/>
    <col min="12058" max="12058" customWidth="1" bestFit="1" width="3.0" style="1122"/>
    <col min="12059" max="12059" customWidth="1" bestFit="1" width="3.0" style="1122"/>
    <col min="12060" max="12060" customWidth="1" bestFit="1" width="3.0" style="1122"/>
    <col min="12061" max="12061" customWidth="1" bestFit="1" width="3.0" style="1122"/>
    <col min="12062" max="12062" customWidth="1" bestFit="1" width="3.0" style="1122"/>
    <col min="12063" max="12063" customWidth="1" bestFit="1" width="3.0" style="1122"/>
    <col min="12064" max="12064" customWidth="1" bestFit="1" width="3.0" style="1122"/>
    <col min="12065" max="12065" customWidth="1" bestFit="1" width="3.0" style="1122"/>
    <col min="12066" max="12066" customWidth="1" bestFit="1" width="3.0" style="1122"/>
    <col min="12067" max="12067" customWidth="1" bestFit="1" width="3.0" style="1122"/>
    <col min="12068" max="12068" customWidth="1" bestFit="1" width="3.0" style="1122"/>
    <col min="12069" max="12069" customWidth="1" bestFit="1" width="3.0" style="1122"/>
    <col min="12070" max="12070" customWidth="1" bestFit="1" width="3.0" style="1122"/>
    <col min="12071" max="12071" customWidth="1" bestFit="1" width="3.0" style="1122"/>
    <col min="12072" max="12072" customWidth="1" bestFit="1" width="3.0" style="1122"/>
    <col min="12073" max="12073" customWidth="1" bestFit="1" width="3.0" style="1122"/>
    <col min="12074" max="12074" customWidth="1" bestFit="1" width="3.0" style="1122"/>
    <col min="12075" max="12075" customWidth="1" bestFit="1" width="3.0" style="1122"/>
    <col min="12076" max="12076" customWidth="1" bestFit="1" width="3.0" style="1122"/>
    <col min="12077" max="12077" customWidth="1" bestFit="1" width="3.0" style="1122"/>
    <col min="12078" max="12078" customWidth="1" bestFit="1" width="3.0" style="1122"/>
    <col min="12079" max="12079" customWidth="1" bestFit="1" width="3.0" style="1122"/>
    <col min="12080" max="12080" customWidth="1" bestFit="1" width="3.0" style="1122"/>
    <col min="12081" max="12081" customWidth="1" bestFit="1" width="3.0" style="1122"/>
    <col min="12082" max="12082" customWidth="1" bestFit="1" width="3.0" style="1122"/>
    <col min="12083" max="12083" customWidth="1" bestFit="1" width="3.0" style="1122"/>
    <col min="12084" max="12084" customWidth="1" bestFit="1" width="3.0" style="1122"/>
    <col min="12085" max="12085" customWidth="1" bestFit="1" width="3.0" style="1122"/>
    <col min="12086" max="12086" customWidth="1" bestFit="1" width="3.0" style="1122"/>
    <col min="12087" max="12087" customWidth="1" bestFit="1" width="3.0" style="1122"/>
    <col min="12088" max="12088" customWidth="1" bestFit="1" width="3.0" style="1122"/>
    <col min="12089" max="12089" customWidth="1" bestFit="1" width="3.0" style="1122"/>
    <col min="12090" max="12090" customWidth="1" bestFit="1" width="3.0" style="1122"/>
    <col min="12091" max="12091" customWidth="1" bestFit="1" width="3.0" style="1122"/>
    <col min="12092" max="12092" customWidth="1" bestFit="1" width="3.0" style="1122"/>
    <col min="12093" max="12093" customWidth="1" bestFit="1" width="3.0" style="1122"/>
    <col min="12094" max="12094" customWidth="1" bestFit="1" width="3.0" style="1122"/>
    <col min="12095" max="12095" customWidth="1" bestFit="1" width="3.0" style="1122"/>
    <col min="12096" max="12096" customWidth="1" bestFit="1" width="3.0" style="1122"/>
    <col min="12097" max="12097" customWidth="1" bestFit="1" width="3.0" style="1122"/>
    <col min="12098" max="12098" customWidth="1" bestFit="1" width="3.0" style="1122"/>
    <col min="12099" max="12099" customWidth="1" bestFit="1" width="3.0" style="1122"/>
    <col min="12100" max="12100" customWidth="1" bestFit="1" width="3.0" style="1122"/>
    <col min="12101" max="12101" customWidth="1" bestFit="1" width="3.0" style="1122"/>
    <col min="12102" max="12102" customWidth="1" bestFit="1" width="3.0" style="1122"/>
    <col min="12103" max="12103" customWidth="1" bestFit="1" width="3.0" style="1122"/>
    <col min="12104" max="12104" customWidth="1" bestFit="1" width="3.0" style="1122"/>
    <col min="12105" max="12105" customWidth="1" bestFit="1" width="3.0" style="1122"/>
    <col min="12106" max="12106" customWidth="1" bestFit="1" width="3.0" style="1122"/>
    <col min="12107" max="12107" customWidth="1" bestFit="1" width="3.0" style="1122"/>
    <col min="12108" max="12108" customWidth="1" bestFit="1" width="3.0" style="1122"/>
    <col min="12109" max="12109" customWidth="1" bestFit="1" width="3.0" style="1122"/>
    <col min="12110" max="12110" customWidth="1" bestFit="1" width="3.0" style="1122"/>
    <col min="12111" max="12111" customWidth="1" bestFit="1" width="3.0" style="1122"/>
    <col min="12112" max="12112" customWidth="1" bestFit="1" width="3.0" style="1122"/>
    <col min="12113" max="12113" customWidth="1" bestFit="1" width="3.0" style="1122"/>
    <col min="12114" max="12114" customWidth="1" bestFit="1" width="3.0" style="1122"/>
    <col min="12115" max="12115" customWidth="1" bestFit="1" width="3.0" style="1122"/>
    <col min="12116" max="12116" customWidth="1" bestFit="1" width="3.0" style="1122"/>
    <col min="12117" max="12117" customWidth="1" bestFit="1" width="3.0" style="1122"/>
    <col min="12118" max="12118" customWidth="1" bestFit="1" width="3.0" style="1122"/>
    <col min="12119" max="12119" customWidth="1" bestFit="1" width="3.0" style="1122"/>
    <col min="12120" max="12120" customWidth="1" bestFit="1" width="3.0" style="1122"/>
    <col min="12121" max="12121" customWidth="1" bestFit="1" width="3.0" style="1122"/>
    <col min="12122" max="12122" customWidth="1" bestFit="1" width="3.0" style="1122"/>
    <col min="12123" max="12123" customWidth="1" bestFit="1" width="3.0" style="1122"/>
    <col min="12124" max="12124" customWidth="1" bestFit="1" width="3.0" style="1122"/>
    <col min="12125" max="12125" customWidth="1" bestFit="1" width="3.0" style="1122"/>
    <col min="12126" max="12126" customWidth="1" bestFit="1" width="3.0" style="1122"/>
    <col min="12127" max="12127" customWidth="1" bestFit="1" width="3.0" style="1122"/>
    <col min="12128" max="12128" customWidth="1" bestFit="1" width="3.0" style="1122"/>
    <col min="12129" max="12129" customWidth="1" bestFit="1" width="3.0" style="1122"/>
    <col min="12130" max="12130" customWidth="1" bestFit="1" width="3.0" style="1122"/>
    <col min="12131" max="12131" customWidth="1" bestFit="1" width="3.0" style="1122"/>
    <col min="12132" max="12132" customWidth="1" bestFit="1" width="3.0" style="1122"/>
    <col min="12133" max="12133" customWidth="1" bestFit="1" width="3.0" style="1122"/>
    <col min="12134" max="12134" customWidth="1" bestFit="1" width="3.0" style="1122"/>
    <col min="12135" max="12135" customWidth="1" bestFit="1" width="3.0" style="1122"/>
    <col min="12136" max="12136" customWidth="1" bestFit="1" width="3.0" style="1122"/>
    <col min="12137" max="12137" customWidth="1" bestFit="1" width="3.0" style="1122"/>
    <col min="12138" max="12138" customWidth="1" bestFit="1" width="3.0" style="1122"/>
    <col min="12139" max="12139" customWidth="1" bestFit="1" width="3.0" style="1122"/>
    <col min="12140" max="12140" customWidth="1" bestFit="1" width="3.0" style="1122"/>
    <col min="12141" max="12141" customWidth="1" bestFit="1" width="3.0" style="1122"/>
    <col min="12142" max="12142" customWidth="1" bestFit="1" width="3.0" style="1122"/>
    <col min="12143" max="12143" customWidth="1" bestFit="1" width="3.0" style="1122"/>
    <col min="12144" max="12144" customWidth="1" bestFit="1" width="3.0" style="1122"/>
    <col min="12145" max="12145" customWidth="1" bestFit="1" width="3.0" style="1122"/>
    <col min="12146" max="12146" customWidth="1" bestFit="1" width="3.0" style="1122"/>
    <col min="12147" max="12147" customWidth="1" bestFit="1" width="3.0" style="1122"/>
    <col min="12148" max="12148" customWidth="1" bestFit="1" width="3.0" style="1122"/>
    <col min="12149" max="12149" customWidth="1" bestFit="1" width="3.0" style="1122"/>
    <col min="12150" max="12150" customWidth="1" bestFit="1" width="3.0" style="1122"/>
    <col min="12151" max="12151" customWidth="1" bestFit="1" width="3.0" style="1122"/>
    <col min="12152" max="12152" customWidth="1" bestFit="1" width="3.0" style="1122"/>
    <col min="12153" max="12153" customWidth="1" bestFit="1" width="3.0" style="1122"/>
    <col min="12154" max="12154" customWidth="1" bestFit="1" width="3.0" style="1122"/>
    <col min="12155" max="12155" customWidth="1" bestFit="1" width="3.0" style="1122"/>
    <col min="12156" max="12156" customWidth="1" bestFit="1" width="3.0" style="1122"/>
    <col min="12157" max="12157" customWidth="1" bestFit="1" width="3.0" style="1122"/>
    <col min="12158" max="12158" customWidth="1" bestFit="1" width="3.0" style="1122"/>
    <col min="12159" max="12159" customWidth="1" bestFit="1" width="3.0" style="1122"/>
    <col min="12160" max="12160" customWidth="1" bestFit="1" width="3.0" style="1122"/>
    <col min="12161" max="12161" customWidth="1" bestFit="1" width="3.0" style="1122"/>
    <col min="12162" max="12162" customWidth="1" bestFit="1" width="3.0" style="1122"/>
    <col min="12163" max="12163" customWidth="1" bestFit="1" width="3.0" style="1122"/>
    <col min="12164" max="12164" customWidth="1" bestFit="1" width="3.0" style="1122"/>
    <col min="12165" max="12165" customWidth="1" bestFit="1" width="3.0" style="1122"/>
    <col min="12166" max="12166" customWidth="1" bestFit="1" width="3.0" style="1122"/>
    <col min="12167" max="12167" customWidth="1" bestFit="1" width="3.0" style="1122"/>
    <col min="12168" max="12168" customWidth="1" bestFit="1" width="3.0" style="1122"/>
    <col min="12169" max="12169" customWidth="1" bestFit="1" width="3.0" style="1122"/>
    <col min="12170" max="12170" customWidth="1" bestFit="1" width="3.0" style="1122"/>
    <col min="12171" max="12171" customWidth="1" bestFit="1" width="3.0" style="1122"/>
    <col min="12172" max="12172" customWidth="1" bestFit="1" width="3.0" style="1122"/>
    <col min="12173" max="12173" customWidth="1" bestFit="1" width="3.0" style="1122"/>
    <col min="12174" max="12174" customWidth="1" bestFit="1" width="3.0" style="1122"/>
    <col min="12175" max="12175" customWidth="1" bestFit="1" width="3.0" style="1122"/>
    <col min="12176" max="12176" customWidth="1" bestFit="1" width="3.0" style="1122"/>
    <col min="12177" max="12177" customWidth="1" bestFit="1" width="3.0" style="1122"/>
    <col min="12178" max="12178" customWidth="1" bestFit="1" width="3.0" style="1122"/>
    <col min="12179" max="12179" customWidth="1" bestFit="1" width="3.0" style="1122"/>
    <col min="12180" max="12180" customWidth="1" bestFit="1" width="3.0" style="1122"/>
    <col min="12181" max="12181" customWidth="1" bestFit="1" width="3.0" style="1122"/>
    <col min="12182" max="12182" customWidth="1" bestFit="1" width="3.0" style="1122"/>
    <col min="12183" max="12183" customWidth="1" bestFit="1" width="3.0" style="1122"/>
    <col min="12184" max="12184" customWidth="1" bestFit="1" width="3.0" style="1122"/>
    <col min="12185" max="12185" customWidth="1" bestFit="1" width="3.0" style="1122"/>
    <col min="12186" max="12186" customWidth="1" bestFit="1" width="3.0" style="1122"/>
    <col min="12187" max="12187" customWidth="1" bestFit="1" width="3.0" style="1122"/>
    <col min="12188" max="12188" customWidth="1" bestFit="1" width="3.0" style="1122"/>
    <col min="12189" max="12189" customWidth="1" bestFit="1" width="3.0" style="1122"/>
    <col min="12190" max="12190" customWidth="1" bestFit="1" width="3.0" style="1122"/>
    <col min="12191" max="12191" customWidth="1" bestFit="1" width="3.0" style="1122"/>
    <col min="12192" max="12192" customWidth="1" bestFit="1" width="3.0" style="1122"/>
    <col min="12193" max="12193" customWidth="1" bestFit="1" width="3.0" style="1122"/>
    <col min="12194" max="12194" customWidth="1" bestFit="1" width="3.0" style="1122"/>
    <col min="12195" max="12195" customWidth="1" bestFit="1" width="3.0" style="1122"/>
    <col min="12196" max="12196" customWidth="1" bestFit="1" width="3.0" style="1122"/>
    <col min="12197" max="12197" customWidth="1" bestFit="1" width="3.0" style="1122"/>
    <col min="12198" max="12198" customWidth="1" bestFit="1" width="3.0" style="1122"/>
    <col min="12199" max="12199" customWidth="1" bestFit="1" width="3.0" style="1122"/>
    <col min="12200" max="12200" customWidth="1" bestFit="1" width="3.0" style="1122"/>
    <col min="12201" max="12201" customWidth="1" bestFit="1" width="3.0" style="1122"/>
    <col min="12202" max="12202" customWidth="1" bestFit="1" width="3.0" style="1122"/>
    <col min="12203" max="12203" customWidth="1" bestFit="1" width="3.0" style="1122"/>
    <col min="12204" max="12204" customWidth="1" bestFit="1" width="3.0" style="1122"/>
    <col min="12205" max="12205" customWidth="1" bestFit="1" width="3.0" style="1122"/>
    <col min="12206" max="12206" customWidth="1" bestFit="1" width="3.0" style="1122"/>
    <col min="12207" max="12207" customWidth="1" bestFit="1" width="3.0" style="1122"/>
    <col min="12208" max="12208" customWidth="1" bestFit="1" width="3.0" style="1122"/>
    <col min="12209" max="12209" customWidth="1" bestFit="1" width="3.0" style="1122"/>
    <col min="12210" max="12210" customWidth="1" bestFit="1" width="3.0" style="1122"/>
    <col min="12211" max="12211" customWidth="1" bestFit="1" width="3.0" style="1122"/>
    <col min="12212" max="12212" customWidth="1" bestFit="1" width="3.0" style="1122"/>
    <col min="12213" max="12213" customWidth="1" bestFit="1" width="3.0" style="1122"/>
    <col min="12214" max="12214" customWidth="1" bestFit="1" width="3.0" style="1122"/>
    <col min="12215" max="12215" customWidth="1" bestFit="1" width="3.0" style="1122"/>
    <col min="12216" max="12216" customWidth="1" bestFit="1" width="3.0" style="1122"/>
    <col min="12217" max="12217" customWidth="1" bestFit="1" width="3.0" style="1122"/>
    <col min="12218" max="12218" customWidth="1" bestFit="1" width="3.0" style="1122"/>
    <col min="12219" max="12219" customWidth="1" bestFit="1" width="3.0" style="1122"/>
    <col min="12220" max="12220" customWidth="1" bestFit="1" width="3.0" style="1122"/>
    <col min="12221" max="12221" customWidth="1" bestFit="1" width="3.0" style="1122"/>
    <col min="12222" max="12222" customWidth="1" bestFit="1" width="3.0" style="1122"/>
    <col min="12223" max="12223" customWidth="1" bestFit="1" width="3.0" style="1122"/>
    <col min="12224" max="12224" customWidth="1" bestFit="1" width="3.0" style="1122"/>
    <col min="12225" max="12225" customWidth="1" bestFit="1" width="3.0" style="1122"/>
    <col min="12226" max="12226" customWidth="1" bestFit="1" width="3.0" style="1122"/>
    <col min="12227" max="12227" customWidth="1" bestFit="1" width="3.0" style="1122"/>
    <col min="12228" max="12228" customWidth="1" bestFit="1" width="3.0" style="1122"/>
    <col min="12229" max="12229" customWidth="1" bestFit="1" width="3.0" style="1122"/>
    <col min="12230" max="12230" customWidth="1" bestFit="1" width="3.0" style="1122"/>
    <col min="12231" max="12231" customWidth="1" bestFit="1" width="3.0" style="1122"/>
    <col min="12232" max="12232" customWidth="1" bestFit="1" width="3.0" style="1122"/>
    <col min="12233" max="12233" customWidth="1" bestFit="1" width="3.0" style="1122"/>
    <col min="12234" max="12234" customWidth="1" bestFit="1" width="3.0" style="1122"/>
    <col min="12235" max="12235" customWidth="1" bestFit="1" width="3.0" style="1122"/>
    <col min="12236" max="12236" customWidth="1" bestFit="1" width="3.0" style="1122"/>
    <col min="12237" max="12237" customWidth="1" bestFit="1" width="3.0" style="1122"/>
    <col min="12238" max="12238" customWidth="1" bestFit="1" width="3.0" style="1122"/>
    <col min="12239" max="12239" customWidth="1" bestFit="1" width="3.0" style="1122"/>
    <col min="12240" max="12240" customWidth="1" bestFit="1" width="3.0" style="1122"/>
    <col min="12241" max="12241" customWidth="1" bestFit="1" width="3.0" style="1122"/>
    <col min="12242" max="12242" customWidth="1" bestFit="1" width="3.0" style="1122"/>
    <col min="12243" max="12243" customWidth="1" bestFit="1" width="3.0" style="1122"/>
    <col min="12244" max="12244" customWidth="1" bestFit="1" width="3.0" style="1122"/>
    <col min="12245" max="12245" customWidth="1" bestFit="1" width="3.0" style="1122"/>
    <col min="12246" max="12246" customWidth="1" bestFit="1" width="3.0" style="1122"/>
    <col min="12247" max="12247" customWidth="1" bestFit="1" width="3.0" style="1122"/>
    <col min="12248" max="12248" customWidth="1" bestFit="1" width="3.0" style="1122"/>
    <col min="12249" max="12249" customWidth="1" bestFit="1" width="3.0" style="1122"/>
    <col min="12250" max="12250" customWidth="1" bestFit="1" width="3.0" style="1122"/>
    <col min="12251" max="12251" customWidth="1" bestFit="1" width="3.0" style="1122"/>
    <col min="12252" max="12252" customWidth="1" bestFit="1" width="3.0" style="1122"/>
    <col min="12253" max="12253" customWidth="1" bestFit="1" width="3.0" style="1122"/>
    <col min="12254" max="12254" customWidth="1" bestFit="1" width="3.0" style="1122"/>
    <col min="12255" max="12255" customWidth="1" bestFit="1" width="3.0" style="1122"/>
    <col min="12256" max="12256" customWidth="1" bestFit="1" width="3.0" style="1122"/>
    <col min="12257" max="12257" customWidth="1" bestFit="1" width="3.0" style="1122"/>
    <col min="12258" max="12258" customWidth="1" bestFit="1" width="3.0" style="1122"/>
    <col min="12259" max="12259" customWidth="1" bestFit="1" width="3.0" style="1122"/>
    <col min="12260" max="12260" customWidth="1" bestFit="1" width="3.0" style="1122"/>
    <col min="12261" max="12261" customWidth="1" bestFit="1" width="3.0" style="1122"/>
    <col min="12262" max="12262" customWidth="1" bestFit="1" width="3.0" style="1122"/>
    <col min="12263" max="12263" customWidth="1" bestFit="1" width="3.0" style="1122"/>
    <col min="12264" max="12264" customWidth="1" bestFit="1" width="3.0" style="1122"/>
    <col min="12265" max="12265" customWidth="1" bestFit="1" width="3.0" style="1122"/>
    <col min="12266" max="12266" customWidth="1" bestFit="1" width="3.0" style="1122"/>
    <col min="12267" max="12267" customWidth="1" bestFit="1" width="3.0" style="1122"/>
    <col min="12268" max="12268" customWidth="1" bestFit="1" width="3.0" style="1122"/>
    <col min="12269" max="12269" customWidth="1" bestFit="1" width="3.0" style="1122"/>
    <col min="12270" max="12270" customWidth="1" bestFit="1" width="3.0" style="1122"/>
    <col min="12271" max="12271" customWidth="1" bestFit="1" width="3.0" style="1122"/>
    <col min="12272" max="12272" customWidth="1" bestFit="1" width="3.0" style="1122"/>
    <col min="12273" max="12273" customWidth="1" bestFit="1" width="3.0" style="1122"/>
    <col min="12274" max="12274" customWidth="1" bestFit="1" width="3.0" style="1122"/>
    <col min="12275" max="12275" customWidth="1" bestFit="1" width="3.0" style="1122"/>
    <col min="12276" max="12276" customWidth="1" bestFit="1" width="3.0" style="1122"/>
    <col min="12277" max="12277" customWidth="1" bestFit="1" width="3.0" style="1122"/>
    <col min="12278" max="12278" customWidth="1" bestFit="1" width="3.0" style="1122"/>
    <col min="12279" max="12279" customWidth="1" bestFit="1" width="3.0" style="1122"/>
    <col min="12280" max="12280" customWidth="1" bestFit="1" width="3.0" style="1122"/>
    <col min="12281" max="12281" customWidth="1" bestFit="1" width="3.0" style="1122"/>
    <col min="12282" max="12282" customWidth="1" bestFit="1" width="3.0" style="1122"/>
    <col min="12283" max="12283" customWidth="1" bestFit="1" width="3.0" style="1122"/>
    <col min="12284" max="12284" customWidth="1" bestFit="1" width="3.0" style="1122"/>
    <col min="12285" max="12285" customWidth="1" bestFit="1" width="3.0" style="1122"/>
    <col min="12286" max="12286" customWidth="1" bestFit="1" width="3.0" style="1122"/>
    <col min="12287" max="12287" customWidth="1" bestFit="1" width="3.0" style="1122"/>
    <col min="12288" max="12288" customWidth="1" bestFit="1" width="3.0" style="1122"/>
    <col min="12289" max="12289" customWidth="1" bestFit="1" width="3.0" style="1122"/>
    <col min="12290" max="12290" customWidth="1" bestFit="1" width="3.0" style="1122"/>
    <col min="12291" max="12291" customWidth="1" bestFit="1" width="3.0" style="1122"/>
    <col min="12292" max="12292" customWidth="1" bestFit="1" width="3.0" style="1122"/>
    <col min="12293" max="12293" customWidth="1" bestFit="1" width="3.0" style="1122"/>
    <col min="12294" max="12294" customWidth="1" bestFit="1" width="3.0" style="1122"/>
    <col min="12295" max="12295" customWidth="1" bestFit="1" width="3.0" style="1122"/>
    <col min="12296" max="12296" customWidth="1" bestFit="1" width="3.0" style="1122"/>
    <col min="12297" max="12297" customWidth="1" bestFit="1" width="3.0" style="1122"/>
    <col min="12298" max="12298" customWidth="1" bestFit="1" width="3.0" style="1122"/>
    <col min="12299" max="12299" customWidth="1" bestFit="1" width="3.0" style="1122"/>
    <col min="12300" max="12300" customWidth="1" bestFit="1" width="3.0" style="1122"/>
    <col min="12301" max="12301" customWidth="1" bestFit="1" width="3.0" style="1122"/>
    <col min="12302" max="12302" customWidth="1" bestFit="1" width="3.0" style="1122"/>
    <col min="12303" max="12303" customWidth="1" bestFit="1" width="3.0" style="1122"/>
    <col min="12304" max="12304" customWidth="1" bestFit="1" width="3.0" style="1122"/>
    <col min="12305" max="12305" customWidth="1" bestFit="1" width="3.0" style="1122"/>
    <col min="12306" max="12306" customWidth="1" bestFit="1" width="3.0" style="1122"/>
    <col min="12307" max="12307" customWidth="1" bestFit="1" width="3.0" style="1122"/>
    <col min="12308" max="12308" customWidth="1" bestFit="1" width="3.0" style="1122"/>
    <col min="12309" max="12309" customWidth="1" bestFit="1" width="3.0" style="1122"/>
    <col min="12310" max="12310" customWidth="1" bestFit="1" width="3.0" style="1122"/>
    <col min="12311" max="12311" customWidth="1" bestFit="1" width="3.0" style="1122"/>
    <col min="12312" max="12312" customWidth="1" bestFit="1" width="3.0" style="1122"/>
    <col min="12313" max="12313" customWidth="1" bestFit="1" width="3.0" style="1122"/>
    <col min="12314" max="12314" customWidth="1" bestFit="1" width="3.0" style="1122"/>
    <col min="12315" max="12315" customWidth="1" bestFit="1" width="3.0" style="1122"/>
    <col min="12316" max="12316" customWidth="1" bestFit="1" width="3.0" style="1122"/>
    <col min="12317" max="12317" customWidth="1" bestFit="1" width="3.0" style="1122"/>
    <col min="12318" max="12318" customWidth="1" bestFit="1" width="3.0" style="1122"/>
    <col min="12319" max="12319" customWidth="1" bestFit="1" width="3.0" style="1122"/>
    <col min="12320" max="12320" customWidth="1" bestFit="1" width="3.0" style="1122"/>
    <col min="12321" max="12321" customWidth="1" bestFit="1" width="3.0" style="1122"/>
    <col min="12322" max="12322" customWidth="1" bestFit="1" width="3.0" style="1122"/>
    <col min="12323" max="12323" customWidth="1" bestFit="1" width="3.0" style="1122"/>
    <col min="12324" max="12324" customWidth="1" bestFit="1" width="3.0" style="1122"/>
    <col min="12325" max="12325" customWidth="1" bestFit="1" width="3.0" style="1122"/>
    <col min="12326" max="12326" customWidth="1" bestFit="1" width="3.0" style="1122"/>
    <col min="12327" max="12327" customWidth="1" bestFit="1" width="3.0" style="1122"/>
    <col min="12328" max="12328" customWidth="1" bestFit="1" width="3.0" style="1122"/>
    <col min="12329" max="12329" customWidth="1" bestFit="1" width="3.0" style="1122"/>
    <col min="12330" max="12330" customWidth="1" bestFit="1" width="3.0" style="1122"/>
    <col min="12331" max="12331" customWidth="1" bestFit="1" width="3.0" style="1122"/>
    <col min="12332" max="12332" customWidth="1" bestFit="1" width="3.0" style="1122"/>
    <col min="12333" max="12333" customWidth="1" bestFit="1" width="3.0" style="1122"/>
    <col min="12334" max="12334" customWidth="1" bestFit="1" width="3.0" style="1122"/>
    <col min="12335" max="12335" customWidth="1" bestFit="1" width="3.0" style="1122"/>
    <col min="12336" max="12336" customWidth="1" bestFit="1" width="3.0" style="1122"/>
    <col min="12337" max="12337" customWidth="1" bestFit="1" width="3.0" style="1122"/>
    <col min="12338" max="12338" customWidth="1" bestFit="1" width="3.0" style="1122"/>
    <col min="12339" max="12339" customWidth="1" bestFit="1" width="3.0" style="1122"/>
    <col min="12340" max="12340" customWidth="1" bestFit="1" width="3.0" style="1122"/>
    <col min="12341" max="12341" customWidth="1" bestFit="1" width="3.0" style="1122"/>
    <col min="12342" max="12342" customWidth="1" bestFit="1" width="3.0" style="1122"/>
    <col min="12343" max="12343" customWidth="1" bestFit="1" width="3.0" style="1122"/>
    <col min="12344" max="12344" customWidth="1" bestFit="1" width="3.0" style="1122"/>
    <col min="12345" max="12345" customWidth="1" bestFit="1" width="3.0" style="1122"/>
    <col min="12346" max="12346" customWidth="1" bestFit="1" width="3.0" style="1122"/>
    <col min="12347" max="12347" customWidth="1" bestFit="1" width="3.0" style="1122"/>
    <col min="12348" max="12348" customWidth="1" bestFit="1" width="3.0" style="1122"/>
    <col min="12349" max="12349" customWidth="1" bestFit="1" width="3.0" style="1122"/>
    <col min="12350" max="12350" customWidth="1" bestFit="1" width="3.0" style="1122"/>
    <col min="12351" max="12351" customWidth="1" bestFit="1" width="3.0" style="1122"/>
    <col min="12352" max="12352" customWidth="1" bestFit="1" width="3.0" style="1122"/>
    <col min="12353" max="12353" customWidth="1" bestFit="1" width="3.0" style="1122"/>
    <col min="12354" max="12354" customWidth="1" bestFit="1" width="3.0" style="1122"/>
    <col min="12355" max="12355" customWidth="1" bestFit="1" width="3.0" style="1122"/>
    <col min="12356" max="12356" customWidth="1" bestFit="1" width="3.0" style="1122"/>
    <col min="12357" max="12357" customWidth="1" bestFit="1" width="3.0" style="1122"/>
    <col min="12358" max="12358" customWidth="1" bestFit="1" width="3.0" style="1122"/>
    <col min="12359" max="12359" customWidth="1" bestFit="1" width="3.0" style="1122"/>
    <col min="12360" max="12360" customWidth="1" bestFit="1" width="3.0" style="1122"/>
    <col min="12361" max="12361" customWidth="1" bestFit="1" width="3.0" style="1122"/>
    <col min="12362" max="12362" customWidth="1" bestFit="1" width="3.0" style="1122"/>
    <col min="12363" max="12363" customWidth="1" bestFit="1" width="3.0" style="1122"/>
    <col min="12364" max="12364" customWidth="1" bestFit="1" width="3.0" style="1122"/>
    <col min="12365" max="12365" customWidth="1" bestFit="1" width="3.0" style="1122"/>
    <col min="12366" max="12366" customWidth="1" bestFit="1" width="3.0" style="1122"/>
    <col min="12367" max="12367" customWidth="1" bestFit="1" width="3.0" style="1122"/>
    <col min="12368" max="12368" customWidth="1" bestFit="1" width="3.0" style="1122"/>
    <col min="12369" max="12369" customWidth="1" bestFit="1" width="3.0" style="1122"/>
    <col min="12370" max="12370" customWidth="1" bestFit="1" width="3.0" style="1122"/>
    <col min="12371" max="12371" customWidth="1" bestFit="1" width="3.0" style="1122"/>
    <col min="12372" max="12372" customWidth="1" bestFit="1" width="3.0" style="1122"/>
    <col min="12373" max="12373" customWidth="1" bestFit="1" width="3.0" style="1122"/>
    <col min="12374" max="12374" customWidth="1" bestFit="1" width="3.0" style="1122"/>
    <col min="12375" max="12375" customWidth="1" bestFit="1" width="3.0" style="1122"/>
    <col min="12376" max="12376" customWidth="1" bestFit="1" width="3.0" style="1122"/>
    <col min="12377" max="12377" customWidth="1" bestFit="1" width="3.0" style="1122"/>
    <col min="12378" max="12378" customWidth="1" bestFit="1" width="3.0" style="1122"/>
    <col min="12379" max="12379" customWidth="1" bestFit="1" width="3.0" style="1122"/>
    <col min="12380" max="12380" customWidth="1" bestFit="1" width="3.0" style="1122"/>
    <col min="12381" max="12381" customWidth="1" bestFit="1" width="3.0" style="1122"/>
    <col min="12382" max="12382" customWidth="1" bestFit="1" width="3.0" style="1122"/>
    <col min="12383" max="12383" customWidth="1" bestFit="1" width="3.0" style="1122"/>
    <col min="12384" max="12384" customWidth="1" bestFit="1" width="3.0" style="1122"/>
    <col min="12385" max="12385" customWidth="1" bestFit="1" width="3.0" style="1122"/>
    <col min="12386" max="12386" customWidth="1" bestFit="1" width="3.0" style="1122"/>
    <col min="12387" max="12387" customWidth="1" bestFit="1" width="3.0" style="1122"/>
    <col min="12388" max="12388" customWidth="1" bestFit="1" width="3.0" style="1122"/>
    <col min="12389" max="12389" customWidth="1" bestFit="1" width="3.0" style="1122"/>
    <col min="12390" max="12390" customWidth="1" bestFit="1" width="3.0" style="1122"/>
    <col min="12391" max="12391" customWidth="1" bestFit="1" width="3.0" style="1122"/>
    <col min="12392" max="12392" customWidth="1" bestFit="1" width="3.0" style="1122"/>
    <col min="12393" max="12393" customWidth="1" bestFit="1" width="3.0" style="1122"/>
    <col min="12394" max="12394" customWidth="1" bestFit="1" width="3.0" style="1122"/>
    <col min="12395" max="12395" customWidth="1" bestFit="1" width="3.0" style="1122"/>
    <col min="12396" max="12396" customWidth="1" bestFit="1" width="3.0" style="1122"/>
    <col min="12397" max="12397" customWidth="1" bestFit="1" width="3.0" style="1122"/>
    <col min="12398" max="12398" customWidth="1" bestFit="1" width="3.0" style="1122"/>
    <col min="12399" max="12399" customWidth="1" bestFit="1" width="3.0" style="1122"/>
    <col min="12400" max="12400" customWidth="1" bestFit="1" width="3.0" style="1122"/>
    <col min="12401" max="12401" customWidth="1" bestFit="1" width="3.0" style="1122"/>
    <col min="12402" max="12402" customWidth="1" bestFit="1" width="3.0" style="1122"/>
    <col min="12403" max="12403" customWidth="1" bestFit="1" width="3.0" style="1122"/>
    <col min="12404" max="12404" customWidth="1" bestFit="1" width="3.0" style="1122"/>
    <col min="12405" max="12405" customWidth="1" bestFit="1" width="3.0" style="1122"/>
    <col min="12406" max="12406" customWidth="1" bestFit="1" width="3.0" style="1122"/>
    <col min="12407" max="12407" customWidth="1" bestFit="1" width="3.0" style="1122"/>
    <col min="12408" max="12408" customWidth="1" bestFit="1" width="3.0" style="1122"/>
    <col min="12409" max="12409" customWidth="1" bestFit="1" width="3.0" style="1122"/>
    <col min="12410" max="12410" customWidth="1" bestFit="1" width="3.0" style="1122"/>
    <col min="12411" max="12411" customWidth="1" bestFit="1" width="3.0" style="1122"/>
    <col min="12412" max="12412" customWidth="1" bestFit="1" width="3.0" style="1122"/>
    <col min="12413" max="12413" customWidth="1" bestFit="1" width="3.0" style="1122"/>
    <col min="12414" max="12414" customWidth="1" bestFit="1" width="3.0" style="1122"/>
    <col min="12415" max="12415" customWidth="1" bestFit="1" width="3.0" style="1122"/>
    <col min="12416" max="12416" customWidth="1" bestFit="1" width="3.0" style="1122"/>
    <col min="12417" max="12417" customWidth="1" bestFit="1" width="3.0" style="1122"/>
    <col min="12418" max="12418" customWidth="1" bestFit="1" width="3.0" style="1122"/>
    <col min="12419" max="12419" customWidth="1" bestFit="1" width="3.0" style="1122"/>
    <col min="12420" max="12420" customWidth="1" bestFit="1" width="3.0" style="1122"/>
    <col min="12421" max="12421" customWidth="1" bestFit="1" width="3.0" style="1122"/>
    <col min="12422" max="12422" customWidth="1" bestFit="1" width="3.0" style="1122"/>
    <col min="12423" max="12423" customWidth="1" bestFit="1" width="3.0" style="1122"/>
    <col min="12424" max="12424" customWidth="1" bestFit="1" width="3.0" style="1122"/>
    <col min="12425" max="12425" customWidth="1" bestFit="1" width="3.0" style="1122"/>
    <col min="12426" max="12426" customWidth="1" bestFit="1" width="3.0" style="1122"/>
    <col min="12427" max="12427" customWidth="1" bestFit="1" width="3.0" style="1122"/>
    <col min="12428" max="12428" customWidth="1" bestFit="1" width="3.0" style="1122"/>
    <col min="12429" max="12429" customWidth="1" bestFit="1" width="3.0" style="1122"/>
    <col min="12430" max="12430" customWidth="1" bestFit="1" width="3.0" style="1122"/>
    <col min="12431" max="12431" customWidth="1" bestFit="1" width="3.0" style="1122"/>
    <col min="12432" max="12432" customWidth="1" bestFit="1" width="3.0" style="1122"/>
    <col min="12433" max="12433" customWidth="1" bestFit="1" width="3.0" style="1122"/>
    <col min="12434" max="12434" customWidth="1" bestFit="1" width="3.0" style="1122"/>
    <col min="12435" max="12435" customWidth="1" bestFit="1" width="3.0" style="1122"/>
    <col min="12436" max="12436" customWidth="1" bestFit="1" width="3.0" style="1122"/>
    <col min="12437" max="12437" customWidth="1" bestFit="1" width="3.0" style="1122"/>
    <col min="12438" max="12438" customWidth="1" bestFit="1" width="3.0" style="1122"/>
    <col min="12439" max="12439" customWidth="1" bestFit="1" width="3.0" style="1122"/>
    <col min="12440" max="12440" customWidth="1" bestFit="1" width="3.0" style="1122"/>
    <col min="12441" max="12441" customWidth="1" bestFit="1" width="3.0" style="1122"/>
    <col min="12442" max="12442" customWidth="1" bestFit="1" width="3.0" style="1122"/>
    <col min="12443" max="12443" customWidth="1" bestFit="1" width="3.0" style="1122"/>
    <col min="12444" max="12444" customWidth="1" bestFit="1" width="3.0" style="1122"/>
    <col min="12445" max="12445" customWidth="1" bestFit="1" width="3.0" style="1122"/>
    <col min="12446" max="12446" customWidth="1" bestFit="1" width="3.0" style="1122"/>
    <col min="12447" max="12447" customWidth="1" bestFit="1" width="3.0" style="1122"/>
    <col min="12448" max="12448" customWidth="1" bestFit="1" width="3.0" style="1122"/>
    <col min="12449" max="12449" customWidth="1" bestFit="1" width="3.0" style="1122"/>
    <col min="12450" max="12450" customWidth="1" bestFit="1" width="3.0" style="1122"/>
    <col min="12451" max="12451" customWidth="1" bestFit="1" width="3.0" style="1122"/>
    <col min="12452" max="12452" customWidth="1" bestFit="1" width="3.0" style="1122"/>
    <col min="12453" max="12453" customWidth="1" bestFit="1" width="3.0" style="1122"/>
    <col min="12454" max="12454" customWidth="1" bestFit="1" width="3.0" style="1122"/>
    <col min="12455" max="12455" customWidth="1" bestFit="1" width="3.0" style="1122"/>
    <col min="12456" max="12456" customWidth="1" bestFit="1" width="3.0" style="1122"/>
    <col min="12457" max="12457" customWidth="1" bestFit="1" width="3.0" style="1122"/>
    <col min="12458" max="12458" customWidth="1" bestFit="1" width="3.0" style="1122"/>
    <col min="12459" max="12459" customWidth="1" bestFit="1" width="3.0" style="1122"/>
    <col min="12460" max="12460" customWidth="1" bestFit="1" width="3.0" style="1122"/>
    <col min="12461" max="12461" customWidth="1" bestFit="1" width="3.0" style="1122"/>
    <col min="12462" max="12462" customWidth="1" bestFit="1" width="3.0" style="1122"/>
    <col min="12463" max="12463" customWidth="1" bestFit="1" width="3.0" style="1122"/>
    <col min="12464" max="12464" customWidth="1" bestFit="1" width="3.0" style="1122"/>
    <col min="12465" max="12465" customWidth="1" bestFit="1" width="3.0" style="1122"/>
    <col min="12466" max="12466" customWidth="1" bestFit="1" width="3.0" style="1122"/>
    <col min="12467" max="12467" customWidth="1" bestFit="1" width="3.0" style="1122"/>
    <col min="12468" max="12468" customWidth="1" bestFit="1" width="3.0" style="1122"/>
    <col min="12469" max="12469" customWidth="1" bestFit="1" width="3.0" style="1122"/>
    <col min="12470" max="12470" customWidth="1" bestFit="1" width="3.0" style="1122"/>
    <col min="12471" max="12471" customWidth="1" bestFit="1" width="3.0" style="1122"/>
    <col min="12472" max="12472" customWidth="1" bestFit="1" width="3.0" style="1122"/>
    <col min="12473" max="12473" customWidth="1" bestFit="1" width="3.0" style="1122"/>
    <col min="12474" max="12474" customWidth="1" bestFit="1" width="3.0" style="1122"/>
    <col min="12475" max="12475" customWidth="1" bestFit="1" width="3.0" style="1122"/>
    <col min="12476" max="12476" customWidth="1" bestFit="1" width="3.0" style="1122"/>
    <col min="12477" max="12477" customWidth="1" bestFit="1" width="3.0" style="1122"/>
    <col min="12478" max="12478" customWidth="1" bestFit="1" width="3.0" style="1122"/>
    <col min="12479" max="12479" customWidth="1" bestFit="1" width="3.0" style="1122"/>
    <col min="12480" max="12480" customWidth="1" bestFit="1" width="3.0" style="1122"/>
    <col min="12481" max="12481" customWidth="1" bestFit="1" width="3.0" style="1122"/>
    <col min="12482" max="12482" customWidth="1" bestFit="1" width="3.0" style="1122"/>
    <col min="12483" max="12483" customWidth="1" bestFit="1" width="3.0" style="1122"/>
    <col min="12484" max="12484" customWidth="1" bestFit="1" width="3.0" style="1122"/>
    <col min="12485" max="12485" customWidth="1" bestFit="1" width="3.0" style="1122"/>
    <col min="12486" max="12486" customWidth="1" bestFit="1" width="3.0" style="1122"/>
    <col min="12487" max="12487" customWidth="1" bestFit="1" width="3.0" style="1122"/>
    <col min="12488" max="12488" customWidth="1" bestFit="1" width="3.0" style="1122"/>
    <col min="12489" max="12489" customWidth="1" bestFit="1" width="3.0" style="1122"/>
    <col min="12490" max="12490" customWidth="1" bestFit="1" width="3.0" style="1122"/>
    <col min="12491" max="12491" customWidth="1" bestFit="1" width="3.0" style="1122"/>
    <col min="12492" max="12492" customWidth="1" bestFit="1" width="3.0" style="1122"/>
    <col min="12493" max="12493" customWidth="1" bestFit="1" width="3.0" style="1122"/>
    <col min="12494" max="12494" customWidth="1" bestFit="1" width="3.0" style="1122"/>
    <col min="12495" max="12495" customWidth="1" bestFit="1" width="3.0" style="1122"/>
    <col min="12496" max="12496" customWidth="1" bestFit="1" width="3.0" style="1122"/>
    <col min="12497" max="12497" customWidth="1" bestFit="1" width="3.0" style="1122"/>
    <col min="12498" max="12498" customWidth="1" bestFit="1" width="3.0" style="1122"/>
    <col min="12499" max="12499" customWidth="1" bestFit="1" width="3.0" style="1122"/>
    <col min="12500" max="12500" customWidth="1" bestFit="1" width="3.0" style="1122"/>
    <col min="12501" max="12501" customWidth="1" bestFit="1" width="3.0" style="1122"/>
    <col min="12502" max="12502" customWidth="1" bestFit="1" width="3.0" style="1122"/>
    <col min="12503" max="12503" customWidth="1" bestFit="1" width="3.0" style="1122"/>
    <col min="12504" max="12504" customWidth="1" bestFit="1" width="3.0" style="1122"/>
    <col min="12505" max="12505" customWidth="1" bestFit="1" width="3.0" style="1122"/>
    <col min="12506" max="12506" customWidth="1" bestFit="1" width="3.0" style="1122"/>
    <col min="12507" max="12507" customWidth="1" bestFit="1" width="3.0" style="1122"/>
    <col min="12508" max="12508" customWidth="1" bestFit="1" width="3.0" style="1122"/>
    <col min="12509" max="12509" customWidth="1" bestFit="1" width="3.0" style="1122"/>
    <col min="12510" max="12510" customWidth="1" bestFit="1" width="3.0" style="1122"/>
    <col min="12511" max="12511" customWidth="1" bestFit="1" width="3.0" style="1122"/>
    <col min="12512" max="12512" customWidth="1" bestFit="1" width="3.0" style="1122"/>
    <col min="12513" max="12513" customWidth="1" bestFit="1" width="3.0" style="1122"/>
    <col min="12514" max="12514" customWidth="1" bestFit="1" width="3.0" style="1122"/>
    <col min="12515" max="12515" customWidth="1" bestFit="1" width="3.0" style="1122"/>
    <col min="12516" max="12516" customWidth="1" bestFit="1" width="3.0" style="1122"/>
    <col min="12517" max="12517" customWidth="1" bestFit="1" width="3.0" style="1122"/>
    <col min="12518" max="12518" customWidth="1" bestFit="1" width="3.0" style="1122"/>
    <col min="12519" max="12519" customWidth="1" bestFit="1" width="3.0" style="1122"/>
    <col min="12520" max="12520" customWidth="1" bestFit="1" width="3.0" style="1122"/>
    <col min="12521" max="12521" customWidth="1" bestFit="1" width="3.0" style="1122"/>
    <col min="12522" max="12522" customWidth="1" bestFit="1" width="3.0" style="1122"/>
    <col min="12523" max="12523" customWidth="1" bestFit="1" width="3.0" style="1122"/>
    <col min="12524" max="12524" customWidth="1" bestFit="1" width="3.0" style="1122"/>
    <col min="12525" max="12525" customWidth="1" bestFit="1" width="3.0" style="1122"/>
    <col min="12526" max="12526" customWidth="1" bestFit="1" width="3.0" style="1122"/>
    <col min="12527" max="12527" customWidth="1" bestFit="1" width="3.0" style="1122"/>
    <col min="12528" max="12528" customWidth="1" bestFit="1" width="3.0" style="1122"/>
    <col min="12529" max="12529" customWidth="1" bestFit="1" width="3.0" style="1122"/>
    <col min="12530" max="12530" customWidth="1" bestFit="1" width="3.0" style="1122"/>
    <col min="12531" max="12531" customWidth="1" bestFit="1" width="3.0" style="1122"/>
    <col min="12532" max="12532" customWidth="1" bestFit="1" width="3.0" style="1122"/>
    <col min="12533" max="12533" customWidth="1" bestFit="1" width="3.0" style="1122"/>
    <col min="12534" max="12534" customWidth="1" bestFit="1" width="3.0" style="1122"/>
    <col min="12535" max="12535" customWidth="1" bestFit="1" width="3.0" style="1122"/>
    <col min="12536" max="12536" customWidth="1" bestFit="1" width="3.0" style="1122"/>
    <col min="12537" max="12537" customWidth="1" bestFit="1" width="3.0" style="1122"/>
    <col min="12538" max="12538" customWidth="1" bestFit="1" width="3.0" style="1122"/>
    <col min="12539" max="12539" customWidth="1" bestFit="1" width="3.0" style="1122"/>
    <col min="12540" max="12540" customWidth="1" bestFit="1" width="3.0" style="1122"/>
    <col min="12541" max="12541" customWidth="1" bestFit="1" width="3.0" style="1122"/>
    <col min="12542" max="12542" customWidth="1" bestFit="1" width="3.0" style="1122"/>
    <col min="12543" max="12543" customWidth="1" bestFit="1" width="3.0" style="1122"/>
    <col min="12544" max="12544" customWidth="1" bestFit="1" width="3.0" style="1122"/>
    <col min="12545" max="12545" customWidth="1" bestFit="1" width="3.0" style="1122"/>
    <col min="12546" max="12546" customWidth="1" bestFit="1" width="3.0" style="1122"/>
    <col min="12547" max="12547" customWidth="1" bestFit="1" width="3.0" style="1122"/>
    <col min="12548" max="12548" customWidth="1" bestFit="1" width="3.0" style="1122"/>
    <col min="12549" max="12549" customWidth="1" bestFit="1" width="3.0" style="1122"/>
    <col min="12550" max="12550" customWidth="1" bestFit="1" width="3.0" style="1122"/>
    <col min="12551" max="12551" customWidth="1" bestFit="1" width="3.0" style="1122"/>
    <col min="12552" max="12552" customWidth="1" bestFit="1" width="3.0" style="1122"/>
    <col min="12553" max="12553" customWidth="1" bestFit="1" width="3.0" style="1122"/>
    <col min="12554" max="12554" customWidth="1" bestFit="1" width="3.0" style="1122"/>
    <col min="12555" max="12555" customWidth="1" bestFit="1" width="3.0" style="1122"/>
    <col min="12556" max="12556" customWidth="1" bestFit="1" width="3.0" style="1122"/>
    <col min="12557" max="12557" customWidth="1" bestFit="1" width="3.0" style="1122"/>
    <col min="12558" max="12558" customWidth="1" bestFit="1" width="3.0" style="1122"/>
    <col min="12559" max="12559" customWidth="1" bestFit="1" width="3.0" style="1122"/>
    <col min="12560" max="12560" customWidth="1" bestFit="1" width="3.0" style="1122"/>
    <col min="12561" max="12561" customWidth="1" bestFit="1" width="3.0" style="1122"/>
    <col min="12562" max="12562" customWidth="1" bestFit="1" width="3.0" style="1122"/>
    <col min="12563" max="12563" customWidth="1" bestFit="1" width="3.0" style="1122"/>
    <col min="12564" max="12564" customWidth="1" bestFit="1" width="3.0" style="1122"/>
    <col min="12565" max="12565" customWidth="1" bestFit="1" width="3.0" style="1122"/>
    <col min="12566" max="12566" customWidth="1" bestFit="1" width="3.0" style="1122"/>
    <col min="12567" max="12567" customWidth="1" bestFit="1" width="3.0" style="1122"/>
    <col min="12568" max="12568" customWidth="1" bestFit="1" width="3.0" style="1122"/>
    <col min="12569" max="12569" customWidth="1" bestFit="1" width="3.0" style="1122"/>
    <col min="12570" max="12570" customWidth="1" bestFit="1" width="3.0" style="1122"/>
    <col min="12571" max="12571" customWidth="1" bestFit="1" width="3.0" style="1122"/>
    <col min="12572" max="12572" customWidth="1" bestFit="1" width="3.0" style="1122"/>
    <col min="12573" max="12573" customWidth="1" bestFit="1" width="3.0" style="1122"/>
    <col min="12574" max="12574" customWidth="1" bestFit="1" width="3.0" style="1122"/>
    <col min="12575" max="12575" customWidth="1" bestFit="1" width="3.0" style="1122"/>
    <col min="12576" max="12576" customWidth="1" bestFit="1" width="3.0" style="1122"/>
    <col min="12577" max="12577" customWidth="1" bestFit="1" width="3.0" style="1122"/>
    <col min="12578" max="12578" customWidth="1" bestFit="1" width="3.0" style="1122"/>
    <col min="12579" max="12579" customWidth="1" bestFit="1" width="3.0" style="1122"/>
    <col min="12580" max="12580" customWidth="1" bestFit="1" width="3.0" style="1122"/>
    <col min="12581" max="12581" customWidth="1" bestFit="1" width="3.0" style="1122"/>
    <col min="12582" max="12582" customWidth="1" bestFit="1" width="3.0" style="1122"/>
    <col min="12583" max="12583" customWidth="1" bestFit="1" width="3.0" style="1122"/>
    <col min="12584" max="12584" customWidth="1" bestFit="1" width="3.0" style="1122"/>
    <col min="12585" max="12585" customWidth="1" bestFit="1" width="3.0" style="1122"/>
    <col min="12586" max="12586" customWidth="1" bestFit="1" width="3.0" style="1122"/>
    <col min="12587" max="12587" customWidth="1" bestFit="1" width="3.0" style="1122"/>
    <col min="12588" max="12588" customWidth="1" bestFit="1" width="3.0" style="1122"/>
    <col min="12589" max="12589" customWidth="1" bestFit="1" width="3.0" style="1122"/>
    <col min="12590" max="12590" customWidth="1" bestFit="1" width="3.0" style="1122"/>
    <col min="12591" max="12591" customWidth="1" bestFit="1" width="3.0" style="1122"/>
    <col min="12592" max="12592" customWidth="1" bestFit="1" width="3.0" style="1122"/>
    <col min="12593" max="12593" customWidth="1" bestFit="1" width="3.0" style="1122"/>
    <col min="12594" max="12594" customWidth="1" bestFit="1" width="3.0" style="1122"/>
    <col min="12595" max="12595" customWidth="1" bestFit="1" width="3.0" style="1122"/>
    <col min="12596" max="12596" customWidth="1" bestFit="1" width="3.0" style="1122"/>
    <col min="12597" max="12597" customWidth="1" bestFit="1" width="3.0" style="1122"/>
    <col min="12598" max="12598" customWidth="1" bestFit="1" width="3.0" style="1122"/>
    <col min="12599" max="12599" customWidth="1" bestFit="1" width="3.0" style="1122"/>
    <col min="12600" max="12600" customWidth="1" bestFit="1" width="3.0" style="1122"/>
    <col min="12601" max="12601" customWidth="1" bestFit="1" width="3.0" style="1122"/>
    <col min="12602" max="12602" customWidth="1" bestFit="1" width="3.0" style="1122"/>
    <col min="12603" max="12603" customWidth="1" bestFit="1" width="3.0" style="1122"/>
    <col min="12604" max="12604" customWidth="1" bestFit="1" width="3.0" style="1122"/>
    <col min="12605" max="12605" customWidth="1" bestFit="1" width="3.0" style="1122"/>
    <col min="12606" max="12606" customWidth="1" bestFit="1" width="3.0" style="1122"/>
    <col min="12607" max="12607" customWidth="1" bestFit="1" width="3.0" style="1122"/>
    <col min="12608" max="12608" customWidth="1" bestFit="1" width="3.0" style="1122"/>
    <col min="12609" max="12609" customWidth="1" bestFit="1" width="3.0" style="1122"/>
    <col min="12610" max="12610" customWidth="1" bestFit="1" width="3.0" style="1122"/>
    <col min="12611" max="12611" customWidth="1" bestFit="1" width="3.0" style="1122"/>
    <col min="12612" max="12612" customWidth="1" bestFit="1" width="3.0" style="1122"/>
    <col min="12613" max="12613" customWidth="1" bestFit="1" width="3.0" style="1122"/>
    <col min="12614" max="12614" customWidth="1" bestFit="1" width="3.0" style="1122"/>
    <col min="12615" max="12615" customWidth="1" bestFit="1" width="3.0" style="1122"/>
    <col min="12616" max="12616" customWidth="1" bestFit="1" width="3.0" style="1122"/>
    <col min="12617" max="12617" customWidth="1" bestFit="1" width="3.0" style="1122"/>
    <col min="12618" max="12618" customWidth="1" bestFit="1" width="3.0" style="1122"/>
    <col min="12619" max="12619" customWidth="1" bestFit="1" width="3.0" style="1122"/>
    <col min="12620" max="12620" customWidth="1" bestFit="1" width="3.0" style="1122"/>
    <col min="12621" max="12621" customWidth="1" bestFit="1" width="3.0" style="1122"/>
    <col min="12622" max="12622" customWidth="1" bestFit="1" width="3.0" style="1122"/>
    <col min="12623" max="12623" customWidth="1" bestFit="1" width="3.0" style="1122"/>
    <col min="12624" max="12624" customWidth="1" bestFit="1" width="3.0" style="1122"/>
    <col min="12625" max="12625" customWidth="1" bestFit="1" width="3.0" style="1122"/>
    <col min="12626" max="12626" customWidth="1" bestFit="1" width="3.0" style="1122"/>
    <col min="12627" max="12627" customWidth="1" bestFit="1" width="3.0" style="1122"/>
    <col min="12628" max="12628" customWidth="1" bestFit="1" width="3.0" style="1122"/>
    <col min="12629" max="12629" customWidth="1" bestFit="1" width="3.0" style="1122"/>
    <col min="12630" max="12630" customWidth="1" bestFit="1" width="3.0" style="1122"/>
    <col min="12631" max="12631" customWidth="1" bestFit="1" width="3.0" style="1122"/>
    <col min="12632" max="12632" customWidth="1" bestFit="1" width="3.0" style="1122"/>
    <col min="12633" max="12633" customWidth="1" bestFit="1" width="3.0" style="1122"/>
    <col min="12634" max="12634" customWidth="1" bestFit="1" width="3.0" style="1122"/>
    <col min="12635" max="12635" customWidth="1" bestFit="1" width="3.0" style="1122"/>
    <col min="12636" max="12636" customWidth="1" bestFit="1" width="3.0" style="1122"/>
    <col min="12637" max="12637" customWidth="1" bestFit="1" width="3.0" style="1122"/>
    <col min="12638" max="12638" customWidth="1" bestFit="1" width="3.0" style="1122"/>
    <col min="12639" max="12639" customWidth="1" bestFit="1" width="3.0" style="1122"/>
    <col min="12640" max="12640" customWidth="1" bestFit="1" width="3.0" style="1122"/>
    <col min="12641" max="12641" customWidth="1" bestFit="1" width="3.0" style="1122"/>
    <col min="12642" max="12642" customWidth="1" bestFit="1" width="3.0" style="1122"/>
    <col min="12643" max="12643" customWidth="1" bestFit="1" width="3.0" style="1122"/>
    <col min="12644" max="12644" customWidth="1" bestFit="1" width="3.0" style="1122"/>
    <col min="12645" max="12645" customWidth="1" bestFit="1" width="3.0" style="1122"/>
    <col min="12646" max="12646" customWidth="1" bestFit="1" width="3.0" style="1122"/>
    <col min="12647" max="12647" customWidth="1" bestFit="1" width="3.0" style="1122"/>
    <col min="12648" max="12648" customWidth="1" bestFit="1" width="3.0" style="1122"/>
    <col min="12649" max="12649" customWidth="1" bestFit="1" width="3.0" style="1122"/>
    <col min="12650" max="12650" customWidth="1" bestFit="1" width="3.0" style="1122"/>
    <col min="12651" max="12651" customWidth="1" bestFit="1" width="3.0" style="1122"/>
    <col min="12652" max="12652" customWidth="1" bestFit="1" width="3.0" style="1122"/>
    <col min="12653" max="12653" customWidth="1" bestFit="1" width="3.0" style="1122"/>
    <col min="12654" max="12654" customWidth="1" bestFit="1" width="3.0" style="1122"/>
    <col min="12655" max="12655" customWidth="1" bestFit="1" width="3.0" style="1122"/>
    <col min="12656" max="12656" customWidth="1" bestFit="1" width="3.0" style="1122"/>
    <col min="12657" max="12657" customWidth="1" bestFit="1" width="3.0" style="1122"/>
    <col min="12658" max="12658" customWidth="1" bestFit="1" width="3.0" style="1122"/>
    <col min="12659" max="12659" customWidth="1" bestFit="1" width="3.0" style="1122"/>
    <col min="12660" max="12660" customWidth="1" bestFit="1" width="3.0" style="1122"/>
    <col min="12661" max="12661" customWidth="1" bestFit="1" width="3.0" style="1122"/>
    <col min="12662" max="12662" customWidth="1" bestFit="1" width="3.0" style="1122"/>
    <col min="12663" max="12663" customWidth="1" bestFit="1" width="3.0" style="1122"/>
    <col min="12664" max="12664" customWidth="1" bestFit="1" width="3.0" style="1122"/>
    <col min="12665" max="12665" customWidth="1" bestFit="1" width="3.0" style="1122"/>
    <col min="12666" max="12666" customWidth="1" bestFit="1" width="3.0" style="1122"/>
    <col min="12667" max="12667" customWidth="1" bestFit="1" width="3.0" style="1122"/>
    <col min="12668" max="12668" customWidth="1" bestFit="1" width="3.0" style="1122"/>
    <col min="12669" max="12669" customWidth="1" bestFit="1" width="3.0" style="1122"/>
    <col min="12670" max="12670" customWidth="1" bestFit="1" width="3.0" style="1122"/>
    <col min="12671" max="12671" customWidth="1" bestFit="1" width="3.0" style="1122"/>
    <col min="12672" max="12672" customWidth="1" bestFit="1" width="3.0" style="1122"/>
    <col min="12673" max="12673" customWidth="1" bestFit="1" width="3.0" style="1122"/>
    <col min="12674" max="12674" customWidth="1" bestFit="1" width="3.0" style="1122"/>
    <col min="12675" max="12675" customWidth="1" bestFit="1" width="3.0" style="1122"/>
    <col min="12676" max="12676" customWidth="1" bestFit="1" width="3.0" style="1122"/>
    <col min="12677" max="12677" customWidth="1" bestFit="1" width="3.0" style="1122"/>
    <col min="12678" max="12678" customWidth="1" bestFit="1" width="3.0" style="1122"/>
    <col min="12679" max="12679" customWidth="1" bestFit="1" width="3.0" style="1122"/>
    <col min="12680" max="12680" customWidth="1" bestFit="1" width="3.0" style="1122"/>
    <col min="12681" max="12681" customWidth="1" bestFit="1" width="3.0" style="1122"/>
    <col min="12682" max="12682" customWidth="1" bestFit="1" width="3.0" style="1122"/>
    <col min="12683" max="12683" customWidth="1" bestFit="1" width="3.0" style="1122"/>
    <col min="12684" max="12684" customWidth="1" bestFit="1" width="3.0" style="1122"/>
    <col min="12685" max="12685" customWidth="1" bestFit="1" width="3.0" style="1122"/>
    <col min="12686" max="12686" customWidth="1" bestFit="1" width="3.0" style="1122"/>
    <col min="12687" max="12687" customWidth="1" bestFit="1" width="3.0" style="1122"/>
    <col min="12688" max="12688" customWidth="1" bestFit="1" width="3.0" style="1122"/>
    <col min="12689" max="12689" customWidth="1" bestFit="1" width="3.0" style="1122"/>
    <col min="12690" max="12690" customWidth="1" bestFit="1" width="3.0" style="1122"/>
    <col min="12691" max="12691" customWidth="1" bestFit="1" width="3.0" style="1122"/>
    <col min="12692" max="12692" customWidth="1" bestFit="1" width="3.0" style="1122"/>
    <col min="12693" max="12693" customWidth="1" bestFit="1" width="3.0" style="1122"/>
    <col min="12694" max="12694" customWidth="1" bestFit="1" width="3.0" style="1122"/>
    <col min="12695" max="12695" customWidth="1" bestFit="1" width="3.0" style="1122"/>
    <col min="12696" max="12696" customWidth="1" bestFit="1" width="3.0" style="1122"/>
    <col min="12697" max="12697" customWidth="1" bestFit="1" width="3.0" style="1122"/>
    <col min="12698" max="12698" customWidth="1" bestFit="1" width="3.0" style="1122"/>
    <col min="12699" max="12699" customWidth="1" bestFit="1" width="3.0" style="1122"/>
    <col min="12700" max="12700" customWidth="1" bestFit="1" width="3.0" style="1122"/>
    <col min="12701" max="12701" customWidth="1" bestFit="1" width="3.0" style="1122"/>
    <col min="12702" max="12702" customWidth="1" bestFit="1" width="3.0" style="1122"/>
    <col min="12703" max="12703" customWidth="1" bestFit="1" width="3.0" style="1122"/>
    <col min="12704" max="12704" customWidth="1" bestFit="1" width="3.0" style="1122"/>
    <col min="12705" max="12705" customWidth="1" bestFit="1" width="3.0" style="1122"/>
    <col min="12706" max="12706" customWidth="1" bestFit="1" width="3.0" style="1122"/>
    <col min="12707" max="12707" customWidth="1" bestFit="1" width="3.0" style="1122"/>
    <col min="12708" max="12708" customWidth="1" bestFit="1" width="3.0" style="1122"/>
    <col min="12709" max="12709" customWidth="1" bestFit="1" width="3.0" style="1122"/>
    <col min="12710" max="12710" customWidth="1" bestFit="1" width="3.0" style="1122"/>
    <col min="12711" max="12711" customWidth="1" bestFit="1" width="3.0" style="1122"/>
    <col min="12712" max="12712" customWidth="1" bestFit="1" width="3.0" style="1122"/>
    <col min="12713" max="12713" customWidth="1" bestFit="1" width="3.0" style="1122"/>
    <col min="12714" max="12714" customWidth="1" bestFit="1" width="3.0" style="1122"/>
    <col min="12715" max="12715" customWidth="1" bestFit="1" width="3.0" style="1122"/>
    <col min="12716" max="12716" customWidth="1" bestFit="1" width="3.0" style="1122"/>
    <col min="12717" max="12717" customWidth="1" bestFit="1" width="3.0" style="1122"/>
    <col min="12718" max="12718" customWidth="1" bestFit="1" width="3.0" style="1122"/>
    <col min="12719" max="12719" customWidth="1" bestFit="1" width="3.0" style="1122"/>
    <col min="12720" max="12720" customWidth="1" bestFit="1" width="3.0" style="1122"/>
    <col min="12721" max="12721" customWidth="1" bestFit="1" width="3.0" style="1122"/>
    <col min="12722" max="12722" customWidth="1" bestFit="1" width="3.0" style="1122"/>
    <col min="12723" max="12723" customWidth="1" bestFit="1" width="3.0" style="1122"/>
    <col min="12724" max="12724" customWidth="1" bestFit="1" width="3.0" style="1122"/>
    <col min="12725" max="12725" customWidth="1" bestFit="1" width="3.0" style="1122"/>
    <col min="12726" max="12726" customWidth="1" bestFit="1" width="3.0" style="1122"/>
    <col min="12727" max="12727" customWidth="1" bestFit="1" width="3.0" style="1122"/>
    <col min="12728" max="12728" customWidth="1" bestFit="1" width="3.0" style="1122"/>
    <col min="12729" max="12729" customWidth="1" bestFit="1" width="3.0" style="1122"/>
    <col min="12730" max="12730" customWidth="1" bestFit="1" width="3.0" style="1122"/>
    <col min="12731" max="12731" customWidth="1" bestFit="1" width="3.0" style="1122"/>
    <col min="12732" max="12732" customWidth="1" bestFit="1" width="3.0" style="1122"/>
    <col min="12733" max="12733" customWidth="1" bestFit="1" width="3.0" style="1122"/>
    <col min="12734" max="12734" customWidth="1" bestFit="1" width="3.0" style="1122"/>
    <col min="12735" max="12735" customWidth="1" bestFit="1" width="3.0" style="1122"/>
    <col min="12736" max="12736" customWidth="1" bestFit="1" width="3.0" style="1122"/>
    <col min="12737" max="12737" customWidth="1" bestFit="1" width="3.0" style="1122"/>
    <col min="12738" max="12738" customWidth="1" bestFit="1" width="3.0" style="1122"/>
    <col min="12739" max="12739" customWidth="1" bestFit="1" width="3.0" style="1122"/>
    <col min="12740" max="12740" customWidth="1" bestFit="1" width="3.0" style="1122"/>
    <col min="12741" max="12741" customWidth="1" bestFit="1" width="3.0" style="1122"/>
    <col min="12742" max="12742" customWidth="1" bestFit="1" width="3.0" style="1122"/>
    <col min="12743" max="12743" customWidth="1" bestFit="1" width="3.0" style="1122"/>
    <col min="12744" max="12744" customWidth="1" bestFit="1" width="3.0" style="1122"/>
    <col min="12745" max="12745" customWidth="1" bestFit="1" width="3.0" style="1122"/>
    <col min="12746" max="12746" customWidth="1" bestFit="1" width="3.0" style="1122"/>
    <col min="12747" max="12747" customWidth="1" bestFit="1" width="3.0" style="1122"/>
    <col min="12748" max="12748" customWidth="1" bestFit="1" width="3.0" style="1122"/>
    <col min="12749" max="12749" customWidth="1" bestFit="1" width="3.0" style="1122"/>
    <col min="12750" max="12750" customWidth="1" bestFit="1" width="3.0" style="1122"/>
    <col min="12751" max="12751" customWidth="1" bestFit="1" width="3.0" style="1122"/>
    <col min="12752" max="12752" customWidth="1" bestFit="1" width="3.0" style="1122"/>
    <col min="12753" max="12753" customWidth="1" bestFit="1" width="3.0" style="1122"/>
    <col min="12754" max="12754" customWidth="1" bestFit="1" width="3.0" style="1122"/>
    <col min="12755" max="12755" customWidth="1" bestFit="1" width="3.0" style="1122"/>
    <col min="12756" max="12756" customWidth="1" bestFit="1" width="3.0" style="1122"/>
    <col min="12757" max="12757" customWidth="1" bestFit="1" width="3.0" style="1122"/>
    <col min="12758" max="12758" customWidth="1" bestFit="1" width="3.0" style="1122"/>
    <col min="12759" max="12759" customWidth="1" bestFit="1" width="3.0" style="1122"/>
    <col min="12760" max="12760" customWidth="1" bestFit="1" width="3.0" style="1122"/>
    <col min="12761" max="12761" customWidth="1" bestFit="1" width="3.0" style="1122"/>
    <col min="12762" max="12762" customWidth="1" bestFit="1" width="3.0" style="1122"/>
    <col min="12763" max="12763" customWidth="1" bestFit="1" width="3.0" style="1122"/>
    <col min="12764" max="12764" customWidth="1" bestFit="1" width="3.0" style="1122"/>
    <col min="12765" max="12765" customWidth="1" bestFit="1" width="3.0" style="1122"/>
    <col min="12766" max="12766" customWidth="1" bestFit="1" width="3.0" style="1122"/>
    <col min="12767" max="12767" customWidth="1" bestFit="1" width="3.0" style="1122"/>
    <col min="12768" max="12768" customWidth="1" bestFit="1" width="3.0" style="1122"/>
    <col min="12769" max="12769" customWidth="1" bestFit="1" width="3.0" style="1122"/>
    <col min="12770" max="12770" customWidth="1" bestFit="1" width="3.0" style="1122"/>
    <col min="12771" max="12771" customWidth="1" bestFit="1" width="3.0" style="1122"/>
    <col min="12772" max="12772" customWidth="1" bestFit="1" width="3.0" style="1122"/>
    <col min="12773" max="12773" customWidth="1" bestFit="1" width="3.0" style="1122"/>
    <col min="12774" max="12774" customWidth="1" bestFit="1" width="3.0" style="1122"/>
    <col min="12775" max="12775" customWidth="1" bestFit="1" width="3.0" style="1122"/>
    <col min="12776" max="12776" customWidth="1" bestFit="1" width="3.0" style="1122"/>
    <col min="12777" max="12777" customWidth="1" bestFit="1" width="3.0" style="1122"/>
    <col min="12778" max="12778" customWidth="1" bestFit="1" width="3.0" style="1122"/>
    <col min="12779" max="12779" customWidth="1" bestFit="1" width="3.0" style="1122"/>
    <col min="12780" max="12780" customWidth="1" bestFit="1" width="3.0" style="1122"/>
    <col min="12781" max="12781" customWidth="1" bestFit="1" width="3.0" style="1122"/>
    <col min="12782" max="12782" customWidth="1" bestFit="1" width="3.0" style="1122"/>
    <col min="12783" max="12783" customWidth="1" bestFit="1" width="3.0" style="1122"/>
    <col min="12784" max="12784" customWidth="1" bestFit="1" width="3.0" style="1122"/>
    <col min="12785" max="12785" customWidth="1" bestFit="1" width="3.0" style="1122"/>
    <col min="12786" max="12786" customWidth="1" bestFit="1" width="3.0" style="1122"/>
    <col min="12787" max="12787" customWidth="1" bestFit="1" width="3.0" style="1122"/>
    <col min="12788" max="12788" customWidth="1" bestFit="1" width="3.0" style="1122"/>
    <col min="12789" max="12789" customWidth="1" bestFit="1" width="3.0" style="1122"/>
    <col min="12790" max="12790" customWidth="1" bestFit="1" width="3.0" style="1122"/>
    <col min="12791" max="12791" customWidth="1" bestFit="1" width="3.0" style="1122"/>
    <col min="12792" max="12792" customWidth="1" bestFit="1" width="3.0" style="1122"/>
    <col min="12793" max="12793" customWidth="1" bestFit="1" width="3.0" style="1122"/>
    <col min="12794" max="12794" customWidth="1" bestFit="1" width="3.0" style="1122"/>
    <col min="12795" max="12795" customWidth="1" bestFit="1" width="3.0" style="1122"/>
    <col min="12796" max="12796" customWidth="1" bestFit="1" width="3.0" style="1122"/>
    <col min="12797" max="12797" customWidth="1" bestFit="1" width="3.0" style="1122"/>
    <col min="12798" max="12798" customWidth="1" bestFit="1" width="3.0" style="1122"/>
    <col min="12799" max="12799" customWidth="1" bestFit="1" width="3.0" style="1122"/>
    <col min="12800" max="12800" customWidth="1" bestFit="1" width="3.0" style="1122"/>
    <col min="12801" max="12801" customWidth="1" bestFit="1" width="3.0" style="1122"/>
    <col min="12802" max="12802" customWidth="1" bestFit="1" width="3.0" style="1122"/>
    <col min="12803" max="12803" customWidth="1" bestFit="1" width="3.0" style="1122"/>
    <col min="12804" max="12804" customWidth="1" bestFit="1" width="3.0" style="1122"/>
    <col min="12805" max="12805" customWidth="1" bestFit="1" width="3.0" style="1122"/>
    <col min="12806" max="12806" customWidth="1" bestFit="1" width="3.0" style="1122"/>
    <col min="12807" max="12807" customWidth="1" bestFit="1" width="3.0" style="1122"/>
    <col min="12808" max="12808" customWidth="1" bestFit="1" width="3.0" style="1122"/>
    <col min="12809" max="12809" customWidth="1" bestFit="1" width="3.0" style="1122"/>
    <col min="12810" max="12810" customWidth="1" bestFit="1" width="3.0" style="1122"/>
    <col min="12811" max="12811" customWidth="1" bestFit="1" width="3.0" style="1122"/>
    <col min="12812" max="12812" customWidth="1" bestFit="1" width="3.0" style="1122"/>
    <col min="12813" max="12813" customWidth="1" bestFit="1" width="3.0" style="1122"/>
    <col min="12814" max="12814" customWidth="1" bestFit="1" width="3.0" style="1122"/>
    <col min="12815" max="12815" customWidth="1" bestFit="1" width="3.0" style="1122"/>
    <col min="12816" max="12816" customWidth="1" bestFit="1" width="3.0" style="1122"/>
    <col min="12817" max="12817" customWidth="1" bestFit="1" width="3.0" style="1122"/>
    <col min="12818" max="12818" customWidth="1" bestFit="1" width="3.0" style="1122"/>
    <col min="12819" max="12819" customWidth="1" bestFit="1" width="3.0" style="1122"/>
    <col min="12820" max="12820" customWidth="1" bestFit="1" width="3.0" style="1122"/>
    <col min="12821" max="12821" customWidth="1" bestFit="1" width="3.0" style="1122"/>
    <col min="12822" max="12822" customWidth="1" bestFit="1" width="3.0" style="1122"/>
    <col min="12823" max="12823" customWidth="1" bestFit="1" width="3.0" style="1122"/>
    <col min="12824" max="12824" customWidth="1" bestFit="1" width="3.0" style="1122"/>
    <col min="12825" max="12825" customWidth="1" bestFit="1" width="3.0" style="1122"/>
    <col min="12826" max="12826" customWidth="1" bestFit="1" width="3.0" style="1122"/>
    <col min="12827" max="12827" customWidth="1" bestFit="1" width="3.0" style="1122"/>
    <col min="12828" max="12828" customWidth="1" bestFit="1" width="3.0" style="1122"/>
    <col min="12829" max="12829" customWidth="1" bestFit="1" width="3.0" style="1122"/>
    <col min="12830" max="12830" customWidth="1" bestFit="1" width="3.0" style="1122"/>
    <col min="12831" max="12831" customWidth="1" bestFit="1" width="3.0" style="1122"/>
    <col min="12832" max="12832" customWidth="1" bestFit="1" width="3.0" style="1122"/>
    <col min="12833" max="12833" customWidth="1" bestFit="1" width="3.0" style="1122"/>
    <col min="12834" max="12834" customWidth="1" bestFit="1" width="3.0" style="1122"/>
    <col min="12835" max="12835" customWidth="1" bestFit="1" width="3.0" style="1122"/>
    <col min="12836" max="12836" customWidth="1" bestFit="1" width="3.0" style="1122"/>
    <col min="12837" max="12837" customWidth="1" bestFit="1" width="3.0" style="1122"/>
    <col min="12838" max="12838" customWidth="1" bestFit="1" width="3.0" style="1122"/>
    <col min="12839" max="12839" customWidth="1" bestFit="1" width="3.0" style="1122"/>
    <col min="12840" max="12840" customWidth="1" bestFit="1" width="3.0" style="1122"/>
    <col min="12841" max="12841" customWidth="1" bestFit="1" width="3.0" style="1122"/>
    <col min="12842" max="12842" customWidth="1" bestFit="1" width="3.0" style="1122"/>
    <col min="12843" max="12843" customWidth="1" bestFit="1" width="3.0" style="1122"/>
    <col min="12844" max="12844" customWidth="1" bestFit="1" width="3.0" style="1122"/>
    <col min="12845" max="12845" customWidth="1" bestFit="1" width="3.0" style="1122"/>
    <col min="12846" max="12846" customWidth="1" bestFit="1" width="3.0" style="1122"/>
    <col min="12847" max="12847" customWidth="1" bestFit="1" width="3.0" style="1122"/>
    <col min="12848" max="12848" customWidth="1" bestFit="1" width="3.0" style="1122"/>
    <col min="12849" max="12849" customWidth="1" bestFit="1" width="3.0" style="1122"/>
    <col min="12850" max="12850" customWidth="1" bestFit="1" width="3.0" style="1122"/>
    <col min="12851" max="12851" customWidth="1" bestFit="1" width="3.0" style="1122"/>
    <col min="12852" max="12852" customWidth="1" bestFit="1" width="3.0" style="1122"/>
    <col min="12853" max="12853" customWidth="1" bestFit="1" width="3.0" style="1122"/>
    <col min="12854" max="12854" customWidth="1" bestFit="1" width="3.0" style="1122"/>
    <col min="12855" max="12855" customWidth="1" bestFit="1" width="3.0" style="1122"/>
    <col min="12856" max="12856" customWidth="1" bestFit="1" width="3.0" style="1122"/>
    <col min="12857" max="12857" customWidth="1" bestFit="1" width="3.0" style="1122"/>
    <col min="12858" max="12858" customWidth="1" bestFit="1" width="3.0" style="1122"/>
    <col min="12859" max="12859" customWidth="1" bestFit="1" width="3.0" style="1122"/>
    <col min="12860" max="12860" customWidth="1" bestFit="1" width="3.0" style="1122"/>
    <col min="12861" max="12861" customWidth="1" bestFit="1" width="3.0" style="1122"/>
    <col min="12862" max="12862" customWidth="1" bestFit="1" width="3.0" style="1122"/>
    <col min="12863" max="12863" customWidth="1" bestFit="1" width="3.0" style="1122"/>
    <col min="12864" max="12864" customWidth="1" bestFit="1" width="3.0" style="1122"/>
    <col min="12865" max="12865" customWidth="1" bestFit="1" width="3.0" style="1122"/>
    <col min="12866" max="12866" customWidth="1" bestFit="1" width="3.0" style="1122"/>
    <col min="12867" max="12867" customWidth="1" bestFit="1" width="3.0" style="1122"/>
    <col min="12868" max="12868" customWidth="1" bestFit="1" width="3.0" style="1122"/>
    <col min="12869" max="12869" customWidth="1" bestFit="1" width="3.0" style="1122"/>
    <col min="12870" max="12870" customWidth="1" bestFit="1" width="3.0" style="1122"/>
    <col min="12871" max="12871" customWidth="1" bestFit="1" width="3.0" style="1122"/>
    <col min="12872" max="12872" customWidth="1" bestFit="1" width="3.0" style="1122"/>
    <col min="12873" max="12873" customWidth="1" bestFit="1" width="3.0" style="1122"/>
    <col min="12874" max="12874" customWidth="1" bestFit="1" width="3.0" style="1122"/>
    <col min="12875" max="12875" customWidth="1" bestFit="1" width="3.0" style="1122"/>
    <col min="12876" max="12876" customWidth="1" bestFit="1" width="3.0" style="1122"/>
    <col min="12877" max="12877" customWidth="1" bestFit="1" width="3.0" style="1122"/>
    <col min="12878" max="12878" customWidth="1" bestFit="1" width="3.0" style="1122"/>
    <col min="12879" max="12879" customWidth="1" bestFit="1" width="3.0" style="1122"/>
    <col min="12880" max="12880" customWidth="1" bestFit="1" width="3.0" style="1122"/>
    <col min="12881" max="12881" customWidth="1" bestFit="1" width="3.0" style="1122"/>
    <col min="12882" max="12882" customWidth="1" bestFit="1" width="3.0" style="1122"/>
    <col min="12883" max="12883" customWidth="1" bestFit="1" width="3.0" style="1122"/>
    <col min="12884" max="12884" customWidth="1" bestFit="1" width="3.0" style="1122"/>
    <col min="12885" max="12885" customWidth="1" bestFit="1" width="3.0" style="1122"/>
    <col min="12886" max="12886" customWidth="1" bestFit="1" width="3.0" style="1122"/>
    <col min="12887" max="12887" customWidth="1" bestFit="1" width="3.0" style="1122"/>
    <col min="12888" max="12888" customWidth="1" bestFit="1" width="3.0" style="1122"/>
    <col min="12889" max="12889" customWidth="1" bestFit="1" width="3.0" style="1122"/>
    <col min="12890" max="12890" customWidth="1" bestFit="1" width="3.0" style="1122"/>
    <col min="12891" max="12891" customWidth="1" bestFit="1" width="3.0" style="1122"/>
    <col min="12892" max="12892" customWidth="1" bestFit="1" width="3.0" style="1122"/>
    <col min="12893" max="12893" customWidth="1" bestFit="1" width="3.0" style="1122"/>
    <col min="12894" max="12894" customWidth="1" bestFit="1" width="3.0" style="1122"/>
    <col min="12895" max="12895" customWidth="1" bestFit="1" width="3.0" style="1122"/>
    <col min="12896" max="12896" customWidth="1" bestFit="1" width="3.0" style="1122"/>
    <col min="12897" max="12897" customWidth="1" bestFit="1" width="3.0" style="1122"/>
    <col min="12898" max="12898" customWidth="1" bestFit="1" width="3.0" style="1122"/>
    <col min="12899" max="12899" customWidth="1" bestFit="1" width="3.0" style="1122"/>
    <col min="12900" max="12900" customWidth="1" bestFit="1" width="3.0" style="1122"/>
    <col min="12901" max="12901" customWidth="1" bestFit="1" width="3.0" style="1122"/>
    <col min="12902" max="12902" customWidth="1" bestFit="1" width="3.0" style="1122"/>
    <col min="12903" max="12903" customWidth="1" bestFit="1" width="3.0" style="1122"/>
    <col min="12904" max="12904" customWidth="1" bestFit="1" width="3.0" style="1122"/>
    <col min="12905" max="12905" customWidth="1" bestFit="1" width="3.0" style="1122"/>
    <col min="12906" max="12906" customWidth="1" bestFit="1" width="3.0" style="1122"/>
    <col min="12907" max="12907" customWidth="1" bestFit="1" width="3.0" style="1122"/>
    <col min="12908" max="12908" customWidth="1" bestFit="1" width="3.0" style="1122"/>
    <col min="12909" max="12909" customWidth="1" bestFit="1" width="3.0" style="1122"/>
    <col min="12910" max="12910" customWidth="1" bestFit="1" width="3.0" style="1122"/>
    <col min="12911" max="12911" customWidth="1" bestFit="1" width="3.0" style="1122"/>
    <col min="12912" max="12912" customWidth="1" bestFit="1" width="3.0" style="1122"/>
    <col min="12913" max="12913" customWidth="1" bestFit="1" width="3.0" style="1122"/>
    <col min="12914" max="12914" customWidth="1" bestFit="1" width="3.0" style="1122"/>
    <col min="12915" max="12915" customWidth="1" bestFit="1" width="3.0" style="1122"/>
    <col min="12916" max="12916" customWidth="1" bestFit="1" width="3.0" style="1122"/>
    <col min="12917" max="12917" customWidth="1" bestFit="1" width="3.0" style="1122"/>
    <col min="12918" max="12918" customWidth="1" bestFit="1" width="3.0" style="1122"/>
    <col min="12919" max="12919" customWidth="1" bestFit="1" width="3.0" style="1122"/>
    <col min="12920" max="12920" customWidth="1" bestFit="1" width="3.0" style="1122"/>
    <col min="12921" max="12921" customWidth="1" bestFit="1" width="3.0" style="1122"/>
    <col min="12922" max="12922" customWidth="1" bestFit="1" width="3.0" style="1122"/>
    <col min="12923" max="12923" customWidth="1" bestFit="1" width="3.0" style="1122"/>
    <col min="12924" max="12924" customWidth="1" bestFit="1" width="3.0" style="1122"/>
    <col min="12925" max="12925" customWidth="1" bestFit="1" width="3.0" style="1122"/>
    <col min="12926" max="12926" customWidth="1" bestFit="1" width="3.0" style="1122"/>
    <col min="12927" max="12927" customWidth="1" bestFit="1" width="3.0" style="1122"/>
    <col min="12928" max="12928" customWidth="1" bestFit="1" width="3.0" style="1122"/>
    <col min="12929" max="12929" customWidth="1" bestFit="1" width="3.0" style="1122"/>
    <col min="12930" max="12930" customWidth="1" bestFit="1" width="3.0" style="1122"/>
    <col min="12931" max="12931" customWidth="1" bestFit="1" width="3.0" style="1122"/>
    <col min="12932" max="12932" customWidth="1" bestFit="1" width="3.0" style="1122"/>
    <col min="12933" max="12933" customWidth="1" bestFit="1" width="3.0" style="1122"/>
    <col min="12934" max="12934" customWidth="1" bestFit="1" width="3.0" style="1122"/>
    <col min="12935" max="12935" customWidth="1" bestFit="1" width="3.0" style="1122"/>
    <col min="12936" max="12936" customWidth="1" bestFit="1" width="3.0" style="1122"/>
    <col min="12937" max="12937" customWidth="1" bestFit="1" width="3.0" style="1122"/>
    <col min="12938" max="12938" customWidth="1" bestFit="1" width="3.0" style="1122"/>
    <col min="12939" max="12939" customWidth="1" bestFit="1" width="3.0" style="1122"/>
    <col min="12940" max="12940" customWidth="1" bestFit="1" width="3.0" style="1122"/>
    <col min="12941" max="12941" customWidth="1" bestFit="1" width="3.0" style="1122"/>
    <col min="12942" max="12942" customWidth="1" bestFit="1" width="3.0" style="1122"/>
    <col min="12943" max="12943" customWidth="1" bestFit="1" width="3.0" style="1122"/>
    <col min="12944" max="12944" customWidth="1" bestFit="1" width="3.0" style="1122"/>
    <col min="12945" max="12945" customWidth="1" bestFit="1" width="3.0" style="1122"/>
    <col min="12946" max="12946" customWidth="1" bestFit="1" width="3.0" style="1122"/>
    <col min="12947" max="12947" customWidth="1" bestFit="1" width="3.0" style="1122"/>
    <col min="12948" max="12948" customWidth="1" bestFit="1" width="3.0" style="1122"/>
    <col min="12949" max="12949" customWidth="1" bestFit="1" width="3.0" style="1122"/>
    <col min="12950" max="12950" customWidth="1" bestFit="1" width="3.0" style="1122"/>
    <col min="12951" max="12951" customWidth="1" bestFit="1" width="3.0" style="1122"/>
    <col min="12952" max="12952" customWidth="1" bestFit="1" width="3.0" style="1122"/>
    <col min="12953" max="12953" customWidth="1" bestFit="1" width="3.0" style="1122"/>
    <col min="12954" max="12954" customWidth="1" bestFit="1" width="3.0" style="1122"/>
    <col min="12955" max="12955" customWidth="1" bestFit="1" width="3.0" style="1122"/>
    <col min="12956" max="12956" customWidth="1" bestFit="1" width="3.0" style="1122"/>
    <col min="12957" max="12957" customWidth="1" bestFit="1" width="3.0" style="1122"/>
    <col min="12958" max="12958" customWidth="1" bestFit="1" width="3.0" style="1122"/>
    <col min="12959" max="12959" customWidth="1" bestFit="1" width="3.0" style="1122"/>
    <col min="12960" max="12960" customWidth="1" bestFit="1" width="3.0" style="1122"/>
    <col min="12961" max="12961" customWidth="1" bestFit="1" width="3.0" style="1122"/>
    <col min="12962" max="12962" customWidth="1" bestFit="1" width="3.0" style="1122"/>
    <col min="12963" max="12963" customWidth="1" bestFit="1" width="3.0" style="1122"/>
    <col min="12964" max="12964" customWidth="1" bestFit="1" width="3.0" style="1122"/>
    <col min="12965" max="12965" customWidth="1" bestFit="1" width="3.0" style="1122"/>
    <col min="12966" max="12966" customWidth="1" bestFit="1" width="3.0" style="1122"/>
    <col min="12967" max="12967" customWidth="1" bestFit="1" width="3.0" style="1122"/>
    <col min="12968" max="12968" customWidth="1" bestFit="1" width="3.0" style="1122"/>
    <col min="12969" max="12969" customWidth="1" bestFit="1" width="3.0" style="1122"/>
    <col min="12970" max="12970" customWidth="1" bestFit="1" width="3.0" style="1122"/>
    <col min="12971" max="12971" customWidth="1" bestFit="1" width="3.0" style="1122"/>
    <col min="12972" max="12972" customWidth="1" bestFit="1" width="3.0" style="1122"/>
    <col min="12973" max="12973" customWidth="1" bestFit="1" width="3.0" style="1122"/>
    <col min="12974" max="12974" customWidth="1" bestFit="1" width="3.0" style="1122"/>
    <col min="12975" max="12975" customWidth="1" bestFit="1" width="3.0" style="1122"/>
    <col min="12976" max="12976" customWidth="1" bestFit="1" width="3.0" style="1122"/>
    <col min="12977" max="12977" customWidth="1" bestFit="1" width="3.0" style="1122"/>
    <col min="12978" max="12978" customWidth="1" bestFit="1" width="3.0" style="1122"/>
    <col min="12979" max="12979" customWidth="1" bestFit="1" width="3.0" style="1122"/>
    <col min="12980" max="12980" customWidth="1" bestFit="1" width="3.0" style="1122"/>
    <col min="12981" max="12981" customWidth="1" bestFit="1" width="3.0" style="1122"/>
    <col min="12982" max="12982" customWidth="1" bestFit="1" width="3.0" style="1122"/>
    <col min="12983" max="12983" customWidth="1" bestFit="1" width="3.0" style="1122"/>
    <col min="12984" max="12984" customWidth="1" bestFit="1" width="3.0" style="1122"/>
    <col min="12985" max="12985" customWidth="1" bestFit="1" width="3.0" style="1122"/>
    <col min="12986" max="12986" customWidth="1" bestFit="1" width="3.0" style="1122"/>
    <col min="12987" max="12987" customWidth="1" bestFit="1" width="3.0" style="1122"/>
    <col min="12988" max="12988" customWidth="1" bestFit="1" width="3.0" style="1122"/>
    <col min="12989" max="12989" customWidth="1" bestFit="1" width="3.0" style="1122"/>
    <col min="12990" max="12990" customWidth="1" bestFit="1" width="3.0" style="1122"/>
    <col min="12991" max="12991" customWidth="1" bestFit="1" width="3.0" style="1122"/>
    <col min="12992" max="12992" customWidth="1" bestFit="1" width="3.0" style="1122"/>
    <col min="12993" max="12993" customWidth="1" bestFit="1" width="3.0" style="1122"/>
    <col min="12994" max="12994" customWidth="1" bestFit="1" width="3.0" style="1122"/>
    <col min="12995" max="12995" customWidth="1" bestFit="1" width="3.0" style="1122"/>
    <col min="12996" max="12996" customWidth="1" bestFit="1" width="3.0" style="1122"/>
    <col min="12997" max="12997" customWidth="1" bestFit="1" width="3.0" style="1122"/>
    <col min="12998" max="12998" customWidth="1" bestFit="1" width="3.0" style="1122"/>
    <col min="12999" max="12999" customWidth="1" bestFit="1" width="3.0" style="1122"/>
    <col min="13000" max="13000" customWidth="1" bestFit="1" width="3.0" style="1122"/>
    <col min="13001" max="13001" customWidth="1" bestFit="1" width="3.0" style="1122"/>
    <col min="13002" max="13002" customWidth="1" bestFit="1" width="3.0" style="1122"/>
    <col min="13003" max="13003" customWidth="1" bestFit="1" width="3.0" style="1122"/>
    <col min="13004" max="13004" customWidth="1" bestFit="1" width="3.0" style="1122"/>
    <col min="13005" max="13005" customWidth="1" bestFit="1" width="3.0" style="1122"/>
    <col min="13006" max="13006" customWidth="1" bestFit="1" width="3.0" style="1122"/>
    <col min="13007" max="13007" customWidth="1" bestFit="1" width="3.0" style="1122"/>
    <col min="13008" max="13008" customWidth="1" bestFit="1" width="3.0" style="1122"/>
    <col min="13009" max="13009" customWidth="1" bestFit="1" width="3.0" style="1122"/>
    <col min="13010" max="13010" customWidth="1" bestFit="1" width="3.0" style="1122"/>
    <col min="13011" max="13011" customWidth="1" bestFit="1" width="3.0" style="1122"/>
    <col min="13012" max="13012" customWidth="1" bestFit="1" width="3.0" style="1122"/>
    <col min="13013" max="13013" customWidth="1" bestFit="1" width="3.0" style="1122"/>
    <col min="13014" max="13014" customWidth="1" bestFit="1" width="3.0" style="1122"/>
    <col min="13015" max="13015" customWidth="1" bestFit="1" width="3.0" style="1122"/>
    <col min="13016" max="13016" customWidth="1" bestFit="1" width="3.0" style="1122"/>
    <col min="13017" max="13017" customWidth="1" bestFit="1" width="3.0" style="1122"/>
    <col min="13018" max="13018" customWidth="1" bestFit="1" width="3.0" style="1122"/>
    <col min="13019" max="13019" customWidth="1" bestFit="1" width="3.0" style="1122"/>
    <col min="13020" max="13020" customWidth="1" bestFit="1" width="3.0" style="1122"/>
    <col min="13021" max="13021" customWidth="1" bestFit="1" width="3.0" style="1122"/>
    <col min="13022" max="13022" customWidth="1" bestFit="1" width="3.0" style="1122"/>
    <col min="13023" max="13023" customWidth="1" bestFit="1" width="3.0" style="1122"/>
    <col min="13024" max="13024" customWidth="1" bestFit="1" width="3.0" style="1122"/>
    <col min="13025" max="13025" customWidth="1" bestFit="1" width="3.0" style="1122"/>
    <col min="13026" max="13026" customWidth="1" bestFit="1" width="3.0" style="1122"/>
    <col min="13027" max="13027" customWidth="1" bestFit="1" width="3.0" style="1122"/>
    <col min="13028" max="13028" customWidth="1" bestFit="1" width="3.0" style="1122"/>
    <col min="13029" max="13029" customWidth="1" bestFit="1" width="3.0" style="1122"/>
    <col min="13030" max="13030" customWidth="1" bestFit="1" width="3.0" style="1122"/>
    <col min="13031" max="13031" customWidth="1" bestFit="1" width="3.0" style="1122"/>
    <col min="13032" max="13032" customWidth="1" bestFit="1" width="3.0" style="1122"/>
    <col min="13033" max="13033" customWidth="1" bestFit="1" width="3.0" style="1122"/>
    <col min="13034" max="13034" customWidth="1" bestFit="1" width="3.0" style="1122"/>
    <col min="13035" max="13035" customWidth="1" bestFit="1" width="3.0" style="1122"/>
    <col min="13036" max="13036" customWidth="1" bestFit="1" width="3.0" style="1122"/>
    <col min="13037" max="13037" customWidth="1" bestFit="1" width="3.0" style="1122"/>
    <col min="13038" max="13038" customWidth="1" bestFit="1" width="3.0" style="1122"/>
    <col min="13039" max="13039" customWidth="1" bestFit="1" width="3.0" style="1122"/>
    <col min="13040" max="13040" customWidth="1" bestFit="1" width="3.0" style="1122"/>
    <col min="13041" max="13041" customWidth="1" bestFit="1" width="3.0" style="1122"/>
    <col min="13042" max="13042" customWidth="1" bestFit="1" width="3.0" style="1122"/>
    <col min="13043" max="13043" customWidth="1" bestFit="1" width="3.0" style="1122"/>
    <col min="13044" max="13044" customWidth="1" bestFit="1" width="3.0" style="1122"/>
    <col min="13045" max="13045" customWidth="1" bestFit="1" width="3.0" style="1122"/>
    <col min="13046" max="13046" customWidth="1" bestFit="1" width="3.0" style="1122"/>
    <col min="13047" max="13047" customWidth="1" bestFit="1" width="3.0" style="1122"/>
    <col min="13048" max="13048" customWidth="1" bestFit="1" width="3.0" style="1122"/>
    <col min="13049" max="13049" customWidth="1" bestFit="1" width="3.0" style="1122"/>
    <col min="13050" max="13050" customWidth="1" bestFit="1" width="3.0" style="1122"/>
    <col min="13051" max="13051" customWidth="1" bestFit="1" width="3.0" style="1122"/>
    <col min="13052" max="13052" customWidth="1" bestFit="1" width="3.0" style="1122"/>
    <col min="13053" max="13053" customWidth="1" bestFit="1" width="3.0" style="1122"/>
    <col min="13054" max="13054" customWidth="1" bestFit="1" width="3.0" style="1122"/>
    <col min="13055" max="13055" customWidth="1" bestFit="1" width="3.0" style="1122"/>
    <col min="13056" max="13056" customWidth="1" bestFit="1" width="3.0" style="1122"/>
    <col min="13057" max="13057" customWidth="1" bestFit="1" width="3.0" style="1122"/>
    <col min="13058" max="13058" customWidth="1" bestFit="1" width="3.0" style="1122"/>
    <col min="13059" max="13059" customWidth="1" bestFit="1" width="3.0" style="1122"/>
    <col min="13060" max="13060" customWidth="1" bestFit="1" width="3.0" style="1122"/>
    <col min="13061" max="13061" customWidth="1" bestFit="1" width="3.0" style="1122"/>
    <col min="13062" max="13062" customWidth="1" bestFit="1" width="3.0" style="1122"/>
    <col min="13063" max="13063" customWidth="1" bestFit="1" width="3.0" style="1122"/>
    <col min="13064" max="13064" customWidth="1" bestFit="1" width="3.0" style="1122"/>
    <col min="13065" max="13065" customWidth="1" bestFit="1" width="3.0" style="1122"/>
    <col min="13066" max="13066" customWidth="1" bestFit="1" width="3.0" style="1122"/>
    <col min="13067" max="13067" customWidth="1" bestFit="1" width="3.0" style="1122"/>
    <col min="13068" max="13068" customWidth="1" bestFit="1" width="3.0" style="1122"/>
    <col min="13069" max="13069" customWidth="1" bestFit="1" width="3.0" style="1122"/>
    <col min="13070" max="13070" customWidth="1" bestFit="1" width="3.0" style="1122"/>
    <col min="13071" max="13071" customWidth="1" bestFit="1" width="3.0" style="1122"/>
    <col min="13072" max="13072" customWidth="1" bestFit="1" width="3.0" style="1122"/>
    <col min="13073" max="13073" customWidth="1" bestFit="1" width="3.0" style="1122"/>
    <col min="13074" max="13074" customWidth="1" bestFit="1" width="3.0" style="1122"/>
    <col min="13075" max="13075" customWidth="1" bestFit="1" width="3.0" style="1122"/>
    <col min="13076" max="13076" customWidth="1" bestFit="1" width="3.0" style="1122"/>
    <col min="13077" max="13077" customWidth="1" bestFit="1" width="3.0" style="1122"/>
    <col min="13078" max="13078" customWidth="1" bestFit="1" width="3.0" style="1122"/>
    <col min="13079" max="13079" customWidth="1" bestFit="1" width="3.0" style="1122"/>
    <col min="13080" max="13080" customWidth="1" bestFit="1" width="3.0" style="1122"/>
    <col min="13081" max="13081" customWidth="1" bestFit="1" width="3.0" style="1122"/>
    <col min="13082" max="13082" customWidth="1" bestFit="1" width="3.0" style="1122"/>
    <col min="13083" max="13083" customWidth="1" bestFit="1" width="3.0" style="1122"/>
    <col min="13084" max="13084" customWidth="1" bestFit="1" width="3.0" style="1122"/>
    <col min="13085" max="13085" customWidth="1" bestFit="1" width="3.0" style="1122"/>
    <col min="13086" max="13086" customWidth="1" bestFit="1" width="3.0" style="1122"/>
    <col min="13087" max="13087" customWidth="1" bestFit="1" width="3.0" style="1122"/>
    <col min="13088" max="13088" customWidth="1" bestFit="1" width="3.0" style="1122"/>
    <col min="13089" max="13089" customWidth="1" bestFit="1" width="3.0" style="1122"/>
    <col min="13090" max="13090" customWidth="1" bestFit="1" width="3.0" style="1122"/>
    <col min="13091" max="13091" customWidth="1" bestFit="1" width="3.0" style="1122"/>
    <col min="13092" max="13092" customWidth="1" bestFit="1" width="3.0" style="1122"/>
    <col min="13093" max="13093" customWidth="1" bestFit="1" width="3.0" style="1122"/>
    <col min="13094" max="13094" customWidth="1" bestFit="1" width="3.0" style="1122"/>
    <col min="13095" max="13095" customWidth="1" bestFit="1" width="3.0" style="1122"/>
    <col min="13096" max="13096" customWidth="1" bestFit="1" width="3.0" style="1122"/>
    <col min="13097" max="13097" customWidth="1" bestFit="1" width="3.0" style="1122"/>
    <col min="13098" max="13098" customWidth="1" bestFit="1" width="3.0" style="1122"/>
    <col min="13099" max="13099" customWidth="1" bestFit="1" width="3.0" style="1122"/>
    <col min="13100" max="13100" customWidth="1" bestFit="1" width="3.0" style="1122"/>
    <col min="13101" max="13101" customWidth="1" bestFit="1" width="3.0" style="1122"/>
    <col min="13102" max="13102" customWidth="1" bestFit="1" width="3.0" style="1122"/>
    <col min="13103" max="13103" customWidth="1" bestFit="1" width="3.0" style="1122"/>
    <col min="13104" max="13104" customWidth="1" bestFit="1" width="3.0" style="1122"/>
    <col min="13105" max="13105" customWidth="1" bestFit="1" width="3.0" style="1122"/>
    <col min="13106" max="13106" customWidth="1" bestFit="1" width="3.0" style="1122"/>
    <col min="13107" max="13107" customWidth="1" bestFit="1" width="3.0" style="1122"/>
    <col min="13108" max="13108" customWidth="1" bestFit="1" width="3.0" style="1122"/>
    <col min="13109" max="13109" customWidth="1" bestFit="1" width="3.0" style="1122"/>
    <col min="13110" max="13110" customWidth="1" bestFit="1" width="3.0" style="1122"/>
    <col min="13111" max="13111" customWidth="1" bestFit="1" width="3.0" style="1122"/>
    <col min="13112" max="13112" customWidth="1" bestFit="1" width="3.0" style="1122"/>
    <col min="13113" max="13113" customWidth="1" bestFit="1" width="3.0" style="1122"/>
    <col min="13114" max="13114" customWidth="1" bestFit="1" width="3.0" style="1122"/>
    <col min="13115" max="13115" customWidth="1" bestFit="1" width="3.0" style="1122"/>
    <col min="13116" max="13116" customWidth="1" bestFit="1" width="3.0" style="1122"/>
    <col min="13117" max="13117" customWidth="1" bestFit="1" width="3.0" style="1122"/>
    <col min="13118" max="13118" customWidth="1" bestFit="1" width="3.0" style="1122"/>
    <col min="13119" max="13119" customWidth="1" bestFit="1" width="3.0" style="1122"/>
    <col min="13120" max="13120" customWidth="1" bestFit="1" width="3.0" style="1122"/>
    <col min="13121" max="13121" customWidth="1" bestFit="1" width="3.0" style="1122"/>
    <col min="13122" max="13122" customWidth="1" bestFit="1" width="3.0" style="1122"/>
    <col min="13123" max="13123" customWidth="1" bestFit="1" width="3.0" style="1122"/>
    <col min="13124" max="13124" customWidth="1" bestFit="1" width="3.0" style="1122"/>
    <col min="13125" max="13125" customWidth="1" bestFit="1" width="3.0" style="1122"/>
    <col min="13126" max="13126" customWidth="1" bestFit="1" width="3.0" style="1122"/>
    <col min="13127" max="13127" customWidth="1" bestFit="1" width="3.0" style="1122"/>
    <col min="13128" max="13128" customWidth="1" bestFit="1" width="3.0" style="1122"/>
    <col min="13129" max="13129" customWidth="1" bestFit="1" width="3.0" style="1122"/>
    <col min="13130" max="13130" customWidth="1" bestFit="1" width="3.0" style="1122"/>
    <col min="13131" max="13131" customWidth="1" bestFit="1" width="3.0" style="1122"/>
    <col min="13132" max="13132" customWidth="1" bestFit="1" width="3.0" style="1122"/>
    <col min="13133" max="13133" customWidth="1" bestFit="1" width="3.0" style="1122"/>
    <col min="13134" max="13134" customWidth="1" bestFit="1" width="3.0" style="1122"/>
    <col min="13135" max="13135" customWidth="1" bestFit="1" width="3.0" style="1122"/>
    <col min="13136" max="13136" customWidth="1" bestFit="1" width="3.0" style="1122"/>
    <col min="13137" max="13137" customWidth="1" bestFit="1" width="3.0" style="1122"/>
    <col min="13138" max="13138" customWidth="1" bestFit="1" width="3.0" style="1122"/>
    <col min="13139" max="13139" customWidth="1" bestFit="1" width="3.0" style="1122"/>
    <col min="13140" max="13140" customWidth="1" bestFit="1" width="3.0" style="1122"/>
    <col min="13141" max="13141" customWidth="1" bestFit="1" width="3.0" style="1122"/>
    <col min="13142" max="13142" customWidth="1" bestFit="1" width="3.0" style="1122"/>
    <col min="13143" max="13143" customWidth="1" bestFit="1" width="3.0" style="1122"/>
    <col min="13144" max="13144" customWidth="1" bestFit="1" width="3.0" style="1122"/>
    <col min="13145" max="13145" customWidth="1" bestFit="1" width="3.0" style="1122"/>
    <col min="13146" max="13146" customWidth="1" bestFit="1" width="3.0" style="1122"/>
    <col min="13147" max="13147" customWidth="1" bestFit="1" width="3.0" style="1122"/>
    <col min="13148" max="13148" customWidth="1" bestFit="1" width="3.0" style="1122"/>
    <col min="13149" max="13149" customWidth="1" bestFit="1" width="3.0" style="1122"/>
    <col min="13150" max="13150" customWidth="1" bestFit="1" width="3.0" style="1122"/>
    <col min="13151" max="13151" customWidth="1" bestFit="1" width="3.0" style="1122"/>
    <col min="13152" max="13152" customWidth="1" bestFit="1" width="3.0" style="1122"/>
    <col min="13153" max="13153" customWidth="1" bestFit="1" width="3.0" style="1122"/>
    <col min="13154" max="13154" customWidth="1" bestFit="1" width="3.0" style="1122"/>
    <col min="13155" max="13155" customWidth="1" bestFit="1" width="3.0" style="1122"/>
    <col min="13156" max="13156" customWidth="1" bestFit="1" width="3.0" style="1122"/>
    <col min="13157" max="13157" customWidth="1" bestFit="1" width="3.0" style="1122"/>
    <col min="13158" max="13158" customWidth="1" bestFit="1" width="3.0" style="1122"/>
    <col min="13159" max="13159" customWidth="1" bestFit="1" width="3.0" style="1122"/>
    <col min="13160" max="13160" customWidth="1" bestFit="1" width="3.0" style="1122"/>
    <col min="13161" max="13161" customWidth="1" bestFit="1" width="3.0" style="1122"/>
    <col min="13162" max="13162" customWidth="1" bestFit="1" width="3.0" style="1122"/>
    <col min="13163" max="13163" customWidth="1" bestFit="1" width="3.0" style="1122"/>
    <col min="13164" max="13164" customWidth="1" bestFit="1" width="3.0" style="1122"/>
    <col min="13165" max="13165" customWidth="1" bestFit="1" width="3.0" style="1122"/>
    <col min="13166" max="13166" customWidth="1" bestFit="1" width="3.0" style="1122"/>
    <col min="13167" max="13167" customWidth="1" bestFit="1" width="3.0" style="1122"/>
    <col min="13168" max="13168" customWidth="1" bestFit="1" width="3.0" style="1122"/>
    <col min="13169" max="13169" customWidth="1" bestFit="1" width="3.0" style="1122"/>
    <col min="13170" max="13170" customWidth="1" bestFit="1" width="3.0" style="1122"/>
    <col min="13171" max="13171" customWidth="1" bestFit="1" width="3.0" style="1122"/>
    <col min="13172" max="13172" customWidth="1" bestFit="1" width="3.0" style="1122"/>
    <col min="13173" max="13173" customWidth="1" bestFit="1" width="3.0" style="1122"/>
    <col min="13174" max="13174" customWidth="1" bestFit="1" width="3.0" style="1122"/>
    <col min="13175" max="13175" customWidth="1" bestFit="1" width="3.0" style="1122"/>
    <col min="13176" max="13176" customWidth="1" bestFit="1" width="3.0" style="1122"/>
    <col min="13177" max="13177" customWidth="1" bestFit="1" width="3.0" style="1122"/>
    <col min="13178" max="13178" customWidth="1" bestFit="1" width="3.0" style="1122"/>
    <col min="13179" max="13179" customWidth="1" bestFit="1" width="3.0" style="1122"/>
    <col min="13180" max="13180" customWidth="1" bestFit="1" width="3.0" style="1122"/>
    <col min="13181" max="13181" customWidth="1" bestFit="1" width="3.0" style="1122"/>
    <col min="13182" max="13182" customWidth="1" bestFit="1" width="3.0" style="1122"/>
    <col min="13183" max="13183" customWidth="1" bestFit="1" width="3.0" style="1122"/>
    <col min="13184" max="13184" customWidth="1" bestFit="1" width="3.0" style="1122"/>
    <col min="13185" max="13185" customWidth="1" bestFit="1" width="3.0" style="1122"/>
    <col min="13186" max="13186" customWidth="1" bestFit="1" width="3.0" style="1122"/>
    <col min="13187" max="13187" customWidth="1" bestFit="1" width="3.0" style="1122"/>
    <col min="13188" max="13188" customWidth="1" bestFit="1" width="3.0" style="1122"/>
    <col min="13189" max="13189" customWidth="1" bestFit="1" width="3.0" style="1122"/>
    <col min="13190" max="13190" customWidth="1" bestFit="1" width="3.0" style="1122"/>
    <col min="13191" max="13191" customWidth="1" bestFit="1" width="3.0" style="1122"/>
    <col min="13192" max="13192" customWidth="1" bestFit="1" width="3.0" style="1122"/>
    <col min="13193" max="13193" customWidth="1" bestFit="1" width="3.0" style="1122"/>
    <col min="13194" max="13194" customWidth="1" bestFit="1" width="3.0" style="1122"/>
    <col min="13195" max="13195" customWidth="1" bestFit="1" width="3.0" style="1122"/>
    <col min="13196" max="13196" customWidth="1" bestFit="1" width="3.0" style="1122"/>
    <col min="13197" max="13197" customWidth="1" bestFit="1" width="3.0" style="1122"/>
    <col min="13198" max="13198" customWidth="1" bestFit="1" width="3.0" style="1122"/>
    <col min="13199" max="13199" customWidth="1" bestFit="1" width="3.0" style="1122"/>
    <col min="13200" max="13200" customWidth="1" bestFit="1" width="3.0" style="1122"/>
    <col min="13201" max="13201" customWidth="1" bestFit="1" width="3.0" style="1122"/>
    <col min="13202" max="13202" customWidth="1" bestFit="1" width="3.0" style="1122"/>
    <col min="13203" max="13203" customWidth="1" bestFit="1" width="3.0" style="1122"/>
    <col min="13204" max="13204" customWidth="1" bestFit="1" width="3.0" style="1122"/>
    <col min="13205" max="13205" customWidth="1" bestFit="1" width="3.0" style="1122"/>
    <col min="13206" max="13206" customWidth="1" bestFit="1" width="3.0" style="1122"/>
    <col min="13207" max="13207" customWidth="1" bestFit="1" width="3.0" style="1122"/>
    <col min="13208" max="13208" customWidth="1" bestFit="1" width="3.0" style="1122"/>
    <col min="13209" max="13209" customWidth="1" bestFit="1" width="3.0" style="1122"/>
    <col min="13210" max="13210" customWidth="1" bestFit="1" width="3.0" style="1122"/>
    <col min="13211" max="13211" customWidth="1" bestFit="1" width="3.0" style="1122"/>
    <col min="13212" max="13212" customWidth="1" bestFit="1" width="3.0" style="1122"/>
    <col min="13213" max="13213" customWidth="1" bestFit="1" width="3.0" style="1122"/>
    <col min="13214" max="13214" customWidth="1" bestFit="1" width="3.0" style="1122"/>
    <col min="13215" max="13215" customWidth="1" bestFit="1" width="3.0" style="1122"/>
    <col min="13216" max="13216" customWidth="1" bestFit="1" width="3.0" style="1122"/>
    <col min="13217" max="13217" customWidth="1" bestFit="1" width="3.0" style="1122"/>
    <col min="13218" max="13218" customWidth="1" bestFit="1" width="3.0" style="1122"/>
    <col min="13219" max="13219" customWidth="1" bestFit="1" width="3.0" style="1122"/>
    <col min="13220" max="13220" customWidth="1" bestFit="1" width="3.0" style="1122"/>
    <col min="13221" max="13221" customWidth="1" bestFit="1" width="3.0" style="1122"/>
    <col min="13222" max="13222" customWidth="1" bestFit="1" width="3.0" style="1122"/>
    <col min="13223" max="13223" customWidth="1" bestFit="1" width="3.0" style="1122"/>
    <col min="13224" max="13224" customWidth="1" bestFit="1" width="3.0" style="1122"/>
    <col min="13225" max="13225" customWidth="1" bestFit="1" width="3.0" style="1122"/>
    <col min="13226" max="13226" customWidth="1" bestFit="1" width="3.0" style="1122"/>
    <col min="13227" max="13227" customWidth="1" bestFit="1" width="3.0" style="1122"/>
    <col min="13228" max="13228" customWidth="1" bestFit="1" width="3.0" style="1122"/>
    <col min="13229" max="13229" customWidth="1" bestFit="1" width="3.0" style="1122"/>
    <col min="13230" max="13230" customWidth="1" bestFit="1" width="3.0" style="1122"/>
    <col min="13231" max="13231" customWidth="1" bestFit="1" width="3.0" style="1122"/>
    <col min="13232" max="13232" customWidth="1" bestFit="1" width="3.0" style="1122"/>
    <col min="13233" max="13233" customWidth="1" bestFit="1" width="3.0" style="1122"/>
    <col min="13234" max="13234" customWidth="1" bestFit="1" width="3.0" style="1122"/>
    <col min="13235" max="13235" customWidth="1" bestFit="1" width="3.0" style="1122"/>
    <col min="13236" max="13236" customWidth="1" bestFit="1" width="3.0" style="1122"/>
    <col min="13237" max="13237" customWidth="1" bestFit="1" width="3.0" style="1122"/>
    <col min="13238" max="13238" customWidth="1" bestFit="1" width="3.0" style="1122"/>
    <col min="13239" max="13239" customWidth="1" bestFit="1" width="3.0" style="1122"/>
    <col min="13240" max="13240" customWidth="1" bestFit="1" width="3.0" style="1122"/>
    <col min="13241" max="13241" customWidth="1" bestFit="1" width="3.0" style="1122"/>
    <col min="13242" max="13242" customWidth="1" bestFit="1" width="3.0" style="1122"/>
    <col min="13243" max="13243" customWidth="1" bestFit="1" width="3.0" style="1122"/>
    <col min="13244" max="13244" customWidth="1" bestFit="1" width="3.0" style="1122"/>
    <col min="13245" max="13245" customWidth="1" bestFit="1" width="3.0" style="1122"/>
    <col min="13246" max="13246" customWidth="1" bestFit="1" width="3.0" style="1122"/>
    <col min="13247" max="13247" customWidth="1" bestFit="1" width="3.0" style="1122"/>
    <col min="13248" max="13248" customWidth="1" bestFit="1" width="3.0" style="1122"/>
    <col min="13249" max="13249" customWidth="1" bestFit="1" width="3.0" style="1122"/>
    <col min="13250" max="13250" customWidth="1" bestFit="1" width="3.0" style="1122"/>
    <col min="13251" max="13251" customWidth="1" bestFit="1" width="3.0" style="1122"/>
    <col min="13252" max="13252" customWidth="1" bestFit="1" width="3.0" style="1122"/>
    <col min="13253" max="13253" customWidth="1" bestFit="1" width="3.0" style="1122"/>
    <col min="13254" max="13254" customWidth="1" bestFit="1" width="3.0" style="1122"/>
    <col min="13255" max="13255" customWidth="1" bestFit="1" width="3.0" style="1122"/>
    <col min="13256" max="13256" customWidth="1" bestFit="1" width="3.0" style="1122"/>
    <col min="13257" max="13257" customWidth="1" bestFit="1" width="3.0" style="1122"/>
    <col min="13258" max="13258" customWidth="1" bestFit="1" width="3.0" style="1122"/>
    <col min="13259" max="13259" customWidth="1" bestFit="1" width="3.0" style="1122"/>
    <col min="13260" max="13260" customWidth="1" bestFit="1" width="3.0" style="1122"/>
    <col min="13261" max="13261" customWidth="1" bestFit="1" width="3.0" style="1122"/>
    <col min="13262" max="13262" customWidth="1" bestFit="1" width="3.0" style="1122"/>
    <col min="13263" max="13263" customWidth="1" bestFit="1" width="3.0" style="1122"/>
    <col min="13264" max="13264" customWidth="1" bestFit="1" width="3.0" style="1122"/>
    <col min="13265" max="13265" customWidth="1" bestFit="1" width="3.0" style="1122"/>
    <col min="13266" max="13266" customWidth="1" bestFit="1" width="3.0" style="1122"/>
    <col min="13267" max="13267" customWidth="1" bestFit="1" width="3.0" style="1122"/>
    <col min="13268" max="13268" customWidth="1" bestFit="1" width="3.0" style="1122"/>
    <col min="13269" max="13269" customWidth="1" bestFit="1" width="3.0" style="1122"/>
    <col min="13270" max="13270" customWidth="1" bestFit="1" width="3.0" style="1122"/>
    <col min="13271" max="13271" customWidth="1" bestFit="1" width="3.0" style="1122"/>
    <col min="13272" max="13272" customWidth="1" bestFit="1" width="3.0" style="1122"/>
    <col min="13273" max="13273" customWidth="1" bestFit="1" width="3.0" style="1122"/>
    <col min="13274" max="13274" customWidth="1" bestFit="1" width="3.0" style="1122"/>
    <col min="13275" max="13275" customWidth="1" bestFit="1" width="3.0" style="1122"/>
    <col min="13276" max="13276" customWidth="1" bestFit="1" width="3.0" style="1122"/>
    <col min="13277" max="13277" customWidth="1" bestFit="1" width="3.0" style="1122"/>
    <col min="13278" max="13278" customWidth="1" bestFit="1" width="3.0" style="1122"/>
    <col min="13279" max="13279" customWidth="1" bestFit="1" width="3.0" style="1122"/>
    <col min="13280" max="13280" customWidth="1" bestFit="1" width="3.0" style="1122"/>
    <col min="13281" max="13281" customWidth="1" bestFit="1" width="3.0" style="1122"/>
    <col min="13282" max="13282" customWidth="1" bestFit="1" width="3.0" style="1122"/>
    <col min="13283" max="13283" customWidth="1" bestFit="1" width="3.0" style="1122"/>
    <col min="13284" max="13284" customWidth="1" bestFit="1" width="3.0" style="1122"/>
    <col min="13285" max="13285" customWidth="1" bestFit="1" width="3.0" style="1122"/>
    <col min="13286" max="13286" customWidth="1" bestFit="1" width="3.0" style="1122"/>
    <col min="13287" max="13287" customWidth="1" bestFit="1" width="3.0" style="1122"/>
    <col min="13288" max="13288" customWidth="1" bestFit="1" width="3.0" style="1122"/>
    <col min="13289" max="13289" customWidth="1" bestFit="1" width="3.0" style="1122"/>
    <col min="13290" max="13290" customWidth="1" bestFit="1" width="3.0" style="1122"/>
    <col min="13291" max="13291" customWidth="1" bestFit="1" width="3.0" style="1122"/>
    <col min="13292" max="13292" customWidth="1" bestFit="1" width="3.0" style="1122"/>
    <col min="13293" max="13293" customWidth="1" bestFit="1" width="3.0" style="1122"/>
    <col min="13294" max="13294" customWidth="1" bestFit="1" width="3.0" style="1122"/>
    <col min="13295" max="13295" customWidth="1" bestFit="1" width="3.0" style="1122"/>
    <col min="13296" max="13296" customWidth="1" bestFit="1" width="3.0" style="1122"/>
    <col min="13297" max="13297" customWidth="1" bestFit="1" width="3.0" style="1122"/>
    <col min="13298" max="13298" customWidth="1" bestFit="1" width="3.0" style="1122"/>
    <col min="13299" max="13299" customWidth="1" bestFit="1" width="3.0" style="1122"/>
    <col min="13300" max="13300" customWidth="1" bestFit="1" width="3.0" style="1122"/>
    <col min="13301" max="13301" customWidth="1" bestFit="1" width="3.0" style="1122"/>
    <col min="13302" max="13302" customWidth="1" bestFit="1" width="3.0" style="1122"/>
    <col min="13303" max="13303" customWidth="1" bestFit="1" width="3.0" style="1122"/>
    <col min="13304" max="13304" customWidth="1" bestFit="1" width="3.0" style="1122"/>
    <col min="13305" max="13305" customWidth="1" bestFit="1" width="3.0" style="1122"/>
    <col min="13306" max="13306" customWidth="1" bestFit="1" width="3.0" style="1122"/>
    <col min="13307" max="13307" customWidth="1" bestFit="1" width="3.0" style="1122"/>
    <col min="13308" max="13308" customWidth="1" bestFit="1" width="3.0" style="1122"/>
    <col min="13309" max="13309" customWidth="1" bestFit="1" width="3.0" style="1122"/>
    <col min="13310" max="13310" customWidth="1" bestFit="1" width="3.0" style="1122"/>
    <col min="13311" max="13311" customWidth="1" bestFit="1" width="3.0" style="1122"/>
    <col min="13312" max="13312" customWidth="1" bestFit="1" width="3.0" style="1122"/>
    <col min="13313" max="13313" customWidth="1" bestFit="1" width="3.0" style="1122"/>
    <col min="13314" max="13314" customWidth="1" bestFit="1" width="3.0" style="1122"/>
    <col min="13315" max="13315" customWidth="1" bestFit="1" width="3.0" style="1122"/>
    <col min="13316" max="13316" customWidth="1" bestFit="1" width="3.0" style="1122"/>
    <col min="13317" max="13317" customWidth="1" bestFit="1" width="3.0" style="1122"/>
    <col min="13318" max="13318" customWidth="1" bestFit="1" width="3.0" style="1122"/>
    <col min="13319" max="13319" customWidth="1" bestFit="1" width="3.0" style="1122"/>
    <col min="13320" max="13320" customWidth="1" bestFit="1" width="3.0" style="1122"/>
    <col min="13321" max="13321" customWidth="1" bestFit="1" width="3.0" style="1122"/>
    <col min="13322" max="13322" customWidth="1" bestFit="1" width="3.0" style="1122"/>
    <col min="13323" max="13323" customWidth="1" bestFit="1" width="3.0" style="1122"/>
    <col min="13324" max="13324" customWidth="1" bestFit="1" width="3.0" style="1122"/>
    <col min="13325" max="13325" customWidth="1" bestFit="1" width="3.0" style="1122"/>
    <col min="13326" max="13326" customWidth="1" bestFit="1" width="3.0" style="1122"/>
    <col min="13327" max="13327" customWidth="1" bestFit="1" width="3.0" style="1122"/>
    <col min="13328" max="13328" customWidth="1" bestFit="1" width="3.0" style="1122"/>
    <col min="13329" max="13329" customWidth="1" bestFit="1" width="3.0" style="1122"/>
    <col min="13330" max="13330" customWidth="1" bestFit="1" width="3.0" style="1122"/>
    <col min="13331" max="13331" customWidth="1" bestFit="1" width="3.0" style="1122"/>
    <col min="13332" max="13332" customWidth="1" bestFit="1" width="3.0" style="1122"/>
    <col min="13333" max="13333" customWidth="1" bestFit="1" width="3.0" style="1122"/>
    <col min="13334" max="13334" customWidth="1" bestFit="1" width="3.0" style="1122"/>
    <col min="13335" max="13335" customWidth="1" bestFit="1" width="3.0" style="1122"/>
    <col min="13336" max="13336" customWidth="1" bestFit="1" width="3.0" style="1122"/>
    <col min="13337" max="13337" customWidth="1" bestFit="1" width="3.0" style="1122"/>
    <col min="13338" max="13338" customWidth="1" bestFit="1" width="3.0" style="1122"/>
    <col min="13339" max="13339" customWidth="1" bestFit="1" width="3.0" style="1122"/>
    <col min="13340" max="13340" customWidth="1" bestFit="1" width="3.0" style="1122"/>
    <col min="13341" max="13341" customWidth="1" bestFit="1" width="3.0" style="1122"/>
    <col min="13342" max="13342" customWidth="1" bestFit="1" width="3.0" style="1122"/>
    <col min="13343" max="13343" customWidth="1" bestFit="1" width="3.0" style="1122"/>
    <col min="13344" max="13344" customWidth="1" bestFit="1" width="3.0" style="1122"/>
    <col min="13345" max="13345" customWidth="1" bestFit="1" width="3.0" style="1122"/>
    <col min="13346" max="13346" customWidth="1" bestFit="1" width="3.0" style="1122"/>
    <col min="13347" max="13347" customWidth="1" bestFit="1" width="3.0" style="1122"/>
    <col min="13348" max="13348" customWidth="1" bestFit="1" width="3.0" style="1122"/>
    <col min="13349" max="13349" customWidth="1" bestFit="1" width="3.0" style="1122"/>
    <col min="13350" max="13350" customWidth="1" bestFit="1" width="3.0" style="1122"/>
    <col min="13351" max="13351" customWidth="1" bestFit="1" width="3.0" style="1122"/>
    <col min="13352" max="13352" customWidth="1" bestFit="1" width="3.0" style="1122"/>
    <col min="13353" max="13353" customWidth="1" bestFit="1" width="3.0" style="1122"/>
    <col min="13354" max="13354" customWidth="1" bestFit="1" width="3.0" style="1122"/>
    <col min="13355" max="13355" customWidth="1" bestFit="1" width="3.0" style="1122"/>
    <col min="13356" max="13356" customWidth="1" bestFit="1" width="3.0" style="1122"/>
    <col min="13357" max="13357" customWidth="1" bestFit="1" width="3.0" style="1122"/>
    <col min="13358" max="13358" customWidth="1" bestFit="1" width="3.0" style="1122"/>
    <col min="13359" max="13359" customWidth="1" bestFit="1" width="3.0" style="1122"/>
    <col min="13360" max="13360" customWidth="1" bestFit="1" width="3.0" style="1122"/>
    <col min="13361" max="13361" customWidth="1" bestFit="1" width="3.0" style="1122"/>
    <col min="13362" max="13362" customWidth="1" bestFit="1" width="3.0" style="1122"/>
    <col min="13363" max="13363" customWidth="1" bestFit="1" width="3.0" style="1122"/>
    <col min="13364" max="13364" customWidth="1" bestFit="1" width="3.0" style="1122"/>
    <col min="13365" max="13365" customWidth="1" bestFit="1" width="3.0" style="1122"/>
    <col min="13366" max="13366" customWidth="1" bestFit="1" width="3.0" style="1122"/>
    <col min="13367" max="13367" customWidth="1" bestFit="1" width="3.0" style="1122"/>
    <col min="13368" max="13368" customWidth="1" bestFit="1" width="3.0" style="1122"/>
    <col min="13369" max="13369" customWidth="1" bestFit="1" width="3.0" style="1122"/>
    <col min="13370" max="13370" customWidth="1" bestFit="1" width="3.0" style="1122"/>
    <col min="13371" max="13371" customWidth="1" bestFit="1" width="3.0" style="1122"/>
    <col min="13372" max="13372" customWidth="1" bestFit="1" width="3.0" style="1122"/>
    <col min="13373" max="13373" customWidth="1" bestFit="1" width="3.0" style="1122"/>
    <col min="13374" max="13374" customWidth="1" bestFit="1" width="3.0" style="1122"/>
    <col min="13375" max="13375" customWidth="1" bestFit="1" width="3.0" style="1122"/>
    <col min="13376" max="13376" customWidth="1" bestFit="1" width="3.0" style="1122"/>
    <col min="13377" max="13377" customWidth="1" bestFit="1" width="3.0" style="1122"/>
    <col min="13378" max="13378" customWidth="1" bestFit="1" width="3.0" style="1122"/>
    <col min="13379" max="13379" customWidth="1" bestFit="1" width="3.0" style="1122"/>
    <col min="13380" max="13380" customWidth="1" bestFit="1" width="3.0" style="1122"/>
    <col min="13381" max="13381" customWidth="1" bestFit="1" width="3.0" style="1122"/>
    <col min="13382" max="13382" customWidth="1" bestFit="1" width="3.0" style="1122"/>
    <col min="13383" max="13383" customWidth="1" bestFit="1" width="3.0" style="1122"/>
    <col min="13384" max="13384" customWidth="1" bestFit="1" width="3.0" style="1122"/>
    <col min="13385" max="13385" customWidth="1" bestFit="1" width="3.0" style="1122"/>
    <col min="13386" max="13386" customWidth="1" bestFit="1" width="3.0" style="1122"/>
    <col min="13387" max="13387" customWidth="1" bestFit="1" width="3.0" style="1122"/>
    <col min="13388" max="13388" customWidth="1" bestFit="1" width="3.0" style="1122"/>
    <col min="13389" max="13389" customWidth="1" bestFit="1" width="3.0" style="1122"/>
    <col min="13390" max="13390" customWidth="1" bestFit="1" width="3.0" style="1122"/>
    <col min="13391" max="13391" customWidth="1" bestFit="1" width="3.0" style="1122"/>
    <col min="13392" max="13392" customWidth="1" bestFit="1" width="3.0" style="1122"/>
    <col min="13393" max="13393" customWidth="1" bestFit="1" width="3.0" style="1122"/>
    <col min="13394" max="13394" customWidth="1" bestFit="1" width="3.0" style="1122"/>
    <col min="13395" max="13395" customWidth="1" bestFit="1" width="3.0" style="1122"/>
    <col min="13396" max="13396" customWidth="1" bestFit="1" width="3.0" style="1122"/>
    <col min="13397" max="13397" customWidth="1" bestFit="1" width="3.0" style="1122"/>
    <col min="13398" max="13398" customWidth="1" bestFit="1" width="3.0" style="1122"/>
    <col min="13399" max="13399" customWidth="1" bestFit="1" width="3.0" style="1122"/>
    <col min="13400" max="13400" customWidth="1" bestFit="1" width="3.0" style="1122"/>
    <col min="13401" max="13401" customWidth="1" bestFit="1" width="3.0" style="1122"/>
    <col min="13402" max="13402" customWidth="1" bestFit="1" width="3.0" style="1122"/>
    <col min="13403" max="13403" customWidth="1" bestFit="1" width="3.0" style="1122"/>
    <col min="13404" max="13404" customWidth="1" bestFit="1" width="3.0" style="1122"/>
    <col min="13405" max="13405" customWidth="1" bestFit="1" width="3.0" style="1122"/>
    <col min="13406" max="13406" customWidth="1" bestFit="1" width="3.0" style="1122"/>
    <col min="13407" max="13407" customWidth="1" bestFit="1" width="3.0" style="1122"/>
    <col min="13408" max="13408" customWidth="1" bestFit="1" width="3.0" style="1122"/>
    <col min="13409" max="13409" customWidth="1" bestFit="1" width="3.0" style="1122"/>
    <col min="13410" max="13410" customWidth="1" bestFit="1" width="3.0" style="1122"/>
    <col min="13411" max="13411" customWidth="1" bestFit="1" width="3.0" style="1122"/>
    <col min="13412" max="13412" customWidth="1" bestFit="1" width="3.0" style="1122"/>
    <col min="13413" max="13413" customWidth="1" bestFit="1" width="3.0" style="1122"/>
    <col min="13414" max="13414" customWidth="1" bestFit="1" width="3.0" style="1122"/>
    <col min="13415" max="13415" customWidth="1" bestFit="1" width="3.0" style="1122"/>
    <col min="13416" max="13416" customWidth="1" bestFit="1" width="3.0" style="1122"/>
    <col min="13417" max="13417" customWidth="1" bestFit="1" width="3.0" style="1122"/>
    <col min="13418" max="13418" customWidth="1" bestFit="1" width="3.0" style="1122"/>
    <col min="13419" max="13419" customWidth="1" bestFit="1" width="3.0" style="1122"/>
    <col min="13420" max="13420" customWidth="1" bestFit="1" width="3.0" style="1122"/>
    <col min="13421" max="13421" customWidth="1" bestFit="1" width="3.0" style="1122"/>
    <col min="13422" max="13422" customWidth="1" bestFit="1" width="3.0" style="1122"/>
    <col min="13423" max="13423" customWidth="1" bestFit="1" width="3.0" style="1122"/>
    <col min="13424" max="13424" customWidth="1" bestFit="1" width="3.0" style="1122"/>
    <col min="13425" max="13425" customWidth="1" bestFit="1" width="3.0" style="1122"/>
    <col min="13426" max="13426" customWidth="1" bestFit="1" width="3.0" style="1122"/>
    <col min="13427" max="13427" customWidth="1" bestFit="1" width="3.0" style="1122"/>
    <col min="13428" max="13428" customWidth="1" bestFit="1" width="3.0" style="1122"/>
    <col min="13429" max="13429" customWidth="1" bestFit="1" width="3.0" style="1122"/>
    <col min="13430" max="13430" customWidth="1" bestFit="1" width="3.0" style="1122"/>
    <col min="13431" max="13431" customWidth="1" bestFit="1" width="3.0" style="1122"/>
    <col min="13432" max="13432" customWidth="1" bestFit="1" width="3.0" style="1122"/>
    <col min="13433" max="13433" customWidth="1" bestFit="1" width="3.0" style="1122"/>
    <col min="13434" max="13434" customWidth="1" bestFit="1" width="3.0" style="1122"/>
    <col min="13435" max="13435" customWidth="1" bestFit="1" width="3.0" style="1122"/>
    <col min="13436" max="13436" customWidth="1" bestFit="1" width="3.0" style="1122"/>
    <col min="13437" max="13437" customWidth="1" bestFit="1" width="3.0" style="1122"/>
    <col min="13438" max="13438" customWidth="1" bestFit="1" width="3.0" style="1122"/>
    <col min="13439" max="13439" customWidth="1" bestFit="1" width="3.0" style="1122"/>
    <col min="13440" max="13440" customWidth="1" bestFit="1" width="3.0" style="1122"/>
    <col min="13441" max="13441" customWidth="1" bestFit="1" width="3.0" style="1122"/>
    <col min="13442" max="13442" customWidth="1" bestFit="1" width="3.0" style="1122"/>
    <col min="13443" max="13443" customWidth="1" bestFit="1" width="3.0" style="1122"/>
    <col min="13444" max="13444" customWidth="1" bestFit="1" width="3.0" style="1122"/>
    <col min="13445" max="13445" customWidth="1" bestFit="1" width="3.0" style="1122"/>
    <col min="13446" max="13446" customWidth="1" bestFit="1" width="3.0" style="1122"/>
    <col min="13447" max="13447" customWidth="1" bestFit="1" width="3.0" style="1122"/>
    <col min="13448" max="13448" customWidth="1" bestFit="1" width="3.0" style="1122"/>
    <col min="13449" max="13449" customWidth="1" bestFit="1" width="3.0" style="1122"/>
    <col min="13450" max="13450" customWidth="1" bestFit="1" width="3.0" style="1122"/>
    <col min="13451" max="13451" customWidth="1" bestFit="1" width="3.0" style="1122"/>
    <col min="13452" max="13452" customWidth="1" bestFit="1" width="3.0" style="1122"/>
    <col min="13453" max="13453" customWidth="1" bestFit="1" width="3.0" style="1122"/>
    <col min="13454" max="13454" customWidth="1" bestFit="1" width="3.0" style="1122"/>
    <col min="13455" max="13455" customWidth="1" bestFit="1" width="3.0" style="1122"/>
    <col min="13456" max="13456" customWidth="1" bestFit="1" width="3.0" style="1122"/>
    <col min="13457" max="13457" customWidth="1" bestFit="1" width="3.0" style="1122"/>
    <col min="13458" max="13458" customWidth="1" bestFit="1" width="3.0" style="1122"/>
    <col min="13459" max="13459" customWidth="1" bestFit="1" width="3.0" style="1122"/>
    <col min="13460" max="13460" customWidth="1" bestFit="1" width="3.0" style="1122"/>
    <col min="13461" max="13461" customWidth="1" bestFit="1" width="3.0" style="1122"/>
    <col min="13462" max="13462" customWidth="1" bestFit="1" width="3.0" style="1122"/>
    <col min="13463" max="13463" customWidth="1" bestFit="1" width="3.0" style="1122"/>
    <col min="13464" max="13464" customWidth="1" bestFit="1" width="3.0" style="1122"/>
    <col min="13465" max="13465" customWidth="1" bestFit="1" width="3.0" style="1122"/>
    <col min="13466" max="13466" customWidth="1" bestFit="1" width="3.0" style="1122"/>
    <col min="13467" max="13467" customWidth="1" bestFit="1" width="3.0" style="1122"/>
    <col min="13468" max="13468" customWidth="1" bestFit="1" width="3.0" style="1122"/>
    <col min="13469" max="13469" customWidth="1" bestFit="1" width="3.0" style="1122"/>
    <col min="13470" max="13470" customWidth="1" bestFit="1" width="3.0" style="1122"/>
    <col min="13471" max="13471" customWidth="1" bestFit="1" width="3.0" style="1122"/>
    <col min="13472" max="13472" customWidth="1" bestFit="1" width="3.0" style="1122"/>
    <col min="13473" max="13473" customWidth="1" bestFit="1" width="3.0" style="1122"/>
    <col min="13474" max="13474" customWidth="1" bestFit="1" width="3.0" style="1122"/>
    <col min="13475" max="13475" customWidth="1" bestFit="1" width="3.0" style="1122"/>
    <col min="13476" max="13476" customWidth="1" bestFit="1" width="3.0" style="1122"/>
    <col min="13477" max="13477" customWidth="1" bestFit="1" width="3.0" style="1122"/>
    <col min="13478" max="13478" customWidth="1" bestFit="1" width="3.0" style="1122"/>
    <col min="13479" max="13479" customWidth="1" bestFit="1" width="3.0" style="1122"/>
    <col min="13480" max="13480" customWidth="1" bestFit="1" width="3.0" style="1122"/>
    <col min="13481" max="13481" customWidth="1" bestFit="1" width="3.0" style="1122"/>
    <col min="13482" max="13482" customWidth="1" bestFit="1" width="3.0" style="1122"/>
    <col min="13483" max="13483" customWidth="1" bestFit="1" width="3.0" style="1122"/>
    <col min="13484" max="13484" customWidth="1" bestFit="1" width="3.0" style="1122"/>
    <col min="13485" max="13485" customWidth="1" bestFit="1" width="3.0" style="1122"/>
    <col min="13486" max="13486" customWidth="1" bestFit="1" width="3.0" style="1122"/>
    <col min="13487" max="13487" customWidth="1" bestFit="1" width="3.0" style="1122"/>
    <col min="13488" max="13488" customWidth="1" bestFit="1" width="3.0" style="1122"/>
    <col min="13489" max="13489" customWidth="1" bestFit="1" width="3.0" style="1122"/>
    <col min="13490" max="13490" customWidth="1" bestFit="1" width="3.0" style="1122"/>
    <col min="13491" max="13491" customWidth="1" bestFit="1" width="3.0" style="1122"/>
    <col min="13492" max="13492" customWidth="1" bestFit="1" width="3.0" style="1122"/>
    <col min="13493" max="13493" customWidth="1" bestFit="1" width="3.0" style="1122"/>
    <col min="13494" max="13494" customWidth="1" bestFit="1" width="3.0" style="1122"/>
    <col min="13495" max="13495" customWidth="1" bestFit="1" width="3.0" style="1122"/>
    <col min="13496" max="13496" customWidth="1" bestFit="1" width="3.0" style="1122"/>
    <col min="13497" max="13497" customWidth="1" bestFit="1" width="3.0" style="1122"/>
    <col min="13498" max="13498" customWidth="1" bestFit="1" width="3.0" style="1122"/>
    <col min="13499" max="13499" customWidth="1" bestFit="1" width="3.0" style="1122"/>
    <col min="13500" max="13500" customWidth="1" bestFit="1" width="3.0" style="1122"/>
    <col min="13501" max="13501" customWidth="1" bestFit="1" width="3.0" style="1122"/>
    <col min="13502" max="13502" customWidth="1" bestFit="1" width="3.0" style="1122"/>
    <col min="13503" max="13503" customWidth="1" bestFit="1" width="3.0" style="1122"/>
    <col min="13504" max="13504" customWidth="1" bestFit="1" width="3.0" style="1122"/>
    <col min="13505" max="13505" customWidth="1" bestFit="1" width="3.0" style="1122"/>
    <col min="13506" max="13506" customWidth="1" bestFit="1" width="3.0" style="1122"/>
    <col min="13507" max="13507" customWidth="1" bestFit="1" width="3.0" style="1122"/>
    <col min="13508" max="13508" customWidth="1" bestFit="1" width="3.0" style="1122"/>
    <col min="13509" max="13509" customWidth="1" bestFit="1" width="3.0" style="1122"/>
    <col min="13510" max="13510" customWidth="1" bestFit="1" width="3.0" style="1122"/>
    <col min="13511" max="13511" customWidth="1" bestFit="1" width="3.0" style="1122"/>
    <col min="13512" max="13512" customWidth="1" bestFit="1" width="3.0" style="1122"/>
    <col min="13513" max="13513" customWidth="1" bestFit="1" width="3.0" style="1122"/>
    <col min="13514" max="13514" customWidth="1" bestFit="1" width="3.0" style="1122"/>
    <col min="13515" max="13515" customWidth="1" bestFit="1" width="3.0" style="1122"/>
    <col min="13516" max="13516" customWidth="1" bestFit="1" width="3.0" style="1122"/>
    <col min="13517" max="13517" customWidth="1" bestFit="1" width="3.0" style="1122"/>
    <col min="13518" max="13518" customWidth="1" bestFit="1" width="3.0" style="1122"/>
    <col min="13519" max="13519" customWidth="1" bestFit="1" width="3.0" style="1122"/>
    <col min="13520" max="13520" customWidth="1" bestFit="1" width="3.0" style="1122"/>
    <col min="13521" max="13521" customWidth="1" bestFit="1" width="3.0" style="1122"/>
    <col min="13522" max="13522" customWidth="1" bestFit="1" width="3.0" style="1122"/>
    <col min="13523" max="13523" customWidth="1" bestFit="1" width="3.0" style="1122"/>
    <col min="13524" max="13524" customWidth="1" bestFit="1" width="3.0" style="1122"/>
    <col min="13525" max="13525" customWidth="1" bestFit="1" width="3.0" style="1122"/>
    <col min="13526" max="13526" customWidth="1" bestFit="1" width="3.0" style="1122"/>
    <col min="13527" max="13527" customWidth="1" bestFit="1" width="3.0" style="1122"/>
    <col min="13528" max="13528" customWidth="1" bestFit="1" width="3.0" style="1122"/>
    <col min="13529" max="13529" customWidth="1" bestFit="1" width="3.0" style="1122"/>
    <col min="13530" max="13530" customWidth="1" bestFit="1" width="3.0" style="1122"/>
    <col min="13531" max="13531" customWidth="1" bestFit="1" width="3.0" style="1122"/>
    <col min="13532" max="13532" customWidth="1" bestFit="1" width="3.0" style="1122"/>
    <col min="13533" max="13533" customWidth="1" bestFit="1" width="3.0" style="1122"/>
    <col min="13534" max="13534" customWidth="1" bestFit="1" width="3.0" style="1122"/>
    <col min="13535" max="13535" customWidth="1" bestFit="1" width="3.0" style="1122"/>
    <col min="13536" max="13536" customWidth="1" bestFit="1" width="3.0" style="1122"/>
    <col min="13537" max="13537" customWidth="1" bestFit="1" width="3.0" style="1122"/>
    <col min="13538" max="13538" customWidth="1" bestFit="1" width="3.0" style="1122"/>
    <col min="13539" max="13539" customWidth="1" bestFit="1" width="3.0" style="1122"/>
    <col min="13540" max="13540" customWidth="1" bestFit="1" width="3.0" style="1122"/>
    <col min="13541" max="13541" customWidth="1" bestFit="1" width="3.0" style="1122"/>
    <col min="13542" max="13542" customWidth="1" bestFit="1" width="3.0" style="1122"/>
    <col min="13543" max="13543" customWidth="1" bestFit="1" width="3.0" style="1122"/>
    <col min="13544" max="13544" customWidth="1" bestFit="1" width="3.0" style="1122"/>
    <col min="13545" max="13545" customWidth="1" bestFit="1" width="3.0" style="1122"/>
    <col min="13546" max="13546" customWidth="1" bestFit="1" width="3.0" style="1122"/>
    <col min="13547" max="13547" customWidth="1" bestFit="1" width="3.0" style="1122"/>
    <col min="13548" max="13548" customWidth="1" bestFit="1" width="3.0" style="1122"/>
    <col min="13549" max="13549" customWidth="1" bestFit="1" width="3.0" style="1122"/>
    <col min="13550" max="13550" customWidth="1" bestFit="1" width="3.0" style="1122"/>
    <col min="13551" max="13551" customWidth="1" bestFit="1" width="3.0" style="1122"/>
    <col min="13552" max="13552" customWidth="1" bestFit="1" width="3.0" style="1122"/>
    <col min="13553" max="13553" customWidth="1" bestFit="1" width="3.0" style="1122"/>
    <col min="13554" max="13554" customWidth="1" bestFit="1" width="3.0" style="1122"/>
    <col min="13555" max="13555" customWidth="1" bestFit="1" width="3.0" style="1122"/>
    <col min="13556" max="13556" customWidth="1" bestFit="1" width="3.0" style="1122"/>
    <col min="13557" max="13557" customWidth="1" bestFit="1" width="3.0" style="1122"/>
    <col min="13558" max="13558" customWidth="1" bestFit="1" width="3.0" style="1122"/>
    <col min="13559" max="13559" customWidth="1" bestFit="1" width="3.0" style="1122"/>
    <col min="13560" max="13560" customWidth="1" bestFit="1" width="3.0" style="1122"/>
    <col min="13561" max="13561" customWidth="1" bestFit="1" width="3.0" style="1122"/>
    <col min="13562" max="13562" customWidth="1" bestFit="1" width="3.0" style="1122"/>
    <col min="13563" max="13563" customWidth="1" bestFit="1" width="3.0" style="1122"/>
    <col min="13564" max="13564" customWidth="1" bestFit="1" width="3.0" style="1122"/>
    <col min="13565" max="13565" customWidth="1" bestFit="1" width="3.0" style="1122"/>
    <col min="13566" max="13566" customWidth="1" bestFit="1" width="3.0" style="1122"/>
    <col min="13567" max="13567" customWidth="1" bestFit="1" width="3.0" style="1122"/>
    <col min="13568" max="13568" customWidth="1" bestFit="1" width="3.0" style="1122"/>
    <col min="13569" max="13569" customWidth="1" bestFit="1" width="3.0" style="1122"/>
    <col min="13570" max="13570" customWidth="1" bestFit="1" width="3.0" style="1122"/>
    <col min="13571" max="13571" customWidth="1" bestFit="1" width="3.0" style="1122"/>
    <col min="13572" max="13572" customWidth="1" bestFit="1" width="3.0" style="1122"/>
    <col min="13573" max="13573" customWidth="1" bestFit="1" width="3.0" style="1122"/>
    <col min="13574" max="13574" customWidth="1" bestFit="1" width="3.0" style="1122"/>
    <col min="13575" max="13575" customWidth="1" bestFit="1" width="3.0" style="1122"/>
    <col min="13576" max="13576" customWidth="1" bestFit="1" width="3.0" style="1122"/>
    <col min="13577" max="13577" customWidth="1" bestFit="1" width="3.0" style="1122"/>
    <col min="13578" max="13578" customWidth="1" bestFit="1" width="3.0" style="1122"/>
    <col min="13579" max="13579" customWidth="1" bestFit="1" width="3.0" style="1122"/>
    <col min="13580" max="13580" customWidth="1" bestFit="1" width="3.0" style="1122"/>
    <col min="13581" max="13581" customWidth="1" bestFit="1" width="3.0" style="1122"/>
    <col min="13582" max="13582" customWidth="1" bestFit="1" width="3.0" style="1122"/>
    <col min="13583" max="13583" customWidth="1" bestFit="1" width="3.0" style="1122"/>
    <col min="13584" max="13584" customWidth="1" bestFit="1" width="3.0" style="1122"/>
    <col min="13585" max="13585" customWidth="1" bestFit="1" width="3.0" style="1122"/>
    <col min="13586" max="13586" customWidth="1" bestFit="1" width="3.0" style="1122"/>
    <col min="13587" max="13587" customWidth="1" bestFit="1" width="3.0" style="1122"/>
    <col min="13588" max="13588" customWidth="1" bestFit="1" width="3.0" style="1122"/>
    <col min="13589" max="13589" customWidth="1" bestFit="1" width="3.0" style="1122"/>
    <col min="13590" max="13590" customWidth="1" bestFit="1" width="3.0" style="1122"/>
    <col min="13591" max="13591" customWidth="1" bestFit="1" width="3.0" style="1122"/>
    <col min="13592" max="13592" customWidth="1" bestFit="1" width="3.0" style="1122"/>
    <col min="13593" max="13593" customWidth="1" bestFit="1" width="3.0" style="1122"/>
    <col min="13594" max="13594" customWidth="1" bestFit="1" width="3.0" style="1122"/>
    <col min="13595" max="13595" customWidth="1" bestFit="1" width="3.0" style="1122"/>
    <col min="13596" max="13596" customWidth="1" bestFit="1" width="3.0" style="1122"/>
    <col min="13597" max="13597" customWidth="1" bestFit="1" width="3.0" style="1122"/>
    <col min="13598" max="13598" customWidth="1" bestFit="1" width="3.0" style="1122"/>
    <col min="13599" max="13599" customWidth="1" bestFit="1" width="3.0" style="1122"/>
    <col min="13600" max="13600" customWidth="1" bestFit="1" width="3.0" style="1122"/>
    <col min="13601" max="13601" customWidth="1" bestFit="1" width="3.0" style="1122"/>
    <col min="13602" max="13602" customWidth="1" bestFit="1" width="3.0" style="1122"/>
    <col min="13603" max="13603" customWidth="1" bestFit="1" width="3.0" style="1122"/>
    <col min="13604" max="13604" customWidth="1" bestFit="1" width="3.0" style="1122"/>
    <col min="13605" max="13605" customWidth="1" bestFit="1" width="3.0" style="1122"/>
    <col min="13606" max="13606" customWidth="1" bestFit="1" width="3.0" style="1122"/>
    <col min="13607" max="13607" customWidth="1" bestFit="1" width="3.0" style="1122"/>
    <col min="13608" max="13608" customWidth="1" bestFit="1" width="3.0" style="1122"/>
    <col min="13609" max="13609" customWidth="1" bestFit="1" width="3.0" style="1122"/>
    <col min="13610" max="13610" customWidth="1" bestFit="1" width="3.0" style="1122"/>
    <col min="13611" max="13611" customWidth="1" bestFit="1" width="3.0" style="1122"/>
    <col min="13612" max="13612" customWidth="1" bestFit="1" width="3.0" style="1122"/>
    <col min="13613" max="13613" customWidth="1" bestFit="1" width="3.0" style="1122"/>
    <col min="13614" max="13614" customWidth="1" bestFit="1" width="3.0" style="1122"/>
    <col min="13615" max="13615" customWidth="1" bestFit="1" width="3.0" style="1122"/>
    <col min="13616" max="13616" customWidth="1" bestFit="1" width="3.0" style="1122"/>
    <col min="13617" max="13617" customWidth="1" bestFit="1" width="3.0" style="1122"/>
    <col min="13618" max="13618" customWidth="1" bestFit="1" width="3.0" style="1122"/>
    <col min="13619" max="13619" customWidth="1" bestFit="1" width="3.0" style="1122"/>
    <col min="13620" max="13620" customWidth="1" bestFit="1" width="3.0" style="1122"/>
    <col min="13621" max="13621" customWidth="1" bestFit="1" width="3.0" style="1122"/>
    <col min="13622" max="13622" customWidth="1" bestFit="1" width="3.0" style="1122"/>
    <col min="13623" max="13623" customWidth="1" bestFit="1" width="3.0" style="1122"/>
    <col min="13624" max="13624" customWidth="1" bestFit="1" width="3.0" style="1122"/>
    <col min="13625" max="13625" customWidth="1" bestFit="1" width="3.0" style="1122"/>
    <col min="13626" max="13626" customWidth="1" bestFit="1" width="3.0" style="1122"/>
    <col min="13627" max="13627" customWidth="1" bestFit="1" width="3.0" style="1122"/>
    <col min="13628" max="13628" customWidth="1" bestFit="1" width="3.0" style="1122"/>
    <col min="13629" max="13629" customWidth="1" bestFit="1" width="3.0" style="1122"/>
    <col min="13630" max="13630" customWidth="1" bestFit="1" width="3.0" style="1122"/>
    <col min="13631" max="13631" customWidth="1" bestFit="1" width="3.0" style="1122"/>
    <col min="13632" max="13632" customWidth="1" bestFit="1" width="3.0" style="1122"/>
    <col min="13633" max="13633" customWidth="1" bestFit="1" width="3.0" style="1122"/>
    <col min="13634" max="13634" customWidth="1" bestFit="1" width="3.0" style="1122"/>
    <col min="13635" max="13635" customWidth="1" bestFit="1" width="3.0" style="1122"/>
    <col min="13636" max="13636" customWidth="1" bestFit="1" width="3.0" style="1122"/>
    <col min="13637" max="13637" customWidth="1" bestFit="1" width="3.0" style="1122"/>
    <col min="13638" max="13638" customWidth="1" bestFit="1" width="3.0" style="1122"/>
    <col min="13639" max="13639" customWidth="1" bestFit="1" width="3.0" style="1122"/>
    <col min="13640" max="13640" customWidth="1" bestFit="1" width="3.0" style="1122"/>
    <col min="13641" max="13641" customWidth="1" bestFit="1" width="3.0" style="1122"/>
    <col min="13642" max="13642" customWidth="1" bestFit="1" width="3.0" style="1122"/>
    <col min="13643" max="13643" customWidth="1" bestFit="1" width="3.0" style="1122"/>
    <col min="13644" max="13644" customWidth="1" bestFit="1" width="3.0" style="1122"/>
    <col min="13645" max="13645" customWidth="1" bestFit="1" width="3.0" style="1122"/>
    <col min="13646" max="13646" customWidth="1" bestFit="1" width="3.0" style="1122"/>
    <col min="13647" max="13647" customWidth="1" bestFit="1" width="3.0" style="1122"/>
    <col min="13648" max="13648" customWidth="1" bestFit="1" width="3.0" style="1122"/>
    <col min="13649" max="13649" customWidth="1" bestFit="1" width="3.0" style="1122"/>
    <col min="13650" max="13650" customWidth="1" bestFit="1" width="3.0" style="1122"/>
    <col min="13651" max="13651" customWidth="1" bestFit="1" width="3.0" style="1122"/>
    <col min="13652" max="13652" customWidth="1" bestFit="1" width="3.0" style="1122"/>
    <col min="13653" max="13653" customWidth="1" bestFit="1" width="3.0" style="1122"/>
    <col min="13654" max="13654" customWidth="1" bestFit="1" width="3.0" style="1122"/>
    <col min="13655" max="13655" customWidth="1" bestFit="1" width="3.0" style="1122"/>
    <col min="13656" max="13656" customWidth="1" bestFit="1" width="3.0" style="1122"/>
    <col min="13657" max="13657" customWidth="1" bestFit="1" width="3.0" style="1122"/>
    <col min="13658" max="13658" customWidth="1" bestFit="1" width="3.0" style="1122"/>
    <col min="13659" max="13659" customWidth="1" bestFit="1" width="3.0" style="1122"/>
    <col min="13660" max="13660" customWidth="1" bestFit="1" width="3.0" style="1122"/>
    <col min="13661" max="13661" customWidth="1" bestFit="1" width="3.0" style="1122"/>
    <col min="13662" max="13662" customWidth="1" bestFit="1" width="3.0" style="1122"/>
    <col min="13663" max="13663" customWidth="1" bestFit="1" width="3.0" style="1122"/>
    <col min="13664" max="13664" customWidth="1" bestFit="1" width="3.0" style="1122"/>
    <col min="13665" max="13665" customWidth="1" bestFit="1" width="3.0" style="1122"/>
    <col min="13666" max="13666" customWidth="1" bestFit="1" width="3.0" style="1122"/>
    <col min="13667" max="13667" customWidth="1" bestFit="1" width="3.0" style="1122"/>
    <col min="13668" max="13668" customWidth="1" bestFit="1" width="3.0" style="1122"/>
    <col min="13669" max="13669" customWidth="1" bestFit="1" width="3.0" style="1122"/>
    <col min="13670" max="13670" customWidth="1" bestFit="1" width="3.0" style="1122"/>
    <col min="13671" max="13671" customWidth="1" bestFit="1" width="3.0" style="1122"/>
    <col min="13672" max="13672" customWidth="1" bestFit="1" width="3.0" style="1122"/>
    <col min="13673" max="13673" customWidth="1" bestFit="1" width="3.0" style="1122"/>
    <col min="13674" max="13674" customWidth="1" bestFit="1" width="3.0" style="1122"/>
    <col min="13675" max="13675" customWidth="1" bestFit="1" width="3.0" style="1122"/>
    <col min="13676" max="13676" customWidth="1" bestFit="1" width="3.0" style="1122"/>
    <col min="13677" max="13677" customWidth="1" bestFit="1" width="3.0" style="1122"/>
    <col min="13678" max="13678" customWidth="1" bestFit="1" width="3.0" style="1122"/>
    <col min="13679" max="13679" customWidth="1" bestFit="1" width="3.0" style="1122"/>
    <col min="13680" max="13680" customWidth="1" bestFit="1" width="3.0" style="1122"/>
    <col min="13681" max="13681" customWidth="1" bestFit="1" width="3.0" style="1122"/>
    <col min="13682" max="13682" customWidth="1" bestFit="1" width="3.0" style="1122"/>
    <col min="13683" max="13683" customWidth="1" bestFit="1" width="3.0" style="1122"/>
    <col min="13684" max="13684" customWidth="1" bestFit="1" width="3.0" style="1122"/>
    <col min="13685" max="13685" customWidth="1" bestFit="1" width="3.0" style="1122"/>
    <col min="13686" max="13686" customWidth="1" bestFit="1" width="3.0" style="1122"/>
    <col min="13687" max="13687" customWidth="1" bestFit="1" width="3.0" style="1122"/>
    <col min="13688" max="13688" customWidth="1" bestFit="1" width="3.0" style="1122"/>
    <col min="13689" max="13689" customWidth="1" bestFit="1" width="3.0" style="1122"/>
    <col min="13690" max="13690" customWidth="1" bestFit="1" width="3.0" style="1122"/>
    <col min="13691" max="13691" customWidth="1" bestFit="1" width="3.0" style="1122"/>
    <col min="13692" max="13692" customWidth="1" bestFit="1" width="3.0" style="1122"/>
    <col min="13693" max="13693" customWidth="1" bestFit="1" width="3.0" style="1122"/>
    <col min="13694" max="13694" customWidth="1" bestFit="1" width="3.0" style="1122"/>
    <col min="13695" max="13695" customWidth="1" bestFit="1" width="3.0" style="1122"/>
    <col min="13696" max="13696" customWidth="1" bestFit="1" width="3.0" style="1122"/>
    <col min="13697" max="13697" customWidth="1" bestFit="1" width="3.0" style="1122"/>
    <col min="13698" max="13698" customWidth="1" bestFit="1" width="3.0" style="1122"/>
    <col min="13699" max="13699" customWidth="1" bestFit="1" width="3.0" style="1122"/>
    <col min="13700" max="13700" customWidth="1" bestFit="1" width="3.0" style="1122"/>
    <col min="13701" max="13701" customWidth="1" bestFit="1" width="3.0" style="1122"/>
    <col min="13702" max="13702" customWidth="1" bestFit="1" width="3.0" style="1122"/>
    <col min="13703" max="13703" customWidth="1" bestFit="1" width="3.0" style="1122"/>
    <col min="13704" max="13704" customWidth="1" bestFit="1" width="3.0" style="1122"/>
    <col min="13705" max="13705" customWidth="1" bestFit="1" width="3.0" style="1122"/>
    <col min="13706" max="13706" customWidth="1" bestFit="1" width="3.0" style="1122"/>
    <col min="13707" max="13707" customWidth="1" bestFit="1" width="3.0" style="1122"/>
    <col min="13708" max="13708" customWidth="1" bestFit="1" width="3.0" style="1122"/>
    <col min="13709" max="13709" customWidth="1" bestFit="1" width="3.0" style="1122"/>
    <col min="13710" max="13710" customWidth="1" bestFit="1" width="3.0" style="1122"/>
    <col min="13711" max="13711" customWidth="1" bestFit="1" width="3.0" style="1122"/>
    <col min="13712" max="13712" customWidth="1" bestFit="1" width="3.0" style="1122"/>
    <col min="13713" max="13713" customWidth="1" bestFit="1" width="3.0" style="1122"/>
    <col min="13714" max="13714" customWidth="1" bestFit="1" width="3.0" style="1122"/>
    <col min="13715" max="13715" customWidth="1" bestFit="1" width="3.0" style="1122"/>
    <col min="13716" max="13716" customWidth="1" bestFit="1" width="3.0" style="1122"/>
    <col min="13717" max="13717" customWidth="1" bestFit="1" width="3.0" style="1122"/>
    <col min="13718" max="13718" customWidth="1" bestFit="1" width="3.0" style="1122"/>
    <col min="13719" max="13719" customWidth="1" bestFit="1" width="3.0" style="1122"/>
    <col min="13720" max="13720" customWidth="1" bestFit="1" width="3.0" style="1122"/>
    <col min="13721" max="13721" customWidth="1" bestFit="1" width="3.0" style="1122"/>
    <col min="13722" max="13722" customWidth="1" bestFit="1" width="3.0" style="1122"/>
    <col min="13723" max="13723" customWidth="1" bestFit="1" width="3.0" style="1122"/>
    <col min="13724" max="13724" customWidth="1" bestFit="1" width="3.0" style="1122"/>
    <col min="13725" max="13725" customWidth="1" bestFit="1" width="3.0" style="1122"/>
    <col min="13726" max="13726" customWidth="1" bestFit="1" width="3.0" style="1122"/>
    <col min="13727" max="13727" customWidth="1" bestFit="1" width="3.0" style="1122"/>
    <col min="13728" max="13728" customWidth="1" bestFit="1" width="3.0" style="1122"/>
    <col min="13729" max="13729" customWidth="1" bestFit="1" width="3.0" style="1122"/>
    <col min="13730" max="13730" customWidth="1" bestFit="1" width="3.0" style="1122"/>
    <col min="13731" max="13731" customWidth="1" bestFit="1" width="3.0" style="1122"/>
    <col min="13732" max="13732" customWidth="1" bestFit="1" width="3.0" style="1122"/>
    <col min="13733" max="13733" customWidth="1" bestFit="1" width="3.0" style="1122"/>
    <col min="13734" max="13734" customWidth="1" bestFit="1" width="3.0" style="1122"/>
    <col min="13735" max="13735" customWidth="1" bestFit="1" width="3.0" style="1122"/>
    <col min="13736" max="13736" customWidth="1" bestFit="1" width="3.0" style="1122"/>
    <col min="13737" max="13737" customWidth="1" bestFit="1" width="3.0" style="1122"/>
    <col min="13738" max="13738" customWidth="1" bestFit="1" width="3.0" style="1122"/>
    <col min="13739" max="13739" customWidth="1" bestFit="1" width="3.0" style="1122"/>
    <col min="13740" max="13740" customWidth="1" bestFit="1" width="3.0" style="1122"/>
    <col min="13741" max="13741" customWidth="1" bestFit="1" width="3.0" style="1122"/>
    <col min="13742" max="13742" customWidth="1" bestFit="1" width="3.0" style="1122"/>
    <col min="13743" max="13743" customWidth="1" bestFit="1" width="3.0" style="1122"/>
    <col min="13744" max="13744" customWidth="1" bestFit="1" width="3.0" style="1122"/>
    <col min="13745" max="13745" customWidth="1" bestFit="1" width="3.0" style="1122"/>
    <col min="13746" max="13746" customWidth="1" bestFit="1" width="3.0" style="1122"/>
    <col min="13747" max="13747" customWidth="1" bestFit="1" width="3.0" style="1122"/>
    <col min="13748" max="13748" customWidth="1" bestFit="1" width="3.0" style="1122"/>
    <col min="13749" max="13749" customWidth="1" bestFit="1" width="3.0" style="1122"/>
    <col min="13750" max="13750" customWidth="1" bestFit="1" width="3.0" style="1122"/>
    <col min="13751" max="13751" customWidth="1" bestFit="1" width="3.0" style="1122"/>
    <col min="13752" max="13752" customWidth="1" bestFit="1" width="3.0" style="1122"/>
    <col min="13753" max="13753" customWidth="1" bestFit="1" width="3.0" style="1122"/>
    <col min="13754" max="13754" customWidth="1" bestFit="1" width="3.0" style="1122"/>
    <col min="13755" max="13755" customWidth="1" bestFit="1" width="3.0" style="1122"/>
    <col min="13756" max="13756" customWidth="1" bestFit="1" width="3.0" style="1122"/>
    <col min="13757" max="13757" customWidth="1" bestFit="1" width="3.0" style="1122"/>
    <col min="13758" max="13758" customWidth="1" bestFit="1" width="3.0" style="1122"/>
    <col min="13759" max="13759" customWidth="1" bestFit="1" width="3.0" style="1122"/>
    <col min="13760" max="13760" customWidth="1" bestFit="1" width="3.0" style="1122"/>
    <col min="13761" max="13761" customWidth="1" bestFit="1" width="3.0" style="1122"/>
    <col min="13762" max="13762" customWidth="1" bestFit="1" width="3.0" style="1122"/>
    <col min="13763" max="13763" customWidth="1" bestFit="1" width="3.0" style="1122"/>
    <col min="13764" max="13764" customWidth="1" bestFit="1" width="3.0" style="1122"/>
    <col min="13765" max="13765" customWidth="1" bestFit="1" width="3.0" style="1122"/>
    <col min="13766" max="13766" customWidth="1" bestFit="1" width="3.0" style="1122"/>
    <col min="13767" max="13767" customWidth="1" bestFit="1" width="3.0" style="1122"/>
    <col min="13768" max="13768" customWidth="1" bestFit="1" width="3.0" style="1122"/>
    <col min="13769" max="13769" customWidth="1" bestFit="1" width="3.0" style="1122"/>
    <col min="13770" max="13770" customWidth="1" bestFit="1" width="3.0" style="1122"/>
    <col min="13771" max="13771" customWidth="1" bestFit="1" width="3.0" style="1122"/>
    <col min="13772" max="13772" customWidth="1" bestFit="1" width="3.0" style="1122"/>
    <col min="13773" max="13773" customWidth="1" bestFit="1" width="3.0" style="1122"/>
    <col min="13774" max="13774" customWidth="1" bestFit="1" width="3.0" style="1122"/>
    <col min="13775" max="13775" customWidth="1" bestFit="1" width="3.0" style="1122"/>
    <col min="13776" max="13776" customWidth="1" bestFit="1" width="3.0" style="1122"/>
    <col min="13777" max="13777" customWidth="1" bestFit="1" width="3.0" style="1122"/>
    <col min="13778" max="13778" customWidth="1" bestFit="1" width="3.0" style="1122"/>
    <col min="13779" max="13779" customWidth="1" bestFit="1" width="3.0" style="1122"/>
    <col min="13780" max="13780" customWidth="1" bestFit="1" width="3.0" style="1122"/>
    <col min="13781" max="13781" customWidth="1" bestFit="1" width="3.0" style="1122"/>
    <col min="13782" max="13782" customWidth="1" bestFit="1" width="3.0" style="1122"/>
    <col min="13783" max="13783" customWidth="1" bestFit="1" width="3.0" style="1122"/>
    <col min="13784" max="13784" customWidth="1" bestFit="1" width="3.0" style="1122"/>
    <col min="13785" max="13785" customWidth="1" bestFit="1" width="3.0" style="1122"/>
    <col min="13786" max="13786" customWidth="1" bestFit="1" width="3.0" style="1122"/>
    <col min="13787" max="13787" customWidth="1" bestFit="1" width="3.0" style="1122"/>
    <col min="13788" max="13788" customWidth="1" bestFit="1" width="3.0" style="1122"/>
    <col min="13789" max="13789" customWidth="1" bestFit="1" width="3.0" style="1122"/>
    <col min="13790" max="13790" customWidth="1" bestFit="1" width="3.0" style="1122"/>
    <col min="13791" max="13791" customWidth="1" bestFit="1" width="3.0" style="1122"/>
    <col min="13792" max="13792" customWidth="1" bestFit="1" width="3.0" style="1122"/>
    <col min="13793" max="13793" customWidth="1" bestFit="1" width="3.0" style="1122"/>
    <col min="13794" max="13794" customWidth="1" bestFit="1" width="3.0" style="1122"/>
    <col min="13795" max="13795" customWidth="1" bestFit="1" width="3.0" style="1122"/>
    <col min="13796" max="13796" customWidth="1" bestFit="1" width="3.0" style="1122"/>
    <col min="13797" max="13797" customWidth="1" bestFit="1" width="3.0" style="1122"/>
    <col min="13798" max="13798" customWidth="1" bestFit="1" width="3.0" style="1122"/>
    <col min="13799" max="13799" customWidth="1" bestFit="1" width="3.0" style="1122"/>
    <col min="13800" max="13800" customWidth="1" bestFit="1" width="3.0" style="1122"/>
    <col min="13801" max="13801" customWidth="1" bestFit="1" width="3.0" style="1122"/>
    <col min="13802" max="13802" customWidth="1" bestFit="1" width="3.0" style="1122"/>
    <col min="13803" max="13803" customWidth="1" bestFit="1" width="3.0" style="1122"/>
    <col min="13804" max="13804" customWidth="1" bestFit="1" width="3.0" style="1122"/>
    <col min="13805" max="13805" customWidth="1" bestFit="1" width="3.0" style="1122"/>
    <col min="13806" max="13806" customWidth="1" bestFit="1" width="3.0" style="1122"/>
    <col min="13807" max="13807" customWidth="1" bestFit="1" width="3.0" style="1122"/>
    <col min="13808" max="13808" customWidth="1" bestFit="1" width="3.0" style="1122"/>
    <col min="13809" max="13809" customWidth="1" bestFit="1" width="3.0" style="1122"/>
    <col min="13810" max="13810" customWidth="1" bestFit="1" width="3.0" style="1122"/>
    <col min="13811" max="13811" customWidth="1" bestFit="1" width="3.0" style="1122"/>
    <col min="13812" max="13812" customWidth="1" bestFit="1" width="3.0" style="1122"/>
    <col min="13813" max="13813" customWidth="1" bestFit="1" width="3.0" style="1122"/>
    <col min="13814" max="13814" customWidth="1" bestFit="1" width="3.0" style="1122"/>
    <col min="13815" max="13815" customWidth="1" bestFit="1" width="3.0" style="1122"/>
    <col min="13816" max="13816" customWidth="1" bestFit="1" width="3.0" style="1122"/>
    <col min="13817" max="13817" customWidth="1" bestFit="1" width="3.0" style="1122"/>
    <col min="13818" max="13818" customWidth="1" bestFit="1" width="3.0" style="1122"/>
    <col min="13819" max="13819" customWidth="1" bestFit="1" width="3.0" style="1122"/>
    <col min="13820" max="13820" customWidth="1" bestFit="1" width="3.0" style="1122"/>
    <col min="13821" max="13821" customWidth="1" bestFit="1" width="3.0" style="1122"/>
    <col min="13822" max="13822" customWidth="1" bestFit="1" width="3.0" style="1122"/>
    <col min="13823" max="13823" customWidth="1" bestFit="1" width="3.0" style="1122"/>
    <col min="13824" max="13824" customWidth="1" bestFit="1" width="3.0" style="1122"/>
    <col min="13825" max="13825" customWidth="1" bestFit="1" width="3.0" style="1122"/>
    <col min="13826" max="13826" customWidth="1" bestFit="1" width="3.0" style="1122"/>
    <col min="13827" max="13827" customWidth="1" bestFit="1" width="3.0" style="1122"/>
    <col min="13828" max="13828" customWidth="1" bestFit="1" width="3.0" style="1122"/>
    <col min="13829" max="13829" customWidth="1" bestFit="1" width="3.0" style="1122"/>
    <col min="13830" max="13830" customWidth="1" bestFit="1" width="3.0" style="1122"/>
    <col min="13831" max="13831" customWidth="1" bestFit="1" width="3.0" style="1122"/>
    <col min="13832" max="13832" customWidth="1" bestFit="1" width="3.0" style="1122"/>
    <col min="13833" max="13833" customWidth="1" bestFit="1" width="3.0" style="1122"/>
    <col min="13834" max="13834" customWidth="1" bestFit="1" width="3.0" style="1122"/>
    <col min="13835" max="13835" customWidth="1" bestFit="1" width="3.0" style="1122"/>
    <col min="13836" max="13836" customWidth="1" bestFit="1" width="3.0" style="1122"/>
    <col min="13837" max="13837" customWidth="1" bestFit="1" width="3.0" style="1122"/>
    <col min="13838" max="13838" customWidth="1" bestFit="1" width="3.0" style="1122"/>
    <col min="13839" max="13839" customWidth="1" bestFit="1" width="3.0" style="1122"/>
    <col min="13840" max="13840" customWidth="1" bestFit="1" width="3.0" style="1122"/>
    <col min="13841" max="13841" customWidth="1" bestFit="1" width="3.0" style="1122"/>
    <col min="13842" max="13842" customWidth="1" bestFit="1" width="3.0" style="1122"/>
    <col min="13843" max="13843" customWidth="1" bestFit="1" width="3.0" style="1122"/>
    <col min="13844" max="13844" customWidth="1" bestFit="1" width="3.0" style="1122"/>
    <col min="13845" max="13845" customWidth="1" bestFit="1" width="3.0" style="1122"/>
    <col min="13846" max="13846" customWidth="1" bestFit="1" width="3.0" style="1122"/>
    <col min="13847" max="13847" customWidth="1" bestFit="1" width="3.0" style="1122"/>
    <col min="13848" max="13848" customWidth="1" bestFit="1" width="3.0" style="1122"/>
    <col min="13849" max="13849" customWidth="1" bestFit="1" width="3.0" style="1122"/>
    <col min="13850" max="13850" customWidth="1" bestFit="1" width="3.0" style="1122"/>
    <col min="13851" max="13851" customWidth="1" bestFit="1" width="3.0" style="1122"/>
    <col min="13852" max="13852" customWidth="1" bestFit="1" width="3.0" style="1122"/>
    <col min="13853" max="13853" customWidth="1" bestFit="1" width="3.0" style="1122"/>
    <col min="13854" max="13854" customWidth="1" bestFit="1" width="3.0" style="1122"/>
    <col min="13855" max="13855" customWidth="1" bestFit="1" width="3.0" style="1122"/>
    <col min="13856" max="13856" customWidth="1" bestFit="1" width="3.0" style="1122"/>
    <col min="13857" max="13857" customWidth="1" bestFit="1" width="3.0" style="1122"/>
    <col min="13858" max="13858" customWidth="1" bestFit="1" width="3.0" style="1122"/>
    <col min="13859" max="13859" customWidth="1" bestFit="1" width="3.0" style="1122"/>
    <col min="13860" max="13860" customWidth="1" bestFit="1" width="3.0" style="1122"/>
    <col min="13861" max="13861" customWidth="1" bestFit="1" width="3.0" style="1122"/>
    <col min="13862" max="13862" customWidth="1" bestFit="1" width="3.0" style="1122"/>
    <col min="13863" max="13863" customWidth="1" bestFit="1" width="3.0" style="1122"/>
    <col min="13864" max="13864" customWidth="1" bestFit="1" width="3.0" style="1122"/>
    <col min="13865" max="13865" customWidth="1" bestFit="1" width="3.0" style="1122"/>
    <col min="13866" max="13866" customWidth="1" bestFit="1" width="3.0" style="1122"/>
    <col min="13867" max="13867" customWidth="1" bestFit="1" width="3.0" style="1122"/>
    <col min="13868" max="13868" customWidth="1" bestFit="1" width="3.0" style="1122"/>
    <col min="13869" max="13869" customWidth="1" bestFit="1" width="3.0" style="1122"/>
    <col min="13870" max="13870" customWidth="1" bestFit="1" width="3.0" style="1122"/>
    <col min="13871" max="13871" customWidth="1" bestFit="1" width="3.0" style="1122"/>
    <col min="13872" max="13872" customWidth="1" bestFit="1" width="3.0" style="1122"/>
    <col min="13873" max="13873" customWidth="1" bestFit="1" width="3.0" style="1122"/>
    <col min="13874" max="13874" customWidth="1" bestFit="1" width="3.0" style="1122"/>
    <col min="13875" max="13875" customWidth="1" bestFit="1" width="3.0" style="1122"/>
    <col min="13876" max="13876" customWidth="1" bestFit="1" width="3.0" style="1122"/>
    <col min="13877" max="13877" customWidth="1" bestFit="1" width="3.0" style="1122"/>
    <col min="13878" max="13878" customWidth="1" bestFit="1" width="3.0" style="1122"/>
    <col min="13879" max="13879" customWidth="1" bestFit="1" width="3.0" style="1122"/>
    <col min="13880" max="13880" customWidth="1" bestFit="1" width="3.0" style="1122"/>
    <col min="13881" max="13881" customWidth="1" bestFit="1" width="3.0" style="1122"/>
    <col min="13882" max="13882" customWidth="1" bestFit="1" width="3.0" style="1122"/>
    <col min="13883" max="13883" customWidth="1" bestFit="1" width="3.0" style="1122"/>
    <col min="13884" max="13884" customWidth="1" bestFit="1" width="3.0" style="1122"/>
    <col min="13885" max="13885" customWidth="1" bestFit="1" width="3.0" style="1122"/>
    <col min="13886" max="13886" customWidth="1" bestFit="1" width="3.0" style="1122"/>
    <col min="13887" max="13887" customWidth="1" bestFit="1" width="3.0" style="1122"/>
    <col min="13888" max="13888" customWidth="1" bestFit="1" width="3.0" style="1122"/>
    <col min="13889" max="13889" customWidth="1" bestFit="1" width="3.0" style="1122"/>
    <col min="13890" max="13890" customWidth="1" bestFit="1" width="3.0" style="1122"/>
    <col min="13891" max="13891" customWidth="1" bestFit="1" width="3.0" style="1122"/>
    <col min="13892" max="13892" customWidth="1" bestFit="1" width="3.0" style="1122"/>
    <col min="13893" max="13893" customWidth="1" bestFit="1" width="3.0" style="1122"/>
    <col min="13894" max="13894" customWidth="1" bestFit="1" width="3.0" style="1122"/>
    <col min="13895" max="13895" customWidth="1" bestFit="1" width="3.0" style="1122"/>
    <col min="13896" max="13896" customWidth="1" bestFit="1" width="3.0" style="1122"/>
    <col min="13897" max="13897" customWidth="1" bestFit="1" width="3.0" style="1122"/>
    <col min="13898" max="13898" customWidth="1" bestFit="1" width="3.0" style="1122"/>
    <col min="13899" max="13899" customWidth="1" bestFit="1" width="3.0" style="1122"/>
    <col min="13900" max="13900" customWidth="1" bestFit="1" width="3.0" style="1122"/>
    <col min="13901" max="13901" customWidth="1" bestFit="1" width="3.0" style="1122"/>
    <col min="13902" max="13902" customWidth="1" bestFit="1" width="3.0" style="1122"/>
    <col min="13903" max="13903" customWidth="1" bestFit="1" width="3.0" style="1122"/>
    <col min="13904" max="13904" customWidth="1" bestFit="1" width="3.0" style="1122"/>
    <col min="13905" max="13905" customWidth="1" bestFit="1" width="3.0" style="1122"/>
    <col min="13906" max="13906" customWidth="1" bestFit="1" width="3.0" style="1122"/>
    <col min="13907" max="13907" customWidth="1" bestFit="1" width="3.0" style="1122"/>
    <col min="13908" max="13908" customWidth="1" bestFit="1" width="3.0" style="1122"/>
    <col min="13909" max="13909" customWidth="1" bestFit="1" width="3.0" style="1122"/>
    <col min="13910" max="13910" customWidth="1" bestFit="1" width="3.0" style="1122"/>
    <col min="13911" max="13911" customWidth="1" bestFit="1" width="3.0" style="1122"/>
    <col min="13912" max="13912" customWidth="1" bestFit="1" width="3.0" style="1122"/>
    <col min="13913" max="13913" customWidth="1" bestFit="1" width="3.0" style="1122"/>
    <col min="13914" max="13914" customWidth="1" bestFit="1" width="3.0" style="1122"/>
    <col min="13915" max="13915" customWidth="1" bestFit="1" width="3.0" style="1122"/>
    <col min="13916" max="13916" customWidth="1" bestFit="1" width="3.0" style="1122"/>
    <col min="13917" max="13917" customWidth="1" bestFit="1" width="3.0" style="1122"/>
    <col min="13918" max="13918" customWidth="1" bestFit="1" width="3.0" style="1122"/>
    <col min="13919" max="13919" customWidth="1" bestFit="1" width="3.0" style="1122"/>
    <col min="13920" max="13920" customWidth="1" bestFit="1" width="3.0" style="1122"/>
    <col min="13921" max="13921" customWidth="1" bestFit="1" width="3.0" style="1122"/>
    <col min="13922" max="13922" customWidth="1" bestFit="1" width="3.0" style="1122"/>
    <col min="13923" max="13923" customWidth="1" bestFit="1" width="3.0" style="1122"/>
    <col min="13924" max="13924" customWidth="1" bestFit="1" width="3.0" style="1122"/>
    <col min="13925" max="13925" customWidth="1" bestFit="1" width="3.0" style="1122"/>
    <col min="13926" max="13926" customWidth="1" bestFit="1" width="3.0" style="1122"/>
    <col min="13927" max="13927" customWidth="1" bestFit="1" width="3.0" style="1122"/>
    <col min="13928" max="13928" customWidth="1" bestFit="1" width="3.0" style="1122"/>
    <col min="13929" max="13929" customWidth="1" bestFit="1" width="3.0" style="1122"/>
    <col min="13930" max="13930" customWidth="1" bestFit="1" width="3.0" style="1122"/>
    <col min="13931" max="13931" customWidth="1" bestFit="1" width="3.0" style="1122"/>
    <col min="13932" max="13932" customWidth="1" bestFit="1" width="3.0" style="1122"/>
    <col min="13933" max="13933" customWidth="1" bestFit="1" width="3.0" style="1122"/>
    <col min="13934" max="13934" customWidth="1" bestFit="1" width="3.0" style="1122"/>
    <col min="13935" max="13935" customWidth="1" bestFit="1" width="3.0" style="1122"/>
    <col min="13936" max="13936" customWidth="1" bestFit="1" width="3.0" style="1122"/>
    <col min="13937" max="13937" customWidth="1" bestFit="1" width="3.0" style="1122"/>
    <col min="13938" max="13938" customWidth="1" bestFit="1" width="3.0" style="1122"/>
    <col min="13939" max="13939" customWidth="1" bestFit="1" width="3.0" style="1122"/>
    <col min="13940" max="13940" customWidth="1" bestFit="1" width="3.0" style="1122"/>
    <col min="13941" max="13941" customWidth="1" bestFit="1" width="3.0" style="1122"/>
    <col min="13942" max="13942" customWidth="1" bestFit="1" width="3.0" style="1122"/>
    <col min="13943" max="13943" customWidth="1" bestFit="1" width="3.0" style="1122"/>
    <col min="13944" max="13944" customWidth="1" bestFit="1" width="3.0" style="1122"/>
    <col min="13945" max="13945" customWidth="1" bestFit="1" width="3.0" style="1122"/>
    <col min="13946" max="13946" customWidth="1" bestFit="1" width="3.0" style="1122"/>
    <col min="13947" max="13947" customWidth="1" bestFit="1" width="3.0" style="1122"/>
    <col min="13948" max="13948" customWidth="1" bestFit="1" width="3.0" style="1122"/>
    <col min="13949" max="13949" customWidth="1" bestFit="1" width="3.0" style="1122"/>
    <col min="13950" max="13950" customWidth="1" bestFit="1" width="3.0" style="1122"/>
    <col min="13951" max="13951" customWidth="1" bestFit="1" width="3.0" style="1122"/>
    <col min="13952" max="13952" customWidth="1" bestFit="1" width="3.0" style="1122"/>
    <col min="13953" max="13953" customWidth="1" bestFit="1" width="3.0" style="1122"/>
    <col min="13954" max="13954" customWidth="1" bestFit="1" width="3.0" style="1122"/>
    <col min="13955" max="13955" customWidth="1" bestFit="1" width="3.0" style="1122"/>
    <col min="13956" max="13956" customWidth="1" bestFit="1" width="3.0" style="1122"/>
    <col min="13957" max="13957" customWidth="1" bestFit="1" width="3.0" style="1122"/>
    <col min="13958" max="13958" customWidth="1" bestFit="1" width="3.0" style="1122"/>
    <col min="13959" max="13959" customWidth="1" bestFit="1" width="3.0" style="1122"/>
    <col min="13960" max="13960" customWidth="1" bestFit="1" width="3.0" style="1122"/>
    <col min="13961" max="13961" customWidth="1" bestFit="1" width="3.0" style="1122"/>
    <col min="13962" max="13962" customWidth="1" bestFit="1" width="3.0" style="1122"/>
    <col min="13963" max="13963" customWidth="1" bestFit="1" width="3.0" style="1122"/>
    <col min="13964" max="13964" customWidth="1" bestFit="1" width="3.0" style="1122"/>
    <col min="13965" max="13965" customWidth="1" bestFit="1" width="3.0" style="1122"/>
    <col min="13966" max="13966" customWidth="1" bestFit="1" width="3.0" style="1122"/>
    <col min="13967" max="13967" customWidth="1" bestFit="1" width="3.0" style="1122"/>
    <col min="13968" max="13968" customWidth="1" bestFit="1" width="3.0" style="1122"/>
    <col min="13969" max="13969" customWidth="1" bestFit="1" width="3.0" style="1122"/>
    <col min="13970" max="13970" customWidth="1" bestFit="1" width="3.0" style="1122"/>
    <col min="13971" max="13971" customWidth="1" bestFit="1" width="3.0" style="1122"/>
    <col min="13972" max="13972" customWidth="1" bestFit="1" width="3.0" style="1122"/>
    <col min="13973" max="13973" customWidth="1" bestFit="1" width="3.0" style="1122"/>
    <col min="13974" max="13974" customWidth="1" bestFit="1" width="3.0" style="1122"/>
    <col min="13975" max="13975" customWidth="1" bestFit="1" width="3.0" style="1122"/>
    <col min="13976" max="13976" customWidth="1" bestFit="1" width="3.0" style="1122"/>
    <col min="13977" max="13977" customWidth="1" bestFit="1" width="3.0" style="1122"/>
    <col min="13978" max="13978" customWidth="1" bestFit="1" width="3.0" style="1122"/>
    <col min="13979" max="13979" customWidth="1" bestFit="1" width="3.0" style="1122"/>
    <col min="13980" max="13980" customWidth="1" bestFit="1" width="3.0" style="1122"/>
    <col min="13981" max="13981" customWidth="1" bestFit="1" width="3.0" style="1122"/>
    <col min="13982" max="13982" customWidth="1" bestFit="1" width="3.0" style="1122"/>
    <col min="13983" max="13983" customWidth="1" bestFit="1" width="3.0" style="1122"/>
    <col min="13984" max="13984" customWidth="1" bestFit="1" width="3.0" style="1122"/>
    <col min="13985" max="13985" customWidth="1" bestFit="1" width="3.0" style="1122"/>
    <col min="13986" max="13986" customWidth="1" bestFit="1" width="3.0" style="1122"/>
    <col min="13987" max="13987" customWidth="1" bestFit="1" width="3.0" style="1122"/>
    <col min="13988" max="13988" customWidth="1" bestFit="1" width="3.0" style="1122"/>
    <col min="13989" max="13989" customWidth="1" bestFit="1" width="3.0" style="1122"/>
    <col min="13990" max="13990" customWidth="1" bestFit="1" width="3.0" style="1122"/>
    <col min="13991" max="13991" customWidth="1" bestFit="1" width="3.0" style="1122"/>
    <col min="13992" max="13992" customWidth="1" bestFit="1" width="3.0" style="1122"/>
    <col min="13993" max="13993" customWidth="1" bestFit="1" width="3.0" style="1122"/>
    <col min="13994" max="13994" customWidth="1" bestFit="1" width="3.0" style="1122"/>
    <col min="13995" max="13995" customWidth="1" bestFit="1" width="3.0" style="1122"/>
    <col min="13996" max="13996" customWidth="1" bestFit="1" width="3.0" style="1122"/>
    <col min="13997" max="13997" customWidth="1" bestFit="1" width="3.0" style="1122"/>
    <col min="13998" max="13998" customWidth="1" bestFit="1" width="3.0" style="1122"/>
    <col min="13999" max="13999" customWidth="1" bestFit="1" width="3.0" style="1122"/>
    <col min="14000" max="14000" customWidth="1" bestFit="1" width="3.0" style="1122"/>
    <col min="14001" max="14001" customWidth="1" bestFit="1" width="3.0" style="1122"/>
    <col min="14002" max="14002" customWidth="1" bestFit="1" width="3.0" style="1122"/>
    <col min="14003" max="14003" customWidth="1" bestFit="1" width="3.0" style="1122"/>
    <col min="14004" max="14004" customWidth="1" bestFit="1" width="3.0" style="1122"/>
    <col min="14005" max="14005" customWidth="1" bestFit="1" width="3.0" style="1122"/>
    <col min="14006" max="14006" customWidth="1" bestFit="1" width="3.0" style="1122"/>
    <col min="14007" max="14007" customWidth="1" bestFit="1" width="3.0" style="1122"/>
    <col min="14008" max="14008" customWidth="1" bestFit="1" width="3.0" style="1122"/>
    <col min="14009" max="14009" customWidth="1" bestFit="1" width="3.0" style="1122"/>
    <col min="14010" max="14010" customWidth="1" bestFit="1" width="3.0" style="1122"/>
    <col min="14011" max="14011" customWidth="1" bestFit="1" width="3.0" style="1122"/>
    <col min="14012" max="14012" customWidth="1" bestFit="1" width="3.0" style="1122"/>
    <col min="14013" max="14013" customWidth="1" bestFit="1" width="3.0" style="1122"/>
    <col min="14014" max="14014" customWidth="1" bestFit="1" width="3.0" style="1122"/>
    <col min="14015" max="14015" customWidth="1" bestFit="1" width="3.0" style="1122"/>
    <col min="14016" max="14016" customWidth="1" bestFit="1" width="3.0" style="1122"/>
    <col min="14017" max="14017" customWidth="1" bestFit="1" width="3.0" style="1122"/>
    <col min="14018" max="14018" customWidth="1" bestFit="1" width="3.0" style="1122"/>
    <col min="14019" max="14019" customWidth="1" bestFit="1" width="3.0" style="1122"/>
    <col min="14020" max="14020" customWidth="1" bestFit="1" width="3.0" style="1122"/>
    <col min="14021" max="14021" customWidth="1" bestFit="1" width="3.0" style="1122"/>
    <col min="14022" max="14022" customWidth="1" bestFit="1" width="3.0" style="1122"/>
    <col min="14023" max="14023" customWidth="1" bestFit="1" width="3.0" style="1122"/>
    <col min="14024" max="14024" customWidth="1" bestFit="1" width="3.0" style="1122"/>
    <col min="14025" max="14025" customWidth="1" bestFit="1" width="3.0" style="1122"/>
    <col min="14026" max="14026" customWidth="1" bestFit="1" width="3.0" style="1122"/>
    <col min="14027" max="14027" customWidth="1" bestFit="1" width="3.0" style="1122"/>
    <col min="14028" max="14028" customWidth="1" bestFit="1" width="3.0" style="1122"/>
    <col min="14029" max="14029" customWidth="1" bestFit="1" width="3.0" style="1122"/>
    <col min="14030" max="14030" customWidth="1" bestFit="1" width="3.0" style="1122"/>
    <col min="14031" max="14031" customWidth="1" bestFit="1" width="3.0" style="1122"/>
    <col min="14032" max="14032" customWidth="1" bestFit="1" width="3.0" style="1122"/>
    <col min="14033" max="14033" customWidth="1" bestFit="1" width="3.0" style="1122"/>
    <col min="14034" max="14034" customWidth="1" bestFit="1" width="3.0" style="1122"/>
    <col min="14035" max="14035" customWidth="1" bestFit="1" width="3.0" style="1122"/>
    <col min="14036" max="14036" customWidth="1" bestFit="1" width="3.0" style="1122"/>
    <col min="14037" max="14037" customWidth="1" bestFit="1" width="3.0" style="1122"/>
    <col min="14038" max="14038" customWidth="1" bestFit="1" width="3.0" style="1122"/>
    <col min="14039" max="14039" customWidth="1" bestFit="1" width="3.0" style="1122"/>
    <col min="14040" max="14040" customWidth="1" bestFit="1" width="3.0" style="1122"/>
    <col min="14041" max="14041" customWidth="1" bestFit="1" width="3.0" style="1122"/>
    <col min="14042" max="14042" customWidth="1" bestFit="1" width="3.0" style="1122"/>
    <col min="14043" max="14043" customWidth="1" bestFit="1" width="3.0" style="1122"/>
    <col min="14044" max="14044" customWidth="1" bestFit="1" width="3.0" style="1122"/>
    <col min="14045" max="14045" customWidth="1" bestFit="1" width="3.0" style="1122"/>
    <col min="14046" max="14046" customWidth="1" bestFit="1" width="3.0" style="1122"/>
    <col min="14047" max="14047" customWidth="1" bestFit="1" width="3.0" style="1122"/>
    <col min="14048" max="14048" customWidth="1" bestFit="1" width="3.0" style="1122"/>
    <col min="14049" max="14049" customWidth="1" bestFit="1" width="3.0" style="1122"/>
    <col min="14050" max="14050" customWidth="1" bestFit="1" width="3.0" style="1122"/>
    <col min="14051" max="14051" customWidth="1" bestFit="1" width="3.0" style="1122"/>
    <col min="14052" max="14052" customWidth="1" bestFit="1" width="3.0" style="1122"/>
    <col min="14053" max="14053" customWidth="1" bestFit="1" width="3.0" style="1122"/>
    <col min="14054" max="14054" customWidth="1" bestFit="1" width="3.0" style="1122"/>
    <col min="14055" max="14055" customWidth="1" bestFit="1" width="3.0" style="1122"/>
    <col min="14056" max="14056" customWidth="1" bestFit="1" width="3.0" style="1122"/>
    <col min="14057" max="14057" customWidth="1" bestFit="1" width="3.0" style="1122"/>
    <col min="14058" max="14058" customWidth="1" bestFit="1" width="3.0" style="1122"/>
    <col min="14059" max="14059" customWidth="1" bestFit="1" width="3.0" style="1122"/>
    <col min="14060" max="14060" customWidth="1" bestFit="1" width="3.0" style="1122"/>
    <col min="14061" max="14061" customWidth="1" bestFit="1" width="3.0" style="1122"/>
    <col min="14062" max="14062" customWidth="1" bestFit="1" width="3.0" style="1122"/>
    <col min="14063" max="14063" customWidth="1" bestFit="1" width="3.0" style="1122"/>
    <col min="14064" max="14064" customWidth="1" bestFit="1" width="3.0" style="1122"/>
    <col min="14065" max="14065" customWidth="1" bestFit="1" width="3.0" style="1122"/>
    <col min="14066" max="14066" customWidth="1" bestFit="1" width="3.0" style="1122"/>
    <col min="14067" max="14067" customWidth="1" bestFit="1" width="3.0" style="1122"/>
    <col min="14068" max="14068" customWidth="1" bestFit="1" width="3.0" style="1122"/>
    <col min="14069" max="14069" customWidth="1" bestFit="1" width="3.0" style="1122"/>
    <col min="14070" max="14070" customWidth="1" bestFit="1" width="3.0" style="1122"/>
    <col min="14071" max="14071" customWidth="1" bestFit="1" width="3.0" style="1122"/>
    <col min="14072" max="14072" customWidth="1" bestFit="1" width="3.0" style="1122"/>
    <col min="14073" max="14073" customWidth="1" bestFit="1" width="3.0" style="1122"/>
    <col min="14074" max="14074" customWidth="1" bestFit="1" width="3.0" style="1122"/>
    <col min="14075" max="14075" customWidth="1" bestFit="1" width="3.0" style="1122"/>
    <col min="14076" max="14076" customWidth="1" bestFit="1" width="3.0" style="1122"/>
    <col min="14077" max="14077" customWidth="1" bestFit="1" width="3.0" style="1122"/>
    <col min="14078" max="14078" customWidth="1" bestFit="1" width="3.0" style="1122"/>
    <col min="14079" max="14079" customWidth="1" bestFit="1" width="3.0" style="1122"/>
    <col min="14080" max="14080" customWidth="1" bestFit="1" width="3.0" style="1122"/>
    <col min="14081" max="14081" customWidth="1" bestFit="1" width="3.0" style="1122"/>
    <col min="14082" max="14082" customWidth="1" bestFit="1" width="3.0" style="1122"/>
    <col min="14083" max="14083" customWidth="1" bestFit="1" width="3.0" style="1122"/>
    <col min="14084" max="14084" customWidth="1" bestFit="1" width="3.0" style="1122"/>
    <col min="14085" max="14085" customWidth="1" bestFit="1" width="3.0" style="1122"/>
    <col min="14086" max="14086" customWidth="1" bestFit="1" width="3.0" style="1122"/>
    <col min="14087" max="14087" customWidth="1" bestFit="1" width="3.0" style="1122"/>
    <col min="14088" max="14088" customWidth="1" bestFit="1" width="3.0" style="1122"/>
    <col min="14089" max="14089" customWidth="1" bestFit="1" width="3.0" style="1122"/>
    <col min="14090" max="14090" customWidth="1" bestFit="1" width="3.0" style="1122"/>
    <col min="14091" max="14091" customWidth="1" bestFit="1" width="3.0" style="1122"/>
    <col min="14092" max="14092" customWidth="1" bestFit="1" width="3.0" style="1122"/>
    <col min="14093" max="14093" customWidth="1" bestFit="1" width="3.0" style="1122"/>
    <col min="14094" max="14094" customWidth="1" bestFit="1" width="3.0" style="1122"/>
    <col min="14095" max="14095" customWidth="1" bestFit="1" width="3.0" style="1122"/>
    <col min="14096" max="14096" customWidth="1" bestFit="1" width="3.0" style="1122"/>
    <col min="14097" max="14097" customWidth="1" bestFit="1" width="3.0" style="1122"/>
    <col min="14098" max="14098" customWidth="1" bestFit="1" width="3.0" style="1122"/>
    <col min="14099" max="14099" customWidth="1" bestFit="1" width="3.0" style="1122"/>
    <col min="14100" max="14100" customWidth="1" bestFit="1" width="3.0" style="1122"/>
    <col min="14101" max="14101" customWidth="1" bestFit="1" width="3.0" style="1122"/>
    <col min="14102" max="14102" customWidth="1" bestFit="1" width="3.0" style="1122"/>
    <col min="14103" max="14103" customWidth="1" bestFit="1" width="3.0" style="1122"/>
    <col min="14104" max="14104" customWidth="1" bestFit="1" width="3.0" style="1122"/>
    <col min="14105" max="14105" customWidth="1" bestFit="1" width="3.0" style="1122"/>
    <col min="14106" max="14106" customWidth="1" bestFit="1" width="3.0" style="1122"/>
    <col min="14107" max="14107" customWidth="1" bestFit="1" width="3.0" style="1122"/>
    <col min="14108" max="14108" customWidth="1" bestFit="1" width="3.0" style="1122"/>
    <col min="14109" max="14109" customWidth="1" bestFit="1" width="3.0" style="1122"/>
    <col min="14110" max="14110" customWidth="1" bestFit="1" width="3.0" style="1122"/>
    <col min="14111" max="14111" customWidth="1" bestFit="1" width="3.0" style="1122"/>
    <col min="14112" max="14112" customWidth="1" bestFit="1" width="3.0" style="1122"/>
    <col min="14113" max="14113" customWidth="1" bestFit="1" width="3.0" style="1122"/>
    <col min="14114" max="14114" customWidth="1" bestFit="1" width="3.0" style="1122"/>
    <col min="14115" max="14115" customWidth="1" bestFit="1" width="3.0" style="1122"/>
    <col min="14116" max="14116" customWidth="1" bestFit="1" width="3.0" style="1122"/>
    <col min="14117" max="14117" customWidth="1" bestFit="1" width="3.0" style="1122"/>
    <col min="14118" max="14118" customWidth="1" bestFit="1" width="3.0" style="1122"/>
    <col min="14119" max="14119" customWidth="1" bestFit="1" width="3.0" style="1122"/>
    <col min="14120" max="14120" customWidth="1" bestFit="1" width="3.0" style="1122"/>
    <col min="14121" max="14121" customWidth="1" bestFit="1" width="3.0" style="1122"/>
    <col min="14122" max="14122" customWidth="1" bestFit="1" width="3.0" style="1122"/>
    <col min="14123" max="14123" customWidth="1" bestFit="1" width="3.0" style="1122"/>
    <col min="14124" max="14124" customWidth="1" bestFit="1" width="3.0" style="1122"/>
    <col min="14125" max="14125" customWidth="1" bestFit="1" width="3.0" style="1122"/>
    <col min="14126" max="14126" customWidth="1" bestFit="1" width="3.0" style="1122"/>
    <col min="14127" max="14127" customWidth="1" bestFit="1" width="3.0" style="1122"/>
    <col min="14128" max="14128" customWidth="1" bestFit="1" width="3.0" style="1122"/>
    <col min="14129" max="14129" customWidth="1" bestFit="1" width="3.0" style="1122"/>
    <col min="14130" max="14130" customWidth="1" bestFit="1" width="3.0" style="1122"/>
    <col min="14131" max="14131" customWidth="1" bestFit="1" width="3.0" style="1122"/>
    <col min="14132" max="14132" customWidth="1" bestFit="1" width="3.0" style="1122"/>
    <col min="14133" max="14133" customWidth="1" bestFit="1" width="3.0" style="1122"/>
    <col min="14134" max="14134" customWidth="1" bestFit="1" width="3.0" style="1122"/>
    <col min="14135" max="14135" customWidth="1" bestFit="1" width="3.0" style="1122"/>
    <col min="14136" max="14136" customWidth="1" bestFit="1" width="3.0" style="1122"/>
    <col min="14137" max="14137" customWidth="1" bestFit="1" width="3.0" style="1122"/>
    <col min="14138" max="14138" customWidth="1" bestFit="1" width="3.0" style="1122"/>
    <col min="14139" max="14139" customWidth="1" bestFit="1" width="3.0" style="1122"/>
    <col min="14140" max="14140" customWidth="1" bestFit="1" width="3.0" style="1122"/>
    <col min="14141" max="14141" customWidth="1" bestFit="1" width="3.0" style="1122"/>
    <col min="14142" max="14142" customWidth="1" bestFit="1" width="3.0" style="1122"/>
    <col min="14143" max="14143" customWidth="1" bestFit="1" width="3.0" style="1122"/>
    <col min="14144" max="14144" customWidth="1" bestFit="1" width="3.0" style="1122"/>
    <col min="14145" max="14145" customWidth="1" bestFit="1" width="3.0" style="1122"/>
    <col min="14146" max="14146" customWidth="1" bestFit="1" width="3.0" style="1122"/>
    <col min="14147" max="14147" customWidth="1" bestFit="1" width="3.0" style="1122"/>
    <col min="14148" max="14148" customWidth="1" bestFit="1" width="3.0" style="1122"/>
    <col min="14149" max="14149" customWidth="1" bestFit="1" width="3.0" style="1122"/>
    <col min="14150" max="14150" customWidth="1" bestFit="1" width="3.0" style="1122"/>
    <col min="14151" max="14151" customWidth="1" bestFit="1" width="3.0" style="1122"/>
    <col min="14152" max="14152" customWidth="1" bestFit="1" width="3.0" style="1122"/>
    <col min="14153" max="14153" customWidth="1" bestFit="1" width="3.0" style="1122"/>
    <col min="14154" max="14154" customWidth="1" bestFit="1" width="3.0" style="1122"/>
    <col min="14155" max="14155" customWidth="1" bestFit="1" width="3.0" style="1122"/>
    <col min="14156" max="14156" customWidth="1" bestFit="1" width="3.0" style="1122"/>
    <col min="14157" max="14157" customWidth="1" bestFit="1" width="3.0" style="1122"/>
    <col min="14158" max="14158" customWidth="1" bestFit="1" width="3.0" style="1122"/>
    <col min="14159" max="14159" customWidth="1" bestFit="1" width="3.0" style="1122"/>
    <col min="14160" max="14160" customWidth="1" bestFit="1" width="3.0" style="1122"/>
    <col min="14161" max="14161" customWidth="1" bestFit="1" width="3.0" style="1122"/>
    <col min="14162" max="14162" customWidth="1" bestFit="1" width="3.0" style="1122"/>
    <col min="14163" max="14163" customWidth="1" bestFit="1" width="3.0" style="1122"/>
    <col min="14164" max="14164" customWidth="1" bestFit="1" width="3.0" style="1122"/>
    <col min="14165" max="14165" customWidth="1" bestFit="1" width="3.0" style="1122"/>
    <col min="14166" max="14166" customWidth="1" bestFit="1" width="3.0" style="1122"/>
    <col min="14167" max="14167" customWidth="1" bestFit="1" width="3.0" style="1122"/>
    <col min="14168" max="14168" customWidth="1" bestFit="1" width="3.0" style="1122"/>
    <col min="14169" max="14169" customWidth="1" bestFit="1" width="3.0" style="1122"/>
    <col min="14170" max="14170" customWidth="1" bestFit="1" width="3.0" style="1122"/>
    <col min="14171" max="14171" customWidth="1" bestFit="1" width="3.0" style="1122"/>
    <col min="14172" max="14172" customWidth="1" bestFit="1" width="3.0" style="1122"/>
    <col min="14173" max="14173" customWidth="1" bestFit="1" width="3.0" style="1122"/>
    <col min="14174" max="14174" customWidth="1" bestFit="1" width="3.0" style="1122"/>
    <col min="14175" max="14175" customWidth="1" bestFit="1" width="3.0" style="1122"/>
    <col min="14176" max="14176" customWidth="1" bestFit="1" width="3.0" style="1122"/>
    <col min="14177" max="14177" customWidth="1" bestFit="1" width="3.0" style="1122"/>
    <col min="14178" max="14178" customWidth="1" bestFit="1" width="3.0" style="1122"/>
    <col min="14179" max="14179" customWidth="1" bestFit="1" width="3.0" style="1122"/>
    <col min="14180" max="14180" customWidth="1" bestFit="1" width="3.0" style="1122"/>
    <col min="14181" max="14181" customWidth="1" bestFit="1" width="3.0" style="1122"/>
    <col min="14182" max="14182" customWidth="1" bestFit="1" width="3.0" style="1122"/>
    <col min="14183" max="14183" customWidth="1" bestFit="1" width="3.0" style="1122"/>
    <col min="14184" max="14184" customWidth="1" bestFit="1" width="3.0" style="1122"/>
    <col min="14185" max="14185" customWidth="1" bestFit="1" width="3.0" style="1122"/>
    <col min="14186" max="14186" customWidth="1" bestFit="1" width="3.0" style="1122"/>
    <col min="14187" max="14187" customWidth="1" bestFit="1" width="3.0" style="1122"/>
    <col min="14188" max="14188" customWidth="1" bestFit="1" width="3.0" style="1122"/>
    <col min="14189" max="14189" customWidth="1" bestFit="1" width="3.0" style="1122"/>
    <col min="14190" max="14190" customWidth="1" bestFit="1" width="3.0" style="1122"/>
    <col min="14191" max="14191" customWidth="1" bestFit="1" width="3.0" style="1122"/>
    <col min="14192" max="14192" customWidth="1" bestFit="1" width="3.0" style="1122"/>
    <col min="14193" max="14193" customWidth="1" bestFit="1" width="3.0" style="1122"/>
    <col min="14194" max="14194" customWidth="1" bestFit="1" width="3.0" style="1122"/>
    <col min="14195" max="14195" customWidth="1" bestFit="1" width="3.0" style="1122"/>
    <col min="14196" max="14196" customWidth="1" bestFit="1" width="3.0" style="1122"/>
    <col min="14197" max="14197" customWidth="1" bestFit="1" width="3.0" style="1122"/>
    <col min="14198" max="14198" customWidth="1" bestFit="1" width="3.0" style="1122"/>
    <col min="14199" max="14199" customWidth="1" bestFit="1" width="3.0" style="1122"/>
    <col min="14200" max="14200" customWidth="1" bestFit="1" width="3.0" style="1122"/>
    <col min="14201" max="14201" customWidth="1" bestFit="1" width="3.0" style="1122"/>
    <col min="14202" max="14202" customWidth="1" bestFit="1" width="3.0" style="1122"/>
    <col min="14203" max="14203" customWidth="1" bestFit="1" width="3.0" style="1122"/>
    <col min="14204" max="14204" customWidth="1" bestFit="1" width="3.0" style="1122"/>
    <col min="14205" max="14205" customWidth="1" bestFit="1" width="3.0" style="1122"/>
    <col min="14206" max="14206" customWidth="1" bestFit="1" width="3.0" style="1122"/>
    <col min="14207" max="14207" customWidth="1" bestFit="1" width="3.0" style="1122"/>
    <col min="14208" max="14208" customWidth="1" bestFit="1" width="3.0" style="1122"/>
    <col min="14209" max="14209" customWidth="1" bestFit="1" width="3.0" style="1122"/>
    <col min="14210" max="14210" customWidth="1" bestFit="1" width="3.0" style="1122"/>
    <col min="14211" max="14211" customWidth="1" bestFit="1" width="3.0" style="1122"/>
    <col min="14212" max="14212" customWidth="1" bestFit="1" width="3.0" style="1122"/>
    <col min="14213" max="14213" customWidth="1" bestFit="1" width="3.0" style="1122"/>
    <col min="14214" max="14214" customWidth="1" bestFit="1" width="3.0" style="1122"/>
    <col min="14215" max="14215" customWidth="1" bestFit="1" width="3.0" style="1122"/>
    <col min="14216" max="14216" customWidth="1" bestFit="1" width="3.0" style="1122"/>
    <col min="14217" max="14217" customWidth="1" bestFit="1" width="3.0" style="1122"/>
    <col min="14218" max="14218" customWidth="1" bestFit="1" width="3.0" style="1122"/>
    <col min="14219" max="14219" customWidth="1" bestFit="1" width="3.0" style="1122"/>
    <col min="14220" max="14220" customWidth="1" bestFit="1" width="3.0" style="1122"/>
    <col min="14221" max="14221" customWidth="1" bestFit="1" width="3.0" style="1122"/>
    <col min="14222" max="14222" customWidth="1" bestFit="1" width="3.0" style="1122"/>
    <col min="14223" max="14223" customWidth="1" bestFit="1" width="3.0" style="1122"/>
    <col min="14224" max="14224" customWidth="1" bestFit="1" width="3.0" style="1122"/>
    <col min="14225" max="14225" customWidth="1" bestFit="1" width="3.0" style="1122"/>
    <col min="14226" max="14226" customWidth="1" bestFit="1" width="3.0" style="1122"/>
    <col min="14227" max="14227" customWidth="1" bestFit="1" width="3.0" style="1122"/>
    <col min="14228" max="14228" customWidth="1" bestFit="1" width="3.0" style="1122"/>
    <col min="14229" max="14229" customWidth="1" bestFit="1" width="3.0" style="1122"/>
    <col min="14230" max="14230" customWidth="1" bestFit="1" width="3.0" style="1122"/>
    <col min="14231" max="14231" customWidth="1" bestFit="1" width="3.0" style="1122"/>
    <col min="14232" max="14232" customWidth="1" bestFit="1" width="3.0" style="1122"/>
    <col min="14233" max="14233" customWidth="1" bestFit="1" width="3.0" style="1122"/>
    <col min="14234" max="14234" customWidth="1" bestFit="1" width="3.0" style="1122"/>
    <col min="14235" max="14235" customWidth="1" bestFit="1" width="3.0" style="1122"/>
    <col min="14236" max="14236" customWidth="1" bestFit="1" width="3.0" style="1122"/>
    <col min="14237" max="14237" customWidth="1" bestFit="1" width="3.0" style="1122"/>
    <col min="14238" max="14238" customWidth="1" bestFit="1" width="3.0" style="1122"/>
    <col min="14239" max="14239" customWidth="1" bestFit="1" width="3.0" style="1122"/>
    <col min="14240" max="14240" customWidth="1" bestFit="1" width="3.0" style="1122"/>
    <col min="14241" max="14241" customWidth="1" bestFit="1" width="3.0" style="1122"/>
    <col min="14242" max="14242" customWidth="1" bestFit="1" width="3.0" style="1122"/>
    <col min="14243" max="14243" customWidth="1" bestFit="1" width="3.0" style="1122"/>
    <col min="14244" max="14244" customWidth="1" bestFit="1" width="3.0" style="1122"/>
    <col min="14245" max="14245" customWidth="1" bestFit="1" width="3.0" style="1122"/>
    <col min="14246" max="14246" customWidth="1" bestFit="1" width="3.0" style="1122"/>
    <col min="14247" max="14247" customWidth="1" bestFit="1" width="3.0" style="1122"/>
    <col min="14248" max="14248" customWidth="1" bestFit="1" width="3.0" style="1122"/>
    <col min="14249" max="14249" customWidth="1" bestFit="1" width="3.0" style="1122"/>
    <col min="14250" max="14250" customWidth="1" bestFit="1" width="3.0" style="1122"/>
    <col min="14251" max="14251" customWidth="1" bestFit="1" width="3.0" style="1122"/>
    <col min="14252" max="14252" customWidth="1" bestFit="1" width="3.0" style="1122"/>
    <col min="14253" max="14253" customWidth="1" bestFit="1" width="3.0" style="1122"/>
    <col min="14254" max="14254" customWidth="1" bestFit="1" width="3.0" style="1122"/>
    <col min="14255" max="14255" customWidth="1" bestFit="1" width="3.0" style="1122"/>
    <col min="14256" max="14256" customWidth="1" bestFit="1" width="3.0" style="1122"/>
    <col min="14257" max="14257" customWidth="1" bestFit="1" width="3.0" style="1122"/>
    <col min="14258" max="14258" customWidth="1" bestFit="1" width="3.0" style="1122"/>
    <col min="14259" max="14259" customWidth="1" bestFit="1" width="3.0" style="1122"/>
    <col min="14260" max="14260" customWidth="1" bestFit="1" width="3.0" style="1122"/>
    <col min="14261" max="14261" customWidth="1" bestFit="1" width="3.0" style="1122"/>
    <col min="14262" max="14262" customWidth="1" bestFit="1" width="3.0" style="1122"/>
    <col min="14263" max="14263" customWidth="1" bestFit="1" width="3.0" style="1122"/>
    <col min="14264" max="14264" customWidth="1" bestFit="1" width="3.0" style="1122"/>
    <col min="14265" max="14265" customWidth="1" bestFit="1" width="3.0" style="1122"/>
    <col min="14266" max="14266" customWidth="1" bestFit="1" width="3.0" style="1122"/>
    <col min="14267" max="14267" customWidth="1" bestFit="1" width="3.0" style="1122"/>
    <col min="14268" max="14268" customWidth="1" bestFit="1" width="3.0" style="1122"/>
    <col min="14269" max="14269" customWidth="1" bestFit="1" width="3.0" style="1122"/>
    <col min="14270" max="14270" customWidth="1" bestFit="1" width="3.0" style="1122"/>
    <col min="14271" max="14271" customWidth="1" bestFit="1" width="3.0" style="1122"/>
    <col min="14272" max="14272" customWidth="1" bestFit="1" width="3.0" style="1122"/>
    <col min="14273" max="14273" customWidth="1" bestFit="1" width="3.0" style="1122"/>
    <col min="14274" max="14274" customWidth="1" bestFit="1" width="3.0" style="1122"/>
    <col min="14275" max="14275" customWidth="1" bestFit="1" width="3.0" style="1122"/>
    <col min="14276" max="14276" customWidth="1" bestFit="1" width="3.0" style="1122"/>
    <col min="14277" max="14277" customWidth="1" bestFit="1" width="3.0" style="1122"/>
    <col min="14278" max="14278" customWidth="1" bestFit="1" width="3.0" style="1122"/>
    <col min="14279" max="14279" customWidth="1" bestFit="1" width="3.0" style="1122"/>
    <col min="14280" max="14280" customWidth="1" bestFit="1" width="3.0" style="1122"/>
    <col min="14281" max="14281" customWidth="1" bestFit="1" width="3.0" style="1122"/>
    <col min="14282" max="14282" customWidth="1" bestFit="1" width="3.0" style="1122"/>
    <col min="14283" max="14283" customWidth="1" bestFit="1" width="3.0" style="1122"/>
    <col min="14284" max="14284" customWidth="1" bestFit="1" width="3.0" style="1122"/>
    <col min="14285" max="14285" customWidth="1" bestFit="1" width="3.0" style="1122"/>
    <col min="14286" max="14286" customWidth="1" bestFit="1" width="3.0" style="1122"/>
    <col min="14287" max="14287" customWidth="1" bestFit="1" width="3.0" style="1122"/>
    <col min="14288" max="14288" customWidth="1" bestFit="1" width="3.0" style="1122"/>
    <col min="14289" max="14289" customWidth="1" bestFit="1" width="3.0" style="1122"/>
    <col min="14290" max="14290" customWidth="1" bestFit="1" width="3.0" style="1122"/>
    <col min="14291" max="14291" customWidth="1" bestFit="1" width="3.0" style="1122"/>
    <col min="14292" max="14292" customWidth="1" bestFit="1" width="3.0" style="1122"/>
    <col min="14293" max="14293" customWidth="1" bestFit="1" width="3.0" style="1122"/>
    <col min="14294" max="14294" customWidth="1" bestFit="1" width="3.0" style="1122"/>
    <col min="14295" max="14295" customWidth="1" bestFit="1" width="3.0" style="1122"/>
    <col min="14296" max="14296" customWidth="1" bestFit="1" width="3.0" style="1122"/>
    <col min="14297" max="14297" customWidth="1" bestFit="1" width="3.0" style="1122"/>
    <col min="14298" max="14298" customWidth="1" bestFit="1" width="3.0" style="1122"/>
    <col min="14299" max="14299" customWidth="1" bestFit="1" width="3.0" style="1122"/>
    <col min="14300" max="14300" customWidth="1" bestFit="1" width="3.0" style="1122"/>
    <col min="14301" max="14301" customWidth="1" bestFit="1" width="3.0" style="1122"/>
    <col min="14302" max="14302" customWidth="1" bestFit="1" width="3.0" style="1122"/>
    <col min="14303" max="14303" customWidth="1" bestFit="1" width="3.0" style="1122"/>
    <col min="14304" max="14304" customWidth="1" bestFit="1" width="3.0" style="1122"/>
    <col min="14305" max="14305" customWidth="1" bestFit="1" width="3.0" style="1122"/>
    <col min="14306" max="14306" customWidth="1" bestFit="1" width="3.0" style="1122"/>
    <col min="14307" max="14307" customWidth="1" bestFit="1" width="3.0" style="1122"/>
    <col min="14308" max="14308" customWidth="1" bestFit="1" width="3.0" style="1122"/>
    <col min="14309" max="14309" customWidth="1" bestFit="1" width="3.0" style="1122"/>
    <col min="14310" max="14310" customWidth="1" bestFit="1" width="3.0" style="1122"/>
    <col min="14311" max="14311" customWidth="1" bestFit="1" width="3.0" style="1122"/>
    <col min="14312" max="14312" customWidth="1" bestFit="1" width="3.0" style="1122"/>
    <col min="14313" max="14313" customWidth="1" bestFit="1" width="3.0" style="1122"/>
    <col min="14314" max="14314" customWidth="1" bestFit="1" width="3.0" style="1122"/>
    <col min="14315" max="14315" customWidth="1" bestFit="1" width="3.0" style="1122"/>
    <col min="14316" max="14316" customWidth="1" bestFit="1" width="3.0" style="1122"/>
    <col min="14317" max="14317" customWidth="1" bestFit="1" width="3.0" style="1122"/>
    <col min="14318" max="14318" customWidth="1" bestFit="1" width="3.0" style="1122"/>
    <col min="14319" max="14319" customWidth="1" bestFit="1" width="3.0" style="1122"/>
    <col min="14320" max="14320" customWidth="1" bestFit="1" width="3.0" style="1122"/>
    <col min="14321" max="14321" customWidth="1" bestFit="1" width="3.0" style="1122"/>
    <col min="14322" max="14322" customWidth="1" bestFit="1" width="3.0" style="1122"/>
    <col min="14323" max="14323" customWidth="1" bestFit="1" width="3.0" style="1122"/>
    <col min="14324" max="14324" customWidth="1" bestFit="1" width="3.0" style="1122"/>
    <col min="14325" max="14325" customWidth="1" bestFit="1" width="3.0" style="1122"/>
    <col min="14326" max="14326" customWidth="1" bestFit="1" width="3.0" style="1122"/>
    <col min="14327" max="14327" customWidth="1" bestFit="1" width="3.0" style="1122"/>
    <col min="14328" max="14328" customWidth="1" bestFit="1" width="3.0" style="1122"/>
    <col min="14329" max="14329" customWidth="1" bestFit="1" width="3.0" style="1122"/>
    <col min="14330" max="14330" customWidth="1" bestFit="1" width="3.0" style="1122"/>
    <col min="14331" max="14331" customWidth="1" bestFit="1" width="3.0" style="1122"/>
    <col min="14332" max="14332" customWidth="1" bestFit="1" width="3.0" style="1122"/>
    <col min="14333" max="14333" customWidth="1" bestFit="1" width="3.0" style="1122"/>
    <col min="14334" max="14334" customWidth="1" bestFit="1" width="3.0" style="1122"/>
    <col min="14335" max="14335" customWidth="1" bestFit="1" width="3.0" style="1122"/>
    <col min="14336" max="14336" customWidth="1" bestFit="1" width="3.0" style="1122"/>
    <col min="14337" max="14337" customWidth="1" bestFit="1" width="3.0" style="1122"/>
    <col min="14338" max="14338" customWidth="1" bestFit="1" width="3.0" style="1122"/>
    <col min="14339" max="14339" customWidth="1" bestFit="1" width="3.0" style="1122"/>
    <col min="14340" max="14340" customWidth="1" bestFit="1" width="3.0" style="1122"/>
    <col min="14341" max="14341" customWidth="1" bestFit="1" width="3.0" style="1122"/>
    <col min="14342" max="14342" customWidth="1" bestFit="1" width="3.0" style="1122"/>
    <col min="14343" max="14343" customWidth="1" bestFit="1" width="3.0" style="1122"/>
    <col min="14344" max="14344" customWidth="1" bestFit="1" width="3.0" style="1122"/>
    <col min="14345" max="14345" customWidth="1" bestFit="1" width="3.0" style="1122"/>
    <col min="14346" max="14346" customWidth="1" bestFit="1" width="3.0" style="1122"/>
    <col min="14347" max="14347" customWidth="1" bestFit="1" width="3.0" style="1122"/>
    <col min="14348" max="14348" customWidth="1" bestFit="1" width="3.0" style="1122"/>
    <col min="14349" max="14349" customWidth="1" bestFit="1" width="3.0" style="1122"/>
    <col min="14350" max="14350" customWidth="1" bestFit="1" width="3.0" style="1122"/>
    <col min="14351" max="14351" customWidth="1" bestFit="1" width="3.0" style="1122"/>
    <col min="14352" max="14352" customWidth="1" bestFit="1" width="3.0" style="1122"/>
    <col min="14353" max="14353" customWidth="1" bestFit="1" width="3.0" style="1122"/>
    <col min="14354" max="14354" customWidth="1" bestFit="1" width="3.0" style="1122"/>
    <col min="14355" max="14355" customWidth="1" bestFit="1" width="3.0" style="1122"/>
    <col min="14356" max="14356" customWidth="1" bestFit="1" width="3.0" style="1122"/>
    <col min="14357" max="14357" customWidth="1" bestFit="1" width="3.0" style="1122"/>
    <col min="14358" max="14358" customWidth="1" bestFit="1" width="3.0" style="1122"/>
    <col min="14359" max="14359" customWidth="1" bestFit="1" width="3.0" style="1122"/>
    <col min="14360" max="14360" customWidth="1" bestFit="1" width="3.0" style="1122"/>
    <col min="14361" max="14361" customWidth="1" bestFit="1" width="3.0" style="1122"/>
    <col min="14362" max="14362" customWidth="1" bestFit="1" width="3.0" style="1122"/>
    <col min="14363" max="14363" customWidth="1" bestFit="1" width="3.0" style="1122"/>
    <col min="14364" max="14364" customWidth="1" bestFit="1" width="3.0" style="1122"/>
    <col min="14365" max="14365" customWidth="1" bestFit="1" width="3.0" style="1122"/>
    <col min="14366" max="14366" customWidth="1" bestFit="1" width="3.0" style="1122"/>
    <col min="14367" max="14367" customWidth="1" bestFit="1" width="3.0" style="1122"/>
    <col min="14368" max="14368" customWidth="1" bestFit="1" width="3.0" style="1122"/>
    <col min="14369" max="14369" customWidth="1" bestFit="1" width="3.0" style="1122"/>
    <col min="14370" max="14370" customWidth="1" bestFit="1" width="3.0" style="1122"/>
    <col min="14371" max="14371" customWidth="1" bestFit="1" width="3.0" style="1122"/>
    <col min="14372" max="14372" customWidth="1" bestFit="1" width="3.0" style="1122"/>
    <col min="14373" max="14373" customWidth="1" bestFit="1" width="3.0" style="1122"/>
    <col min="14374" max="14374" customWidth="1" bestFit="1" width="3.0" style="1122"/>
    <col min="14375" max="14375" customWidth="1" bestFit="1" width="3.0" style="1122"/>
    <col min="14376" max="14376" customWidth="1" bestFit="1" width="3.0" style="1122"/>
    <col min="14377" max="14377" customWidth="1" bestFit="1" width="3.0" style="1122"/>
    <col min="14378" max="14378" customWidth="1" bestFit="1" width="3.0" style="1122"/>
    <col min="14379" max="14379" customWidth="1" bestFit="1" width="3.0" style="1122"/>
    <col min="14380" max="14380" customWidth="1" bestFit="1" width="3.0" style="1122"/>
    <col min="14381" max="14381" customWidth="1" bestFit="1" width="3.0" style="1122"/>
    <col min="14382" max="14382" customWidth="1" bestFit="1" width="3.0" style="1122"/>
    <col min="14383" max="14383" customWidth="1" bestFit="1" width="3.0" style="1122"/>
    <col min="14384" max="14384" customWidth="1" bestFit="1" width="3.0" style="1122"/>
    <col min="14385" max="14385" customWidth="1" bestFit="1" width="3.0" style="1122"/>
    <col min="14386" max="14386" customWidth="1" bestFit="1" width="3.0" style="1122"/>
    <col min="14387" max="14387" customWidth="1" bestFit="1" width="3.0" style="1122"/>
    <col min="14388" max="14388" customWidth="1" bestFit="1" width="3.0" style="1122"/>
    <col min="14389" max="14389" customWidth="1" bestFit="1" width="3.0" style="1122"/>
    <col min="14390" max="14390" customWidth="1" bestFit="1" width="3.0" style="1122"/>
    <col min="14391" max="14391" customWidth="1" bestFit="1" width="3.0" style="1122"/>
    <col min="14392" max="14392" customWidth="1" bestFit="1" width="3.0" style="1122"/>
    <col min="14393" max="14393" customWidth="1" bestFit="1" width="3.0" style="1122"/>
    <col min="14394" max="14394" customWidth="1" bestFit="1" width="3.0" style="1122"/>
    <col min="14395" max="14395" customWidth="1" bestFit="1" width="3.0" style="1122"/>
    <col min="14396" max="14396" customWidth="1" bestFit="1" width="3.0" style="1122"/>
    <col min="14397" max="14397" customWidth="1" bestFit="1" width="3.0" style="1122"/>
    <col min="14398" max="14398" customWidth="1" bestFit="1" width="3.0" style="1122"/>
    <col min="14399" max="14399" customWidth="1" bestFit="1" width="3.0" style="1122"/>
    <col min="14400" max="14400" customWidth="1" bestFit="1" width="3.0" style="1122"/>
    <col min="14401" max="14401" customWidth="1" bestFit="1" width="3.0" style="1122"/>
    <col min="14402" max="14402" customWidth="1" bestFit="1" width="3.0" style="1122"/>
    <col min="14403" max="14403" customWidth="1" bestFit="1" width="3.0" style="1122"/>
    <col min="14404" max="14404" customWidth="1" bestFit="1" width="3.0" style="1122"/>
    <col min="14405" max="14405" customWidth="1" bestFit="1" width="3.0" style="1122"/>
    <col min="14406" max="14406" customWidth="1" bestFit="1" width="3.0" style="1122"/>
    <col min="14407" max="14407" customWidth="1" bestFit="1" width="3.0" style="1122"/>
    <col min="14408" max="14408" customWidth="1" bestFit="1" width="3.0" style="1122"/>
    <col min="14409" max="14409" customWidth="1" bestFit="1" width="3.0" style="1122"/>
    <col min="14410" max="14410" customWidth="1" bestFit="1" width="3.0" style="1122"/>
    <col min="14411" max="14411" customWidth="1" bestFit="1" width="3.0" style="1122"/>
    <col min="14412" max="14412" customWidth="1" bestFit="1" width="3.0" style="1122"/>
    <col min="14413" max="14413" customWidth="1" bestFit="1" width="3.0" style="1122"/>
    <col min="14414" max="14414" customWidth="1" bestFit="1" width="3.0" style="1122"/>
    <col min="14415" max="14415" customWidth="1" bestFit="1" width="3.0" style="1122"/>
    <col min="14416" max="14416" customWidth="1" bestFit="1" width="3.0" style="1122"/>
    <col min="14417" max="14417" customWidth="1" bestFit="1" width="3.0" style="1122"/>
    <col min="14418" max="14418" customWidth="1" bestFit="1" width="3.0" style="1122"/>
    <col min="14419" max="14419" customWidth="1" bestFit="1" width="3.0" style="1122"/>
    <col min="14420" max="14420" customWidth="1" bestFit="1" width="3.0" style="1122"/>
    <col min="14421" max="14421" customWidth="1" bestFit="1" width="3.0" style="1122"/>
    <col min="14422" max="14422" customWidth="1" bestFit="1" width="3.0" style="1122"/>
    <col min="14423" max="14423" customWidth="1" bestFit="1" width="3.0" style="1122"/>
    <col min="14424" max="14424" customWidth="1" bestFit="1" width="3.0" style="1122"/>
    <col min="14425" max="14425" customWidth="1" bestFit="1" width="3.0" style="1122"/>
    <col min="14426" max="14426" customWidth="1" bestFit="1" width="3.0" style="1122"/>
    <col min="14427" max="14427" customWidth="1" bestFit="1" width="3.0" style="1122"/>
    <col min="14428" max="14428" customWidth="1" bestFit="1" width="3.0" style="1122"/>
    <col min="14429" max="14429" customWidth="1" bestFit="1" width="3.0" style="1122"/>
    <col min="14430" max="14430" customWidth="1" bestFit="1" width="3.0" style="1122"/>
    <col min="14431" max="14431" customWidth="1" bestFit="1" width="3.0" style="1122"/>
    <col min="14432" max="14432" customWidth="1" bestFit="1" width="3.0" style="1122"/>
    <col min="14433" max="14433" customWidth="1" bestFit="1" width="3.0" style="1122"/>
    <col min="14434" max="14434" customWidth="1" bestFit="1" width="3.0" style="1122"/>
    <col min="14435" max="14435" customWidth="1" bestFit="1" width="3.0" style="1122"/>
    <col min="14436" max="14436" customWidth="1" bestFit="1" width="3.0" style="1122"/>
    <col min="14437" max="14437" customWidth="1" bestFit="1" width="3.0" style="1122"/>
    <col min="14438" max="14438" customWidth="1" bestFit="1" width="3.0" style="1122"/>
    <col min="14439" max="14439" customWidth="1" bestFit="1" width="3.0" style="1122"/>
    <col min="14440" max="14440" customWidth="1" bestFit="1" width="3.0" style="1122"/>
    <col min="14441" max="14441" customWidth="1" bestFit="1" width="3.0" style="1122"/>
    <col min="14442" max="14442" customWidth="1" bestFit="1" width="3.0" style="1122"/>
    <col min="14443" max="14443" customWidth="1" bestFit="1" width="3.0" style="1122"/>
    <col min="14444" max="14444" customWidth="1" bestFit="1" width="3.0" style="1122"/>
    <col min="14445" max="14445" customWidth="1" bestFit="1" width="3.0" style="1122"/>
    <col min="14446" max="14446" customWidth="1" bestFit="1" width="3.0" style="1122"/>
    <col min="14447" max="14447" customWidth="1" bestFit="1" width="3.0" style="1122"/>
    <col min="14448" max="14448" customWidth="1" bestFit="1" width="3.0" style="1122"/>
    <col min="14449" max="14449" customWidth="1" bestFit="1" width="3.0" style="1122"/>
    <col min="14450" max="14450" customWidth="1" bestFit="1" width="3.0" style="1122"/>
    <col min="14451" max="14451" customWidth="1" bestFit="1" width="3.0" style="1122"/>
    <col min="14452" max="14452" customWidth="1" bestFit="1" width="3.0" style="1122"/>
    <col min="14453" max="14453" customWidth="1" bestFit="1" width="3.0" style="1122"/>
    <col min="14454" max="14454" customWidth="1" bestFit="1" width="3.0" style="1122"/>
    <col min="14455" max="14455" customWidth="1" bestFit="1" width="3.0" style="1122"/>
    <col min="14456" max="14456" customWidth="1" bestFit="1" width="3.0" style="1122"/>
    <col min="14457" max="14457" customWidth="1" bestFit="1" width="3.0" style="1122"/>
    <col min="14458" max="14458" customWidth="1" bestFit="1" width="3.0" style="1122"/>
    <col min="14459" max="14459" customWidth="1" bestFit="1" width="3.0" style="1122"/>
    <col min="14460" max="14460" customWidth="1" bestFit="1" width="3.0" style="1122"/>
    <col min="14461" max="14461" customWidth="1" bestFit="1" width="3.0" style="1122"/>
    <col min="14462" max="14462" customWidth="1" bestFit="1" width="3.0" style="1122"/>
    <col min="14463" max="14463" customWidth="1" bestFit="1" width="3.0" style="1122"/>
    <col min="14464" max="14464" customWidth="1" bestFit="1" width="3.0" style="1122"/>
    <col min="14465" max="14465" customWidth="1" bestFit="1" width="3.0" style="1122"/>
    <col min="14466" max="14466" customWidth="1" bestFit="1" width="3.0" style="1122"/>
    <col min="14467" max="14467" customWidth="1" bestFit="1" width="3.0" style="1122"/>
    <col min="14468" max="14468" customWidth="1" bestFit="1" width="3.0" style="1122"/>
    <col min="14469" max="14469" customWidth="1" bestFit="1" width="3.0" style="1122"/>
    <col min="14470" max="14470" customWidth="1" bestFit="1" width="3.0" style="1122"/>
    <col min="14471" max="14471" customWidth="1" bestFit="1" width="3.0" style="1122"/>
    <col min="14472" max="14472" customWidth="1" bestFit="1" width="3.0" style="1122"/>
    <col min="14473" max="14473" customWidth="1" bestFit="1" width="3.0" style="1122"/>
    <col min="14474" max="14474" customWidth="1" bestFit="1" width="3.0" style="1122"/>
    <col min="14475" max="14475" customWidth="1" bestFit="1" width="3.0" style="1122"/>
    <col min="14476" max="14476" customWidth="1" bestFit="1" width="3.0" style="1122"/>
    <col min="14477" max="14477" customWidth="1" bestFit="1" width="3.0" style="1122"/>
    <col min="14478" max="14478" customWidth="1" bestFit="1" width="3.0" style="1122"/>
    <col min="14479" max="14479" customWidth="1" bestFit="1" width="3.0" style="1122"/>
    <col min="14480" max="14480" customWidth="1" bestFit="1" width="3.0" style="1122"/>
    <col min="14481" max="14481" customWidth="1" bestFit="1" width="3.0" style="1122"/>
    <col min="14482" max="14482" customWidth="1" bestFit="1" width="3.0" style="1122"/>
    <col min="14483" max="14483" customWidth="1" bestFit="1" width="3.0" style="1122"/>
    <col min="14484" max="14484" customWidth="1" bestFit="1" width="3.0" style="1122"/>
    <col min="14485" max="14485" customWidth="1" bestFit="1" width="3.0" style="1122"/>
    <col min="14486" max="14486" customWidth="1" bestFit="1" width="3.0" style="1122"/>
    <col min="14487" max="14487" customWidth="1" bestFit="1" width="3.0" style="1122"/>
    <col min="14488" max="14488" customWidth="1" bestFit="1" width="3.0" style="1122"/>
    <col min="14489" max="14489" customWidth="1" bestFit="1" width="3.0" style="1122"/>
    <col min="14490" max="14490" customWidth="1" bestFit="1" width="3.0" style="1122"/>
    <col min="14491" max="14491" customWidth="1" bestFit="1" width="3.0" style="1122"/>
    <col min="14492" max="14492" customWidth="1" bestFit="1" width="3.0" style="1122"/>
    <col min="14493" max="14493" customWidth="1" bestFit="1" width="3.0" style="1122"/>
    <col min="14494" max="14494" customWidth="1" bestFit="1" width="3.0" style="1122"/>
    <col min="14495" max="14495" customWidth="1" bestFit="1" width="3.0" style="1122"/>
    <col min="14496" max="14496" customWidth="1" bestFit="1" width="3.0" style="1122"/>
    <col min="14497" max="14497" customWidth="1" bestFit="1" width="3.0" style="1122"/>
    <col min="14498" max="14498" customWidth="1" bestFit="1" width="3.0" style="1122"/>
    <col min="14499" max="14499" customWidth="1" bestFit="1" width="3.0" style="1122"/>
    <col min="14500" max="14500" customWidth="1" bestFit="1" width="3.0" style="1122"/>
    <col min="14501" max="14501" customWidth="1" bestFit="1" width="3.0" style="1122"/>
    <col min="14502" max="14502" customWidth="1" bestFit="1" width="3.0" style="1122"/>
    <col min="14503" max="14503" customWidth="1" bestFit="1" width="3.0" style="1122"/>
    <col min="14504" max="14504" customWidth="1" bestFit="1" width="3.0" style="1122"/>
    <col min="14505" max="14505" customWidth="1" bestFit="1" width="3.0" style="1122"/>
    <col min="14506" max="14506" customWidth="1" bestFit="1" width="3.0" style="1122"/>
    <col min="14507" max="14507" customWidth="1" bestFit="1" width="3.0" style="1122"/>
    <col min="14508" max="14508" customWidth="1" bestFit="1" width="3.0" style="1122"/>
    <col min="14509" max="14509" customWidth="1" bestFit="1" width="3.0" style="1122"/>
    <col min="14510" max="14510" customWidth="1" bestFit="1" width="3.0" style="1122"/>
    <col min="14511" max="14511" customWidth="1" bestFit="1" width="3.0" style="1122"/>
    <col min="14512" max="14512" customWidth="1" bestFit="1" width="3.0" style="1122"/>
    <col min="14513" max="14513" customWidth="1" bestFit="1" width="3.0" style="1122"/>
    <col min="14514" max="14514" customWidth="1" bestFit="1" width="3.0" style="1122"/>
    <col min="14515" max="14515" customWidth="1" bestFit="1" width="3.0" style="1122"/>
    <col min="14516" max="14516" customWidth="1" bestFit="1" width="3.0" style="1122"/>
    <col min="14517" max="14517" customWidth="1" bestFit="1" width="3.0" style="1122"/>
    <col min="14518" max="14518" customWidth="1" bestFit="1" width="3.0" style="1122"/>
    <col min="14519" max="14519" customWidth="1" bestFit="1" width="3.0" style="1122"/>
    <col min="14520" max="14520" customWidth="1" bestFit="1" width="3.0" style="1122"/>
    <col min="14521" max="14521" customWidth="1" bestFit="1" width="3.0" style="1122"/>
    <col min="14522" max="14522" customWidth="1" bestFit="1" width="3.0" style="1122"/>
    <col min="14523" max="14523" customWidth="1" bestFit="1" width="3.0" style="1122"/>
    <col min="14524" max="14524" customWidth="1" bestFit="1" width="3.0" style="1122"/>
    <col min="14525" max="14525" customWidth="1" bestFit="1" width="3.0" style="1122"/>
    <col min="14526" max="14526" customWidth="1" bestFit="1" width="3.0" style="1122"/>
    <col min="14527" max="14527" customWidth="1" bestFit="1" width="3.0" style="1122"/>
    <col min="14528" max="14528" customWidth="1" bestFit="1" width="3.0" style="1122"/>
    <col min="14529" max="14529" customWidth="1" bestFit="1" width="3.0" style="1122"/>
    <col min="14530" max="14530" customWidth="1" bestFit="1" width="3.0" style="1122"/>
    <col min="14531" max="14531" customWidth="1" bestFit="1" width="3.0" style="1122"/>
    <col min="14532" max="14532" customWidth="1" bestFit="1" width="3.0" style="1122"/>
    <col min="14533" max="14533" customWidth="1" bestFit="1" width="3.0" style="1122"/>
    <col min="14534" max="14534" customWidth="1" bestFit="1" width="3.0" style="1122"/>
    <col min="14535" max="14535" customWidth="1" bestFit="1" width="3.0" style="1122"/>
    <col min="14536" max="14536" customWidth="1" bestFit="1" width="3.0" style="1122"/>
    <col min="14537" max="14537" customWidth="1" bestFit="1" width="3.0" style="1122"/>
    <col min="14538" max="14538" customWidth="1" bestFit="1" width="3.0" style="1122"/>
    <col min="14539" max="14539" customWidth="1" bestFit="1" width="3.0" style="1122"/>
    <col min="14540" max="14540" customWidth="1" bestFit="1" width="3.0" style="1122"/>
    <col min="14541" max="14541" customWidth="1" bestFit="1" width="3.0" style="1122"/>
    <col min="14542" max="14542" customWidth="1" bestFit="1" width="3.0" style="1122"/>
    <col min="14543" max="14543" customWidth="1" bestFit="1" width="3.0" style="1122"/>
    <col min="14544" max="14544" customWidth="1" bestFit="1" width="3.0" style="1122"/>
    <col min="14545" max="14545" customWidth="1" bestFit="1" width="3.0" style="1122"/>
    <col min="14546" max="14546" customWidth="1" bestFit="1" width="3.0" style="1122"/>
    <col min="14547" max="14547" customWidth="1" bestFit="1" width="3.0" style="1122"/>
    <col min="14548" max="14548" customWidth="1" bestFit="1" width="3.0" style="1122"/>
    <col min="14549" max="14549" customWidth="1" bestFit="1" width="3.0" style="1122"/>
    <col min="14550" max="14550" customWidth="1" bestFit="1" width="3.0" style="1122"/>
    <col min="14551" max="14551" customWidth="1" bestFit="1" width="3.0" style="1122"/>
    <col min="14552" max="14552" customWidth="1" bestFit="1" width="3.0" style="1122"/>
    <col min="14553" max="14553" customWidth="1" bestFit="1" width="3.0" style="1122"/>
    <col min="14554" max="14554" customWidth="1" bestFit="1" width="3.0" style="1122"/>
    <col min="14555" max="14555" customWidth="1" bestFit="1" width="3.0" style="1122"/>
    <col min="14556" max="14556" customWidth="1" bestFit="1" width="3.0" style="1122"/>
    <col min="14557" max="14557" customWidth="1" bestFit="1" width="3.0" style="1122"/>
    <col min="14558" max="14558" customWidth="1" bestFit="1" width="3.0" style="1122"/>
    <col min="14559" max="14559" customWidth="1" bestFit="1" width="3.0" style="1122"/>
    <col min="14560" max="14560" customWidth="1" bestFit="1" width="3.0" style="1122"/>
    <col min="14561" max="14561" customWidth="1" bestFit="1" width="3.0" style="1122"/>
    <col min="14562" max="14562" customWidth="1" bestFit="1" width="3.0" style="1122"/>
    <col min="14563" max="14563" customWidth="1" bestFit="1" width="3.0" style="1122"/>
    <col min="14564" max="14564" customWidth="1" bestFit="1" width="3.0" style="1122"/>
    <col min="14565" max="14565" customWidth="1" bestFit="1" width="3.0" style="1122"/>
    <col min="14566" max="14566" customWidth="1" bestFit="1" width="3.0" style="1122"/>
    <col min="14567" max="14567" customWidth="1" bestFit="1" width="3.0" style="1122"/>
    <col min="14568" max="14568" customWidth="1" bestFit="1" width="3.0" style="1122"/>
    <col min="14569" max="14569" customWidth="1" bestFit="1" width="3.0" style="1122"/>
    <col min="14570" max="14570" customWidth="1" bestFit="1" width="3.0" style="1122"/>
    <col min="14571" max="14571" customWidth="1" bestFit="1" width="3.0" style="1122"/>
    <col min="14572" max="14572" customWidth="1" bestFit="1" width="3.0" style="1122"/>
    <col min="14573" max="14573" customWidth="1" bestFit="1" width="3.0" style="1122"/>
    <col min="14574" max="14574" customWidth="1" bestFit="1" width="3.0" style="1122"/>
    <col min="14575" max="14575" customWidth="1" bestFit="1" width="3.0" style="1122"/>
    <col min="14576" max="14576" customWidth="1" bestFit="1" width="3.0" style="1122"/>
    <col min="14577" max="14577" customWidth="1" bestFit="1" width="3.0" style="1122"/>
    <col min="14578" max="14578" customWidth="1" bestFit="1" width="3.0" style="1122"/>
    <col min="14579" max="14579" customWidth="1" bestFit="1" width="3.0" style="1122"/>
    <col min="14580" max="14580" customWidth="1" bestFit="1" width="3.0" style="1122"/>
    <col min="14581" max="14581" customWidth="1" bestFit="1" width="3.0" style="1122"/>
    <col min="14582" max="14582" customWidth="1" bestFit="1" width="3.0" style="1122"/>
    <col min="14583" max="14583" customWidth="1" bestFit="1" width="3.0" style="1122"/>
    <col min="14584" max="14584" customWidth="1" bestFit="1" width="3.0" style="1122"/>
    <col min="14585" max="14585" customWidth="1" bestFit="1" width="3.0" style="1122"/>
    <col min="14586" max="14586" customWidth="1" bestFit="1" width="3.0" style="1122"/>
    <col min="14587" max="14587" customWidth="1" bestFit="1" width="3.0" style="1122"/>
    <col min="14588" max="14588" customWidth="1" bestFit="1" width="3.0" style="1122"/>
    <col min="14589" max="14589" customWidth="1" bestFit="1" width="3.0" style="1122"/>
    <col min="14590" max="14590" customWidth="1" bestFit="1" width="3.0" style="1122"/>
    <col min="14591" max="14591" customWidth="1" bestFit="1" width="3.0" style="1122"/>
    <col min="14592" max="14592" customWidth="1" bestFit="1" width="3.0" style="1122"/>
    <col min="14593" max="14593" customWidth="1" bestFit="1" width="3.0" style="1122"/>
    <col min="14594" max="14594" customWidth="1" bestFit="1" width="3.0" style="1122"/>
    <col min="14595" max="14595" customWidth="1" bestFit="1" width="3.0" style="1122"/>
    <col min="14596" max="14596" customWidth="1" bestFit="1" width="3.0" style="1122"/>
    <col min="14597" max="14597" customWidth="1" bestFit="1" width="3.0" style="1122"/>
    <col min="14598" max="14598" customWidth="1" bestFit="1" width="3.0" style="1122"/>
    <col min="14599" max="14599" customWidth="1" bestFit="1" width="3.0" style="1122"/>
    <col min="14600" max="14600" customWidth="1" bestFit="1" width="3.0" style="1122"/>
    <col min="14601" max="14601" customWidth="1" bestFit="1" width="3.0" style="1122"/>
    <col min="14602" max="14602" customWidth="1" bestFit="1" width="3.0" style="1122"/>
    <col min="14603" max="14603" customWidth="1" bestFit="1" width="3.0" style="1122"/>
    <col min="14604" max="14604" customWidth="1" bestFit="1" width="3.0" style="1122"/>
    <col min="14605" max="14605" customWidth="1" bestFit="1" width="3.0" style="1122"/>
    <col min="14606" max="14606" customWidth="1" bestFit="1" width="3.0" style="1122"/>
    <col min="14607" max="14607" customWidth="1" bestFit="1" width="3.0" style="1122"/>
    <col min="14608" max="14608" customWidth="1" bestFit="1" width="3.0" style="1122"/>
    <col min="14609" max="14609" customWidth="1" bestFit="1" width="3.0" style="1122"/>
    <col min="14610" max="14610" customWidth="1" bestFit="1" width="3.0" style="1122"/>
    <col min="14611" max="14611" customWidth="1" bestFit="1" width="3.0" style="1122"/>
    <col min="14612" max="14612" customWidth="1" bestFit="1" width="3.0" style="1122"/>
    <col min="14613" max="14613" customWidth="1" bestFit="1" width="3.0" style="1122"/>
    <col min="14614" max="14614" customWidth="1" bestFit="1" width="3.0" style="1122"/>
    <col min="14615" max="14615" customWidth="1" bestFit="1" width="3.0" style="1122"/>
    <col min="14616" max="14616" customWidth="1" bestFit="1" width="3.0" style="1122"/>
    <col min="14617" max="14617" customWidth="1" bestFit="1" width="3.0" style="1122"/>
    <col min="14618" max="14618" customWidth="1" bestFit="1" width="3.0" style="1122"/>
    <col min="14619" max="14619" customWidth="1" bestFit="1" width="3.0" style="1122"/>
    <col min="14620" max="14620" customWidth="1" bestFit="1" width="3.0" style="1122"/>
    <col min="14621" max="14621" customWidth="1" bestFit="1" width="3.0" style="1122"/>
    <col min="14622" max="14622" customWidth="1" bestFit="1" width="3.0" style="1122"/>
    <col min="14623" max="14623" customWidth="1" bestFit="1" width="3.0" style="1122"/>
    <col min="14624" max="14624" customWidth="1" bestFit="1" width="3.0" style="1122"/>
    <col min="14625" max="14625" customWidth="1" bestFit="1" width="3.0" style="1122"/>
    <col min="14626" max="14626" customWidth="1" bestFit="1" width="3.0" style="1122"/>
    <col min="14627" max="14627" customWidth="1" bestFit="1" width="3.0" style="1122"/>
    <col min="14628" max="14628" customWidth="1" bestFit="1" width="3.0" style="1122"/>
    <col min="14629" max="14629" customWidth="1" bestFit="1" width="3.0" style="1122"/>
    <col min="14630" max="14630" customWidth="1" bestFit="1" width="3.0" style="1122"/>
    <col min="14631" max="14631" customWidth="1" bestFit="1" width="3.0" style="1122"/>
    <col min="14632" max="14632" customWidth="1" bestFit="1" width="3.0" style="1122"/>
    <col min="14633" max="14633" customWidth="1" bestFit="1" width="3.0" style="1122"/>
    <col min="14634" max="14634" customWidth="1" bestFit="1" width="3.0" style="1122"/>
    <col min="14635" max="14635" customWidth="1" bestFit="1" width="3.0" style="1122"/>
    <col min="14636" max="14636" customWidth="1" bestFit="1" width="3.0" style="1122"/>
    <col min="14637" max="14637" customWidth="1" bestFit="1" width="3.0" style="1122"/>
    <col min="14638" max="14638" customWidth="1" bestFit="1" width="3.0" style="1122"/>
    <col min="14639" max="14639" customWidth="1" bestFit="1" width="3.0" style="1122"/>
    <col min="14640" max="14640" customWidth="1" bestFit="1" width="3.0" style="1122"/>
    <col min="14641" max="14641" customWidth="1" bestFit="1" width="3.0" style="1122"/>
    <col min="14642" max="14642" customWidth="1" bestFit="1" width="3.0" style="1122"/>
    <col min="14643" max="14643" customWidth="1" bestFit="1" width="3.0" style="1122"/>
    <col min="14644" max="14644" customWidth="1" bestFit="1" width="3.0" style="1122"/>
    <col min="14645" max="14645" customWidth="1" bestFit="1" width="3.0" style="1122"/>
    <col min="14646" max="14646" customWidth="1" bestFit="1" width="3.0" style="1122"/>
    <col min="14647" max="14647" customWidth="1" bestFit="1" width="3.0" style="1122"/>
    <col min="14648" max="14648" customWidth="1" bestFit="1" width="3.0" style="1122"/>
    <col min="14649" max="14649" customWidth="1" bestFit="1" width="3.0" style="1122"/>
    <col min="14650" max="14650" customWidth="1" bestFit="1" width="3.0" style="1122"/>
    <col min="14651" max="14651" customWidth="1" bestFit="1" width="3.0" style="1122"/>
    <col min="14652" max="14652" customWidth="1" bestFit="1" width="3.0" style="1122"/>
    <col min="14653" max="14653" customWidth="1" bestFit="1" width="3.0" style="1122"/>
    <col min="14654" max="14654" customWidth="1" bestFit="1" width="3.0" style="1122"/>
    <col min="14655" max="14655" customWidth="1" bestFit="1" width="3.0" style="1122"/>
    <col min="14656" max="14656" customWidth="1" bestFit="1" width="3.0" style="1122"/>
    <col min="14657" max="14657" customWidth="1" bestFit="1" width="3.0" style="1122"/>
    <col min="14658" max="14658" customWidth="1" bestFit="1" width="3.0" style="1122"/>
    <col min="14659" max="14659" customWidth="1" bestFit="1" width="3.0" style="1122"/>
    <col min="14660" max="14660" customWidth="1" bestFit="1" width="3.0" style="1122"/>
    <col min="14661" max="14661" customWidth="1" bestFit="1" width="3.0" style="1122"/>
    <col min="14662" max="14662" customWidth="1" bestFit="1" width="3.0" style="1122"/>
    <col min="14663" max="14663" customWidth="1" bestFit="1" width="3.0" style="1122"/>
    <col min="14664" max="14664" customWidth="1" bestFit="1" width="3.0" style="1122"/>
    <col min="14665" max="14665" customWidth="1" bestFit="1" width="3.0" style="1122"/>
    <col min="14666" max="14666" customWidth="1" bestFit="1" width="3.0" style="1122"/>
    <col min="14667" max="14667" customWidth="1" bestFit="1" width="3.0" style="1122"/>
    <col min="14668" max="14668" customWidth="1" bestFit="1" width="3.0" style="1122"/>
    <col min="14669" max="14669" customWidth="1" bestFit="1" width="3.0" style="1122"/>
    <col min="14670" max="14670" customWidth="1" bestFit="1" width="3.0" style="1122"/>
    <col min="14671" max="14671" customWidth="1" bestFit="1" width="3.0" style="1122"/>
    <col min="14672" max="14672" customWidth="1" bestFit="1" width="3.0" style="1122"/>
    <col min="14673" max="14673" customWidth="1" bestFit="1" width="3.0" style="1122"/>
    <col min="14674" max="14674" customWidth="1" bestFit="1" width="3.0" style="1122"/>
    <col min="14675" max="14675" customWidth="1" bestFit="1" width="3.0" style="1122"/>
    <col min="14676" max="14676" customWidth="1" bestFit="1" width="3.0" style="1122"/>
    <col min="14677" max="14677" customWidth="1" bestFit="1" width="3.0" style="1122"/>
    <col min="14678" max="14678" customWidth="1" bestFit="1" width="3.0" style="1122"/>
    <col min="14679" max="14679" customWidth="1" bestFit="1" width="3.0" style="1122"/>
    <col min="14680" max="14680" customWidth="1" bestFit="1" width="3.0" style="1122"/>
    <col min="14681" max="14681" customWidth="1" bestFit="1" width="3.0" style="1122"/>
    <col min="14682" max="14682" customWidth="1" bestFit="1" width="3.0" style="1122"/>
    <col min="14683" max="14683" customWidth="1" bestFit="1" width="3.0" style="1122"/>
    <col min="14684" max="14684" customWidth="1" bestFit="1" width="3.0" style="1122"/>
    <col min="14685" max="14685" customWidth="1" bestFit="1" width="3.0" style="1122"/>
    <col min="14686" max="14686" customWidth="1" bestFit="1" width="3.0" style="1122"/>
    <col min="14687" max="14687" customWidth="1" bestFit="1" width="3.0" style="1122"/>
    <col min="14688" max="14688" customWidth="1" bestFit="1" width="3.0" style="1122"/>
    <col min="14689" max="14689" customWidth="1" bestFit="1" width="3.0" style="1122"/>
    <col min="14690" max="14690" customWidth="1" bestFit="1" width="3.0" style="1122"/>
    <col min="14691" max="14691" customWidth="1" bestFit="1" width="3.0" style="1122"/>
    <col min="14692" max="14692" customWidth="1" bestFit="1" width="3.0" style="1122"/>
    <col min="14693" max="14693" customWidth="1" bestFit="1" width="3.0" style="1122"/>
    <col min="14694" max="14694" customWidth="1" bestFit="1" width="3.0" style="1122"/>
    <col min="14695" max="14695" customWidth="1" bestFit="1" width="3.0" style="1122"/>
    <col min="14696" max="14696" customWidth="1" bestFit="1" width="3.0" style="1122"/>
    <col min="14697" max="14697" customWidth="1" bestFit="1" width="3.0" style="1122"/>
    <col min="14698" max="14698" customWidth="1" bestFit="1" width="3.0" style="1122"/>
    <col min="14699" max="14699" customWidth="1" bestFit="1" width="3.0" style="1122"/>
    <col min="14700" max="14700" customWidth="1" bestFit="1" width="3.0" style="1122"/>
    <col min="14701" max="14701" customWidth="1" bestFit="1" width="3.0" style="1122"/>
    <col min="14702" max="14702" customWidth="1" bestFit="1" width="3.0" style="1122"/>
    <col min="14703" max="14703" customWidth="1" bestFit="1" width="3.0" style="1122"/>
    <col min="14704" max="14704" customWidth="1" bestFit="1" width="3.0" style="1122"/>
    <col min="14705" max="14705" customWidth="1" bestFit="1" width="3.0" style="1122"/>
    <col min="14706" max="14706" customWidth="1" bestFit="1" width="3.0" style="1122"/>
    <col min="14707" max="14707" customWidth="1" bestFit="1" width="3.0" style="1122"/>
    <col min="14708" max="14708" customWidth="1" bestFit="1" width="3.0" style="1122"/>
    <col min="14709" max="14709" customWidth="1" bestFit="1" width="3.0" style="1122"/>
    <col min="14710" max="14710" customWidth="1" bestFit="1" width="3.0" style="1122"/>
    <col min="14711" max="14711" customWidth="1" bestFit="1" width="3.0" style="1122"/>
    <col min="14712" max="14712" customWidth="1" bestFit="1" width="3.0" style="1122"/>
    <col min="14713" max="14713" customWidth="1" bestFit="1" width="3.0" style="1122"/>
    <col min="14714" max="14714" customWidth="1" bestFit="1" width="3.0" style="1122"/>
    <col min="14715" max="14715" customWidth="1" bestFit="1" width="3.0" style="1122"/>
    <col min="14716" max="14716" customWidth="1" bestFit="1" width="3.0" style="1122"/>
    <col min="14717" max="14717" customWidth="1" bestFit="1" width="3.0" style="1122"/>
    <col min="14718" max="14718" customWidth="1" bestFit="1" width="3.0" style="1122"/>
    <col min="14719" max="14719" customWidth="1" bestFit="1" width="3.0" style="1122"/>
    <col min="14720" max="14720" customWidth="1" bestFit="1" width="3.0" style="1122"/>
    <col min="14721" max="14721" customWidth="1" bestFit="1" width="3.0" style="1122"/>
    <col min="14722" max="14722" customWidth="1" bestFit="1" width="3.0" style="1122"/>
    <col min="14723" max="14723" customWidth="1" bestFit="1" width="3.0" style="1122"/>
    <col min="14724" max="14724" customWidth="1" bestFit="1" width="3.0" style="1122"/>
    <col min="14725" max="14725" customWidth="1" bestFit="1" width="3.0" style="1122"/>
    <col min="14726" max="14726" customWidth="1" bestFit="1" width="3.0" style="1122"/>
    <col min="14727" max="14727" customWidth="1" bestFit="1" width="3.0" style="1122"/>
    <col min="14728" max="14728" customWidth="1" bestFit="1" width="3.0" style="1122"/>
    <col min="14729" max="14729" customWidth="1" bestFit="1" width="3.0" style="1122"/>
    <col min="14730" max="14730" customWidth="1" bestFit="1" width="3.0" style="1122"/>
    <col min="14731" max="14731" customWidth="1" bestFit="1" width="3.0" style="1122"/>
    <col min="14732" max="14732" customWidth="1" bestFit="1" width="3.0" style="1122"/>
    <col min="14733" max="14733" customWidth="1" bestFit="1" width="3.0" style="1122"/>
    <col min="14734" max="14734" customWidth="1" bestFit="1" width="3.0" style="1122"/>
    <col min="14735" max="14735" customWidth="1" bestFit="1" width="3.0" style="1122"/>
    <col min="14736" max="14736" customWidth="1" bestFit="1" width="3.0" style="1122"/>
    <col min="14737" max="14737" customWidth="1" bestFit="1" width="3.0" style="1122"/>
    <col min="14738" max="14738" customWidth="1" bestFit="1" width="3.0" style="1122"/>
    <col min="14739" max="14739" customWidth="1" bestFit="1" width="3.0" style="1122"/>
    <col min="14740" max="14740" customWidth="1" bestFit="1" width="3.0" style="1122"/>
    <col min="14741" max="14741" customWidth="1" bestFit="1" width="3.0" style="1122"/>
    <col min="14742" max="14742" customWidth="1" bestFit="1" width="3.0" style="1122"/>
    <col min="14743" max="14743" customWidth="1" bestFit="1" width="3.0" style="1122"/>
    <col min="14744" max="14744" customWidth="1" bestFit="1" width="3.0" style="1122"/>
    <col min="14745" max="14745" customWidth="1" bestFit="1" width="3.0" style="1122"/>
    <col min="14746" max="14746" customWidth="1" bestFit="1" width="3.0" style="1122"/>
    <col min="14747" max="14747" customWidth="1" bestFit="1" width="3.0" style="1122"/>
    <col min="14748" max="14748" customWidth="1" bestFit="1" width="3.0" style="1122"/>
    <col min="14749" max="14749" customWidth="1" bestFit="1" width="3.0" style="1122"/>
    <col min="14750" max="14750" customWidth="1" bestFit="1" width="3.0" style="1122"/>
    <col min="14751" max="14751" customWidth="1" bestFit="1" width="3.0" style="1122"/>
    <col min="14752" max="14752" customWidth="1" bestFit="1" width="3.0" style="1122"/>
    <col min="14753" max="14753" customWidth="1" bestFit="1" width="3.0" style="1122"/>
    <col min="14754" max="14754" customWidth="1" bestFit="1" width="3.0" style="1122"/>
    <col min="14755" max="14755" customWidth="1" bestFit="1" width="3.0" style="1122"/>
    <col min="14756" max="14756" customWidth="1" bestFit="1" width="3.0" style="1122"/>
    <col min="14757" max="14757" customWidth="1" bestFit="1" width="3.0" style="1122"/>
    <col min="14758" max="14758" customWidth="1" bestFit="1" width="3.0" style="1122"/>
    <col min="14759" max="14759" customWidth="1" bestFit="1" width="3.0" style="1122"/>
    <col min="14760" max="14760" customWidth="1" bestFit="1" width="3.0" style="1122"/>
    <col min="14761" max="14761" customWidth="1" bestFit="1" width="3.0" style="1122"/>
    <col min="14762" max="14762" customWidth="1" bestFit="1" width="3.0" style="1122"/>
    <col min="14763" max="14763" customWidth="1" bestFit="1" width="3.0" style="1122"/>
    <col min="14764" max="14764" customWidth="1" bestFit="1" width="3.0" style="1122"/>
    <col min="14765" max="14765" customWidth="1" bestFit="1" width="3.0" style="1122"/>
    <col min="14766" max="14766" customWidth="1" bestFit="1" width="3.0" style="1122"/>
    <col min="14767" max="14767" customWidth="1" bestFit="1" width="3.0" style="1122"/>
    <col min="14768" max="14768" customWidth="1" bestFit="1" width="3.0" style="1122"/>
    <col min="14769" max="14769" customWidth="1" bestFit="1" width="3.0" style="1122"/>
    <col min="14770" max="14770" customWidth="1" bestFit="1" width="3.0" style="1122"/>
    <col min="14771" max="14771" customWidth="1" bestFit="1" width="3.0" style="1122"/>
    <col min="14772" max="14772" customWidth="1" bestFit="1" width="3.0" style="1122"/>
    <col min="14773" max="14773" customWidth="1" bestFit="1" width="3.0" style="1122"/>
    <col min="14774" max="14774" customWidth="1" bestFit="1" width="3.0" style="1122"/>
    <col min="14775" max="14775" customWidth="1" bestFit="1" width="3.0" style="1122"/>
    <col min="14776" max="14776" customWidth="1" bestFit="1" width="3.0" style="1122"/>
    <col min="14777" max="14777" customWidth="1" bestFit="1" width="3.0" style="1122"/>
    <col min="14778" max="14778" customWidth="1" bestFit="1" width="3.0" style="1122"/>
    <col min="14779" max="14779" customWidth="1" bestFit="1" width="3.0" style="1122"/>
    <col min="14780" max="14780" customWidth="1" bestFit="1" width="3.0" style="1122"/>
    <col min="14781" max="14781" customWidth="1" bestFit="1" width="3.0" style="1122"/>
    <col min="14782" max="14782" customWidth="1" bestFit="1" width="3.0" style="1122"/>
    <col min="14783" max="14783" customWidth="1" bestFit="1" width="3.0" style="1122"/>
    <col min="14784" max="14784" customWidth="1" bestFit="1" width="3.0" style="1122"/>
    <col min="14785" max="14785" customWidth="1" bestFit="1" width="3.0" style="1122"/>
    <col min="14786" max="14786" customWidth="1" bestFit="1" width="3.0" style="1122"/>
    <col min="14787" max="14787" customWidth="1" bestFit="1" width="3.0" style="1122"/>
    <col min="14788" max="14788" customWidth="1" bestFit="1" width="3.0" style="1122"/>
    <col min="14789" max="14789" customWidth="1" bestFit="1" width="3.0" style="1122"/>
    <col min="14790" max="14790" customWidth="1" bestFit="1" width="3.0" style="1122"/>
    <col min="14791" max="14791" customWidth="1" bestFit="1" width="3.0" style="1122"/>
    <col min="14792" max="14792" customWidth="1" bestFit="1" width="3.0" style="1122"/>
    <col min="14793" max="14793" customWidth="1" bestFit="1" width="3.0" style="1122"/>
    <col min="14794" max="14794" customWidth="1" bestFit="1" width="3.0" style="1122"/>
    <col min="14795" max="14795" customWidth="1" bestFit="1" width="3.0" style="1122"/>
    <col min="14796" max="14796" customWidth="1" bestFit="1" width="3.0" style="1122"/>
    <col min="14797" max="14797" customWidth="1" bestFit="1" width="3.0" style="1122"/>
    <col min="14798" max="14798" customWidth="1" bestFit="1" width="3.0" style="1122"/>
    <col min="14799" max="14799" customWidth="1" bestFit="1" width="3.0" style="1122"/>
    <col min="14800" max="14800" customWidth="1" bestFit="1" width="3.0" style="1122"/>
    <col min="14801" max="14801" customWidth="1" bestFit="1" width="3.0" style="1122"/>
    <col min="14802" max="14802" customWidth="1" bestFit="1" width="3.0" style="1122"/>
    <col min="14803" max="14803" customWidth="1" bestFit="1" width="3.0" style="1122"/>
    <col min="14804" max="14804" customWidth="1" bestFit="1" width="3.0" style="1122"/>
    <col min="14805" max="14805" customWidth="1" bestFit="1" width="3.0" style="1122"/>
    <col min="14806" max="14806" customWidth="1" bestFit="1" width="3.0" style="1122"/>
    <col min="14807" max="14807" customWidth="1" bestFit="1" width="3.0" style="1122"/>
    <col min="14808" max="14808" customWidth="1" bestFit="1" width="3.0" style="1122"/>
    <col min="14809" max="14809" customWidth="1" bestFit="1" width="3.0" style="1122"/>
    <col min="14810" max="14810" customWidth="1" bestFit="1" width="3.0" style="1122"/>
    <col min="14811" max="14811" customWidth="1" bestFit="1" width="3.0" style="1122"/>
    <col min="14812" max="14812" customWidth="1" bestFit="1" width="3.0" style="1122"/>
    <col min="14813" max="14813" customWidth="1" bestFit="1" width="3.0" style="1122"/>
    <col min="14814" max="14814" customWidth="1" bestFit="1" width="3.0" style="1122"/>
    <col min="14815" max="14815" customWidth="1" bestFit="1" width="3.0" style="1122"/>
    <col min="14816" max="14816" customWidth="1" bestFit="1" width="3.0" style="1122"/>
    <col min="14817" max="14817" customWidth="1" bestFit="1" width="3.0" style="1122"/>
    <col min="14818" max="14818" customWidth="1" bestFit="1" width="3.0" style="1122"/>
    <col min="14819" max="14819" customWidth="1" bestFit="1" width="3.0" style="1122"/>
    <col min="14820" max="14820" customWidth="1" bestFit="1" width="3.0" style="1122"/>
    <col min="14821" max="14821" customWidth="1" bestFit="1" width="3.0" style="1122"/>
    <col min="14822" max="14822" customWidth="1" bestFit="1" width="3.0" style="1122"/>
    <col min="14823" max="14823" customWidth="1" bestFit="1" width="3.0" style="1122"/>
    <col min="14824" max="14824" customWidth="1" bestFit="1" width="3.0" style="1122"/>
    <col min="14825" max="14825" customWidth="1" bestFit="1" width="3.0" style="1122"/>
    <col min="14826" max="14826" customWidth="1" bestFit="1" width="3.0" style="1122"/>
    <col min="14827" max="14827" customWidth="1" bestFit="1" width="3.0" style="1122"/>
    <col min="14828" max="14828" customWidth="1" bestFit="1" width="3.0" style="1122"/>
    <col min="14829" max="14829" customWidth="1" bestFit="1" width="3.0" style="1122"/>
    <col min="14830" max="14830" customWidth="1" bestFit="1" width="3.0" style="1122"/>
    <col min="14831" max="14831" customWidth="1" bestFit="1" width="3.0" style="1122"/>
    <col min="14832" max="14832" customWidth="1" bestFit="1" width="3.0" style="1122"/>
    <col min="14833" max="14833" customWidth="1" bestFit="1" width="3.0" style="1122"/>
    <col min="14834" max="14834" customWidth="1" bestFit="1" width="3.0" style="1122"/>
    <col min="14835" max="14835" customWidth="1" bestFit="1" width="3.0" style="1122"/>
    <col min="14836" max="14836" customWidth="1" bestFit="1" width="3.0" style="1122"/>
    <col min="14837" max="14837" customWidth="1" bestFit="1" width="3.0" style="1122"/>
    <col min="14838" max="14838" customWidth="1" bestFit="1" width="3.0" style="1122"/>
    <col min="14839" max="14839" customWidth="1" bestFit="1" width="3.0" style="1122"/>
    <col min="14840" max="14840" customWidth="1" bestFit="1" width="3.0" style="1122"/>
    <col min="14841" max="14841" customWidth="1" bestFit="1" width="3.0" style="1122"/>
    <col min="14842" max="14842" customWidth="1" bestFit="1" width="3.0" style="1122"/>
    <col min="14843" max="14843" customWidth="1" bestFit="1" width="3.0" style="1122"/>
    <col min="14844" max="14844" customWidth="1" bestFit="1" width="3.0" style="1122"/>
    <col min="14845" max="14845" customWidth="1" bestFit="1" width="3.0" style="1122"/>
    <col min="14846" max="14846" customWidth="1" bestFit="1" width="3.0" style="1122"/>
    <col min="14847" max="14847" customWidth="1" bestFit="1" width="3.0" style="1122"/>
    <col min="14848" max="14848" customWidth="1" bestFit="1" width="3.0" style="1122"/>
    <col min="14849" max="14849" customWidth="1" bestFit="1" width="3.0" style="1122"/>
    <col min="14850" max="14850" customWidth="1" bestFit="1" width="3.0" style="1122"/>
    <col min="14851" max="14851" customWidth="1" bestFit="1" width="3.0" style="1122"/>
    <col min="14852" max="14852" customWidth="1" bestFit="1" width="3.0" style="1122"/>
    <col min="14853" max="14853" customWidth="1" bestFit="1" width="3.0" style="1122"/>
    <col min="14854" max="14854" customWidth="1" bestFit="1" width="3.0" style="1122"/>
    <col min="14855" max="14855" customWidth="1" bestFit="1" width="3.0" style="1122"/>
    <col min="14856" max="14856" customWidth="1" bestFit="1" width="3.0" style="1122"/>
    <col min="14857" max="14857" customWidth="1" bestFit="1" width="3.0" style="1122"/>
    <col min="14858" max="14858" customWidth="1" bestFit="1" width="3.0" style="1122"/>
    <col min="14859" max="14859" customWidth="1" bestFit="1" width="3.0" style="1122"/>
    <col min="14860" max="14860" customWidth="1" bestFit="1" width="3.0" style="1122"/>
    <col min="14861" max="14861" customWidth="1" bestFit="1" width="3.0" style="1122"/>
    <col min="14862" max="14862" customWidth="1" bestFit="1" width="3.0" style="1122"/>
    <col min="14863" max="14863" customWidth="1" bestFit="1" width="3.0" style="1122"/>
    <col min="14864" max="14864" customWidth="1" bestFit="1" width="3.0" style="1122"/>
    <col min="14865" max="14865" customWidth="1" bestFit="1" width="3.0" style="1122"/>
    <col min="14866" max="14866" customWidth="1" bestFit="1" width="3.0" style="1122"/>
    <col min="14867" max="14867" customWidth="1" bestFit="1" width="3.0" style="1122"/>
    <col min="14868" max="14868" customWidth="1" bestFit="1" width="3.0" style="1122"/>
    <col min="14869" max="14869" customWidth="1" bestFit="1" width="3.0" style="1122"/>
    <col min="14870" max="14870" customWidth="1" bestFit="1" width="3.0" style="1122"/>
    <col min="14871" max="14871" customWidth="1" bestFit="1" width="3.0" style="1122"/>
    <col min="14872" max="14872" customWidth="1" bestFit="1" width="3.0" style="1122"/>
    <col min="14873" max="14873" customWidth="1" bestFit="1" width="3.0" style="1122"/>
    <col min="14874" max="14874" customWidth="1" bestFit="1" width="3.0" style="1122"/>
    <col min="14875" max="14875" customWidth="1" bestFit="1" width="3.0" style="1122"/>
    <col min="14876" max="14876" customWidth="1" bestFit="1" width="3.0" style="1122"/>
    <col min="14877" max="14877" customWidth="1" bestFit="1" width="3.0" style="1122"/>
    <col min="14878" max="14878" customWidth="1" bestFit="1" width="3.0" style="1122"/>
    <col min="14879" max="14879" customWidth="1" bestFit="1" width="3.0" style="1122"/>
    <col min="14880" max="14880" customWidth="1" bestFit="1" width="3.0" style="1122"/>
    <col min="14881" max="14881" customWidth="1" bestFit="1" width="3.0" style="1122"/>
    <col min="14882" max="14882" customWidth="1" bestFit="1" width="3.0" style="1122"/>
    <col min="14883" max="14883" customWidth="1" bestFit="1" width="3.0" style="1122"/>
    <col min="14884" max="14884" customWidth="1" bestFit="1" width="3.0" style="1122"/>
    <col min="14885" max="14885" customWidth="1" bestFit="1" width="3.0" style="1122"/>
    <col min="14886" max="14886" customWidth="1" bestFit="1" width="3.0" style="1122"/>
    <col min="14887" max="14887" customWidth="1" bestFit="1" width="3.0" style="1122"/>
    <col min="14888" max="14888" customWidth="1" bestFit="1" width="3.0" style="1122"/>
    <col min="14889" max="14889" customWidth="1" bestFit="1" width="3.0" style="1122"/>
    <col min="14890" max="14890" customWidth="1" bestFit="1" width="3.0" style="1122"/>
    <col min="14891" max="14891" customWidth="1" bestFit="1" width="3.0" style="1122"/>
    <col min="14892" max="14892" customWidth="1" bestFit="1" width="3.0" style="1122"/>
    <col min="14893" max="14893" customWidth="1" bestFit="1" width="3.0" style="1122"/>
    <col min="14894" max="14894" customWidth="1" bestFit="1" width="3.0" style="1122"/>
    <col min="14895" max="14895" customWidth="1" bestFit="1" width="3.0" style="1122"/>
    <col min="14896" max="14896" customWidth="1" bestFit="1" width="3.0" style="1122"/>
    <col min="14897" max="14897" customWidth="1" bestFit="1" width="3.0" style="1122"/>
    <col min="14898" max="14898" customWidth="1" bestFit="1" width="3.0" style="1122"/>
    <col min="14899" max="14899" customWidth="1" bestFit="1" width="3.0" style="1122"/>
    <col min="14900" max="14900" customWidth="1" bestFit="1" width="3.0" style="1122"/>
    <col min="14901" max="14901" customWidth="1" bestFit="1" width="3.0" style="1122"/>
    <col min="14902" max="14902" customWidth="1" bestFit="1" width="3.0" style="1122"/>
    <col min="14903" max="14903" customWidth="1" bestFit="1" width="3.0" style="1122"/>
    <col min="14904" max="14904" customWidth="1" bestFit="1" width="3.0" style="1122"/>
    <col min="14905" max="14905" customWidth="1" bestFit="1" width="3.0" style="1122"/>
    <col min="14906" max="14906" customWidth="1" bestFit="1" width="3.0" style="1122"/>
    <col min="14907" max="14907" customWidth="1" bestFit="1" width="3.0" style="1122"/>
    <col min="14908" max="14908" customWidth="1" bestFit="1" width="3.0" style="1122"/>
    <col min="14909" max="14909" customWidth="1" bestFit="1" width="3.0" style="1122"/>
    <col min="14910" max="14910" customWidth="1" bestFit="1" width="3.0" style="1122"/>
    <col min="14911" max="14911" customWidth="1" bestFit="1" width="3.0" style="1122"/>
    <col min="14912" max="14912" customWidth="1" bestFit="1" width="3.0" style="1122"/>
    <col min="14913" max="14913" customWidth="1" bestFit="1" width="3.0" style="1122"/>
    <col min="14914" max="14914" customWidth="1" bestFit="1" width="3.0" style="1122"/>
    <col min="14915" max="14915" customWidth="1" bestFit="1" width="3.0" style="1122"/>
    <col min="14916" max="14916" customWidth="1" bestFit="1" width="3.0" style="1122"/>
    <col min="14917" max="14917" customWidth="1" bestFit="1" width="3.0" style="1122"/>
    <col min="14918" max="14918" customWidth="1" bestFit="1" width="3.0" style="1122"/>
    <col min="14919" max="14919" customWidth="1" bestFit="1" width="3.0" style="1122"/>
    <col min="14920" max="14920" customWidth="1" bestFit="1" width="3.0" style="1122"/>
    <col min="14921" max="14921" customWidth="1" bestFit="1" width="3.0" style="1122"/>
    <col min="14922" max="14922" customWidth="1" bestFit="1" width="3.0" style="1122"/>
    <col min="14923" max="14923" customWidth="1" bestFit="1" width="3.0" style="1122"/>
    <col min="14924" max="14924" customWidth="1" bestFit="1" width="3.0" style="1122"/>
    <col min="14925" max="14925" customWidth="1" bestFit="1" width="3.0" style="1122"/>
    <col min="14926" max="14926" customWidth="1" bestFit="1" width="3.0" style="1122"/>
    <col min="14927" max="14927" customWidth="1" bestFit="1" width="3.0" style="1122"/>
    <col min="14928" max="14928" customWidth="1" bestFit="1" width="3.0" style="1122"/>
    <col min="14929" max="14929" customWidth="1" bestFit="1" width="3.0" style="1122"/>
    <col min="14930" max="14930" customWidth="1" bestFit="1" width="3.0" style="1122"/>
    <col min="14931" max="14931" customWidth="1" bestFit="1" width="3.0" style="1122"/>
    <col min="14932" max="14932" customWidth="1" bestFit="1" width="3.0" style="1122"/>
    <col min="14933" max="14933" customWidth="1" bestFit="1" width="3.0" style="1122"/>
    <col min="14934" max="14934" customWidth="1" bestFit="1" width="3.0" style="1122"/>
    <col min="14935" max="14935" customWidth="1" bestFit="1" width="3.0" style="1122"/>
    <col min="14936" max="14936" customWidth="1" bestFit="1" width="3.0" style="1122"/>
    <col min="14937" max="14937" customWidth="1" bestFit="1" width="3.0" style="1122"/>
    <col min="14938" max="14938" customWidth="1" bestFit="1" width="3.0" style="1122"/>
    <col min="14939" max="14939" customWidth="1" bestFit="1" width="3.0" style="1122"/>
    <col min="14940" max="14940" customWidth="1" bestFit="1" width="3.0" style="1122"/>
    <col min="14941" max="14941" customWidth="1" bestFit="1" width="3.0" style="1122"/>
    <col min="14942" max="14942" customWidth="1" bestFit="1" width="3.0" style="1122"/>
    <col min="14943" max="14943" customWidth="1" bestFit="1" width="3.0" style="1122"/>
    <col min="14944" max="14944" customWidth="1" bestFit="1" width="3.0" style="1122"/>
    <col min="14945" max="14945" customWidth="1" bestFit="1" width="3.0" style="1122"/>
    <col min="14946" max="14946" customWidth="1" bestFit="1" width="3.0" style="1122"/>
    <col min="14947" max="14947" customWidth="1" bestFit="1" width="3.0" style="1122"/>
    <col min="14948" max="14948" customWidth="1" bestFit="1" width="3.0" style="1122"/>
    <col min="14949" max="14949" customWidth="1" bestFit="1" width="3.0" style="1122"/>
    <col min="14950" max="14950" customWidth="1" bestFit="1" width="3.0" style="1122"/>
    <col min="14951" max="14951" customWidth="1" bestFit="1" width="3.0" style="1122"/>
    <col min="14952" max="14952" customWidth="1" bestFit="1" width="3.0" style="1122"/>
    <col min="14953" max="14953" customWidth="1" bestFit="1" width="3.0" style="1122"/>
    <col min="14954" max="14954" customWidth="1" bestFit="1" width="3.0" style="1122"/>
    <col min="14955" max="14955" customWidth="1" bestFit="1" width="3.0" style="1122"/>
    <col min="14956" max="14956" customWidth="1" bestFit="1" width="3.0" style="1122"/>
    <col min="14957" max="14957" customWidth="1" bestFit="1" width="3.0" style="1122"/>
    <col min="14958" max="14958" customWidth="1" bestFit="1" width="3.0" style="1122"/>
    <col min="14959" max="14959" customWidth="1" bestFit="1" width="3.0" style="1122"/>
    <col min="14960" max="14960" customWidth="1" bestFit="1" width="3.0" style="1122"/>
    <col min="14961" max="14961" customWidth="1" bestFit="1" width="3.0" style="1122"/>
    <col min="14962" max="14962" customWidth="1" bestFit="1" width="3.0" style="1122"/>
    <col min="14963" max="14963" customWidth="1" bestFit="1" width="3.0" style="1122"/>
    <col min="14964" max="14964" customWidth="1" bestFit="1" width="3.0" style="1122"/>
    <col min="14965" max="14965" customWidth="1" bestFit="1" width="3.0" style="1122"/>
    <col min="14966" max="14966" customWidth="1" bestFit="1" width="3.0" style="1122"/>
    <col min="14967" max="14967" customWidth="1" bestFit="1" width="3.0" style="1122"/>
    <col min="14968" max="14968" customWidth="1" bestFit="1" width="3.0" style="1122"/>
    <col min="14969" max="14969" customWidth="1" bestFit="1" width="3.0" style="1122"/>
    <col min="14970" max="14970" customWidth="1" bestFit="1" width="3.0" style="1122"/>
    <col min="14971" max="14971" customWidth="1" bestFit="1" width="3.0" style="1122"/>
    <col min="14972" max="14972" customWidth="1" bestFit="1" width="3.0" style="1122"/>
    <col min="14973" max="14973" customWidth="1" bestFit="1" width="3.0" style="1122"/>
    <col min="14974" max="14974" customWidth="1" bestFit="1" width="3.0" style="1122"/>
    <col min="14975" max="14975" customWidth="1" bestFit="1" width="3.0" style="1122"/>
    <col min="14976" max="14976" customWidth="1" bestFit="1" width="3.0" style="1122"/>
    <col min="14977" max="14977" customWidth="1" bestFit="1" width="3.0" style="1122"/>
    <col min="14978" max="14978" customWidth="1" bestFit="1" width="3.0" style="1122"/>
    <col min="14979" max="14979" customWidth="1" bestFit="1" width="3.0" style="1122"/>
    <col min="14980" max="14980" customWidth="1" bestFit="1" width="3.0" style="1122"/>
    <col min="14981" max="14981" customWidth="1" bestFit="1" width="3.0" style="1122"/>
    <col min="14982" max="14982" customWidth="1" bestFit="1" width="3.0" style="1122"/>
    <col min="14983" max="14983" customWidth="1" bestFit="1" width="3.0" style="1122"/>
    <col min="14984" max="14984" customWidth="1" bestFit="1" width="3.0" style="1122"/>
    <col min="14985" max="14985" customWidth="1" bestFit="1" width="3.0" style="1122"/>
    <col min="14986" max="14986" customWidth="1" bestFit="1" width="3.0" style="1122"/>
    <col min="14987" max="14987" customWidth="1" bestFit="1" width="3.0" style="1122"/>
    <col min="14988" max="14988" customWidth="1" bestFit="1" width="3.0" style="1122"/>
    <col min="14989" max="14989" customWidth="1" bestFit="1" width="3.0" style="1122"/>
    <col min="14990" max="14990" customWidth="1" bestFit="1" width="3.0" style="1122"/>
    <col min="14991" max="14991" customWidth="1" bestFit="1" width="3.0" style="1122"/>
    <col min="14992" max="14992" customWidth="1" bestFit="1" width="3.0" style="1122"/>
    <col min="14993" max="14993" customWidth="1" bestFit="1" width="3.0" style="1122"/>
    <col min="14994" max="14994" customWidth="1" bestFit="1" width="3.0" style="1122"/>
    <col min="14995" max="14995" customWidth="1" bestFit="1" width="3.0" style="1122"/>
    <col min="14996" max="14996" customWidth="1" bestFit="1" width="3.0" style="1122"/>
    <col min="14997" max="14997" customWidth="1" bestFit="1" width="3.0" style="1122"/>
    <col min="14998" max="14998" customWidth="1" bestFit="1" width="3.0" style="1122"/>
    <col min="14999" max="14999" customWidth="1" bestFit="1" width="3.0" style="1122"/>
    <col min="15000" max="15000" customWidth="1" bestFit="1" width="3.0" style="1122"/>
    <col min="15001" max="15001" customWidth="1" bestFit="1" width="3.0" style="1122"/>
    <col min="15002" max="15002" customWidth="1" bestFit="1" width="3.0" style="1122"/>
    <col min="15003" max="15003" customWidth="1" bestFit="1" width="3.0" style="1122"/>
    <col min="15004" max="15004" customWidth="1" bestFit="1" width="3.0" style="1122"/>
    <col min="15005" max="15005" customWidth="1" bestFit="1" width="3.0" style="1122"/>
    <col min="15006" max="15006" customWidth="1" bestFit="1" width="3.0" style="1122"/>
    <col min="15007" max="15007" customWidth="1" bestFit="1" width="3.0" style="1122"/>
    <col min="15008" max="15008" customWidth="1" bestFit="1" width="3.0" style="1122"/>
    <col min="15009" max="15009" customWidth="1" bestFit="1" width="3.0" style="1122"/>
    <col min="15010" max="15010" customWidth="1" bestFit="1" width="3.0" style="1122"/>
    <col min="15011" max="15011" customWidth="1" bestFit="1" width="3.0" style="1122"/>
    <col min="15012" max="15012" customWidth="1" bestFit="1" width="3.0" style="1122"/>
    <col min="15013" max="15013" customWidth="1" bestFit="1" width="3.0" style="1122"/>
    <col min="15014" max="15014" customWidth="1" bestFit="1" width="3.0" style="1122"/>
    <col min="15015" max="15015" customWidth="1" bestFit="1" width="3.0" style="1122"/>
    <col min="15016" max="15016" customWidth="1" bestFit="1" width="3.0" style="1122"/>
    <col min="15017" max="15017" customWidth="1" bestFit="1" width="3.0" style="1122"/>
    <col min="15018" max="15018" customWidth="1" bestFit="1" width="3.0" style="1122"/>
    <col min="15019" max="15019" customWidth="1" bestFit="1" width="3.0" style="1122"/>
    <col min="15020" max="15020" customWidth="1" bestFit="1" width="3.0" style="1122"/>
    <col min="15021" max="15021" customWidth="1" bestFit="1" width="3.0" style="1122"/>
    <col min="15022" max="15022" customWidth="1" bestFit="1" width="3.0" style="1122"/>
    <col min="15023" max="15023" customWidth="1" bestFit="1" width="3.0" style="1122"/>
    <col min="15024" max="15024" customWidth="1" bestFit="1" width="3.0" style="1122"/>
    <col min="15025" max="15025" customWidth="1" bestFit="1" width="3.0" style="1122"/>
    <col min="15026" max="15026" customWidth="1" bestFit="1" width="3.0" style="1122"/>
    <col min="15027" max="15027" customWidth="1" bestFit="1" width="3.0" style="1122"/>
    <col min="15028" max="15028" customWidth="1" bestFit="1" width="3.0" style="1122"/>
    <col min="15029" max="15029" customWidth="1" bestFit="1" width="3.0" style="1122"/>
    <col min="15030" max="15030" customWidth="1" bestFit="1" width="3.0" style="1122"/>
    <col min="15031" max="15031" customWidth="1" bestFit="1" width="3.0" style="1122"/>
    <col min="15032" max="15032" customWidth="1" bestFit="1" width="3.0" style="1122"/>
    <col min="15033" max="15033" customWidth="1" bestFit="1" width="3.0" style="1122"/>
    <col min="15034" max="15034" customWidth="1" bestFit="1" width="3.0" style="1122"/>
    <col min="15035" max="15035" customWidth="1" bestFit="1" width="3.0" style="1122"/>
    <col min="15036" max="15036" customWidth="1" bestFit="1" width="3.0" style="1122"/>
    <col min="15037" max="15037" customWidth="1" bestFit="1" width="3.0" style="1122"/>
    <col min="15038" max="15038" customWidth="1" bestFit="1" width="3.0" style="1122"/>
    <col min="15039" max="15039" customWidth="1" bestFit="1" width="3.0" style="1122"/>
    <col min="15040" max="15040" customWidth="1" bestFit="1" width="3.0" style="1122"/>
    <col min="15041" max="15041" customWidth="1" bestFit="1" width="3.0" style="1122"/>
    <col min="15042" max="15042" customWidth="1" bestFit="1" width="3.0" style="1122"/>
    <col min="15043" max="15043" customWidth="1" bestFit="1" width="3.0" style="1122"/>
    <col min="15044" max="15044" customWidth="1" bestFit="1" width="3.0" style="1122"/>
    <col min="15045" max="15045" customWidth="1" bestFit="1" width="3.0" style="1122"/>
    <col min="15046" max="15046" customWidth="1" bestFit="1" width="3.0" style="1122"/>
    <col min="15047" max="15047" customWidth="1" bestFit="1" width="3.0" style="1122"/>
    <col min="15048" max="15048" customWidth="1" bestFit="1" width="3.0" style="1122"/>
    <col min="15049" max="15049" customWidth="1" bestFit="1" width="3.0" style="1122"/>
    <col min="15050" max="15050" customWidth="1" bestFit="1" width="3.0" style="1122"/>
    <col min="15051" max="15051" customWidth="1" bestFit="1" width="3.0" style="1122"/>
    <col min="15052" max="15052" customWidth="1" bestFit="1" width="3.0" style="1122"/>
    <col min="15053" max="15053" customWidth="1" bestFit="1" width="3.0" style="1122"/>
    <col min="15054" max="15054" customWidth="1" bestFit="1" width="3.0" style="1122"/>
    <col min="15055" max="15055" customWidth="1" bestFit="1" width="3.0" style="1122"/>
    <col min="15056" max="15056" customWidth="1" bestFit="1" width="3.0" style="1122"/>
    <col min="15057" max="15057" customWidth="1" bestFit="1" width="3.0" style="1122"/>
    <col min="15058" max="15058" customWidth="1" bestFit="1" width="3.0" style="1122"/>
    <col min="15059" max="15059" customWidth="1" bestFit="1" width="3.0" style="1122"/>
    <col min="15060" max="15060" customWidth="1" bestFit="1" width="3.0" style="1122"/>
    <col min="15061" max="15061" customWidth="1" bestFit="1" width="3.0" style="1122"/>
    <col min="15062" max="15062" customWidth="1" bestFit="1" width="3.0" style="1122"/>
    <col min="15063" max="15063" customWidth="1" bestFit="1" width="3.0" style="1122"/>
    <col min="15064" max="15064" customWidth="1" bestFit="1" width="3.0" style="1122"/>
    <col min="15065" max="15065" customWidth="1" bestFit="1" width="3.0" style="1122"/>
    <col min="15066" max="15066" customWidth="1" bestFit="1" width="3.0" style="1122"/>
    <col min="15067" max="15067" customWidth="1" bestFit="1" width="3.0" style="1122"/>
    <col min="15068" max="15068" customWidth="1" bestFit="1" width="3.0" style="1122"/>
    <col min="15069" max="15069" customWidth="1" bestFit="1" width="3.0" style="1122"/>
    <col min="15070" max="15070" customWidth="1" bestFit="1" width="3.0" style="1122"/>
    <col min="15071" max="15071" customWidth="1" bestFit="1" width="3.0" style="1122"/>
    <col min="15072" max="15072" customWidth="1" bestFit="1" width="3.0" style="1122"/>
    <col min="15073" max="15073" customWidth="1" bestFit="1" width="3.0" style="1122"/>
    <col min="15074" max="15074" customWidth="1" bestFit="1" width="3.0" style="1122"/>
    <col min="15075" max="15075" customWidth="1" bestFit="1" width="3.0" style="1122"/>
    <col min="15076" max="15076" customWidth="1" bestFit="1" width="3.0" style="1122"/>
    <col min="15077" max="15077" customWidth="1" bestFit="1" width="3.0" style="1122"/>
    <col min="15078" max="15078" customWidth="1" bestFit="1" width="3.0" style="1122"/>
    <col min="15079" max="15079" customWidth="1" bestFit="1" width="3.0" style="1122"/>
    <col min="15080" max="15080" customWidth="1" bestFit="1" width="3.0" style="1122"/>
    <col min="15081" max="15081" customWidth="1" bestFit="1" width="3.0" style="1122"/>
    <col min="15082" max="15082" customWidth="1" bestFit="1" width="3.0" style="1122"/>
    <col min="15083" max="15083" customWidth="1" bestFit="1" width="3.0" style="1122"/>
    <col min="15084" max="15084" customWidth="1" bestFit="1" width="3.0" style="1122"/>
    <col min="15085" max="15085" customWidth="1" bestFit="1" width="3.0" style="1122"/>
    <col min="15086" max="15086" customWidth="1" bestFit="1" width="3.0" style="1122"/>
    <col min="15087" max="15087" customWidth="1" bestFit="1" width="3.0" style="1122"/>
    <col min="15088" max="15088" customWidth="1" bestFit="1" width="3.0" style="1122"/>
    <col min="15089" max="15089" customWidth="1" bestFit="1" width="3.0" style="1122"/>
    <col min="15090" max="15090" customWidth="1" bestFit="1" width="3.0" style="1122"/>
    <col min="15091" max="15091" customWidth="1" bestFit="1" width="3.0" style="1122"/>
    <col min="15092" max="15092" customWidth="1" bestFit="1" width="3.0" style="1122"/>
    <col min="15093" max="15093" customWidth="1" bestFit="1" width="3.0" style="1122"/>
    <col min="15094" max="15094" customWidth="1" bestFit="1" width="3.0" style="1122"/>
    <col min="15095" max="15095" customWidth="1" bestFit="1" width="3.0" style="1122"/>
    <col min="15096" max="15096" customWidth="1" bestFit="1" width="3.0" style="1122"/>
    <col min="15097" max="15097" customWidth="1" bestFit="1" width="3.0" style="1122"/>
    <col min="15098" max="15098" customWidth="1" bestFit="1" width="3.0" style="1122"/>
    <col min="15099" max="15099" customWidth="1" bestFit="1" width="3.0" style="1122"/>
    <col min="15100" max="15100" customWidth="1" bestFit="1" width="3.0" style="1122"/>
    <col min="15101" max="15101" customWidth="1" bestFit="1" width="3.0" style="1122"/>
    <col min="15102" max="15102" customWidth="1" bestFit="1" width="3.0" style="1122"/>
    <col min="15103" max="15103" customWidth="1" bestFit="1" width="3.0" style="1122"/>
    <col min="15104" max="15104" customWidth="1" bestFit="1" width="3.0" style="1122"/>
    <col min="15105" max="15105" customWidth="1" bestFit="1" width="3.0" style="1122"/>
    <col min="15106" max="15106" customWidth="1" bestFit="1" width="3.0" style="1122"/>
    <col min="15107" max="15107" customWidth="1" bestFit="1" width="3.0" style="1122"/>
    <col min="15108" max="15108" customWidth="1" bestFit="1" width="3.0" style="1122"/>
    <col min="15109" max="15109" customWidth="1" bestFit="1" width="3.0" style="1122"/>
    <col min="15110" max="15110" customWidth="1" bestFit="1" width="3.0" style="1122"/>
    <col min="15111" max="15111" customWidth="1" bestFit="1" width="3.0" style="1122"/>
    <col min="15112" max="15112" customWidth="1" bestFit="1" width="3.0" style="1122"/>
    <col min="15113" max="15113" customWidth="1" bestFit="1" width="3.0" style="1122"/>
    <col min="15114" max="15114" customWidth="1" bestFit="1" width="3.0" style="1122"/>
    <col min="15115" max="15115" customWidth="1" bestFit="1" width="3.0" style="1122"/>
    <col min="15116" max="15116" customWidth="1" bestFit="1" width="3.0" style="1122"/>
    <col min="15117" max="15117" customWidth="1" bestFit="1" width="3.0" style="1122"/>
    <col min="15118" max="15118" customWidth="1" bestFit="1" width="3.0" style="1122"/>
    <col min="15119" max="15119" customWidth="1" bestFit="1" width="3.0" style="1122"/>
    <col min="15120" max="15120" customWidth="1" bestFit="1" width="3.0" style="1122"/>
    <col min="15121" max="15121" customWidth="1" bestFit="1" width="3.0" style="1122"/>
    <col min="15122" max="15122" customWidth="1" bestFit="1" width="3.0" style="1122"/>
    <col min="15123" max="15123" customWidth="1" bestFit="1" width="3.0" style="1122"/>
    <col min="15124" max="15124" customWidth="1" bestFit="1" width="3.0" style="1122"/>
    <col min="15125" max="15125" customWidth="1" bestFit="1" width="3.0" style="1122"/>
    <col min="15126" max="15126" customWidth="1" bestFit="1" width="3.0" style="1122"/>
    <col min="15127" max="15127" customWidth="1" bestFit="1" width="3.0" style="1122"/>
    <col min="15128" max="15128" customWidth="1" bestFit="1" width="3.0" style="1122"/>
    <col min="15129" max="15129" customWidth="1" bestFit="1" width="3.0" style="1122"/>
    <col min="15130" max="15130" customWidth="1" bestFit="1" width="3.0" style="1122"/>
    <col min="15131" max="15131" customWidth="1" bestFit="1" width="3.0" style="1122"/>
    <col min="15132" max="15132" customWidth="1" bestFit="1" width="3.0" style="1122"/>
    <col min="15133" max="15133" customWidth="1" bestFit="1" width="3.0" style="1122"/>
    <col min="15134" max="15134" customWidth="1" bestFit="1" width="3.0" style="1122"/>
    <col min="15135" max="15135" customWidth="1" bestFit="1" width="3.0" style="1122"/>
    <col min="15136" max="15136" customWidth="1" bestFit="1" width="3.0" style="1122"/>
    <col min="15137" max="15137" customWidth="1" bestFit="1" width="3.0" style="1122"/>
    <col min="15138" max="15138" customWidth="1" bestFit="1" width="3.0" style="1122"/>
    <col min="15139" max="15139" customWidth="1" bestFit="1" width="3.0" style="1122"/>
    <col min="15140" max="15140" customWidth="1" bestFit="1" width="3.0" style="1122"/>
    <col min="15141" max="15141" customWidth="1" bestFit="1" width="3.0" style="1122"/>
    <col min="15142" max="15142" customWidth="1" bestFit="1" width="3.0" style="1122"/>
    <col min="15143" max="15143" customWidth="1" bestFit="1" width="3.0" style="1122"/>
    <col min="15144" max="15144" customWidth="1" bestFit="1" width="3.0" style="1122"/>
    <col min="15145" max="15145" customWidth="1" bestFit="1" width="3.0" style="1122"/>
    <col min="15146" max="15146" customWidth="1" bestFit="1" width="3.0" style="1122"/>
    <col min="15147" max="15147" customWidth="1" bestFit="1" width="3.0" style="1122"/>
    <col min="15148" max="15148" customWidth="1" bestFit="1" width="3.0" style="1122"/>
    <col min="15149" max="15149" customWidth="1" bestFit="1" width="3.0" style="1122"/>
    <col min="15150" max="15150" customWidth="1" bestFit="1" width="3.0" style="1122"/>
    <col min="15151" max="15151" customWidth="1" bestFit="1" width="3.0" style="1122"/>
    <col min="15152" max="15152" customWidth="1" bestFit="1" width="3.0" style="1122"/>
    <col min="15153" max="15153" customWidth="1" bestFit="1" width="3.0" style="1122"/>
    <col min="15154" max="15154" customWidth="1" bestFit="1" width="3.0" style="1122"/>
    <col min="15155" max="15155" customWidth="1" bestFit="1" width="3.0" style="1122"/>
    <col min="15156" max="15156" customWidth="1" bestFit="1" width="3.0" style="1122"/>
    <col min="15157" max="15157" customWidth="1" bestFit="1" width="3.0" style="1122"/>
    <col min="15158" max="15158" customWidth="1" bestFit="1" width="3.0" style="1122"/>
    <col min="15159" max="15159" customWidth="1" bestFit="1" width="3.0" style="1122"/>
    <col min="15160" max="15160" customWidth="1" bestFit="1" width="3.0" style="1122"/>
    <col min="15161" max="15161" customWidth="1" bestFit="1" width="3.0" style="1122"/>
    <col min="15162" max="15162" customWidth="1" bestFit="1" width="3.0" style="1122"/>
    <col min="15163" max="15163" customWidth="1" bestFit="1" width="3.0" style="1122"/>
    <col min="15164" max="15164" customWidth="1" bestFit="1" width="3.0" style="1122"/>
    <col min="15165" max="15165" customWidth="1" bestFit="1" width="3.0" style="1122"/>
    <col min="15166" max="15166" customWidth="1" bestFit="1" width="3.0" style="1122"/>
    <col min="15167" max="15167" customWidth="1" bestFit="1" width="3.0" style="1122"/>
    <col min="15168" max="15168" customWidth="1" bestFit="1" width="3.0" style="1122"/>
    <col min="15169" max="15169" customWidth="1" bestFit="1" width="3.0" style="1122"/>
    <col min="15170" max="15170" customWidth="1" bestFit="1" width="3.0" style="1122"/>
    <col min="15171" max="15171" customWidth="1" bestFit="1" width="3.0" style="1122"/>
    <col min="15172" max="15172" customWidth="1" bestFit="1" width="3.0" style="1122"/>
    <col min="15173" max="15173" customWidth="1" bestFit="1" width="3.0" style="1122"/>
    <col min="15174" max="15174" customWidth="1" bestFit="1" width="3.0" style="1122"/>
    <col min="15175" max="15175" customWidth="1" bestFit="1" width="3.0" style="1122"/>
    <col min="15176" max="15176" customWidth="1" bestFit="1" width="3.0" style="1122"/>
    <col min="15177" max="15177" customWidth="1" bestFit="1" width="3.0" style="1122"/>
    <col min="15178" max="15178" customWidth="1" bestFit="1" width="3.0" style="1122"/>
    <col min="15179" max="15179" customWidth="1" bestFit="1" width="3.0" style="1122"/>
    <col min="15180" max="15180" customWidth="1" bestFit="1" width="3.0" style="1122"/>
    <col min="15181" max="15181" customWidth="1" bestFit="1" width="3.0" style="1122"/>
    <col min="15182" max="15182" customWidth="1" bestFit="1" width="3.0" style="1122"/>
    <col min="15183" max="15183" customWidth="1" bestFit="1" width="3.0" style="1122"/>
    <col min="15184" max="15184" customWidth="1" bestFit="1" width="3.0" style="1122"/>
    <col min="15185" max="15185" customWidth="1" bestFit="1" width="3.0" style="1122"/>
    <col min="15186" max="15186" customWidth="1" bestFit="1" width="3.0" style="1122"/>
    <col min="15187" max="15187" customWidth="1" bestFit="1" width="3.0" style="1122"/>
    <col min="15188" max="15188" customWidth="1" bestFit="1" width="3.0" style="1122"/>
    <col min="15189" max="15189" customWidth="1" bestFit="1" width="3.0" style="1122"/>
    <col min="15190" max="15190" customWidth="1" bestFit="1" width="3.0" style="1122"/>
    <col min="15191" max="15191" customWidth="1" bestFit="1" width="3.0" style="1122"/>
    <col min="15192" max="15192" customWidth="1" bestFit="1" width="3.0" style="1122"/>
    <col min="15193" max="15193" customWidth="1" bestFit="1" width="3.0" style="1122"/>
    <col min="15194" max="15194" customWidth="1" bestFit="1" width="3.0" style="1122"/>
    <col min="15195" max="15195" customWidth="1" bestFit="1" width="3.0" style="1122"/>
    <col min="15196" max="15196" customWidth="1" bestFit="1" width="3.0" style="1122"/>
    <col min="15197" max="15197" customWidth="1" bestFit="1" width="3.0" style="1122"/>
    <col min="15198" max="15198" customWidth="1" bestFit="1" width="3.0" style="1122"/>
    <col min="15199" max="15199" customWidth="1" bestFit="1" width="3.0" style="1122"/>
    <col min="15200" max="15200" customWidth="1" bestFit="1" width="3.0" style="1122"/>
    <col min="15201" max="15201" customWidth="1" bestFit="1" width="3.0" style="1122"/>
    <col min="15202" max="15202" customWidth="1" bestFit="1" width="3.0" style="1122"/>
    <col min="15203" max="15203" customWidth="1" bestFit="1" width="3.0" style="1122"/>
    <col min="15204" max="15204" customWidth="1" bestFit="1" width="3.0" style="1122"/>
    <col min="15205" max="15205" customWidth="1" bestFit="1" width="3.0" style="1122"/>
    <col min="15206" max="15206" customWidth="1" bestFit="1" width="3.0" style="1122"/>
    <col min="15207" max="15207" customWidth="1" bestFit="1" width="3.0" style="1122"/>
    <col min="15208" max="15208" customWidth="1" bestFit="1" width="3.0" style="1122"/>
    <col min="15209" max="15209" customWidth="1" bestFit="1" width="3.0" style="1122"/>
    <col min="15210" max="15210" customWidth="1" bestFit="1" width="3.0" style="1122"/>
    <col min="15211" max="15211" customWidth="1" bestFit="1" width="3.0" style="1122"/>
    <col min="15212" max="15212" customWidth="1" bestFit="1" width="3.0" style="1122"/>
    <col min="15213" max="15213" customWidth="1" bestFit="1" width="3.0" style="1122"/>
    <col min="15214" max="15214" customWidth="1" bestFit="1" width="3.0" style="1122"/>
    <col min="15215" max="15215" customWidth="1" bestFit="1" width="3.0" style="1122"/>
    <col min="15216" max="15216" customWidth="1" bestFit="1" width="3.0" style="1122"/>
    <col min="15217" max="15217" customWidth="1" bestFit="1" width="3.0" style="1122"/>
    <col min="15218" max="15218" customWidth="1" bestFit="1" width="3.0" style="1122"/>
    <col min="15219" max="15219" customWidth="1" bestFit="1" width="3.0" style="1122"/>
    <col min="15220" max="15220" customWidth="1" bestFit="1" width="3.0" style="1122"/>
    <col min="15221" max="15221" customWidth="1" bestFit="1" width="3.0" style="1122"/>
    <col min="15222" max="15222" customWidth="1" bestFit="1" width="3.0" style="1122"/>
    <col min="15223" max="15223" customWidth="1" bestFit="1" width="3.0" style="1122"/>
    <col min="15224" max="15224" customWidth="1" bestFit="1" width="3.0" style="1122"/>
    <col min="15225" max="15225" customWidth="1" bestFit="1" width="3.0" style="1122"/>
    <col min="15226" max="15226" customWidth="1" bestFit="1" width="3.0" style="1122"/>
    <col min="15227" max="15227" customWidth="1" bestFit="1" width="3.0" style="1122"/>
    <col min="15228" max="15228" customWidth="1" bestFit="1" width="3.0" style="1122"/>
    <col min="15229" max="15229" customWidth="1" bestFit="1" width="3.0" style="1122"/>
    <col min="15230" max="15230" customWidth="1" bestFit="1" width="3.0" style="1122"/>
    <col min="15231" max="15231" customWidth="1" bestFit="1" width="3.0" style="1122"/>
    <col min="15232" max="15232" customWidth="1" bestFit="1" width="3.0" style="1122"/>
    <col min="15233" max="15233" customWidth="1" bestFit="1" width="3.0" style="1122"/>
    <col min="15234" max="15234" customWidth="1" bestFit="1" width="3.0" style="1122"/>
    <col min="15235" max="15235" customWidth="1" bestFit="1" width="3.0" style="1122"/>
    <col min="15236" max="15236" customWidth="1" bestFit="1" width="3.0" style="1122"/>
    <col min="15237" max="15237" customWidth="1" bestFit="1" width="3.0" style="1122"/>
    <col min="15238" max="15238" customWidth="1" bestFit="1" width="3.0" style="1122"/>
    <col min="15239" max="15239" customWidth="1" bestFit="1" width="3.0" style="1122"/>
    <col min="15240" max="15240" customWidth="1" bestFit="1" width="3.0" style="1122"/>
    <col min="15241" max="15241" customWidth="1" bestFit="1" width="3.0" style="1122"/>
    <col min="15242" max="15242" customWidth="1" bestFit="1" width="3.0" style="1122"/>
    <col min="15243" max="15243" customWidth="1" bestFit="1" width="3.0" style="1122"/>
    <col min="15244" max="15244" customWidth="1" bestFit="1" width="3.0" style="1122"/>
    <col min="15245" max="15245" customWidth="1" bestFit="1" width="3.0" style="1122"/>
    <col min="15246" max="15246" customWidth="1" bestFit="1" width="3.0" style="1122"/>
    <col min="15247" max="15247" customWidth="1" bestFit="1" width="3.0" style="1122"/>
    <col min="15248" max="15248" customWidth="1" bestFit="1" width="3.0" style="1122"/>
    <col min="15249" max="15249" customWidth="1" bestFit="1" width="3.0" style="1122"/>
    <col min="15250" max="15250" customWidth="1" bestFit="1" width="3.0" style="1122"/>
    <col min="15251" max="15251" customWidth="1" bestFit="1" width="3.0" style="1122"/>
    <col min="15252" max="15252" customWidth="1" bestFit="1" width="3.0" style="1122"/>
    <col min="15253" max="15253" customWidth="1" bestFit="1" width="3.0" style="1122"/>
    <col min="15254" max="15254" customWidth="1" bestFit="1" width="3.0" style="1122"/>
    <col min="15255" max="15255" customWidth="1" bestFit="1" width="3.0" style="1122"/>
    <col min="15256" max="15256" customWidth="1" bestFit="1" width="3.0" style="1122"/>
    <col min="15257" max="15257" customWidth="1" bestFit="1" width="3.0" style="1122"/>
    <col min="15258" max="15258" customWidth="1" bestFit="1" width="3.0" style="1122"/>
    <col min="15259" max="15259" customWidth="1" bestFit="1" width="3.0" style="1122"/>
    <col min="15260" max="15260" customWidth="1" bestFit="1" width="3.0" style="1122"/>
    <col min="15261" max="15261" customWidth="1" bestFit="1" width="3.0" style="1122"/>
    <col min="15262" max="15262" customWidth="1" bestFit="1" width="3.0" style="1122"/>
    <col min="15263" max="15263" customWidth="1" bestFit="1" width="3.0" style="1122"/>
    <col min="15264" max="15264" customWidth="1" bestFit="1" width="3.0" style="1122"/>
    <col min="15265" max="15265" customWidth="1" bestFit="1" width="3.0" style="1122"/>
    <col min="15266" max="15266" customWidth="1" bestFit="1" width="3.0" style="1122"/>
    <col min="15267" max="15267" customWidth="1" bestFit="1" width="3.0" style="1122"/>
    <col min="15268" max="15268" customWidth="1" bestFit="1" width="3.0" style="1122"/>
    <col min="15269" max="15269" customWidth="1" bestFit="1" width="3.0" style="1122"/>
    <col min="15270" max="15270" customWidth="1" bestFit="1" width="3.0" style="1122"/>
    <col min="15271" max="15271" customWidth="1" bestFit="1" width="3.0" style="1122"/>
    <col min="15272" max="15272" customWidth="1" bestFit="1" width="3.0" style="1122"/>
    <col min="15273" max="15273" customWidth="1" bestFit="1" width="3.0" style="1122"/>
    <col min="15274" max="15274" customWidth="1" bestFit="1" width="3.0" style="1122"/>
    <col min="15275" max="15275" customWidth="1" bestFit="1" width="3.0" style="1122"/>
    <col min="15276" max="15276" customWidth="1" bestFit="1" width="3.0" style="1122"/>
    <col min="15277" max="15277" customWidth="1" bestFit="1" width="3.0" style="1122"/>
    <col min="15278" max="15278" customWidth="1" bestFit="1" width="3.0" style="1122"/>
    <col min="15279" max="15279" customWidth="1" bestFit="1" width="3.0" style="1122"/>
    <col min="15280" max="15280" customWidth="1" bestFit="1" width="3.0" style="1122"/>
    <col min="15281" max="15281" customWidth="1" bestFit="1" width="3.0" style="1122"/>
    <col min="15282" max="15282" customWidth="1" bestFit="1" width="3.0" style="1122"/>
    <col min="15283" max="15283" customWidth="1" bestFit="1" width="3.0" style="1122"/>
    <col min="15284" max="15284" customWidth="1" bestFit="1" width="3.0" style="1122"/>
    <col min="15285" max="15285" customWidth="1" bestFit="1" width="3.0" style="1122"/>
    <col min="15286" max="15286" customWidth="1" bestFit="1" width="3.0" style="1122"/>
    <col min="15287" max="15287" customWidth="1" bestFit="1" width="3.0" style="1122"/>
    <col min="15288" max="15288" customWidth="1" bestFit="1" width="3.0" style="1122"/>
    <col min="15289" max="15289" customWidth="1" bestFit="1" width="3.0" style="1122"/>
    <col min="15290" max="15290" customWidth="1" bestFit="1" width="3.0" style="1122"/>
    <col min="15291" max="15291" customWidth="1" bestFit="1" width="3.0" style="1122"/>
    <col min="15292" max="15292" customWidth="1" bestFit="1" width="3.0" style="1122"/>
    <col min="15293" max="15293" customWidth="1" bestFit="1" width="3.0" style="1122"/>
    <col min="15294" max="15294" customWidth="1" bestFit="1" width="3.0" style="1122"/>
    <col min="15295" max="15295" customWidth="1" bestFit="1" width="3.0" style="1122"/>
    <col min="15296" max="15296" customWidth="1" bestFit="1" width="3.0" style="1122"/>
    <col min="15297" max="15297" customWidth="1" bestFit="1" width="3.0" style="1122"/>
    <col min="15298" max="15298" customWidth="1" bestFit="1" width="3.0" style="1122"/>
    <col min="15299" max="15299" customWidth="1" bestFit="1" width="3.0" style="1122"/>
    <col min="15300" max="15300" customWidth="1" bestFit="1" width="3.0" style="1122"/>
    <col min="15301" max="15301" customWidth="1" bestFit="1" width="3.0" style="1122"/>
    <col min="15302" max="15302" customWidth="1" bestFit="1" width="3.0" style="1122"/>
    <col min="15303" max="15303" customWidth="1" bestFit="1" width="3.0" style="1122"/>
    <col min="15304" max="15304" customWidth="1" bestFit="1" width="3.0" style="1122"/>
    <col min="15305" max="15305" customWidth="1" bestFit="1" width="3.0" style="1122"/>
    <col min="15306" max="15306" customWidth="1" bestFit="1" width="3.0" style="1122"/>
    <col min="15307" max="15307" customWidth="1" bestFit="1" width="3.0" style="1122"/>
    <col min="15308" max="15308" customWidth="1" bestFit="1" width="3.0" style="1122"/>
    <col min="15309" max="15309" customWidth="1" bestFit="1" width="3.0" style="1122"/>
    <col min="15310" max="15310" customWidth="1" bestFit="1" width="3.0" style="1122"/>
    <col min="15311" max="15311" customWidth="1" bestFit="1" width="3.0" style="1122"/>
    <col min="15312" max="15312" customWidth="1" bestFit="1" width="3.0" style="1122"/>
    <col min="15313" max="15313" customWidth="1" bestFit="1" width="3.0" style="1122"/>
    <col min="15314" max="15314" customWidth="1" bestFit="1" width="3.0" style="1122"/>
    <col min="15315" max="15315" customWidth="1" bestFit="1" width="3.0" style="1122"/>
    <col min="15316" max="15316" customWidth="1" bestFit="1" width="3.0" style="1122"/>
    <col min="15317" max="15317" customWidth="1" bestFit="1" width="3.0" style="1122"/>
    <col min="15318" max="15318" customWidth="1" bestFit="1" width="3.0" style="1122"/>
    <col min="15319" max="15319" customWidth="1" bestFit="1" width="3.0" style="1122"/>
    <col min="15320" max="15320" customWidth="1" bestFit="1" width="3.0" style="1122"/>
    <col min="15321" max="15321" customWidth="1" bestFit="1" width="3.0" style="1122"/>
    <col min="15322" max="15322" customWidth="1" bestFit="1" width="3.0" style="1122"/>
    <col min="15323" max="15323" customWidth="1" bestFit="1" width="3.0" style="1122"/>
    <col min="15324" max="15324" customWidth="1" bestFit="1" width="3.0" style="1122"/>
    <col min="15325" max="15325" customWidth="1" bestFit="1" width="3.0" style="1122"/>
    <col min="15326" max="15326" customWidth="1" bestFit="1" width="3.0" style="1122"/>
    <col min="15327" max="15327" customWidth="1" bestFit="1" width="3.0" style="1122"/>
    <col min="15328" max="15328" customWidth="1" bestFit="1" width="3.0" style="1122"/>
    <col min="15329" max="15329" customWidth="1" bestFit="1" width="3.0" style="1122"/>
    <col min="15330" max="15330" customWidth="1" bestFit="1" width="3.0" style="1122"/>
    <col min="15331" max="15331" customWidth="1" bestFit="1" width="3.0" style="1122"/>
    <col min="15332" max="15332" customWidth="1" bestFit="1" width="3.0" style="1122"/>
    <col min="15333" max="15333" customWidth="1" bestFit="1" width="3.0" style="1122"/>
    <col min="15334" max="15334" customWidth="1" bestFit="1" width="3.0" style="1122"/>
    <col min="15335" max="15335" customWidth="1" bestFit="1" width="3.0" style="1122"/>
    <col min="15336" max="15336" customWidth="1" bestFit="1" width="3.0" style="1122"/>
    <col min="15337" max="15337" customWidth="1" bestFit="1" width="3.0" style="1122"/>
    <col min="15338" max="15338" customWidth="1" bestFit="1" width="3.0" style="1122"/>
    <col min="15339" max="15339" customWidth="1" bestFit="1" width="3.0" style="1122"/>
    <col min="15340" max="15340" customWidth="1" bestFit="1" width="3.0" style="1122"/>
    <col min="15341" max="15341" customWidth="1" bestFit="1" width="3.0" style="1122"/>
    <col min="15342" max="15342" customWidth="1" bestFit="1" width="3.0" style="1122"/>
    <col min="15343" max="15343" customWidth="1" bestFit="1" width="3.0" style="1122"/>
    <col min="15344" max="15344" customWidth="1" bestFit="1" width="3.0" style="1122"/>
    <col min="15345" max="15345" customWidth="1" bestFit="1" width="3.0" style="1122"/>
    <col min="15346" max="15346" customWidth="1" bestFit="1" width="3.0" style="1122"/>
    <col min="15347" max="15347" customWidth="1" bestFit="1" width="3.0" style="1122"/>
    <col min="15348" max="15348" customWidth="1" bestFit="1" width="3.0" style="1122"/>
    <col min="15349" max="15349" customWidth="1" bestFit="1" width="3.0" style="1122"/>
    <col min="15350" max="15350" customWidth="1" bestFit="1" width="3.0" style="1122"/>
    <col min="15351" max="15351" customWidth="1" bestFit="1" width="3.0" style="1122"/>
    <col min="15352" max="15352" customWidth="1" bestFit="1" width="3.0" style="1122"/>
    <col min="15353" max="15353" customWidth="1" bestFit="1" width="3.0" style="1122"/>
    <col min="15354" max="15354" customWidth="1" bestFit="1" width="3.0" style="1122"/>
    <col min="15355" max="15355" customWidth="1" bestFit="1" width="3.0" style="1122"/>
    <col min="15356" max="15356" customWidth="1" bestFit="1" width="3.0" style="1122"/>
    <col min="15357" max="15357" customWidth="1" bestFit="1" width="3.0" style="1122"/>
    <col min="15358" max="15358" customWidth="1" bestFit="1" width="3.0" style="1122"/>
    <col min="15359" max="15359" customWidth="1" bestFit="1" width="3.0" style="1122"/>
    <col min="15360" max="15360" customWidth="1" bestFit="1" width="3.0" style="1122"/>
    <col min="15361" max="15361" customWidth="1" bestFit="1" width="3.0" style="1122"/>
    <col min="15362" max="15362" customWidth="1" bestFit="1" width="3.0" style="1122"/>
    <col min="15363" max="15363" customWidth="1" bestFit="1" width="3.0" style="1122"/>
    <col min="15364" max="15364" customWidth="1" bestFit="1" width="3.0" style="1122"/>
    <col min="15365" max="15365" customWidth="1" bestFit="1" width="3.0" style="1122"/>
    <col min="15366" max="15366" customWidth="1" bestFit="1" width="3.0" style="1122"/>
    <col min="15367" max="15367" customWidth="1" bestFit="1" width="3.0" style="1122"/>
    <col min="15368" max="15368" customWidth="1" bestFit="1" width="3.0" style="1122"/>
    <col min="15369" max="15369" customWidth="1" bestFit="1" width="3.0" style="1122"/>
    <col min="15370" max="15370" customWidth="1" bestFit="1" width="3.0" style="1122"/>
    <col min="15371" max="15371" customWidth="1" bestFit="1" width="3.0" style="1122"/>
    <col min="15372" max="15372" customWidth="1" bestFit="1" width="3.0" style="1122"/>
    <col min="15373" max="15373" customWidth="1" bestFit="1" width="3.0" style="1122"/>
    <col min="15374" max="15374" customWidth="1" bestFit="1" width="3.0" style="1122"/>
    <col min="15375" max="15375" customWidth="1" bestFit="1" width="3.0" style="1122"/>
    <col min="15376" max="15376" customWidth="1" bestFit="1" width="3.0" style="1122"/>
    <col min="15377" max="15377" customWidth="1" bestFit="1" width="3.0" style="1122"/>
    <col min="15378" max="15378" customWidth="1" bestFit="1" width="3.0" style="1122"/>
    <col min="15379" max="15379" customWidth="1" bestFit="1" width="3.0" style="1122"/>
    <col min="15380" max="15380" customWidth="1" bestFit="1" width="3.0" style="1122"/>
    <col min="15381" max="15381" customWidth="1" bestFit="1" width="3.0" style="1122"/>
    <col min="15382" max="15382" customWidth="1" bestFit="1" width="3.0" style="1122"/>
    <col min="15383" max="15383" customWidth="1" bestFit="1" width="3.0" style="1122"/>
    <col min="15384" max="15384" customWidth="1" bestFit="1" width="3.0" style="1122"/>
    <col min="15385" max="15385" customWidth="1" bestFit="1" width="3.0" style="1122"/>
    <col min="15386" max="15386" customWidth="1" bestFit="1" width="3.0" style="1122"/>
    <col min="15387" max="15387" customWidth="1" bestFit="1" width="3.0" style="1122"/>
    <col min="15388" max="15388" customWidth="1" bestFit="1" width="3.0" style="1122"/>
    <col min="15389" max="15389" customWidth="1" bestFit="1" width="3.0" style="1122"/>
    <col min="15390" max="15390" customWidth="1" bestFit="1" width="3.0" style="1122"/>
    <col min="15391" max="15391" customWidth="1" bestFit="1" width="3.0" style="1122"/>
    <col min="15392" max="15392" customWidth="1" bestFit="1" width="3.0" style="1122"/>
    <col min="15393" max="15393" customWidth="1" bestFit="1" width="3.0" style="1122"/>
    <col min="15394" max="15394" customWidth="1" bestFit="1" width="3.0" style="1122"/>
    <col min="15395" max="15395" customWidth="1" bestFit="1" width="3.0" style="1122"/>
    <col min="15396" max="15396" customWidth="1" bestFit="1" width="3.0" style="1122"/>
    <col min="15397" max="15397" customWidth="1" bestFit="1" width="3.0" style="1122"/>
    <col min="15398" max="15398" customWidth="1" bestFit="1" width="3.0" style="1122"/>
    <col min="15399" max="15399" customWidth="1" bestFit="1" width="3.0" style="1122"/>
    <col min="15400" max="15400" customWidth="1" bestFit="1" width="3.0" style="1122"/>
    <col min="15401" max="15401" customWidth="1" bestFit="1" width="3.0" style="1122"/>
    <col min="15402" max="15402" customWidth="1" bestFit="1" width="3.0" style="1122"/>
    <col min="15403" max="15403" customWidth="1" bestFit="1" width="3.0" style="1122"/>
    <col min="15404" max="15404" customWidth="1" bestFit="1" width="3.0" style="1122"/>
    <col min="15405" max="15405" customWidth="1" bestFit="1" width="3.0" style="1122"/>
    <col min="15406" max="15406" customWidth="1" bestFit="1" width="3.0" style="1122"/>
    <col min="15407" max="15407" customWidth="1" bestFit="1" width="3.0" style="1122"/>
    <col min="15408" max="15408" customWidth="1" bestFit="1" width="3.0" style="1122"/>
    <col min="15409" max="15409" customWidth="1" bestFit="1" width="3.0" style="1122"/>
    <col min="15410" max="15410" customWidth="1" bestFit="1" width="3.0" style="1122"/>
    <col min="15411" max="15411" customWidth="1" bestFit="1" width="3.0" style="1122"/>
    <col min="15412" max="15412" customWidth="1" bestFit="1" width="3.0" style="1122"/>
    <col min="15413" max="15413" customWidth="1" bestFit="1" width="3.0" style="1122"/>
    <col min="15414" max="15414" customWidth="1" bestFit="1" width="3.0" style="1122"/>
    <col min="15415" max="15415" customWidth="1" bestFit="1" width="3.0" style="1122"/>
    <col min="15416" max="15416" customWidth="1" bestFit="1" width="3.0" style="1122"/>
    <col min="15417" max="15417" customWidth="1" bestFit="1" width="3.0" style="1122"/>
    <col min="15418" max="15418" customWidth="1" bestFit="1" width="3.0" style="1122"/>
    <col min="15419" max="15419" customWidth="1" bestFit="1" width="3.0" style="1122"/>
    <col min="15420" max="15420" customWidth="1" bestFit="1" width="3.0" style="1122"/>
    <col min="15421" max="15421" customWidth="1" bestFit="1" width="3.0" style="1122"/>
    <col min="15422" max="15422" customWidth="1" bestFit="1" width="3.0" style="1122"/>
    <col min="15423" max="15423" customWidth="1" bestFit="1" width="3.0" style="1122"/>
    <col min="15424" max="15424" customWidth="1" bestFit="1" width="3.0" style="1122"/>
    <col min="15425" max="15425" customWidth="1" bestFit="1" width="3.0" style="1122"/>
    <col min="15426" max="15426" customWidth="1" bestFit="1" width="3.0" style="1122"/>
    <col min="15427" max="15427" customWidth="1" bestFit="1" width="3.0" style="1122"/>
    <col min="15428" max="15428" customWidth="1" bestFit="1" width="3.0" style="1122"/>
    <col min="15429" max="15429" customWidth="1" bestFit="1" width="3.0" style="1122"/>
    <col min="15430" max="15430" customWidth="1" bestFit="1" width="3.0" style="1122"/>
    <col min="15431" max="15431" customWidth="1" bestFit="1" width="3.0" style="1122"/>
    <col min="15432" max="15432" customWidth="1" bestFit="1" width="3.0" style="1122"/>
    <col min="15433" max="15433" customWidth="1" bestFit="1" width="3.0" style="1122"/>
    <col min="15434" max="15434" customWidth="1" bestFit="1" width="3.0" style="1122"/>
    <col min="15435" max="15435" customWidth="1" bestFit="1" width="3.0" style="1122"/>
    <col min="15436" max="15436" customWidth="1" bestFit="1" width="3.0" style="1122"/>
    <col min="15437" max="15437" customWidth="1" bestFit="1" width="3.0" style="1122"/>
    <col min="15438" max="15438" customWidth="1" bestFit="1" width="3.0" style="1122"/>
    <col min="15439" max="15439" customWidth="1" bestFit="1" width="3.0" style="1122"/>
    <col min="15440" max="15440" customWidth="1" bestFit="1" width="3.0" style="1122"/>
    <col min="15441" max="15441" customWidth="1" bestFit="1" width="3.0" style="1122"/>
    <col min="15442" max="15442" customWidth="1" bestFit="1" width="3.0" style="1122"/>
    <col min="15443" max="15443" customWidth="1" bestFit="1" width="3.0" style="1122"/>
    <col min="15444" max="15444" customWidth="1" bestFit="1" width="3.0" style="1122"/>
    <col min="15445" max="15445" customWidth="1" bestFit="1" width="3.0" style="1122"/>
    <col min="15446" max="15446" customWidth="1" bestFit="1" width="3.0" style="1122"/>
    <col min="15447" max="15447" customWidth="1" bestFit="1" width="3.0" style="1122"/>
    <col min="15448" max="15448" customWidth="1" bestFit="1" width="3.0" style="1122"/>
    <col min="15449" max="15449" customWidth="1" bestFit="1" width="3.0" style="1122"/>
    <col min="15450" max="15450" customWidth="1" bestFit="1" width="3.0" style="1122"/>
    <col min="15451" max="15451" customWidth="1" bestFit="1" width="3.0" style="1122"/>
    <col min="15452" max="15452" customWidth="1" bestFit="1" width="3.0" style="1122"/>
    <col min="15453" max="15453" customWidth="1" bestFit="1" width="3.0" style="1122"/>
    <col min="15454" max="15454" customWidth="1" bestFit="1" width="3.0" style="1122"/>
    <col min="15455" max="15455" customWidth="1" bestFit="1" width="3.0" style="1122"/>
    <col min="15456" max="15456" customWidth="1" bestFit="1" width="3.0" style="1122"/>
    <col min="15457" max="15457" customWidth="1" bestFit="1" width="3.0" style="1122"/>
    <col min="15458" max="15458" customWidth="1" bestFit="1" width="3.0" style="1122"/>
    <col min="15459" max="15459" customWidth="1" bestFit="1" width="3.0" style="1122"/>
    <col min="15460" max="15460" customWidth="1" bestFit="1" width="3.0" style="1122"/>
    <col min="15461" max="15461" customWidth="1" bestFit="1" width="3.0" style="1122"/>
    <col min="15462" max="15462" customWidth="1" bestFit="1" width="3.0" style="1122"/>
    <col min="15463" max="15463" customWidth="1" bestFit="1" width="3.0" style="1122"/>
    <col min="15464" max="15464" customWidth="1" bestFit="1" width="3.0" style="1122"/>
    <col min="15465" max="15465" customWidth="1" bestFit="1" width="3.0" style="1122"/>
    <col min="15466" max="15466" customWidth="1" bestFit="1" width="3.0" style="1122"/>
    <col min="15467" max="15467" customWidth="1" bestFit="1" width="3.0" style="1122"/>
    <col min="15468" max="15468" customWidth="1" bestFit="1" width="3.0" style="1122"/>
    <col min="15469" max="15469" customWidth="1" bestFit="1" width="3.0" style="1122"/>
    <col min="15470" max="15470" customWidth="1" bestFit="1" width="3.0" style="1122"/>
    <col min="15471" max="15471" customWidth="1" bestFit="1" width="3.0" style="1122"/>
    <col min="15472" max="15472" customWidth="1" bestFit="1" width="3.0" style="1122"/>
    <col min="15473" max="15473" customWidth="1" bestFit="1" width="3.0" style="1122"/>
    <col min="15474" max="15474" customWidth="1" bestFit="1" width="3.0" style="1122"/>
    <col min="15475" max="15475" customWidth="1" bestFit="1" width="3.0" style="1122"/>
    <col min="15476" max="15476" customWidth="1" bestFit="1" width="3.0" style="1122"/>
    <col min="15477" max="15477" customWidth="1" bestFit="1" width="3.0" style="1122"/>
    <col min="15478" max="15478" customWidth="1" bestFit="1" width="3.0" style="1122"/>
    <col min="15479" max="15479" customWidth="1" bestFit="1" width="3.0" style="1122"/>
    <col min="15480" max="15480" customWidth="1" bestFit="1" width="3.0" style="1122"/>
    <col min="15481" max="15481" customWidth="1" bestFit="1" width="3.0" style="1122"/>
    <col min="15482" max="15482" customWidth="1" bestFit="1" width="3.0" style="1122"/>
    <col min="15483" max="15483" customWidth="1" bestFit="1" width="3.0" style="1122"/>
    <col min="15484" max="15484" customWidth="1" bestFit="1" width="3.0" style="1122"/>
    <col min="15485" max="15485" customWidth="1" bestFit="1" width="3.0" style="1122"/>
    <col min="15486" max="15486" customWidth="1" bestFit="1" width="3.0" style="1122"/>
    <col min="15487" max="15487" customWidth="1" bestFit="1" width="3.0" style="1122"/>
    <col min="15488" max="15488" customWidth="1" bestFit="1" width="3.0" style="1122"/>
    <col min="15489" max="15489" customWidth="1" bestFit="1" width="3.0" style="1122"/>
    <col min="15490" max="15490" customWidth="1" bestFit="1" width="3.0" style="1122"/>
    <col min="15491" max="15491" customWidth="1" bestFit="1" width="3.0" style="1122"/>
    <col min="15492" max="15492" customWidth="1" bestFit="1" width="3.0" style="1122"/>
    <col min="15493" max="15493" customWidth="1" bestFit="1" width="3.0" style="1122"/>
    <col min="15494" max="15494" customWidth="1" bestFit="1" width="3.0" style="1122"/>
    <col min="15495" max="15495" customWidth="1" bestFit="1" width="3.0" style="1122"/>
    <col min="15496" max="15496" customWidth="1" bestFit="1" width="3.0" style="1122"/>
    <col min="15497" max="15497" customWidth="1" bestFit="1" width="3.0" style="1122"/>
    <col min="15498" max="15498" customWidth="1" bestFit="1" width="3.0" style="1122"/>
    <col min="15499" max="15499" customWidth="1" bestFit="1" width="3.0" style="1122"/>
    <col min="15500" max="15500" customWidth="1" bestFit="1" width="3.0" style="1122"/>
    <col min="15501" max="15501" customWidth="1" bestFit="1" width="3.0" style="1122"/>
    <col min="15502" max="15502" customWidth="1" bestFit="1" width="3.0" style="1122"/>
    <col min="15503" max="15503" customWidth="1" bestFit="1" width="3.0" style="1122"/>
    <col min="15504" max="15504" customWidth="1" bestFit="1" width="3.0" style="1122"/>
    <col min="15505" max="15505" customWidth="1" bestFit="1" width="3.0" style="1122"/>
    <col min="15506" max="15506" customWidth="1" bestFit="1" width="3.0" style="1122"/>
    <col min="15507" max="15507" customWidth="1" bestFit="1" width="3.0" style="1122"/>
    <col min="15508" max="15508" customWidth="1" bestFit="1" width="3.0" style="1122"/>
    <col min="15509" max="15509" customWidth="1" bestFit="1" width="3.0" style="1122"/>
    <col min="15510" max="15510" customWidth="1" bestFit="1" width="3.0" style="1122"/>
    <col min="15511" max="15511" customWidth="1" bestFit="1" width="3.0" style="1122"/>
    <col min="15512" max="15512" customWidth="1" bestFit="1" width="3.0" style="1122"/>
    <col min="15513" max="15513" customWidth="1" bestFit="1" width="3.0" style="1122"/>
    <col min="15514" max="15514" customWidth="1" bestFit="1" width="3.0" style="1122"/>
    <col min="15515" max="15515" customWidth="1" bestFit="1" width="3.0" style="1122"/>
    <col min="15516" max="15516" customWidth="1" bestFit="1" width="3.0" style="1122"/>
    <col min="15517" max="15517" customWidth="1" bestFit="1" width="3.0" style="1122"/>
    <col min="15518" max="15518" customWidth="1" bestFit="1" width="3.0" style="1122"/>
    <col min="15519" max="15519" customWidth="1" bestFit="1" width="3.0" style="1122"/>
    <col min="15520" max="15520" customWidth="1" bestFit="1" width="3.0" style="1122"/>
    <col min="15521" max="15521" customWidth="1" bestFit="1" width="3.0" style="1122"/>
    <col min="15522" max="15522" customWidth="1" bestFit="1" width="3.0" style="1122"/>
    <col min="15523" max="15523" customWidth="1" bestFit="1" width="3.0" style="1122"/>
    <col min="15524" max="15524" customWidth="1" bestFit="1" width="3.0" style="1122"/>
    <col min="15525" max="15525" customWidth="1" bestFit="1" width="3.0" style="1122"/>
    <col min="15526" max="15526" customWidth="1" bestFit="1" width="3.0" style="1122"/>
    <col min="15527" max="15527" customWidth="1" bestFit="1" width="3.0" style="1122"/>
    <col min="15528" max="15528" customWidth="1" bestFit="1" width="3.0" style="1122"/>
    <col min="15529" max="15529" customWidth="1" bestFit="1" width="3.0" style="1122"/>
    <col min="15530" max="15530" customWidth="1" bestFit="1" width="3.0" style="1122"/>
    <col min="15531" max="15531" customWidth="1" bestFit="1" width="3.0" style="1122"/>
    <col min="15532" max="15532" customWidth="1" bestFit="1" width="3.0" style="1122"/>
    <col min="15533" max="15533" customWidth="1" bestFit="1" width="3.0" style="1122"/>
    <col min="15534" max="15534" customWidth="1" bestFit="1" width="3.0" style="1122"/>
    <col min="15535" max="15535" customWidth="1" bestFit="1" width="3.0" style="1122"/>
    <col min="15536" max="15536" customWidth="1" bestFit="1" width="3.0" style="1122"/>
    <col min="15537" max="15537" customWidth="1" bestFit="1" width="3.0" style="1122"/>
    <col min="15538" max="15538" customWidth="1" bestFit="1" width="3.0" style="1122"/>
    <col min="15539" max="15539" customWidth="1" bestFit="1" width="3.0" style="1122"/>
    <col min="15540" max="15540" customWidth="1" bestFit="1" width="3.0" style="1122"/>
    <col min="15541" max="15541" customWidth="1" bestFit="1" width="3.0" style="1122"/>
    <col min="15542" max="15542" customWidth="1" bestFit="1" width="3.0" style="1122"/>
    <col min="15543" max="15543" customWidth="1" bestFit="1" width="3.0" style="1122"/>
    <col min="15544" max="15544" customWidth="1" bestFit="1" width="3.0" style="1122"/>
    <col min="15545" max="15545" customWidth="1" bestFit="1" width="3.0" style="1122"/>
    <col min="15546" max="15546" customWidth="1" bestFit="1" width="3.0" style="1122"/>
    <col min="15547" max="15547" customWidth="1" bestFit="1" width="3.0" style="1122"/>
    <col min="15548" max="15548" customWidth="1" bestFit="1" width="3.0" style="1122"/>
    <col min="15549" max="15549" customWidth="1" bestFit="1" width="3.0" style="1122"/>
    <col min="15550" max="15550" customWidth="1" bestFit="1" width="3.0" style="1122"/>
    <col min="15551" max="15551" customWidth="1" bestFit="1" width="3.0" style="1122"/>
    <col min="15552" max="15552" customWidth="1" bestFit="1" width="3.0" style="1122"/>
    <col min="15553" max="15553" customWidth="1" bestFit="1" width="3.0" style="1122"/>
    <col min="15554" max="15554" customWidth="1" bestFit="1" width="3.0" style="1122"/>
    <col min="15555" max="15555" customWidth="1" bestFit="1" width="3.0" style="1122"/>
    <col min="15556" max="15556" customWidth="1" bestFit="1" width="3.0" style="1122"/>
    <col min="15557" max="15557" customWidth="1" bestFit="1" width="3.0" style="1122"/>
    <col min="15558" max="15558" customWidth="1" bestFit="1" width="3.0" style="1122"/>
    <col min="15559" max="15559" customWidth="1" bestFit="1" width="3.0" style="1122"/>
    <col min="15560" max="15560" customWidth="1" bestFit="1" width="3.0" style="1122"/>
    <col min="15561" max="15561" customWidth="1" bestFit="1" width="3.0" style="1122"/>
    <col min="15562" max="15562" customWidth="1" bestFit="1" width="3.0" style="1122"/>
    <col min="15563" max="15563" customWidth="1" bestFit="1" width="3.0" style="1122"/>
    <col min="15564" max="15564" customWidth="1" bestFit="1" width="3.0" style="1122"/>
    <col min="15565" max="15565" customWidth="1" bestFit="1" width="3.0" style="1122"/>
    <col min="15566" max="15566" customWidth="1" bestFit="1" width="3.0" style="1122"/>
    <col min="15567" max="15567" customWidth="1" bestFit="1" width="3.0" style="1122"/>
    <col min="15568" max="15568" customWidth="1" bestFit="1" width="3.0" style="1122"/>
    <col min="15569" max="15569" customWidth="1" bestFit="1" width="3.0" style="1122"/>
    <col min="15570" max="15570" customWidth="1" bestFit="1" width="3.0" style="1122"/>
    <col min="15571" max="15571" customWidth="1" bestFit="1" width="3.0" style="1122"/>
    <col min="15572" max="15572" customWidth="1" bestFit="1" width="3.0" style="1122"/>
    <col min="15573" max="15573" customWidth="1" bestFit="1" width="3.0" style="1122"/>
    <col min="15574" max="15574" customWidth="1" bestFit="1" width="3.0" style="1122"/>
    <col min="15575" max="15575" customWidth="1" bestFit="1" width="3.0" style="1122"/>
    <col min="15576" max="15576" customWidth="1" bestFit="1" width="3.0" style="1122"/>
    <col min="15577" max="15577" customWidth="1" bestFit="1" width="3.0" style="1122"/>
    <col min="15578" max="15578" customWidth="1" bestFit="1" width="3.0" style="1122"/>
    <col min="15579" max="15579" customWidth="1" bestFit="1" width="3.0" style="1122"/>
    <col min="15580" max="15580" customWidth="1" bestFit="1" width="3.0" style="1122"/>
    <col min="15581" max="15581" customWidth="1" bestFit="1" width="3.0" style="1122"/>
    <col min="15582" max="15582" customWidth="1" bestFit="1" width="3.0" style="1122"/>
    <col min="15583" max="15583" customWidth="1" bestFit="1" width="3.0" style="1122"/>
    <col min="15584" max="15584" customWidth="1" bestFit="1" width="3.0" style="1122"/>
    <col min="15585" max="15585" customWidth="1" bestFit="1" width="3.0" style="1122"/>
    <col min="15586" max="15586" customWidth="1" bestFit="1" width="3.0" style="1122"/>
    <col min="15587" max="15587" customWidth="1" bestFit="1" width="3.0" style="1122"/>
    <col min="15588" max="15588" customWidth="1" bestFit="1" width="3.0" style="1122"/>
    <col min="15589" max="15589" customWidth="1" bestFit="1" width="3.0" style="1122"/>
    <col min="15590" max="15590" customWidth="1" bestFit="1" width="3.0" style="1122"/>
    <col min="15591" max="15591" customWidth="1" bestFit="1" width="3.0" style="1122"/>
    <col min="15592" max="15592" customWidth="1" bestFit="1" width="3.0" style="1122"/>
    <col min="15593" max="15593" customWidth="1" bestFit="1" width="3.0" style="1122"/>
    <col min="15594" max="15594" customWidth="1" bestFit="1" width="3.0" style="1122"/>
    <col min="15595" max="15595" customWidth="1" bestFit="1" width="3.0" style="1122"/>
    <col min="15596" max="15596" customWidth="1" bestFit="1" width="3.0" style="1122"/>
    <col min="15597" max="15597" customWidth="1" bestFit="1" width="3.0" style="1122"/>
    <col min="15598" max="15598" customWidth="1" bestFit="1" width="3.0" style="1122"/>
    <col min="15599" max="15599" customWidth="1" bestFit="1" width="3.0" style="1122"/>
    <col min="15600" max="15600" customWidth="1" bestFit="1" width="3.0" style="1122"/>
    <col min="15601" max="15601" customWidth="1" bestFit="1" width="3.0" style="1122"/>
    <col min="15602" max="15602" customWidth="1" bestFit="1" width="3.0" style="1122"/>
    <col min="15603" max="15603" customWidth="1" bestFit="1" width="3.0" style="1122"/>
    <col min="15604" max="15604" customWidth="1" bestFit="1" width="3.0" style="1122"/>
    <col min="15605" max="15605" customWidth="1" bestFit="1" width="3.0" style="1122"/>
    <col min="15606" max="15606" customWidth="1" bestFit="1" width="3.0" style="1122"/>
    <col min="15607" max="15607" customWidth="1" bestFit="1" width="3.0" style="1122"/>
    <col min="15608" max="15608" customWidth="1" bestFit="1" width="3.0" style="1122"/>
    <col min="15609" max="15609" customWidth="1" bestFit="1" width="3.0" style="1122"/>
    <col min="15610" max="15610" customWidth="1" bestFit="1" width="3.0" style="1122"/>
    <col min="15611" max="15611" customWidth="1" bestFit="1" width="3.0" style="1122"/>
    <col min="15612" max="15612" customWidth="1" bestFit="1" width="3.0" style="1122"/>
    <col min="15613" max="15613" customWidth="1" bestFit="1" width="3.0" style="1122"/>
    <col min="15614" max="15614" customWidth="1" bestFit="1" width="3.0" style="1122"/>
    <col min="15615" max="15615" customWidth="1" bestFit="1" width="3.0" style="1122"/>
    <col min="15616" max="15616" customWidth="1" bestFit="1" width="3.0" style="1122"/>
    <col min="15617" max="15617" customWidth="1" bestFit="1" width="3.0" style="1122"/>
    <col min="15618" max="15618" customWidth="1" bestFit="1" width="3.0" style="1122"/>
    <col min="15619" max="15619" customWidth="1" bestFit="1" width="3.0" style="1122"/>
    <col min="15620" max="15620" customWidth="1" bestFit="1" width="3.0" style="1122"/>
    <col min="15621" max="15621" customWidth="1" bestFit="1" width="3.0" style="1122"/>
    <col min="15622" max="15622" customWidth="1" bestFit="1" width="3.0" style="1122"/>
    <col min="15623" max="15623" customWidth="1" bestFit="1" width="3.0" style="1122"/>
    <col min="15624" max="15624" customWidth="1" bestFit="1" width="3.0" style="1122"/>
    <col min="15625" max="15625" customWidth="1" bestFit="1" width="3.0" style="1122"/>
    <col min="15626" max="15626" customWidth="1" bestFit="1" width="3.0" style="1122"/>
    <col min="15627" max="15627" customWidth="1" bestFit="1" width="3.0" style="1122"/>
    <col min="15628" max="15628" customWidth="1" bestFit="1" width="3.0" style="1122"/>
    <col min="15629" max="15629" customWidth="1" bestFit="1" width="3.0" style="1122"/>
    <col min="15630" max="15630" customWidth="1" bestFit="1" width="3.0" style="1122"/>
    <col min="15631" max="15631" customWidth="1" bestFit="1" width="3.0" style="1122"/>
    <col min="15632" max="15632" customWidth="1" bestFit="1" width="3.0" style="1122"/>
    <col min="15633" max="15633" customWidth="1" bestFit="1" width="3.0" style="1122"/>
    <col min="15634" max="15634" customWidth="1" bestFit="1" width="3.0" style="1122"/>
    <col min="15635" max="15635" customWidth="1" bestFit="1" width="3.0" style="1122"/>
    <col min="15636" max="15636" customWidth="1" bestFit="1" width="3.0" style="1122"/>
    <col min="15637" max="15637" customWidth="1" bestFit="1" width="3.0" style="1122"/>
    <col min="15638" max="15638" customWidth="1" bestFit="1" width="3.0" style="1122"/>
    <col min="15639" max="15639" customWidth="1" bestFit="1" width="3.0" style="1122"/>
    <col min="15640" max="15640" customWidth="1" bestFit="1" width="3.0" style="1122"/>
    <col min="15641" max="15641" customWidth="1" bestFit="1" width="3.0" style="1122"/>
    <col min="15642" max="15642" customWidth="1" bestFit="1" width="3.0" style="1122"/>
    <col min="15643" max="15643" customWidth="1" bestFit="1" width="3.0" style="1122"/>
    <col min="15644" max="15644" customWidth="1" bestFit="1" width="3.0" style="1122"/>
    <col min="15645" max="15645" customWidth="1" bestFit="1" width="3.0" style="1122"/>
    <col min="15646" max="15646" customWidth="1" bestFit="1" width="3.0" style="1122"/>
    <col min="15647" max="15647" customWidth="1" bestFit="1" width="3.0" style="1122"/>
    <col min="15648" max="15648" customWidth="1" bestFit="1" width="3.0" style="1122"/>
    <col min="15649" max="15649" customWidth="1" bestFit="1" width="3.0" style="1122"/>
    <col min="15650" max="15650" customWidth="1" bestFit="1" width="3.0" style="1122"/>
    <col min="15651" max="15651" customWidth="1" bestFit="1" width="3.0" style="1122"/>
    <col min="15652" max="15652" customWidth="1" bestFit="1" width="3.0" style="1122"/>
    <col min="15653" max="15653" customWidth="1" bestFit="1" width="3.0" style="1122"/>
    <col min="15654" max="15654" customWidth="1" bestFit="1" width="3.0" style="1122"/>
    <col min="15655" max="15655" customWidth="1" bestFit="1" width="3.0" style="1122"/>
    <col min="15656" max="15656" customWidth="1" bestFit="1" width="3.0" style="1122"/>
    <col min="15657" max="15657" customWidth="1" bestFit="1" width="3.0" style="1122"/>
    <col min="15658" max="15658" customWidth="1" bestFit="1" width="3.0" style="1122"/>
    <col min="15659" max="15659" customWidth="1" bestFit="1" width="3.0" style="1122"/>
    <col min="15660" max="15660" customWidth="1" bestFit="1" width="3.0" style="1122"/>
    <col min="15661" max="15661" customWidth="1" bestFit="1" width="3.0" style="1122"/>
    <col min="15662" max="15662" customWidth="1" bestFit="1" width="3.0" style="1122"/>
    <col min="15663" max="15663" customWidth="1" bestFit="1" width="3.0" style="1122"/>
    <col min="15664" max="15664" customWidth="1" bestFit="1" width="3.0" style="1122"/>
    <col min="15665" max="15665" customWidth="1" bestFit="1" width="3.0" style="1122"/>
    <col min="15666" max="15666" customWidth="1" bestFit="1" width="3.0" style="1122"/>
    <col min="15667" max="15667" customWidth="1" bestFit="1" width="3.0" style="1122"/>
    <col min="15668" max="15668" customWidth="1" bestFit="1" width="3.0" style="1122"/>
    <col min="15669" max="15669" customWidth="1" bestFit="1" width="3.0" style="1122"/>
    <col min="15670" max="15670" customWidth="1" bestFit="1" width="3.0" style="1122"/>
    <col min="15671" max="15671" customWidth="1" bestFit="1" width="3.0" style="1122"/>
    <col min="15672" max="15672" customWidth="1" bestFit="1" width="3.0" style="1122"/>
    <col min="15673" max="15673" customWidth="1" bestFit="1" width="3.0" style="1122"/>
    <col min="15674" max="15674" customWidth="1" bestFit="1" width="3.0" style="1122"/>
    <col min="15675" max="15675" customWidth="1" bestFit="1" width="3.0" style="1122"/>
    <col min="15676" max="15676" customWidth="1" bestFit="1" width="3.0" style="1122"/>
    <col min="15677" max="15677" customWidth="1" bestFit="1" width="3.0" style="1122"/>
    <col min="15678" max="15678" customWidth="1" bestFit="1" width="3.0" style="1122"/>
    <col min="15679" max="15679" customWidth="1" bestFit="1" width="3.0" style="1122"/>
    <col min="15680" max="15680" customWidth="1" bestFit="1" width="3.0" style="1122"/>
    <col min="15681" max="15681" customWidth="1" bestFit="1" width="3.0" style="1122"/>
    <col min="15682" max="15682" customWidth="1" bestFit="1" width="3.0" style="1122"/>
    <col min="15683" max="15683" customWidth="1" bestFit="1" width="3.0" style="1122"/>
    <col min="15684" max="15684" customWidth="1" bestFit="1" width="3.0" style="1122"/>
    <col min="15685" max="15685" customWidth="1" bestFit="1" width="3.0" style="1122"/>
    <col min="15686" max="15686" customWidth="1" bestFit="1" width="3.0" style="1122"/>
    <col min="15687" max="15687" customWidth="1" bestFit="1" width="3.0" style="1122"/>
    <col min="15688" max="15688" customWidth="1" bestFit="1" width="3.0" style="1122"/>
    <col min="15689" max="15689" customWidth="1" bestFit="1" width="3.0" style="1122"/>
    <col min="15690" max="15690" customWidth="1" bestFit="1" width="3.0" style="1122"/>
    <col min="15691" max="15691" customWidth="1" bestFit="1" width="3.0" style="1122"/>
    <col min="15692" max="15692" customWidth="1" bestFit="1" width="3.0" style="1122"/>
    <col min="15693" max="15693" customWidth="1" bestFit="1" width="3.0" style="1122"/>
    <col min="15694" max="15694" customWidth="1" bestFit="1" width="3.0" style="1122"/>
    <col min="15695" max="15695" customWidth="1" bestFit="1" width="3.0" style="1122"/>
    <col min="15696" max="15696" customWidth="1" bestFit="1" width="3.0" style="1122"/>
    <col min="15697" max="15697" customWidth="1" bestFit="1" width="3.0" style="1122"/>
    <col min="15698" max="15698" customWidth="1" bestFit="1" width="3.0" style="1122"/>
    <col min="15699" max="15699" customWidth="1" bestFit="1" width="3.0" style="1122"/>
    <col min="15700" max="15700" customWidth="1" bestFit="1" width="3.0" style="1122"/>
    <col min="15701" max="15701" customWidth="1" bestFit="1" width="3.0" style="1122"/>
    <col min="15702" max="15702" customWidth="1" bestFit="1" width="3.0" style="1122"/>
    <col min="15703" max="15703" customWidth="1" bestFit="1" width="3.0" style="1122"/>
    <col min="15704" max="15704" customWidth="1" bestFit="1" width="3.0" style="1122"/>
    <col min="15705" max="15705" customWidth="1" bestFit="1" width="3.0" style="1122"/>
    <col min="15706" max="15706" customWidth="1" bestFit="1" width="3.0" style="1122"/>
    <col min="15707" max="15707" customWidth="1" bestFit="1" width="3.0" style="1122"/>
    <col min="15708" max="15708" customWidth="1" bestFit="1" width="3.0" style="1122"/>
    <col min="15709" max="15709" customWidth="1" bestFit="1" width="3.0" style="1122"/>
    <col min="15710" max="15710" customWidth="1" bestFit="1" width="3.0" style="1122"/>
    <col min="15711" max="15711" customWidth="1" bestFit="1" width="3.0" style="1122"/>
    <col min="15712" max="15712" customWidth="1" bestFit="1" width="3.0" style="1122"/>
    <col min="15713" max="15713" customWidth="1" bestFit="1" width="3.0" style="1122"/>
    <col min="15714" max="15714" customWidth="1" bestFit="1" width="3.0" style="1122"/>
    <col min="15715" max="15715" customWidth="1" bestFit="1" width="3.0" style="1122"/>
    <col min="15716" max="15716" customWidth="1" bestFit="1" width="3.0" style="1122"/>
    <col min="15717" max="15717" customWidth="1" bestFit="1" width="3.0" style="1122"/>
    <col min="15718" max="15718" customWidth="1" bestFit="1" width="3.0" style="1122"/>
    <col min="15719" max="15719" customWidth="1" bestFit="1" width="3.0" style="1122"/>
    <col min="15720" max="15720" customWidth="1" bestFit="1" width="3.0" style="1122"/>
    <col min="15721" max="15721" customWidth="1" bestFit="1" width="3.0" style="1122"/>
    <col min="15722" max="15722" customWidth="1" bestFit="1" width="3.0" style="1122"/>
    <col min="15723" max="15723" customWidth="1" bestFit="1" width="3.0" style="1122"/>
    <col min="15724" max="15724" customWidth="1" bestFit="1" width="3.0" style="1122"/>
    <col min="15725" max="15725" customWidth="1" bestFit="1" width="3.0" style="1122"/>
    <col min="15726" max="15726" customWidth="1" bestFit="1" width="3.0" style="1122"/>
    <col min="15727" max="15727" customWidth="1" bestFit="1" width="3.0" style="1122"/>
    <col min="15728" max="15728" customWidth="1" bestFit="1" width="3.0" style="1122"/>
    <col min="15729" max="15729" customWidth="1" bestFit="1" width="3.0" style="1122"/>
    <col min="15730" max="15730" customWidth="1" bestFit="1" width="3.0" style="1122"/>
    <col min="15731" max="15731" customWidth="1" bestFit="1" width="3.0" style="1122"/>
    <col min="15732" max="15732" customWidth="1" bestFit="1" width="3.0" style="1122"/>
    <col min="15733" max="15733" customWidth="1" bestFit="1" width="3.0" style="1122"/>
    <col min="15734" max="15734" customWidth="1" bestFit="1" width="3.0" style="1122"/>
    <col min="15735" max="15735" customWidth="1" bestFit="1" width="3.0" style="1122"/>
    <col min="15736" max="15736" customWidth="1" bestFit="1" width="3.0" style="1122"/>
    <col min="15737" max="15737" customWidth="1" bestFit="1" width="3.0" style="1122"/>
    <col min="15738" max="15738" customWidth="1" bestFit="1" width="3.0" style="1122"/>
    <col min="15739" max="15739" customWidth="1" bestFit="1" width="3.0" style="1122"/>
    <col min="15740" max="15740" customWidth="1" bestFit="1" width="3.0" style="1122"/>
    <col min="15741" max="15741" customWidth="1" bestFit="1" width="3.0" style="1122"/>
    <col min="15742" max="15742" customWidth="1" bestFit="1" width="3.0" style="1122"/>
    <col min="15743" max="15743" customWidth="1" bestFit="1" width="3.0" style="1122"/>
    <col min="15744" max="15744" customWidth="1" bestFit="1" width="3.0" style="1122"/>
    <col min="15745" max="15745" customWidth="1" bestFit="1" width="3.0" style="1122"/>
    <col min="15746" max="15746" customWidth="1" bestFit="1" width="3.0" style="1122"/>
    <col min="15747" max="15747" customWidth="1" bestFit="1" width="3.0" style="1122"/>
    <col min="15748" max="15748" customWidth="1" bestFit="1" width="3.0" style="1122"/>
    <col min="15749" max="15749" customWidth="1" bestFit="1" width="3.0" style="1122"/>
    <col min="15750" max="15750" customWidth="1" bestFit="1" width="3.0" style="1122"/>
    <col min="15751" max="15751" customWidth="1" bestFit="1" width="3.0" style="1122"/>
    <col min="15752" max="15752" customWidth="1" bestFit="1" width="3.0" style="1122"/>
    <col min="15753" max="15753" customWidth="1" bestFit="1" width="3.0" style="1122"/>
    <col min="15754" max="15754" customWidth="1" bestFit="1" width="3.0" style="1122"/>
    <col min="15755" max="15755" customWidth="1" bestFit="1" width="3.0" style="1122"/>
    <col min="15756" max="15756" customWidth="1" bestFit="1" width="3.0" style="1122"/>
    <col min="15757" max="15757" customWidth="1" bestFit="1" width="3.0" style="1122"/>
    <col min="15758" max="15758" customWidth="1" bestFit="1" width="3.0" style="1122"/>
    <col min="15759" max="15759" customWidth="1" bestFit="1" width="3.0" style="1122"/>
    <col min="15760" max="15760" customWidth="1" bestFit="1" width="3.0" style="1122"/>
    <col min="15761" max="15761" customWidth="1" bestFit="1" width="3.0" style="1122"/>
    <col min="15762" max="15762" customWidth="1" bestFit="1" width="3.0" style="1122"/>
    <col min="15763" max="15763" customWidth="1" bestFit="1" width="3.0" style="1122"/>
    <col min="15764" max="15764" customWidth="1" bestFit="1" width="3.0" style="1122"/>
    <col min="15765" max="15765" customWidth="1" bestFit="1" width="3.0" style="1122"/>
    <col min="15766" max="15766" customWidth="1" bestFit="1" width="3.0" style="1122"/>
    <col min="15767" max="15767" customWidth="1" bestFit="1" width="3.0" style="1122"/>
    <col min="15768" max="15768" customWidth="1" bestFit="1" width="3.0" style="1122"/>
    <col min="15769" max="15769" customWidth="1" bestFit="1" width="3.0" style="1122"/>
    <col min="15770" max="15770" customWidth="1" bestFit="1" width="3.0" style="1122"/>
    <col min="15771" max="15771" customWidth="1" bestFit="1" width="3.0" style="1122"/>
    <col min="15772" max="15772" customWidth="1" bestFit="1" width="3.0" style="1122"/>
    <col min="15773" max="15773" customWidth="1" bestFit="1" width="3.0" style="1122"/>
    <col min="15774" max="15774" customWidth="1" bestFit="1" width="3.0" style="1122"/>
    <col min="15775" max="15775" customWidth="1" bestFit="1" width="3.0" style="1122"/>
    <col min="15776" max="15776" customWidth="1" bestFit="1" width="3.0" style="1122"/>
    <col min="15777" max="15777" customWidth="1" bestFit="1" width="3.0" style="1122"/>
    <col min="15778" max="15778" customWidth="1" bestFit="1" width="3.0" style="1122"/>
    <col min="15779" max="15779" customWidth="1" bestFit="1" width="3.0" style="1122"/>
    <col min="15780" max="15780" customWidth="1" bestFit="1" width="3.0" style="1122"/>
    <col min="15781" max="15781" customWidth="1" bestFit="1" width="3.0" style="1122"/>
    <col min="15782" max="15782" customWidth="1" bestFit="1" width="3.0" style="1122"/>
    <col min="15783" max="15783" customWidth="1" bestFit="1" width="3.0" style="1122"/>
    <col min="15784" max="15784" customWidth="1" bestFit="1" width="3.0" style="1122"/>
    <col min="15785" max="15785" customWidth="1" bestFit="1" width="3.0" style="1122"/>
    <col min="15786" max="15786" customWidth="1" bestFit="1" width="3.0" style="1122"/>
    <col min="15787" max="15787" customWidth="1" bestFit="1" width="3.0" style="1122"/>
    <col min="15788" max="15788" customWidth="1" bestFit="1" width="3.0" style="1122"/>
    <col min="15789" max="15789" customWidth="1" bestFit="1" width="3.0" style="1122"/>
    <col min="15790" max="15790" customWidth="1" bestFit="1" width="3.0" style="1122"/>
    <col min="15791" max="15791" customWidth="1" bestFit="1" width="3.0" style="1122"/>
    <col min="15792" max="15792" customWidth="1" bestFit="1" width="3.0" style="1122"/>
    <col min="15793" max="15793" customWidth="1" bestFit="1" width="3.0" style="1122"/>
    <col min="15794" max="15794" customWidth="1" bestFit="1" width="3.0" style="1122"/>
    <col min="15795" max="15795" customWidth="1" bestFit="1" width="3.0" style="1122"/>
    <col min="15796" max="15796" customWidth="1" bestFit="1" width="3.0" style="1122"/>
    <col min="15797" max="15797" customWidth="1" bestFit="1" width="3.0" style="1122"/>
    <col min="15798" max="15798" customWidth="1" bestFit="1" width="3.0" style="1122"/>
    <col min="15799" max="15799" customWidth="1" bestFit="1" width="3.0" style="1122"/>
    <col min="15800" max="15800" customWidth="1" bestFit="1" width="3.0" style="1122"/>
    <col min="15801" max="15801" customWidth="1" bestFit="1" width="3.0" style="1122"/>
    <col min="15802" max="15802" customWidth="1" bestFit="1" width="3.0" style="1122"/>
    <col min="15803" max="15803" customWidth="1" bestFit="1" width="3.0" style="1122"/>
    <col min="15804" max="15804" customWidth="1" bestFit="1" width="3.0" style="1122"/>
    <col min="15805" max="15805" customWidth="1" bestFit="1" width="3.0" style="1122"/>
    <col min="15806" max="15806" customWidth="1" bestFit="1" width="3.0" style="1122"/>
    <col min="15807" max="15807" customWidth="1" bestFit="1" width="3.0" style="1122"/>
    <col min="15808" max="15808" customWidth="1" bestFit="1" width="3.0" style="1122"/>
    <col min="15809" max="15809" customWidth="1" bestFit="1" width="3.0" style="1122"/>
    <col min="15810" max="15810" customWidth="1" bestFit="1" width="3.0" style="1122"/>
    <col min="15811" max="15811" customWidth="1" bestFit="1" width="3.0" style="1122"/>
    <col min="15812" max="15812" customWidth="1" bestFit="1" width="3.0" style="1122"/>
    <col min="15813" max="15813" customWidth="1" bestFit="1" width="3.0" style="1122"/>
    <col min="15814" max="15814" customWidth="1" bestFit="1" width="3.0" style="1122"/>
    <col min="15815" max="15815" customWidth="1" bestFit="1" width="3.0" style="1122"/>
    <col min="15816" max="15816" customWidth="1" bestFit="1" width="3.0" style="1122"/>
    <col min="15817" max="15817" customWidth="1" bestFit="1" width="3.0" style="1122"/>
    <col min="15818" max="15818" customWidth="1" bestFit="1" width="3.0" style="1122"/>
    <col min="15819" max="15819" customWidth="1" bestFit="1" width="3.0" style="1122"/>
    <col min="15820" max="15820" customWidth="1" bestFit="1" width="3.0" style="1122"/>
    <col min="15821" max="15821" customWidth="1" bestFit="1" width="3.0" style="1122"/>
    <col min="15822" max="15822" customWidth="1" bestFit="1" width="3.0" style="1122"/>
    <col min="15823" max="15823" customWidth="1" bestFit="1" width="3.0" style="1122"/>
    <col min="15824" max="15824" customWidth="1" bestFit="1" width="3.0" style="1122"/>
    <col min="15825" max="15825" customWidth="1" bestFit="1" width="3.0" style="1122"/>
    <col min="15826" max="15826" customWidth="1" bestFit="1" width="3.0" style="1122"/>
    <col min="15827" max="15827" customWidth="1" bestFit="1" width="3.0" style="1122"/>
    <col min="15828" max="15828" customWidth="1" bestFit="1" width="3.0" style="1122"/>
    <col min="15829" max="15829" customWidth="1" bestFit="1" width="3.0" style="1122"/>
    <col min="15830" max="15830" customWidth="1" bestFit="1" width="3.0" style="1122"/>
    <col min="15831" max="15831" customWidth="1" bestFit="1" width="3.0" style="1122"/>
    <col min="15832" max="15832" customWidth="1" bestFit="1" width="3.0" style="1122"/>
    <col min="15833" max="15833" customWidth="1" bestFit="1" width="3.0" style="1122"/>
    <col min="15834" max="15834" customWidth="1" bestFit="1" width="3.0" style="1122"/>
    <col min="15835" max="15835" customWidth="1" bestFit="1" width="3.0" style="1122"/>
    <col min="15836" max="15836" customWidth="1" bestFit="1" width="3.0" style="1122"/>
    <col min="15837" max="15837" customWidth="1" bestFit="1" width="3.0" style="1122"/>
    <col min="15838" max="15838" customWidth="1" bestFit="1" width="3.0" style="1122"/>
    <col min="15839" max="15839" customWidth="1" bestFit="1" width="3.0" style="1122"/>
    <col min="15840" max="15840" customWidth="1" bestFit="1" width="3.0" style="1122"/>
    <col min="15841" max="15841" customWidth="1" bestFit="1" width="3.0" style="1122"/>
    <col min="15842" max="15842" customWidth="1" bestFit="1" width="3.0" style="1122"/>
    <col min="15843" max="15843" customWidth="1" bestFit="1" width="3.0" style="1122"/>
    <col min="15844" max="15844" customWidth="1" bestFit="1" width="3.0" style="1122"/>
    <col min="15845" max="15845" customWidth="1" bestFit="1" width="3.0" style="1122"/>
    <col min="15846" max="15846" customWidth="1" bestFit="1" width="3.0" style="1122"/>
    <col min="15847" max="15847" customWidth="1" bestFit="1" width="3.0" style="1122"/>
    <col min="15848" max="15848" customWidth="1" bestFit="1" width="3.0" style="1122"/>
    <col min="15849" max="15849" customWidth="1" bestFit="1" width="3.0" style="1122"/>
    <col min="15850" max="15850" customWidth="1" bestFit="1" width="3.0" style="1122"/>
    <col min="15851" max="15851" customWidth="1" bestFit="1" width="3.0" style="1122"/>
    <col min="15852" max="15852" customWidth="1" bestFit="1" width="3.0" style="1122"/>
    <col min="15853" max="15853" customWidth="1" bestFit="1" width="3.0" style="1122"/>
    <col min="15854" max="15854" customWidth="1" bestFit="1" width="3.0" style="1122"/>
    <col min="15855" max="15855" customWidth="1" bestFit="1" width="3.0" style="1122"/>
    <col min="15856" max="15856" customWidth="1" bestFit="1" width="3.0" style="1122"/>
    <col min="15857" max="15857" customWidth="1" bestFit="1" width="3.0" style="1122"/>
    <col min="15858" max="15858" customWidth="1" bestFit="1" width="3.0" style="1122"/>
    <col min="15859" max="15859" customWidth="1" bestFit="1" width="3.0" style="1122"/>
    <col min="15860" max="15860" customWidth="1" bestFit="1" width="3.0" style="1122"/>
    <col min="15861" max="15861" customWidth="1" bestFit="1" width="3.0" style="1122"/>
    <col min="15862" max="15862" customWidth="1" bestFit="1" width="3.0" style="1122"/>
    <col min="15863" max="15863" customWidth="1" bestFit="1" width="3.0" style="1122"/>
    <col min="15864" max="15864" customWidth="1" bestFit="1" width="3.0" style="1122"/>
    <col min="15865" max="15865" customWidth="1" bestFit="1" width="3.0" style="1122"/>
    <col min="15866" max="15866" customWidth="1" bestFit="1" width="3.0" style="1122"/>
    <col min="15867" max="15867" customWidth="1" bestFit="1" width="3.0" style="1122"/>
    <col min="15868" max="15868" customWidth="1" bestFit="1" width="3.0" style="1122"/>
    <col min="15869" max="15869" customWidth="1" bestFit="1" width="3.0" style="1122"/>
    <col min="15870" max="15870" customWidth="1" bestFit="1" width="3.0" style="1122"/>
    <col min="15871" max="15871" customWidth="1" bestFit="1" width="3.0" style="1122"/>
    <col min="15872" max="15872" customWidth="1" bestFit="1" width="3.0" style="1122"/>
    <col min="15873" max="15873" customWidth="1" bestFit="1" width="3.0" style="1122"/>
    <col min="15874" max="15874" customWidth="1" bestFit="1" width="3.0" style="1122"/>
    <col min="15875" max="15875" customWidth="1" bestFit="1" width="3.0" style="1122"/>
    <col min="15876" max="15876" customWidth="1" bestFit="1" width="3.0" style="1122"/>
    <col min="15877" max="15877" customWidth="1" bestFit="1" width="3.0" style="1122"/>
    <col min="15878" max="15878" customWidth="1" bestFit="1" width="3.0" style="1122"/>
    <col min="15879" max="15879" customWidth="1" bestFit="1" width="3.0" style="1122"/>
    <col min="15880" max="15880" customWidth="1" bestFit="1" width="3.0" style="1122"/>
    <col min="15881" max="15881" customWidth="1" bestFit="1" width="3.0" style="1122"/>
    <col min="15882" max="15882" customWidth="1" bestFit="1" width="3.0" style="1122"/>
    <col min="15883" max="15883" customWidth="1" bestFit="1" width="3.0" style="1122"/>
    <col min="15884" max="15884" customWidth="1" bestFit="1" width="3.0" style="1122"/>
    <col min="15885" max="15885" customWidth="1" bestFit="1" width="3.0" style="1122"/>
    <col min="15886" max="15886" customWidth="1" bestFit="1" width="3.0" style="1122"/>
    <col min="15887" max="15887" customWidth="1" bestFit="1" width="3.0" style="1122"/>
    <col min="15888" max="15888" customWidth="1" bestFit="1" width="3.0" style="1122"/>
    <col min="15889" max="15889" customWidth="1" bestFit="1" width="3.0" style="1122"/>
    <col min="15890" max="15890" customWidth="1" bestFit="1" width="3.0" style="1122"/>
    <col min="15891" max="15891" customWidth="1" bestFit="1" width="3.0" style="1122"/>
    <col min="15892" max="15892" customWidth="1" bestFit="1" width="3.0" style="1122"/>
    <col min="15893" max="15893" customWidth="1" bestFit="1" width="3.0" style="1122"/>
    <col min="15894" max="15894" customWidth="1" bestFit="1" width="3.0" style="1122"/>
    <col min="15895" max="15895" customWidth="1" bestFit="1" width="3.0" style="1122"/>
    <col min="15896" max="15896" customWidth="1" bestFit="1" width="3.0" style="1122"/>
    <col min="15897" max="15897" customWidth="1" bestFit="1" width="3.0" style="1122"/>
    <col min="15898" max="15898" customWidth="1" bestFit="1" width="3.0" style="1122"/>
    <col min="15899" max="15899" customWidth="1" bestFit="1" width="3.0" style="1122"/>
    <col min="15900" max="15900" customWidth="1" bestFit="1" width="3.0" style="1122"/>
    <col min="15901" max="15901" customWidth="1" bestFit="1" width="3.0" style="1122"/>
    <col min="15902" max="15902" customWidth="1" bestFit="1" width="3.0" style="1122"/>
    <col min="15903" max="15903" customWidth="1" bestFit="1" width="3.0" style="1122"/>
    <col min="15904" max="15904" customWidth="1" bestFit="1" width="3.0" style="1122"/>
    <col min="15905" max="15905" customWidth="1" bestFit="1" width="3.0" style="1122"/>
    <col min="15906" max="15906" customWidth="1" bestFit="1" width="3.0" style="1122"/>
    <col min="15907" max="15907" customWidth="1" bestFit="1" width="3.0" style="1122"/>
    <col min="15908" max="15908" customWidth="1" bestFit="1" width="3.0" style="1122"/>
    <col min="15909" max="15909" customWidth="1" bestFit="1" width="3.0" style="1122"/>
    <col min="15910" max="15910" customWidth="1" bestFit="1" width="3.0" style="1122"/>
    <col min="15911" max="15911" customWidth="1" bestFit="1" width="3.0" style="1122"/>
    <col min="15912" max="15912" customWidth="1" bestFit="1" width="3.0" style="1122"/>
    <col min="15913" max="15913" customWidth="1" bestFit="1" width="3.0" style="1122"/>
    <col min="15914" max="15914" customWidth="1" bestFit="1" width="3.0" style="1122"/>
    <col min="15915" max="15915" customWidth="1" bestFit="1" width="3.0" style="1122"/>
    <col min="15916" max="15916" customWidth="1" bestFit="1" width="3.0" style="1122"/>
    <col min="15917" max="15917" customWidth="1" bestFit="1" width="3.0" style="1122"/>
    <col min="15918" max="15918" customWidth="1" bestFit="1" width="3.0" style="1122"/>
    <col min="15919" max="15919" customWidth="1" bestFit="1" width="3.0" style="1122"/>
    <col min="15920" max="15920" customWidth="1" bestFit="1" width="3.0" style="1122"/>
    <col min="15921" max="15921" customWidth="1" bestFit="1" width="3.0" style="1122"/>
    <col min="15922" max="15922" customWidth="1" bestFit="1" width="3.0" style="1122"/>
    <col min="15923" max="15923" customWidth="1" bestFit="1" width="3.0" style="1122"/>
    <col min="15924" max="15924" customWidth="1" bestFit="1" width="3.0" style="1122"/>
    <col min="15925" max="15925" customWidth="1" bestFit="1" width="3.0" style="1122"/>
    <col min="15926" max="15926" customWidth="1" bestFit="1" width="3.0" style="1122"/>
    <col min="15927" max="15927" customWidth="1" bestFit="1" width="3.0" style="1122"/>
    <col min="15928" max="15928" customWidth="1" bestFit="1" width="3.0" style="1122"/>
    <col min="15929" max="15929" customWidth="1" bestFit="1" width="3.0" style="1122"/>
    <col min="15930" max="15930" customWidth="1" bestFit="1" width="3.0" style="1122"/>
    <col min="15931" max="15931" customWidth="1" bestFit="1" width="3.0" style="1122"/>
    <col min="15932" max="15932" customWidth="1" bestFit="1" width="3.0" style="1122"/>
    <col min="15933" max="15933" customWidth="1" bestFit="1" width="3.0" style="1122"/>
    <col min="15934" max="15934" customWidth="1" bestFit="1" width="3.0" style="1122"/>
    <col min="15935" max="15935" customWidth="1" bestFit="1" width="3.0" style="1122"/>
    <col min="15936" max="15936" customWidth="1" bestFit="1" width="3.0" style="1122"/>
    <col min="15937" max="15937" customWidth="1" bestFit="1" width="3.0" style="1122"/>
    <col min="15938" max="15938" customWidth="1" bestFit="1" width="3.0" style="1122"/>
    <col min="15939" max="15939" customWidth="1" bestFit="1" width="3.0" style="1122"/>
    <col min="15940" max="15940" customWidth="1" bestFit="1" width="3.0" style="1122"/>
    <col min="15941" max="15941" customWidth="1" bestFit="1" width="3.0" style="1122"/>
    <col min="15942" max="15942" customWidth="1" bestFit="1" width="3.0" style="1122"/>
    <col min="15943" max="15943" customWidth="1" bestFit="1" width="3.0" style="1122"/>
    <col min="15944" max="15944" customWidth="1" bestFit="1" width="3.0" style="1122"/>
    <col min="15945" max="15945" customWidth="1" bestFit="1" width="3.0" style="1122"/>
    <col min="15946" max="15946" customWidth="1" bestFit="1" width="3.0" style="1122"/>
    <col min="15947" max="15947" customWidth="1" bestFit="1" width="3.0" style="1122"/>
    <col min="15948" max="15948" customWidth="1" bestFit="1" width="3.0" style="1122"/>
    <col min="15949" max="15949" customWidth="1" bestFit="1" width="3.0" style="1122"/>
    <col min="15950" max="15950" customWidth="1" bestFit="1" width="3.0" style="1122"/>
    <col min="15951" max="15951" customWidth="1" bestFit="1" width="3.0" style="1122"/>
    <col min="15952" max="15952" customWidth="1" bestFit="1" width="3.0" style="1122"/>
    <col min="15953" max="15953" customWidth="1" bestFit="1" width="3.0" style="1122"/>
    <col min="15954" max="15954" customWidth="1" bestFit="1" width="3.0" style="1122"/>
    <col min="15955" max="15955" customWidth="1" bestFit="1" width="3.0" style="1122"/>
    <col min="15956" max="15956" customWidth="1" bestFit="1" width="3.0" style="1122"/>
    <col min="15957" max="15957" customWidth="1" bestFit="1" width="3.0" style="1122"/>
    <col min="15958" max="15958" customWidth="1" bestFit="1" width="3.0" style="1122"/>
    <col min="15959" max="15959" customWidth="1" bestFit="1" width="3.0" style="1122"/>
    <col min="15960" max="15960" customWidth="1" bestFit="1" width="3.0" style="1122"/>
    <col min="15961" max="15961" customWidth="1" bestFit="1" width="3.0" style="1122"/>
    <col min="15962" max="15962" customWidth="1" bestFit="1" width="3.0" style="1122"/>
    <col min="15963" max="15963" customWidth="1" bestFit="1" width="3.0" style="1122"/>
    <col min="15964" max="15964" customWidth="1" bestFit="1" width="3.0" style="1122"/>
    <col min="15965" max="15965" customWidth="1" bestFit="1" width="3.0" style="1122"/>
    <col min="15966" max="15966" customWidth="1" bestFit="1" width="3.0" style="1122"/>
    <col min="15967" max="15967" customWidth="1" bestFit="1" width="3.0" style="1122"/>
    <col min="15968" max="15968" customWidth="1" bestFit="1" width="3.0" style="1122"/>
    <col min="15969" max="15969" customWidth="1" bestFit="1" width="3.0" style="1122"/>
    <col min="15970" max="15970" customWidth="1" bestFit="1" width="3.0" style="1122"/>
    <col min="15971" max="15971" customWidth="1" bestFit="1" width="3.0" style="1122"/>
    <col min="15972" max="15972" customWidth="1" bestFit="1" width="3.0" style="1122"/>
    <col min="15973" max="15973" customWidth="1" bestFit="1" width="3.0" style="1122"/>
    <col min="15974" max="15974" customWidth="1" bestFit="1" width="3.0" style="1122"/>
    <col min="15975" max="15975" customWidth="1" bestFit="1" width="3.0" style="1122"/>
    <col min="15976" max="15976" customWidth="1" bestFit="1" width="3.0" style="1122"/>
    <col min="15977" max="15977" customWidth="1" bestFit="1" width="3.0" style="1122"/>
    <col min="15978" max="15978" customWidth="1" bestFit="1" width="3.0" style="1122"/>
    <col min="15979" max="15979" customWidth="1" bestFit="1" width="3.0" style="1122"/>
    <col min="15980" max="15980" customWidth="1" bestFit="1" width="3.0" style="1122"/>
    <col min="15981" max="15981" customWidth="1" bestFit="1" width="3.0" style="1122"/>
    <col min="15982" max="15982" customWidth="1" bestFit="1" width="3.0" style="1122"/>
    <col min="15983" max="15983" customWidth="1" bestFit="1" width="3.0" style="1122"/>
    <col min="15984" max="15984" customWidth="1" bestFit="1" width="3.0" style="1122"/>
    <col min="15985" max="15985" customWidth="1" bestFit="1" width="3.0" style="1122"/>
    <col min="15986" max="15986" customWidth="1" bestFit="1" width="3.0" style="1122"/>
    <col min="15987" max="15987" customWidth="1" bestFit="1" width="3.0" style="1122"/>
    <col min="15988" max="15988" customWidth="1" bestFit="1" width="3.0" style="1122"/>
    <col min="15989" max="15989" customWidth="1" bestFit="1" width="3.0" style="1122"/>
    <col min="15990" max="15990" customWidth="1" bestFit="1" width="3.0" style="1122"/>
    <col min="15991" max="15991" customWidth="1" bestFit="1" width="3.0" style="1122"/>
    <col min="15992" max="15992" customWidth="1" bestFit="1" width="3.0" style="1122"/>
    <col min="15993" max="15993" customWidth="1" bestFit="1" width="3.0" style="1122"/>
    <col min="15994" max="15994" customWidth="1" bestFit="1" width="3.0" style="1122"/>
    <col min="15995" max="15995" customWidth="1" bestFit="1" width="3.0" style="1122"/>
    <col min="15996" max="15996" customWidth="1" bestFit="1" width="3.0" style="1122"/>
    <col min="15997" max="15997" customWidth="1" bestFit="1" width="3.0" style="1122"/>
    <col min="15998" max="15998" customWidth="1" bestFit="1" width="3.0" style="1122"/>
    <col min="15999" max="15999" customWidth="1" bestFit="1" width="3.0" style="1122"/>
    <col min="16000" max="16000" customWidth="1" bestFit="1" width="3.0" style="1122"/>
    <col min="16001" max="16001" customWidth="1" bestFit="1" width="3.0" style="1122"/>
    <col min="16002" max="16002" customWidth="1" bestFit="1" width="3.0" style="1122"/>
    <col min="16003" max="16003" customWidth="1" bestFit="1" width="3.0" style="1122"/>
    <col min="16004" max="16004" customWidth="1" bestFit="1" width="3.0" style="1122"/>
    <col min="16005" max="16005" customWidth="1" bestFit="1" width="3.0" style="1122"/>
    <col min="16006" max="16006" customWidth="1" bestFit="1" width="3.0" style="1122"/>
    <col min="16007" max="16007" customWidth="1" bestFit="1" width="3.0" style="1122"/>
    <col min="16008" max="16008" customWidth="1" bestFit="1" width="3.0" style="1122"/>
    <col min="16009" max="16009" customWidth="1" bestFit="1" width="3.0" style="1122"/>
    <col min="16010" max="16010" customWidth="1" bestFit="1" width="3.0" style="1122"/>
    <col min="16011" max="16011" customWidth="1" bestFit="1" width="3.0" style="1122"/>
    <col min="16012" max="16012" customWidth="1" bestFit="1" width="3.0" style="1122"/>
    <col min="16013" max="16013" customWidth="1" bestFit="1" width="3.0" style="1122"/>
    <col min="16014" max="16014" customWidth="1" bestFit="1" width="3.0" style="1122"/>
    <col min="16015" max="16015" customWidth="1" bestFit="1" width="3.0" style="1122"/>
    <col min="16016" max="16016" customWidth="1" bestFit="1" width="3.0" style="1122"/>
    <col min="16017" max="16017" customWidth="1" bestFit="1" width="3.0" style="1122"/>
    <col min="16018" max="16018" customWidth="1" bestFit="1" width="3.0" style="1122"/>
    <col min="16019" max="16019" customWidth="1" bestFit="1" width="3.0" style="1122"/>
    <col min="16020" max="16020" customWidth="1" bestFit="1" width="3.0" style="1122"/>
    <col min="16021" max="16021" customWidth="1" bestFit="1" width="3.0" style="1122"/>
    <col min="16022" max="16022" customWidth="1" bestFit="1" width="3.0" style="1122"/>
    <col min="16023" max="16023" customWidth="1" bestFit="1" width="3.0" style="1122"/>
    <col min="16024" max="16024" customWidth="1" bestFit="1" width="3.0" style="1122"/>
    <col min="16025" max="16025" customWidth="1" bestFit="1" width="3.0" style="1122"/>
    <col min="16026" max="16026" customWidth="1" bestFit="1" width="3.0" style="1122"/>
    <col min="16027" max="16027" customWidth="1" bestFit="1" width="3.0" style="1122"/>
    <col min="16028" max="16028" customWidth="1" bestFit="1" width="3.0" style="1122"/>
    <col min="16029" max="16029" customWidth="1" bestFit="1" width="3.0" style="1122"/>
    <col min="16030" max="16030" customWidth="1" bestFit="1" width="3.0" style="1122"/>
    <col min="16031" max="16031" customWidth="1" bestFit="1" width="3.0" style="1122"/>
    <col min="16032" max="16032" customWidth="1" bestFit="1" width="3.0" style="1122"/>
    <col min="16033" max="16033" customWidth="1" bestFit="1" width="3.0" style="1122"/>
    <col min="16034" max="16034" customWidth="1" bestFit="1" width="3.0" style="1122"/>
    <col min="16035" max="16035" customWidth="1" bestFit="1" width="3.0" style="1122"/>
    <col min="16036" max="16036" customWidth="1" bestFit="1" width="3.0" style="1122"/>
    <col min="16037" max="16037" customWidth="1" bestFit="1" width="3.0" style="1122"/>
    <col min="16038" max="16038" customWidth="1" bestFit="1" width="3.0" style="1122"/>
    <col min="16039" max="16039" customWidth="1" bestFit="1" width="3.0" style="1122"/>
    <col min="16040" max="16040" customWidth="1" bestFit="1" width="3.0" style="1122"/>
    <col min="16041" max="16041" customWidth="1" bestFit="1" width="3.0" style="1122"/>
    <col min="16042" max="16042" customWidth="1" bestFit="1" width="3.0" style="1122"/>
    <col min="16043" max="16043" customWidth="1" bestFit="1" width="3.0" style="1122"/>
    <col min="16044" max="16044" customWidth="1" bestFit="1" width="3.0" style="1122"/>
    <col min="16045" max="16045" customWidth="1" bestFit="1" width="3.0" style="1122"/>
    <col min="16046" max="16046" customWidth="1" bestFit="1" width="3.0" style="1122"/>
    <col min="16047" max="16047" customWidth="1" bestFit="1" width="3.0" style="1122"/>
    <col min="16048" max="16048" customWidth="1" bestFit="1" width="3.0" style="1122"/>
    <col min="16049" max="16049" customWidth="1" bestFit="1" width="3.0" style="1122"/>
    <col min="16050" max="16050" customWidth="1" bestFit="1" width="3.0" style="1122"/>
    <col min="16051" max="16051" customWidth="1" bestFit="1" width="3.0" style="1122"/>
    <col min="16052" max="16052" customWidth="1" bestFit="1" width="3.0" style="1122"/>
    <col min="16053" max="16053" customWidth="1" bestFit="1" width="3.0" style="1122"/>
    <col min="16054" max="16054" customWidth="1" bestFit="1" width="3.0" style="1122"/>
    <col min="16055" max="16055" customWidth="1" bestFit="1" width="3.0" style="1122"/>
    <col min="16056" max="16056" customWidth="1" bestFit="1" width="3.0" style="1122"/>
    <col min="16057" max="16057" customWidth="1" bestFit="1" width="3.0" style="1122"/>
    <col min="16058" max="16058" customWidth="1" bestFit="1" width="3.0" style="1122"/>
    <col min="16059" max="16059" customWidth="1" bestFit="1" width="3.0" style="1122"/>
    <col min="16060" max="16060" customWidth="1" bestFit="1" width="3.0" style="1122"/>
    <col min="16061" max="16061" customWidth="1" bestFit="1" width="3.0" style="1122"/>
    <col min="16062" max="16062" customWidth="1" bestFit="1" width="3.0" style="1122"/>
    <col min="16063" max="16063" customWidth="1" bestFit="1" width="3.0" style="1122"/>
    <col min="16064" max="16064" customWidth="1" bestFit="1" width="3.0" style="1122"/>
    <col min="16065" max="16065" customWidth="1" bestFit="1" width="3.0" style="1122"/>
    <col min="16066" max="16066" customWidth="1" bestFit="1" width="3.0" style="1122"/>
    <col min="16067" max="16067" customWidth="1" bestFit="1" width="3.0" style="1122"/>
    <col min="16068" max="16068" customWidth="1" bestFit="1" width="3.0" style="1122"/>
    <col min="16069" max="16069" customWidth="1" bestFit="1" width="3.0" style="1122"/>
    <col min="16070" max="16070" customWidth="1" bestFit="1" width="3.0" style="1122"/>
    <col min="16071" max="16071" customWidth="1" bestFit="1" width="3.0" style="1122"/>
    <col min="16072" max="16072" customWidth="1" bestFit="1" width="3.0" style="1122"/>
    <col min="16073" max="16073" customWidth="1" bestFit="1" width="3.0" style="1122"/>
    <col min="16074" max="16074" customWidth="1" bestFit="1" width="3.0" style="1122"/>
    <col min="16075" max="16075" customWidth="1" bestFit="1" width="3.0" style="1122"/>
    <col min="16076" max="16076" customWidth="1" bestFit="1" width="3.0" style="1122"/>
    <col min="16077" max="16077" customWidth="1" bestFit="1" width="3.0" style="1122"/>
    <col min="16078" max="16078" customWidth="1" bestFit="1" width="3.0" style="1122"/>
    <col min="16079" max="16079" customWidth="1" bestFit="1" width="3.0" style="1122"/>
    <col min="16080" max="16080" customWidth="1" bestFit="1" width="3.0" style="1122"/>
    <col min="16081" max="16081" customWidth="1" bestFit="1" width="3.0" style="1122"/>
    <col min="16082" max="16082" customWidth="1" bestFit="1" width="3.0" style="1122"/>
    <col min="16083" max="16083" customWidth="1" bestFit="1" width="3.0" style="1122"/>
    <col min="16084" max="16084" customWidth="1" bestFit="1" width="3.0" style="1122"/>
    <col min="16085" max="16085" customWidth="1" bestFit="1" width="3.0" style="1122"/>
    <col min="16086" max="16086" customWidth="1" bestFit="1" width="3.0" style="1122"/>
    <col min="16087" max="16087" customWidth="1" bestFit="1" width="3.0" style="1122"/>
    <col min="16088" max="16088" customWidth="1" bestFit="1" width="3.0" style="1122"/>
    <col min="16089" max="16089" customWidth="1" bestFit="1" width="3.0" style="1122"/>
    <col min="16090" max="16090" customWidth="1" bestFit="1" width="3.0" style="1122"/>
    <col min="16091" max="16091" customWidth="1" bestFit="1" width="3.0" style="1122"/>
    <col min="16092" max="16092" customWidth="1" bestFit="1" width="3.0" style="1122"/>
    <col min="16093" max="16093" customWidth="1" bestFit="1" width="3.0" style="1122"/>
    <col min="16094" max="16094" customWidth="1" bestFit="1" width="3.0" style="1122"/>
    <col min="16095" max="16095" customWidth="1" bestFit="1" width="3.0" style="1122"/>
    <col min="16096" max="16096" customWidth="1" bestFit="1" width="3.0" style="1122"/>
    <col min="16097" max="16097" customWidth="1" bestFit="1" width="3.0" style="1122"/>
    <col min="16098" max="16098" customWidth="1" bestFit="1" width="3.0" style="1122"/>
    <col min="16099" max="16099" customWidth="1" bestFit="1" width="3.0" style="1122"/>
    <col min="16100" max="16100" customWidth="1" bestFit="1" width="3.0" style="1122"/>
    <col min="16101" max="16101" customWidth="1" bestFit="1" width="3.0" style="1122"/>
    <col min="16102" max="16102" customWidth="1" bestFit="1" width="3.0" style="1122"/>
    <col min="16103" max="16103" customWidth="1" bestFit="1" width="3.0" style="1122"/>
    <col min="16104" max="16104" customWidth="1" bestFit="1" width="3.0" style="1122"/>
    <col min="16105" max="16105" customWidth="1" bestFit="1" width="3.0" style="1122"/>
    <col min="16106" max="16106" customWidth="1" bestFit="1" width="3.0" style="1122"/>
    <col min="16107" max="16107" customWidth="1" bestFit="1" width="3.0" style="1122"/>
    <col min="16108" max="16108" customWidth="1" bestFit="1" width="3.0" style="1122"/>
    <col min="16109" max="16109" customWidth="1" bestFit="1" width="3.0" style="1122"/>
    <col min="16110" max="16110" customWidth="1" bestFit="1" width="3.0" style="1122"/>
    <col min="16111" max="16111" customWidth="1" bestFit="1" width="3.0" style="1122"/>
    <col min="16112" max="16112" customWidth="1" bestFit="1" width="3.0" style="1122"/>
    <col min="16113" max="16113" customWidth="1" bestFit="1" width="3.0" style="1122"/>
    <col min="16114" max="16114" customWidth="1" bestFit="1" width="3.0" style="1122"/>
    <col min="16115" max="16115" customWidth="1" bestFit="1" width="3.0" style="1122"/>
    <col min="16116" max="16116" customWidth="1" bestFit="1" width="3.0" style="1122"/>
    <col min="16117" max="16117" customWidth="1" bestFit="1" width="3.0" style="1122"/>
    <col min="16118" max="16118" customWidth="1" bestFit="1" width="3.0" style="1122"/>
    <col min="16119" max="16119" customWidth="1" bestFit="1" width="3.0" style="1122"/>
    <col min="16120" max="16120" customWidth="1" bestFit="1" width="3.0" style="1122"/>
    <col min="16121" max="16121" customWidth="1" bestFit="1" width="3.0" style="1122"/>
    <col min="16122" max="16122" customWidth="1" bestFit="1" width="3.0" style="1122"/>
    <col min="16123" max="16123" customWidth="1" bestFit="1" width="3.0" style="1122"/>
    <col min="16124" max="16124" customWidth="1" bestFit="1" width="3.0" style="1122"/>
    <col min="16125" max="16125" customWidth="1" bestFit="1" width="3.0" style="1122"/>
    <col min="16126" max="16126" customWidth="1" bestFit="1" width="3.0" style="1122"/>
    <col min="16127" max="16127" customWidth="1" bestFit="1" width="3.0" style="1122"/>
    <col min="16128" max="16128" customWidth="1" bestFit="1" width="3.0" style="1122"/>
    <col min="16129" max="16129" customWidth="1" bestFit="1" width="3.0" style="1122"/>
    <col min="16130" max="16130" customWidth="1" bestFit="1" width="3.0" style="1122"/>
    <col min="16131" max="16131" customWidth="1" bestFit="1" width="3.0" style="1122"/>
    <col min="16132" max="16132" customWidth="1" bestFit="1" width="3.0" style="1122"/>
    <col min="16133" max="16133" customWidth="1" bestFit="1" width="3.0" style="1122"/>
    <col min="16134" max="16134" customWidth="1" bestFit="1" width="3.0" style="1122"/>
    <col min="16135" max="16135" customWidth="1" bestFit="1" width="3.0" style="1122"/>
    <col min="16136" max="16136" customWidth="1" bestFit="1" width="3.0" style="1122"/>
    <col min="16137" max="16137" customWidth="1" bestFit="1" width="3.0" style="1122"/>
    <col min="16138" max="16138" customWidth="1" bestFit="1" width="3.0" style="1122"/>
    <col min="16139" max="16139" customWidth="1" bestFit="1" width="3.0" style="1122"/>
    <col min="16140" max="16140" customWidth="1" bestFit="1" width="3.0" style="1122"/>
    <col min="16141" max="16141" customWidth="1" bestFit="1" width="3.0" style="1122"/>
    <col min="16142" max="16142" customWidth="1" bestFit="1" width="3.0" style="1122"/>
    <col min="16143" max="16143" customWidth="1" bestFit="1" width="3.0" style="1122"/>
    <col min="16144" max="16144" customWidth="1" bestFit="1" width="3.0" style="1122"/>
    <col min="16145" max="16145" customWidth="1" bestFit="1" width="3.0" style="1122"/>
    <col min="16146" max="16146" customWidth="1" bestFit="1" width="3.0" style="1122"/>
    <col min="16147" max="16147" customWidth="1" bestFit="1" width="3.0" style="1122"/>
    <col min="16148" max="16148" customWidth="1" bestFit="1" width="3.0" style="1122"/>
    <col min="16149" max="16149" customWidth="1" bestFit="1" width="3.0" style="1122"/>
    <col min="16150" max="16150" customWidth="1" bestFit="1" width="3.0" style="1122"/>
    <col min="16151" max="16151" customWidth="1" bestFit="1" width="3.0" style="1122"/>
    <col min="16152" max="16152" customWidth="1" bestFit="1" width="3.0" style="1122"/>
    <col min="16153" max="16153" customWidth="1" bestFit="1" width="3.0" style="1122"/>
    <col min="16154" max="16154" customWidth="1" bestFit="1" width="3.0" style="1122"/>
    <col min="16155" max="16155" customWidth="1" bestFit="1" width="3.0" style="1122"/>
    <col min="16156" max="16156" customWidth="1" bestFit="1" width="3.0" style="1122"/>
    <col min="16157" max="16157" customWidth="1" bestFit="1" width="3.0" style="1122"/>
    <col min="16158" max="16158" customWidth="1" bestFit="1" width="3.0" style="1122"/>
    <col min="16159" max="16159" customWidth="1" bestFit="1" width="3.0" style="1122"/>
    <col min="16160" max="16160" customWidth="1" bestFit="1" width="3.0" style="1122"/>
    <col min="16161" max="16161" customWidth="1" bestFit="1" width="3.0" style="1122"/>
    <col min="16162" max="16162" customWidth="1" bestFit="1" width="3.0" style="1122"/>
    <col min="16163" max="16163" customWidth="1" bestFit="1" width="3.0" style="1122"/>
    <col min="16164" max="16164" customWidth="1" bestFit="1" width="3.0" style="1122"/>
    <col min="16165" max="16165" customWidth="1" bestFit="1" width="3.0" style="1122"/>
    <col min="16166" max="16166" customWidth="1" bestFit="1" width="3.0" style="1122"/>
    <col min="16167" max="16167" customWidth="1" bestFit="1" width="3.0" style="1122"/>
    <col min="16168" max="16168" customWidth="1" bestFit="1" width="3.0" style="1122"/>
    <col min="16169" max="16169" customWidth="1" bestFit="1" width="3.0" style="1122"/>
    <col min="16170" max="16170" customWidth="1" bestFit="1" width="3.0" style="1122"/>
    <col min="16171" max="16171" customWidth="1" bestFit="1" width="3.0" style="1122"/>
    <col min="16172" max="16172" customWidth="1" bestFit="1" width="3.0" style="1122"/>
    <col min="16173" max="16173" customWidth="1" bestFit="1" width="3.0" style="1122"/>
    <col min="16174" max="16174" customWidth="1" bestFit="1" width="3.0" style="1122"/>
    <col min="16175" max="16175" customWidth="1" bestFit="1" width="3.0" style="1122"/>
    <col min="16176" max="16176" customWidth="1" bestFit="1" width="3.0" style="1122"/>
    <col min="16177" max="16177" customWidth="1" bestFit="1" width="3.0" style="1122"/>
    <col min="16178" max="16178" customWidth="1" bestFit="1" width="3.0" style="1122"/>
    <col min="16179" max="16179" customWidth="1" bestFit="1" width="3.0" style="1122"/>
    <col min="16180" max="16180" customWidth="1" bestFit="1" width="3.0" style="1122"/>
    <col min="16181" max="16181" customWidth="1" bestFit="1" width="3.0" style="1122"/>
    <col min="16182" max="16182" customWidth="1" bestFit="1" width="3.0" style="1122"/>
    <col min="16183" max="16183" customWidth="1" bestFit="1" width="3.0" style="1122"/>
    <col min="16184" max="16184" customWidth="1" bestFit="1" width="3.0" style="1122"/>
    <col min="16185" max="16185" customWidth="1" bestFit="1" width="3.0" style="1122"/>
    <col min="16186" max="16186" customWidth="1" bestFit="1" width="3.0" style="1122"/>
    <col min="16187" max="16187" customWidth="1" bestFit="1" width="3.0" style="1122"/>
    <col min="16188" max="16188" customWidth="1" bestFit="1" width="3.0" style="1122"/>
    <col min="16189" max="16189" customWidth="1" bestFit="1" width="3.0" style="1122"/>
    <col min="16190" max="16190" customWidth="1" bestFit="1" width="3.0" style="1122"/>
    <col min="16191" max="16191" customWidth="1" bestFit="1" width="3.0" style="1122"/>
    <col min="16192" max="16192" customWidth="1" bestFit="1" width="3.0" style="1122"/>
    <col min="16193" max="16193" customWidth="1" bestFit="1" width="3.0" style="1122"/>
    <col min="16194" max="16194" customWidth="1" bestFit="1" width="3.0" style="1122"/>
    <col min="16195" max="16195" customWidth="1" bestFit="1" width="3.0" style="1122"/>
    <col min="16196" max="16196" customWidth="1" bestFit="1" width="3.0" style="1122"/>
    <col min="16197" max="16197" customWidth="1" bestFit="1" width="3.0" style="1122"/>
    <col min="16198" max="16198" customWidth="1" bestFit="1" width="3.0" style="1122"/>
    <col min="16199" max="16199" customWidth="1" bestFit="1" width="3.0" style="1122"/>
    <col min="16200" max="16200" customWidth="1" bestFit="1" width="3.0" style="1122"/>
    <col min="16201" max="16201" customWidth="1" bestFit="1" width="3.0" style="1122"/>
    <col min="16202" max="16202" customWidth="1" bestFit="1" width="3.0" style="1122"/>
    <col min="16203" max="16203" customWidth="1" bestFit="1" width="3.0" style="1122"/>
    <col min="16204" max="16204" customWidth="1" bestFit="1" width="3.0" style="1122"/>
    <col min="16205" max="16205" customWidth="1" bestFit="1" width="3.0" style="1122"/>
    <col min="16206" max="16206" customWidth="1" bestFit="1" width="3.0" style="1122"/>
    <col min="16207" max="16207" customWidth="1" bestFit="1" width="3.0" style="1122"/>
    <col min="16208" max="16208" customWidth="1" bestFit="1" width="3.0" style="1122"/>
    <col min="16209" max="16209" customWidth="1" bestFit="1" width="3.0" style="1122"/>
    <col min="16210" max="16210" customWidth="1" bestFit="1" width="3.0" style="1122"/>
    <col min="16211" max="16211" customWidth="1" bestFit="1" width="3.0" style="1122"/>
    <col min="16212" max="16212" customWidth="1" bestFit="1" width="3.0" style="1122"/>
    <col min="16213" max="16213" customWidth="1" bestFit="1" width="3.0" style="1122"/>
    <col min="16214" max="16214" customWidth="1" bestFit="1" width="3.0" style="1122"/>
    <col min="16215" max="16215" customWidth="1" bestFit="1" width="3.0" style="1122"/>
    <col min="16216" max="16216" customWidth="1" bestFit="1" width="3.0" style="1122"/>
    <col min="16217" max="16217" customWidth="1" bestFit="1" width="3.0" style="1122"/>
    <col min="16218" max="16218" customWidth="1" bestFit="1" width="3.0" style="1122"/>
    <col min="16219" max="16219" customWidth="1" bestFit="1" width="3.0" style="1122"/>
    <col min="16220" max="16220" customWidth="1" bestFit="1" width="3.0" style="1122"/>
    <col min="16221" max="16221" customWidth="1" bestFit="1" width="3.0" style="1122"/>
    <col min="16222" max="16222" customWidth="1" bestFit="1" width="3.0" style="1122"/>
    <col min="16223" max="16223" customWidth="1" bestFit="1" width="3.0" style="1122"/>
    <col min="16224" max="16224" customWidth="1" bestFit="1" width="3.0" style="1122"/>
    <col min="16225" max="16225" customWidth="1" bestFit="1" width="3.0" style="1122"/>
    <col min="16226" max="16226" customWidth="1" bestFit="1" width="3.0" style="1122"/>
    <col min="16227" max="16227" customWidth="1" bestFit="1" width="3.0" style="1122"/>
    <col min="16228" max="16228" customWidth="1" bestFit="1" width="3.0" style="1122"/>
    <col min="16229" max="16229" customWidth="1" bestFit="1" width="3.0" style="1122"/>
    <col min="16230" max="16230" customWidth="1" bestFit="1" width="3.0" style="1122"/>
    <col min="16231" max="16231" customWidth="1" bestFit="1" width="3.0" style="1122"/>
    <col min="16232" max="16232" customWidth="1" bestFit="1" width="3.0" style="1122"/>
    <col min="16233" max="16233" customWidth="1" bestFit="1" width="3.0" style="1122"/>
    <col min="16234" max="16234" customWidth="1" bestFit="1" width="3.0" style="1122"/>
    <col min="16235" max="16235" customWidth="1" bestFit="1" width="3.0" style="1122"/>
    <col min="16236" max="16236" customWidth="1" bestFit="1" width="3.0" style="1122"/>
    <col min="16237" max="16237" customWidth="1" bestFit="1" width="3.0" style="1122"/>
    <col min="16238" max="16238" customWidth="1" bestFit="1" width="3.0" style="1122"/>
    <col min="16239" max="16239" customWidth="1" bestFit="1" width="3.0" style="1122"/>
    <col min="16240" max="16240" customWidth="1" bestFit="1" width="3.0" style="1122"/>
    <col min="16241" max="16241" customWidth="1" bestFit="1" width="3.0" style="1122"/>
    <col min="16242" max="16242" customWidth="1" bestFit="1" width="3.0" style="1122"/>
    <col min="16243" max="16243" customWidth="1" bestFit="1" width="3.0" style="1122"/>
    <col min="16244" max="16244" customWidth="1" bestFit="1" width="3.0" style="1122"/>
    <col min="16245" max="16245" customWidth="1" bestFit="1" width="3.0" style="1122"/>
    <col min="16246" max="16246" customWidth="1" bestFit="1" width="3.0" style="1122"/>
    <col min="16247" max="16247" customWidth="1" bestFit="1" width="3.0" style="1122"/>
    <col min="16248" max="16248" customWidth="1" bestFit="1" width="3.0" style="1122"/>
    <col min="16249" max="16249" customWidth="1" bestFit="1" width="3.0" style="1122"/>
    <col min="16250" max="16250" customWidth="1" bestFit="1" width="3.0" style="1122"/>
    <col min="16251" max="16251" customWidth="1" bestFit="1" width="3.0" style="1122"/>
    <col min="16252" max="16252" customWidth="1" bestFit="1" width="3.0" style="1122"/>
    <col min="16253" max="16253" customWidth="1" bestFit="1" width="3.0" style="1122"/>
    <col min="16254" max="16254" customWidth="1" bestFit="1" width="3.0" style="1122"/>
    <col min="16255" max="16255" customWidth="1" bestFit="1" width="3.0" style="1122"/>
    <col min="16256" max="16256" customWidth="1" bestFit="1" width="3.0" style="1122"/>
    <col min="16257" max="16257" customWidth="1" bestFit="1" width="3.0" style="1122"/>
    <col min="16258" max="16258" customWidth="1" bestFit="1" width="3.0" style="1122"/>
    <col min="16259" max="16259" customWidth="1" bestFit="1" width="3.0" style="1122"/>
    <col min="16260" max="16260" customWidth="1" bestFit="1" width="3.0" style="1122"/>
    <col min="16261" max="16261" customWidth="1" bestFit="1" width="3.0" style="1122"/>
    <col min="16262" max="16262" customWidth="1" bestFit="1" width="3.0" style="1122"/>
    <col min="16263" max="16263" customWidth="1" bestFit="1" width="3.0" style="1122"/>
    <col min="16264" max="16264" customWidth="1" bestFit="1" width="3.0" style="1122"/>
    <col min="16265" max="16265" customWidth="1" bestFit="1" width="3.0" style="1122"/>
    <col min="16266" max="16266" customWidth="1" bestFit="1" width="3.0" style="1122"/>
    <col min="16267" max="16267" customWidth="1" bestFit="1" width="3.0" style="1122"/>
    <col min="16268" max="16268" customWidth="1" bestFit="1" width="3.0" style="1122"/>
    <col min="16269" max="16269" customWidth="1" bestFit="1" width="3.0" style="1122"/>
    <col min="16270" max="16270" customWidth="1" bestFit="1" width="3.0" style="1122"/>
    <col min="16271" max="16271" customWidth="1" bestFit="1" width="3.0" style="1122"/>
    <col min="16272" max="16272" customWidth="1" bestFit="1" width="3.0" style="1122"/>
    <col min="16273" max="16273" customWidth="1" bestFit="1" width="3.0" style="1122"/>
    <col min="16274" max="16274" customWidth="1" bestFit="1" width="3.0" style="1122"/>
    <col min="16275" max="16275" customWidth="1" bestFit="1" width="3.0" style="1122"/>
    <col min="16276" max="16276" customWidth="1" bestFit="1" width="3.0" style="1122"/>
    <col min="16277" max="16277" customWidth="1" bestFit="1" width="3.0" style="1122"/>
    <col min="16278" max="16278" customWidth="1" bestFit="1" width="3.0" style="1122"/>
    <col min="16279" max="16279" customWidth="1" bestFit="1" width="3.0" style="1122"/>
    <col min="16280" max="16280" customWidth="1" bestFit="1" width="3.0" style="1122"/>
    <col min="16281" max="16281" customWidth="1" bestFit="1" width="3.0" style="1122"/>
    <col min="16282" max="16282" customWidth="1" bestFit="1" width="3.0" style="1122"/>
    <col min="16283" max="16283" customWidth="1" bestFit="1" width="3.0" style="1122"/>
    <col min="16284" max="16284" customWidth="1" bestFit="1" width="3.0" style="1122"/>
    <col min="16285" max="16285" customWidth="1" bestFit="1" width="3.0" style="1122"/>
    <col min="16286" max="16286" customWidth="1" bestFit="1" width="3.0" style="1122"/>
    <col min="16287" max="16287" customWidth="1" bestFit="1" width="3.0" style="1122"/>
    <col min="16288" max="16288" customWidth="1" bestFit="1" width="3.0" style="1122"/>
    <col min="16289" max="16289" customWidth="1" bestFit="1" width="3.0" style="1122"/>
    <col min="16290" max="16290" customWidth="1" bestFit="1" width="3.0" style="1122"/>
    <col min="16291" max="16291" customWidth="1" bestFit="1" width="3.0" style="1122"/>
    <col min="16292" max="16292" customWidth="1" bestFit="1" width="3.0" style="1122"/>
    <col min="16293" max="16293" customWidth="1" bestFit="1" width="3.0" style="1122"/>
    <col min="16294" max="16294" customWidth="1" bestFit="1" width="3.0" style="1122"/>
    <col min="16295" max="16295" customWidth="1" bestFit="1" width="3.0" style="1122"/>
    <col min="16296" max="16296" customWidth="1" bestFit="1" width="3.0" style="1122"/>
    <col min="16297" max="16297" customWidth="1" bestFit="1" width="3.0" style="1122"/>
    <col min="16298" max="16298" customWidth="1" bestFit="1" width="3.0" style="1122"/>
    <col min="16299" max="16299" customWidth="1" bestFit="1" width="3.0" style="1122"/>
    <col min="16300" max="16300" customWidth="1" bestFit="1" width="3.0" style="1122"/>
    <col min="16301" max="16301" customWidth="1" bestFit="1" width="3.0" style="1122"/>
    <col min="16302" max="16302" customWidth="1" bestFit="1" width="3.0" style="1122"/>
    <col min="16303" max="16303" customWidth="1" bestFit="1" width="3.0" style="1122"/>
    <col min="16304" max="16304" customWidth="1" bestFit="1" width="3.0" style="1122"/>
    <col min="16305" max="16305" customWidth="1" bestFit="1" width="3.0" style="1122"/>
    <col min="16306" max="16306" customWidth="1" bestFit="1" width="3.0" style="1122"/>
    <col min="16307" max="16307" customWidth="1" bestFit="1" width="3.0" style="1122"/>
    <col min="16308" max="16308" customWidth="1" bestFit="1" width="3.0" style="1122"/>
    <col min="16309" max="16309" customWidth="1" bestFit="1" width="3.0" style="1122"/>
    <col min="16310" max="16310" customWidth="1" bestFit="1" width="3.0" style="1122"/>
    <col min="16311" max="16311" customWidth="1" bestFit="1" width="3.0" style="1122"/>
    <col min="16312" max="16312" customWidth="1" bestFit="1" width="3.0" style="1122"/>
    <col min="16313" max="16313" customWidth="1" bestFit="1" width="3.0" style="1122"/>
    <col min="16314" max="16314" customWidth="1" bestFit="1" width="3.0" style="1122"/>
    <col min="16315" max="16315" customWidth="1" bestFit="1" width="3.0" style="1122"/>
    <col min="16316" max="16316" customWidth="1" bestFit="1" width="3.0" style="1122"/>
    <col min="16317" max="16317" customWidth="1" bestFit="1" width="3.0" style="1122"/>
    <col min="16318" max="16318" customWidth="1" bestFit="1" width="3.0" style="1122"/>
    <col min="16319" max="16319" customWidth="1" bestFit="1" width="3.0" style="1122"/>
    <col min="16320" max="16320" customWidth="1" bestFit="1" width="3.0" style="1122"/>
    <col min="16321" max="16321" customWidth="1" bestFit="1" width="3.0" style="1122"/>
    <col min="16322" max="16322" customWidth="1" bestFit="1" width="3.0" style="1122"/>
    <col min="16323" max="16323" customWidth="1" bestFit="1" width="3.0" style="1122"/>
    <col min="16324" max="16324" customWidth="1" bestFit="1" width="3.0" style="1122"/>
    <col min="16325" max="16325" customWidth="1" bestFit="1" width="3.0" style="1122"/>
    <col min="16326" max="16326" customWidth="1" bestFit="1" width="3.0" style="1122"/>
    <col min="16327" max="16327" customWidth="1" bestFit="1" width="3.0" style="1122"/>
    <col min="16328" max="16328" customWidth="1" bestFit="1" width="3.0" style="1122"/>
    <col min="16329" max="16329" customWidth="1" bestFit="1" width="3.0" style="1122"/>
    <col min="16330" max="16330" customWidth="1" bestFit="1" width="3.0" style="1122"/>
    <col min="16331" max="16331" customWidth="1" bestFit="1" width="3.0" style="1122"/>
    <col min="16332" max="16332" customWidth="1" bestFit="1" width="3.0" style="1122"/>
    <col min="16333" max="16333" customWidth="1" bestFit="1" width="3.0" style="1122"/>
    <col min="16334" max="16334" customWidth="1" bestFit="1" width="3.0" style="1122"/>
    <col min="16335" max="16335" customWidth="1" bestFit="1" width="3.0" style="1122"/>
    <col min="16336" max="16336" customWidth="1" bestFit="1" width="3.0" style="1122"/>
    <col min="16337" max="16337" customWidth="1" bestFit="1" width="3.0" style="1122"/>
    <col min="16338" max="16338" customWidth="1" bestFit="1" width="3.0" style="1122"/>
    <col min="16339" max="16339" customWidth="1" bestFit="1" width="3.0" style="1122"/>
    <col min="16340" max="16340" customWidth="1" bestFit="1" width="3.0" style="1122"/>
    <col min="16341" max="16341" customWidth="1" bestFit="1" width="3.0" style="1122"/>
    <col min="16342" max="16342" customWidth="1" bestFit="1" width="3.0" style="1122"/>
    <col min="16343" max="16343" customWidth="1" bestFit="1" width="3.0" style="1122"/>
    <col min="16344" max="16344" customWidth="1" bestFit="1" width="3.0" style="1122"/>
    <col min="16345" max="16345" customWidth="1" bestFit="1" width="3.0" style="1122"/>
    <col min="16346" max="16346" customWidth="1" bestFit="1" width="3.0" style="1122"/>
    <col min="16347" max="16347" customWidth="1" bestFit="1" width="3.0" style="1122"/>
    <col min="16348" max="16348" customWidth="1" bestFit="1" width="3.0" style="1122"/>
    <col min="16349" max="16349" customWidth="1" bestFit="1" width="3.0" style="1122"/>
    <col min="16350" max="16350" customWidth="1" bestFit="1" width="3.0" style="1122"/>
    <col min="16351" max="16351" customWidth="1" bestFit="1" width="3.0" style="1122"/>
    <col min="16352" max="16352" customWidth="1" bestFit="1" width="3.0" style="1122"/>
    <col min="16353" max="16353" customWidth="1" bestFit="1" width="3.0" style="1122"/>
    <col min="16354" max="16354" customWidth="1" bestFit="1" width="3.0" style="1122"/>
    <col min="16355" max="16355" customWidth="1" bestFit="1" width="3.0" style="1122"/>
    <col min="16356" max="16356" customWidth="1" bestFit="1" width="3.0" style="1122"/>
    <col min="16357" max="16357" customWidth="1" bestFit="1" width="3.0" style="1122"/>
    <col min="16358" max="16358" customWidth="1" bestFit="1" width="3.0" style="1122"/>
    <col min="16359" max="16359" customWidth="1" bestFit="1" width="3.0" style="1122"/>
    <col min="16360" max="16360" customWidth="1" bestFit="1" width="3.0" style="1122"/>
    <col min="16361" max="16361" customWidth="1" bestFit="1" width="3.0" style="1122"/>
    <col min="16362" max="16362" customWidth="1" bestFit="1" width="3.0" style="1122"/>
    <col min="16363" max="16363" customWidth="1" bestFit="1" width="3.0" style="1122"/>
    <col min="16364" max="16364" customWidth="1" bestFit="1" width="3.0" style="1122"/>
    <col min="16365" max="16365" customWidth="1" bestFit="1" width="3.0" style="1122"/>
    <col min="16366" max="16366" customWidth="1" bestFit="1" width="3.0" style="1122"/>
    <col min="16367" max="16367" customWidth="1" bestFit="1" width="3.0" style="1122"/>
    <col min="16368" max="16368" customWidth="1" bestFit="1" width="3.0" style="1122"/>
    <col min="16369" max="16369" customWidth="1" bestFit="1" width="3.0" style="1122"/>
    <col min="16370" max="16370" customWidth="1" bestFit="1" width="3.0" style="1122"/>
    <col min="16371" max="16371" customWidth="1" bestFit="1" width="3.0" style="1122"/>
    <col min="16372" max="16372" customWidth="1" bestFit="1" width="3.0" style="1122"/>
    <col min="16373" max="16373" customWidth="1" bestFit="1" width="3.0" style="1122"/>
    <col min="16374" max="16374" customWidth="1" bestFit="1" width="3.0" style="1122"/>
    <col min="16375" max="16375" customWidth="1" bestFit="1" width="3.0" style="1122"/>
    <col min="16376" max="16376" customWidth="1" bestFit="1" width="3.0" style="1122"/>
    <col min="16377" max="16377" customWidth="1" bestFit="1" width="3.0" style="1122"/>
    <col min="16378" max="16378" customWidth="1" bestFit="1" width="3.0" style="1122"/>
    <col min="16379" max="16379" customWidth="1" bestFit="1" width="3.0" style="1122"/>
    <col min="16380" max="16380" customWidth="1" bestFit="1" width="3.0" style="1122"/>
    <col min="16381" max="16381" customWidth="1" bestFit="1" width="3.0" style="1122"/>
    <col min="16382" max="16382" customWidth="1" bestFit="1" width="3.0" style="1122"/>
    <col min="16383" max="16383" customWidth="1" bestFit="1" width="3.0" style="1122"/>
    <col min="16384" max="16384" customWidth="1" bestFit="1" width="3.0" style="1122"/>
  </cols>
  <sheetData>
    <row r="3" spans="8:8">
      <c r="C3" s="1123" t="s">
        <v>48</v>
      </c>
      <c r="D3" s="1123"/>
      <c r="E3" s="1123"/>
      <c r="F3" s="1123"/>
      <c r="G3" s="1123"/>
      <c r="H3" s="1123"/>
      <c r="I3" s="1123"/>
      <c r="J3" s="1123"/>
      <c r="K3" s="1123"/>
      <c r="L3" s="1123"/>
      <c r="M3" s="1123"/>
      <c r="N3" s="1123"/>
      <c r="O3" s="1123"/>
      <c r="P3" s="1123"/>
      <c r="Q3" s="1123"/>
      <c r="R3" s="1123"/>
      <c r="S3" s="1123"/>
      <c r="T3" s="1123"/>
      <c r="U3" s="1123"/>
      <c r="V3" s="1123"/>
      <c r="W3" s="1123"/>
      <c r="X3" s="1123"/>
      <c r="Y3" s="1123"/>
      <c r="Z3" s="1123"/>
      <c r="AA3" s="1123"/>
      <c r="AB3" s="1123"/>
      <c r="AC3" s="1123"/>
      <c r="AD3" s="1123"/>
      <c r="AE3" s="1123"/>
      <c r="AF3" s="1123"/>
      <c r="AG3" s="1123"/>
      <c r="AH3" s="1123"/>
      <c r="AI3" s="1123"/>
      <c r="AJ3" s="1123"/>
      <c r="AK3" s="1123"/>
      <c r="AL3" s="1123"/>
      <c r="AM3" s="1123"/>
      <c r="AN3" s="1123"/>
      <c r="AO3" s="1123"/>
      <c r="AP3" s="1123"/>
      <c r="AQ3" s="1123"/>
      <c r="AR3" s="1123"/>
    </row>
    <row r="4" spans="8:8" ht="18.45">
      <c r="C4" s="1124"/>
      <c r="D4" s="1125" t="str">
        <f>人物卡!D15</f>
        <v>本职</v>
      </c>
      <c r="E4" s="1126"/>
      <c r="F4" s="1126" t="str">
        <f>人物卡!F15</f>
        <v>技能名称</v>
      </c>
      <c r="G4" s="1126"/>
      <c r="H4" s="1126"/>
      <c r="I4" s="1126"/>
      <c r="J4" s="1126" t="str">
        <f>人物卡!J15</f>
        <v>初始</v>
      </c>
      <c r="K4" s="1126"/>
      <c r="L4" s="1126" t="str">
        <f>人物卡!L15</f>
        <v>成长</v>
      </c>
      <c r="M4" s="1126"/>
      <c r="N4" s="1126" t="str">
        <f>人物卡!N15</f>
        <v>职业</v>
      </c>
      <c r="O4" s="1126"/>
      <c r="P4" s="1126" t="str">
        <f>人物卡!P15</f>
        <v>兴趣</v>
      </c>
      <c r="Q4" s="1126"/>
      <c r="R4" s="1126" t="str">
        <f>人物卡!R15</f>
        <v>成功率 普通/困难/极难</v>
      </c>
      <c r="S4" s="1126"/>
      <c r="T4" s="1126"/>
      <c r="U4" s="1126"/>
      <c r="V4" s="1126"/>
      <c r="W4" s="1127"/>
      <c r="X4" s="1128" t="str">
        <f>人物卡!Z15</f>
        <v>本职</v>
      </c>
      <c r="Y4" s="1126"/>
      <c r="Z4" s="1126" t="str">
        <f>人物卡!AB15</f>
        <v>技能名称</v>
      </c>
      <c r="AA4" s="1126"/>
      <c r="AB4" s="1126"/>
      <c r="AC4" s="1126"/>
      <c r="AD4" s="1126" t="str">
        <f>人物卡!AF15</f>
        <v>初始</v>
      </c>
      <c r="AE4" s="1126"/>
      <c r="AF4" s="1126" t="str">
        <f>人物卡!AH15</f>
        <v>成长</v>
      </c>
      <c r="AG4" s="1126"/>
      <c r="AH4" s="1126" t="str">
        <f>人物卡!AJ15</f>
        <v>职业</v>
      </c>
      <c r="AI4" s="1126"/>
      <c r="AJ4" s="1126" t="str">
        <f>人物卡!AL15</f>
        <v>兴趣</v>
      </c>
      <c r="AK4" s="1126"/>
      <c r="AL4" s="1126" t="str">
        <f>人物卡!AN15</f>
        <v>成功率 普通/困难/极难</v>
      </c>
      <c r="AM4" s="1126"/>
      <c r="AN4" s="1126"/>
      <c r="AO4" s="1126"/>
      <c r="AP4" s="1126"/>
      <c r="AQ4" s="1127"/>
      <c r="AR4" s="1129"/>
    </row>
    <row r="5" spans="8:8">
      <c r="C5" s="1130" t="str">
        <f>IF(人物卡!A16="","",人物卡!A16)</f>
        <v>📒</v>
      </c>
      <c r="D5" s="1131">
        <f>人物卡!D16</f>
        <v>0.0</v>
      </c>
      <c r="E5" s="215"/>
      <c r="F5" s="215" t="str">
        <f>人物卡!F16</f>
        <v>会计</v>
      </c>
      <c r="G5" s="215"/>
      <c r="H5" s="215"/>
      <c r="I5" s="215"/>
      <c r="J5" s="1132">
        <f>人物卡!J16</f>
        <v>5.0</v>
      </c>
      <c r="K5" s="1132"/>
      <c r="L5" s="215">
        <f>人物卡!L16</f>
        <v>0.0</v>
      </c>
      <c r="M5" s="215"/>
      <c r="N5" s="215">
        <f>人物卡!N16</f>
        <v>0.0</v>
      </c>
      <c r="O5" s="215"/>
      <c r="P5" s="215">
        <f>人物卡!P16</f>
        <v>0.0</v>
      </c>
      <c r="Q5" s="215"/>
      <c r="R5" s="1132">
        <f>人物卡!R16</f>
        <v>5.0</v>
      </c>
      <c r="S5" s="1132"/>
      <c r="T5" s="1132">
        <f>人物卡!T16</f>
        <v>2.0</v>
      </c>
      <c r="U5" s="1132"/>
      <c r="V5" s="1133">
        <f>人物卡!V16</f>
        <v>1.0</v>
      </c>
      <c r="W5" s="1133"/>
      <c r="X5" s="1134">
        <f>人物卡!Z16</f>
        <v>0.0</v>
      </c>
      <c r="Y5" s="215"/>
      <c r="Z5" s="215" t="str">
        <f>人物卡!AB16</f>
        <v>法律</v>
      </c>
      <c r="AA5" s="215"/>
      <c r="AB5" s="215"/>
      <c r="AC5" s="215"/>
      <c r="AD5" s="1132">
        <f>人物卡!AF16</f>
        <v>5.0</v>
      </c>
      <c r="AE5" s="1132"/>
      <c r="AF5" s="215">
        <f>人物卡!AH16</f>
        <v>0.0</v>
      </c>
      <c r="AG5" s="215"/>
      <c r="AH5" s="215">
        <f>人物卡!AJ16</f>
        <v>0.0</v>
      </c>
      <c r="AI5" s="215"/>
      <c r="AJ5" s="215">
        <f>人物卡!AL16</f>
        <v>0.0</v>
      </c>
      <c r="AK5" s="215"/>
      <c r="AL5" s="1132">
        <f>人物卡!AN16</f>
        <v>5.0</v>
      </c>
      <c r="AM5" s="1132"/>
      <c r="AN5" s="1132">
        <f>人物卡!AP16</f>
        <v>2.0</v>
      </c>
      <c r="AO5" s="1132"/>
      <c r="AP5" s="1133">
        <f>人物卡!AR16</f>
        <v>1.0</v>
      </c>
      <c r="AQ5" s="1133"/>
      <c r="AR5" s="1135" t="str">
        <f>IF(人物卡!AT16="","",人物卡!AT16)</f>
        <v>⚖️</v>
      </c>
    </row>
    <row r="6" spans="8:8" ht="20.3">
      <c r="C6" s="1136" t="str">
        <f>IF(人物卡!A17="","",人物卡!A17)</f>
        <v>👨🏿‍🦲</v>
      </c>
      <c r="D6" s="1137">
        <f>人物卡!D17</f>
        <v>0.0</v>
      </c>
      <c r="E6" s="1138"/>
      <c r="F6" s="1138" t="str">
        <f>人物卡!F17</f>
        <v>人类学</v>
      </c>
      <c r="G6" s="1138"/>
      <c r="H6" s="1138"/>
      <c r="I6" s="1138"/>
      <c r="J6" s="1139">
        <f>人物卡!J17</f>
        <v>1.0</v>
      </c>
      <c r="K6" s="1139"/>
      <c r="L6" s="1138">
        <f>人物卡!L17</f>
        <v>0.0</v>
      </c>
      <c r="M6" s="1138"/>
      <c r="N6" s="1138">
        <f>人物卡!N17</f>
        <v>0.0</v>
      </c>
      <c r="O6" s="1138"/>
      <c r="P6" s="1138">
        <f>人物卡!P17</f>
        <v>0.0</v>
      </c>
      <c r="Q6" s="1138"/>
      <c r="R6" s="1139">
        <f>人物卡!R17</f>
        <v>1.0</v>
      </c>
      <c r="S6" s="1139"/>
      <c r="T6" s="1139">
        <f>人物卡!T17</f>
        <v>0.0</v>
      </c>
      <c r="U6" s="1139"/>
      <c r="V6" s="1140">
        <f>人物卡!V17</f>
        <v>0.0</v>
      </c>
      <c r="W6" s="1140"/>
      <c r="X6" s="1141">
        <f>人物卡!Z17</f>
        <v>0.0</v>
      </c>
      <c r="Y6" s="1138"/>
      <c r="Z6" s="1138" t="str">
        <f>人物卡!AB17</f>
        <v>图书馆使用</v>
      </c>
      <c r="AA6" s="1138"/>
      <c r="AB6" s="1138"/>
      <c r="AC6" s="1138"/>
      <c r="AD6" s="1139">
        <f>人物卡!AF17</f>
        <v>20.0</v>
      </c>
      <c r="AE6" s="1139"/>
      <c r="AF6" s="1138">
        <f>人物卡!AH17</f>
        <v>0.0</v>
      </c>
      <c r="AG6" s="1138"/>
      <c r="AH6" s="1138">
        <f>人物卡!AJ17</f>
        <v>0.0</v>
      </c>
      <c r="AI6" s="1138"/>
      <c r="AJ6" s="1138">
        <f>人物卡!AL17</f>
        <v>0.0</v>
      </c>
      <c r="AK6" s="1138"/>
      <c r="AL6" s="1139">
        <f>人物卡!AN17</f>
        <v>20.0</v>
      </c>
      <c r="AM6" s="1139"/>
      <c r="AN6" s="1139">
        <f>人物卡!AP17</f>
        <v>10.0</v>
      </c>
      <c r="AO6" s="1139"/>
      <c r="AP6" s="1140">
        <f>人物卡!AR17</f>
        <v>4.0</v>
      </c>
      <c r="AQ6" s="1140"/>
      <c r="AR6" s="1142" t="str">
        <f>IF(人物卡!AT17="","",人物卡!AT17)</f>
        <v>📚</v>
      </c>
    </row>
    <row r="7" spans="8:8">
      <c r="C7" s="1130" t="str">
        <f>IF(人物卡!A18="","",人物卡!A18)</f>
        <v>💵</v>
      </c>
      <c r="D7" s="1131">
        <f>人物卡!D18</f>
        <v>0.0</v>
      </c>
      <c r="E7" s="215"/>
      <c r="F7" s="215" t="str">
        <f>人物卡!F18</f>
        <v>估价</v>
      </c>
      <c r="G7" s="215"/>
      <c r="H7" s="215"/>
      <c r="I7" s="215"/>
      <c r="J7" s="1132">
        <f>人物卡!J18</f>
        <v>5.0</v>
      </c>
      <c r="K7" s="1132"/>
      <c r="L7" s="215">
        <f>人物卡!L18</f>
        <v>0.0</v>
      </c>
      <c r="M7" s="215"/>
      <c r="N7" s="215">
        <f>人物卡!N18</f>
        <v>0.0</v>
      </c>
      <c r="O7" s="215"/>
      <c r="P7" s="215">
        <f>人物卡!P18</f>
        <v>0.0</v>
      </c>
      <c r="Q7" s="215"/>
      <c r="R7" s="1132">
        <f>人物卡!R18</f>
        <v>5.0</v>
      </c>
      <c r="S7" s="1132"/>
      <c r="T7" s="1132">
        <f>人物卡!T18</f>
        <v>2.0</v>
      </c>
      <c r="U7" s="1132"/>
      <c r="V7" s="1133">
        <f>人物卡!V18</f>
        <v>1.0</v>
      </c>
      <c r="W7" s="1133"/>
      <c r="X7" s="1134">
        <f>人物卡!Z18</f>
        <v>0.0</v>
      </c>
      <c r="Y7" s="215"/>
      <c r="Z7" s="215" t="str">
        <f>人物卡!AB18</f>
        <v>聆听</v>
      </c>
      <c r="AA7" s="215"/>
      <c r="AB7" s="215"/>
      <c r="AC7" s="215"/>
      <c r="AD7" s="1132">
        <f>人物卡!AF18</f>
        <v>20.0</v>
      </c>
      <c r="AE7" s="1132"/>
      <c r="AF7" s="215">
        <f>人物卡!AH18</f>
        <v>0.0</v>
      </c>
      <c r="AG7" s="215"/>
      <c r="AH7" s="215">
        <f>人物卡!AJ18</f>
        <v>0.0</v>
      </c>
      <c r="AI7" s="215"/>
      <c r="AJ7" s="215">
        <f>人物卡!AL18</f>
        <v>0.0</v>
      </c>
      <c r="AK7" s="215"/>
      <c r="AL7" s="1132">
        <f>人物卡!AN18</f>
        <v>20.0</v>
      </c>
      <c r="AM7" s="1132"/>
      <c r="AN7" s="1132">
        <f>人物卡!AP18</f>
        <v>10.0</v>
      </c>
      <c r="AO7" s="1132"/>
      <c r="AP7" s="1133">
        <f>人物卡!AR18</f>
        <v>4.0</v>
      </c>
      <c r="AQ7" s="1133"/>
      <c r="AR7" s="1135" t="str">
        <f>IF(人物卡!AT18="","",人物卡!AT18)</f>
        <v>👂</v>
      </c>
    </row>
    <row r="8" spans="8:8">
      <c r="C8" s="1136" t="str">
        <f>IF(人物卡!A19="","",人物卡!A19)</f>
        <v>🗿</v>
      </c>
      <c r="D8" s="1137">
        <f>人物卡!D19</f>
        <v>0.0</v>
      </c>
      <c r="E8" s="1138"/>
      <c r="F8" s="1138" t="str">
        <f>人物卡!F19</f>
        <v>考古学</v>
      </c>
      <c r="G8" s="1138"/>
      <c r="H8" s="1138"/>
      <c r="I8" s="1138"/>
      <c r="J8" s="1139">
        <f>人物卡!J19</f>
        <v>1.0</v>
      </c>
      <c r="K8" s="1139"/>
      <c r="L8" s="1138">
        <f>人物卡!L19</f>
        <v>0.0</v>
      </c>
      <c r="M8" s="1138"/>
      <c r="N8" s="1138">
        <f>人物卡!N19</f>
        <v>0.0</v>
      </c>
      <c r="O8" s="1138"/>
      <c r="P8" s="1138">
        <f>人物卡!P19</f>
        <v>0.0</v>
      </c>
      <c r="Q8" s="1138"/>
      <c r="R8" s="1139">
        <f>人物卡!R19</f>
        <v>1.0</v>
      </c>
      <c r="S8" s="1139"/>
      <c r="T8" s="1139">
        <f>人物卡!T19</f>
        <v>0.0</v>
      </c>
      <c r="U8" s="1139"/>
      <c r="V8" s="1140">
        <f>人物卡!V19</f>
        <v>0.0</v>
      </c>
      <c r="W8" s="1140"/>
      <c r="X8" s="1141">
        <f>人物卡!Z19</f>
        <v>0.0</v>
      </c>
      <c r="Y8" s="1138"/>
      <c r="Z8" s="1138" t="str">
        <f>人物卡!AB19</f>
        <v>锁匠</v>
      </c>
      <c r="AA8" s="1138"/>
      <c r="AB8" s="1138"/>
      <c r="AC8" s="1138"/>
      <c r="AD8" s="1139">
        <f>人物卡!AF19</f>
        <v>1.0</v>
      </c>
      <c r="AE8" s="1139"/>
      <c r="AF8" s="1138">
        <f>人物卡!AH19</f>
        <v>0.0</v>
      </c>
      <c r="AG8" s="1138"/>
      <c r="AH8" s="1138">
        <f>人物卡!AJ19</f>
        <v>0.0</v>
      </c>
      <c r="AI8" s="1138"/>
      <c r="AJ8" s="1138">
        <f>人物卡!AL19</f>
        <v>0.0</v>
      </c>
      <c r="AK8" s="1138"/>
      <c r="AL8" s="1139">
        <f>人物卡!AN19</f>
        <v>1.0</v>
      </c>
      <c r="AM8" s="1139"/>
      <c r="AN8" s="1139">
        <f>人物卡!AP19</f>
        <v>0.0</v>
      </c>
      <c r="AO8" s="1139"/>
      <c r="AP8" s="1140">
        <f>人物卡!AR19</f>
        <v>0.0</v>
      </c>
      <c r="AQ8" s="1140"/>
      <c r="AR8" s="1142" t="str">
        <f>IF(人物卡!AT19="","",人物卡!AT19)</f>
        <v>🔒</v>
      </c>
    </row>
    <row r="9" spans="8:8" ht="20.3">
      <c r="C9" s="1130" t="str">
        <f>IF(人物卡!A20="","",人物卡!A20)</f>
        <v>🔅</v>
      </c>
      <c r="D9" s="1131">
        <f>人物卡!D20</f>
        <v>0.0</v>
      </c>
      <c r="E9" s="215"/>
      <c r="F9" s="215" t="str">
        <f>人物卡!F20</f>
        <v>技艺①</v>
      </c>
      <c r="G9" s="215"/>
      <c r="H9" s="215" t="str">
        <f>IF(人物卡!H20="","",人物卡!H20)</f>
        <v/>
      </c>
      <c r="I9" s="215"/>
      <c r="J9" s="1132">
        <f>人物卡!J20</f>
        <v>5.0</v>
      </c>
      <c r="K9" s="1132"/>
      <c r="L9" s="215">
        <f>人物卡!L20</f>
        <v>0.0</v>
      </c>
      <c r="M9" s="215"/>
      <c r="N9" s="215">
        <f>人物卡!N20</f>
        <v>0.0</v>
      </c>
      <c r="O9" s="215"/>
      <c r="P9" s="215">
        <f>人物卡!P20</f>
        <v>0.0</v>
      </c>
      <c r="Q9" s="215"/>
      <c r="R9" s="1132">
        <f>人物卡!R20</f>
        <v>5.0</v>
      </c>
      <c r="S9" s="1132"/>
      <c r="T9" s="1132">
        <f>人物卡!T20</f>
        <v>2.0</v>
      </c>
      <c r="U9" s="1132"/>
      <c r="V9" s="1133">
        <f>人物卡!V20</f>
        <v>1.0</v>
      </c>
      <c r="W9" s="1133"/>
      <c r="X9" s="1134">
        <f>人物卡!Z20</f>
        <v>0.0</v>
      </c>
      <c r="Y9" s="215"/>
      <c r="Z9" s="215" t="str">
        <f>人物卡!AB20</f>
        <v>机械维修</v>
      </c>
      <c r="AA9" s="215"/>
      <c r="AB9" s="215"/>
      <c r="AC9" s="215"/>
      <c r="AD9" s="1132">
        <f>人物卡!AF20</f>
        <v>10.0</v>
      </c>
      <c r="AE9" s="1132"/>
      <c r="AF9" s="215">
        <f>人物卡!AH20</f>
        <v>0.0</v>
      </c>
      <c r="AG9" s="215"/>
      <c r="AH9" s="215">
        <f>人物卡!AJ20</f>
        <v>0.0</v>
      </c>
      <c r="AI9" s="215"/>
      <c r="AJ9" s="215">
        <f>人物卡!AL20</f>
        <v>0.0</v>
      </c>
      <c r="AK9" s="215"/>
      <c r="AL9" s="1132">
        <f>人物卡!AN20</f>
        <v>10.0</v>
      </c>
      <c r="AM9" s="1132"/>
      <c r="AN9" s="1132">
        <f>人物卡!AP20</f>
        <v>5.0</v>
      </c>
      <c r="AO9" s="1132"/>
      <c r="AP9" s="1133">
        <f>人物卡!AR20</f>
        <v>2.0</v>
      </c>
      <c r="AQ9" s="1133"/>
      <c r="AR9" s="1135" t="str">
        <f>IF(人物卡!AT20="","",人物卡!AT20)</f>
        <v>🛠️</v>
      </c>
    </row>
    <row r="10" spans="8:8">
      <c r="C10" s="1136" t="str">
        <f>IF(人物卡!A21="","",人物卡!A21)</f>
        <v>🔅</v>
      </c>
      <c r="D10" s="1137">
        <f>人物卡!D21</f>
        <v>0.0</v>
      </c>
      <c r="E10" s="1138"/>
      <c r="F10" s="1138" t="str">
        <f>人物卡!F21</f>
        <v>技艺②</v>
      </c>
      <c r="G10" s="1138"/>
      <c r="H10" s="1138" t="str">
        <f>IF(人物卡!H21="","",人物卡!H21)</f>
        <v/>
      </c>
      <c r="I10" s="1138"/>
      <c r="J10" s="1139">
        <f>人物卡!J21</f>
        <v>5.0</v>
      </c>
      <c r="K10" s="1139"/>
      <c r="L10" s="1138">
        <f>人物卡!L21</f>
        <v>0.0</v>
      </c>
      <c r="M10" s="1138"/>
      <c r="N10" s="1138">
        <f>人物卡!N21</f>
        <v>0.0</v>
      </c>
      <c r="O10" s="1138"/>
      <c r="P10" s="1138">
        <f>人物卡!P21</f>
        <v>0.0</v>
      </c>
      <c r="Q10" s="1138"/>
      <c r="R10" s="1139">
        <f>人物卡!R21</f>
        <v>5.0</v>
      </c>
      <c r="S10" s="1139"/>
      <c r="T10" s="1139">
        <f>人物卡!T21</f>
        <v>2.0</v>
      </c>
      <c r="U10" s="1139"/>
      <c r="V10" s="1140">
        <f>人物卡!V21</f>
        <v>1.0</v>
      </c>
      <c r="W10" s="1140"/>
      <c r="X10" s="1141">
        <f>人物卡!Z21</f>
        <v>0.0</v>
      </c>
      <c r="Y10" s="1138"/>
      <c r="Z10" s="1138" t="str">
        <f>人物卡!AB21</f>
        <v>医学</v>
      </c>
      <c r="AA10" s="1138"/>
      <c r="AB10" s="1138"/>
      <c r="AC10" s="1138"/>
      <c r="AD10" s="1139">
        <f>人物卡!AF21</f>
        <v>1.0</v>
      </c>
      <c r="AE10" s="1139"/>
      <c r="AF10" s="1138">
        <f>人物卡!AH21</f>
        <v>0.0</v>
      </c>
      <c r="AG10" s="1138"/>
      <c r="AH10" s="1138">
        <f>人物卡!AJ21</f>
        <v>0.0</v>
      </c>
      <c r="AI10" s="1138"/>
      <c r="AJ10" s="1138">
        <f>人物卡!AL21</f>
        <v>0.0</v>
      </c>
      <c r="AK10" s="1138"/>
      <c r="AL10" s="1139">
        <f>人物卡!AN21</f>
        <v>1.0</v>
      </c>
      <c r="AM10" s="1139"/>
      <c r="AN10" s="1139">
        <f>人物卡!AP21</f>
        <v>0.0</v>
      </c>
      <c r="AO10" s="1139"/>
      <c r="AP10" s="1140">
        <f>人物卡!AR21</f>
        <v>0.0</v>
      </c>
      <c r="AQ10" s="1140"/>
      <c r="AR10" s="1142" t="str">
        <f>IF(人物卡!AT21="","",人物卡!AT21)</f>
        <v>💊</v>
      </c>
    </row>
    <row r="11" spans="8:8" ht="19.55">
      <c r="C11" s="1130" t="str">
        <f>IF(人物卡!A22="","",人物卡!A22)</f>
        <v>🔅</v>
      </c>
      <c r="D11" s="1131">
        <f>人物卡!D22</f>
        <v>0.0</v>
      </c>
      <c r="E11" s="215"/>
      <c r="F11" s="215" t="str">
        <f>人物卡!F22</f>
        <v>技艺③</v>
      </c>
      <c r="G11" s="215"/>
      <c r="H11" s="215" t="str">
        <f>IF(人物卡!H22="","",人物卡!H22)</f>
        <v/>
      </c>
      <c r="I11" s="215"/>
      <c r="J11" s="1132">
        <f>人物卡!J22</f>
        <v>5.0</v>
      </c>
      <c r="K11" s="1132"/>
      <c r="L11" s="215">
        <f>人物卡!L22</f>
        <v>0.0</v>
      </c>
      <c r="M11" s="215"/>
      <c r="N11" s="215">
        <f>人物卡!N22</f>
        <v>0.0</v>
      </c>
      <c r="O11" s="215"/>
      <c r="P11" s="215">
        <f>人物卡!P22</f>
        <v>0.0</v>
      </c>
      <c r="Q11" s="215"/>
      <c r="R11" s="1132">
        <f>人物卡!R22</f>
        <v>5.0</v>
      </c>
      <c r="S11" s="1132"/>
      <c r="T11" s="1132">
        <f>人物卡!T22</f>
        <v>2.0</v>
      </c>
      <c r="U11" s="1132"/>
      <c r="V11" s="1133">
        <f>人物卡!V22</f>
        <v>1.0</v>
      </c>
      <c r="W11" s="1133"/>
      <c r="X11" s="1134">
        <f>人物卡!Z22</f>
        <v>0.0</v>
      </c>
      <c r="Y11" s="215"/>
      <c r="Z11" s="215" t="str">
        <f>人物卡!AB22</f>
        <v>博物学</v>
      </c>
      <c r="AA11" s="215"/>
      <c r="AB11" s="215"/>
      <c r="AC11" s="215"/>
      <c r="AD11" s="1132">
        <f>人物卡!AF22</f>
        <v>10.0</v>
      </c>
      <c r="AE11" s="1132"/>
      <c r="AF11" s="215">
        <f>人物卡!AH22</f>
        <v>0.0</v>
      </c>
      <c r="AG11" s="215"/>
      <c r="AH11" s="215">
        <f>人物卡!AJ22</f>
        <v>0.0</v>
      </c>
      <c r="AI11" s="215"/>
      <c r="AJ11" s="215">
        <f>人物卡!AL22</f>
        <v>0.0</v>
      </c>
      <c r="AK11" s="215"/>
      <c r="AL11" s="1132">
        <f>人物卡!AN22</f>
        <v>10.0</v>
      </c>
      <c r="AM11" s="1132"/>
      <c r="AN11" s="1132">
        <f>人物卡!AP22</f>
        <v>5.0</v>
      </c>
      <c r="AO11" s="1132"/>
      <c r="AP11" s="1133">
        <f>人物卡!AR22</f>
        <v>2.0</v>
      </c>
      <c r="AQ11" s="1133"/>
      <c r="AR11" s="1135" t="str">
        <f>IF(人物卡!AT22="","",人物卡!AT22)</f>
        <v>🔬</v>
      </c>
    </row>
    <row r="12" spans="8:8">
      <c r="C12" s="1136" t="str">
        <f>IF(人物卡!A23="","",人物卡!A23)</f>
        <v>😍</v>
      </c>
      <c r="D12" s="1137">
        <f>人物卡!D23</f>
        <v>0.0</v>
      </c>
      <c r="E12" s="1138"/>
      <c r="F12" s="1138" t="str">
        <f>人物卡!F23</f>
        <v>取悦</v>
      </c>
      <c r="G12" s="1138"/>
      <c r="H12" s="1138"/>
      <c r="I12" s="1138"/>
      <c r="J12" s="1139">
        <f>人物卡!J23</f>
        <v>15.0</v>
      </c>
      <c r="K12" s="1139"/>
      <c r="L12" s="1138">
        <f>人物卡!L23</f>
        <v>0.0</v>
      </c>
      <c r="M12" s="1138"/>
      <c r="N12" s="1138">
        <f>人物卡!N23</f>
        <v>0.0</v>
      </c>
      <c r="O12" s="1138"/>
      <c r="P12" s="1138">
        <f>人物卡!P23</f>
        <v>0.0</v>
      </c>
      <c r="Q12" s="1138"/>
      <c r="R12" s="1139">
        <f>人物卡!R23</f>
        <v>15.0</v>
      </c>
      <c r="S12" s="1139"/>
      <c r="T12" s="1139">
        <f>人物卡!T23</f>
        <v>7.0</v>
      </c>
      <c r="U12" s="1139"/>
      <c r="V12" s="1140">
        <f>人物卡!V23</f>
        <v>3.0</v>
      </c>
      <c r="W12" s="1140"/>
      <c r="X12" s="1141">
        <f>人物卡!Z23</f>
        <v>0.0</v>
      </c>
      <c r="Y12" s="1138"/>
      <c r="Z12" s="1138" t="str">
        <f>人物卡!AB23</f>
        <v>导航</v>
      </c>
      <c r="AA12" s="1138"/>
      <c r="AB12" s="1138"/>
      <c r="AC12" s="1138"/>
      <c r="AD12" s="1139">
        <f>人物卡!AF23</f>
        <v>10.0</v>
      </c>
      <c r="AE12" s="1139"/>
      <c r="AF12" s="1138">
        <f>人物卡!AH23</f>
        <v>0.0</v>
      </c>
      <c r="AG12" s="1138"/>
      <c r="AH12" s="1138">
        <f>人物卡!AJ23</f>
        <v>0.0</v>
      </c>
      <c r="AI12" s="1138"/>
      <c r="AJ12" s="1138">
        <f>人物卡!AL23</f>
        <v>0.0</v>
      </c>
      <c r="AK12" s="1138"/>
      <c r="AL12" s="1139">
        <f>人物卡!AN23</f>
        <v>10.0</v>
      </c>
      <c r="AM12" s="1139"/>
      <c r="AN12" s="1139">
        <f>人物卡!AP23</f>
        <v>5.0</v>
      </c>
      <c r="AO12" s="1139"/>
      <c r="AP12" s="1140">
        <f>人物卡!AR23</f>
        <v>2.0</v>
      </c>
      <c r="AQ12" s="1140"/>
      <c r="AR12" s="1142" t="str">
        <f>IF(人物卡!AT23="","",人物卡!AT23)</f>
        <v>🧭</v>
      </c>
    </row>
    <row r="13" spans="8:8">
      <c r="C13" s="1130" t="str">
        <f>IF(人物卡!A24="","",人物卡!A24)</f>
        <v>🧗‍♂️</v>
      </c>
      <c r="D13" s="1131">
        <f>人物卡!D24</f>
        <v>0.0</v>
      </c>
      <c r="E13" s="215"/>
      <c r="F13" s="215" t="str">
        <f>人物卡!F24</f>
        <v>攀爬</v>
      </c>
      <c r="G13" s="215"/>
      <c r="H13" s="215"/>
      <c r="I13" s="215"/>
      <c r="J13" s="1132">
        <f>人物卡!J24</f>
        <v>20.0</v>
      </c>
      <c r="K13" s="1132"/>
      <c r="L13" s="215">
        <f>人物卡!L24</f>
        <v>0.0</v>
      </c>
      <c r="M13" s="215"/>
      <c r="N13" s="215">
        <f>人物卡!N24</f>
        <v>0.0</v>
      </c>
      <c r="O13" s="215"/>
      <c r="P13" s="215">
        <f>人物卡!P24</f>
        <v>0.0</v>
      </c>
      <c r="Q13" s="215"/>
      <c r="R13" s="1132">
        <f>人物卡!R24</f>
        <v>20.0</v>
      </c>
      <c r="S13" s="1132"/>
      <c r="T13" s="1132">
        <f>人物卡!T24</f>
        <v>10.0</v>
      </c>
      <c r="U13" s="1132"/>
      <c r="V13" s="1133">
        <f>人物卡!V24</f>
        <v>4.0</v>
      </c>
      <c r="W13" s="1133"/>
      <c r="X13" s="1134">
        <f>人物卡!Z24</f>
        <v>0.0</v>
      </c>
      <c r="Y13" s="215"/>
      <c r="Z13" s="215" t="str">
        <f>人物卡!AB24</f>
        <v>神秘学</v>
      </c>
      <c r="AA13" s="215"/>
      <c r="AB13" s="215"/>
      <c r="AC13" s="215"/>
      <c r="AD13" s="1132">
        <f>人物卡!AF24</f>
        <v>5.0</v>
      </c>
      <c r="AE13" s="1132"/>
      <c r="AF13" s="215">
        <f>人物卡!AH24</f>
        <v>0.0</v>
      </c>
      <c r="AG13" s="215"/>
      <c r="AH13" s="215">
        <f>人物卡!AJ24</f>
        <v>0.0</v>
      </c>
      <c r="AI13" s="215"/>
      <c r="AJ13" s="215">
        <f>人物卡!AL24</f>
        <v>0.0</v>
      </c>
      <c r="AK13" s="215"/>
      <c r="AL13" s="1132">
        <f>人物卡!AN24</f>
        <v>5.0</v>
      </c>
      <c r="AM13" s="1132"/>
      <c r="AN13" s="1132">
        <f>人物卡!AP24</f>
        <v>2.0</v>
      </c>
      <c r="AO13" s="1132"/>
      <c r="AP13" s="1133">
        <f>人物卡!AR24</f>
        <v>1.0</v>
      </c>
      <c r="AQ13" s="1133"/>
      <c r="AR13" s="1135" t="str">
        <f>IF(人物卡!AT24="","",人物卡!AT24)</f>
        <v>🔮</v>
      </c>
    </row>
    <row r="14" spans="8:8">
      <c r="C14" s="1136" t="str">
        <f>IF(人物卡!A25="","",人物卡!A25)</f>
        <v>💻</v>
      </c>
      <c r="D14" s="1137">
        <f>人物卡!D25</f>
        <v>0.0</v>
      </c>
      <c r="E14" s="1138"/>
      <c r="F14" s="1138" t="str">
        <f>人物卡!F25</f>
        <v>计算机使用 Ω</v>
      </c>
      <c r="G14" s="1138"/>
      <c r="H14" s="1138"/>
      <c r="I14" s="1138"/>
      <c r="J14" s="1139">
        <f>人物卡!J25</f>
        <v>5.0</v>
      </c>
      <c r="K14" s="1139"/>
      <c r="L14" s="1138">
        <f>人物卡!L25</f>
        <v>0.0</v>
      </c>
      <c r="M14" s="1138"/>
      <c r="N14" s="1138">
        <f>人物卡!N25</f>
        <v>0.0</v>
      </c>
      <c r="O14" s="1138"/>
      <c r="P14" s="1138">
        <f>人物卡!P25</f>
        <v>0.0</v>
      </c>
      <c r="Q14" s="1138"/>
      <c r="R14" s="1139">
        <f>人物卡!R25</f>
        <v>5.0</v>
      </c>
      <c r="S14" s="1139"/>
      <c r="T14" s="1139">
        <f>人物卡!T25</f>
        <v>2.0</v>
      </c>
      <c r="U14" s="1139"/>
      <c r="V14" s="1140">
        <f>人物卡!V25</f>
        <v>1.0</v>
      </c>
      <c r="W14" s="1140"/>
      <c r="X14" s="1141">
        <f>人物卡!Z25</f>
        <v>0.0</v>
      </c>
      <c r="Y14" s="1138"/>
      <c r="Z14" s="1138" t="str">
        <f>人物卡!AB25</f>
        <v>操作重型机械</v>
      </c>
      <c r="AA14" s="1138"/>
      <c r="AB14" s="1138"/>
      <c r="AC14" s="1138"/>
      <c r="AD14" s="1139">
        <f>人物卡!AF25</f>
        <v>1.0</v>
      </c>
      <c r="AE14" s="1139"/>
      <c r="AF14" s="1138">
        <f>人物卡!AH25</f>
        <v>0.0</v>
      </c>
      <c r="AG14" s="1138"/>
      <c r="AH14" s="1138">
        <f>人物卡!AJ25</f>
        <v>0.0</v>
      </c>
      <c r="AI14" s="1138"/>
      <c r="AJ14" s="1138">
        <f>人物卡!AL25</f>
        <v>0.0</v>
      </c>
      <c r="AK14" s="1138"/>
      <c r="AL14" s="1139">
        <f>人物卡!AN25</f>
        <v>1.0</v>
      </c>
      <c r="AM14" s="1139"/>
      <c r="AN14" s="1139">
        <f>人物卡!AP25</f>
        <v>0.0</v>
      </c>
      <c r="AO14" s="1139"/>
      <c r="AP14" s="1140">
        <f>人物卡!AR25</f>
        <v>0.0</v>
      </c>
      <c r="AQ14" s="1140"/>
      <c r="AR14" s="1142" t="str">
        <f>IF(人物卡!AT25="","",人物卡!AT25)</f>
        <v>🚜</v>
      </c>
    </row>
    <row r="15" spans="8:8">
      <c r="C15" s="1130" t="str">
        <f>IF(人物卡!A26="","",人物卡!A26)</f>
        <v>💳</v>
      </c>
      <c r="D15" s="1131" t="str">
        <f>人物卡!D26</f>
        <v>★</v>
      </c>
      <c r="E15" s="215"/>
      <c r="F15" s="215" t="str">
        <f>人物卡!F26</f>
        <v>信用评级</v>
      </c>
      <c r="G15" s="215"/>
      <c r="H15" s="215"/>
      <c r="I15" s="215"/>
      <c r="J15" s="1132">
        <f>人物卡!J26</f>
        <v>0.0</v>
      </c>
      <c r="K15" s="1132"/>
      <c r="L15" s="215">
        <f>人物卡!L26</f>
        <v>0.0</v>
      </c>
      <c r="M15" s="215"/>
      <c r="N15" s="215">
        <f>人物卡!N26</f>
        <v>0.0</v>
      </c>
      <c r="O15" s="215"/>
      <c r="P15" s="215">
        <f>人物卡!P26</f>
        <v>0.0</v>
      </c>
      <c r="Q15" s="215"/>
      <c r="R15" s="1132">
        <f>人物卡!R26</f>
        <v>0.0</v>
      </c>
      <c r="S15" s="1132"/>
      <c r="T15" s="1132">
        <f>人物卡!T26</f>
        <v>0.0</v>
      </c>
      <c r="U15" s="1132"/>
      <c r="V15" s="1133">
        <f>人物卡!V26</f>
        <v>0.0</v>
      </c>
      <c r="W15" s="1133"/>
      <c r="X15" s="1134">
        <f>人物卡!Z26</f>
        <v>0.0</v>
      </c>
      <c r="Y15" s="215"/>
      <c r="Z15" s="215" t="str">
        <f>人物卡!AB26</f>
        <v>说服</v>
      </c>
      <c r="AA15" s="215"/>
      <c r="AB15" s="215"/>
      <c r="AC15" s="215"/>
      <c r="AD15" s="1132">
        <f>人物卡!AF26</f>
        <v>10.0</v>
      </c>
      <c r="AE15" s="1132"/>
      <c r="AF15" s="215">
        <f>人物卡!AH26</f>
        <v>0.0</v>
      </c>
      <c r="AG15" s="215"/>
      <c r="AH15" s="215">
        <f>人物卡!AJ26</f>
        <v>0.0</v>
      </c>
      <c r="AI15" s="215"/>
      <c r="AJ15" s="215">
        <f>人物卡!AL26</f>
        <v>0.0</v>
      </c>
      <c r="AK15" s="215"/>
      <c r="AL15" s="1132">
        <f>人物卡!AN26</f>
        <v>10.0</v>
      </c>
      <c r="AM15" s="1132"/>
      <c r="AN15" s="1132">
        <f>人物卡!AP26</f>
        <v>5.0</v>
      </c>
      <c r="AO15" s="1132"/>
      <c r="AP15" s="1133">
        <f>人物卡!AR26</f>
        <v>2.0</v>
      </c>
      <c r="AQ15" s="1133"/>
      <c r="AR15" s="1135" t="str">
        <f>IF(人物卡!AT26="","",人物卡!AT26)</f>
        <v>🤓</v>
      </c>
    </row>
    <row r="16" spans="8:8">
      <c r="C16" s="1136" t="str">
        <f>IF(人物卡!A27="","",人物卡!A27)</f>
        <v>🐙</v>
      </c>
      <c r="D16" s="1137">
        <f>人物卡!D27</f>
        <v>0.0</v>
      </c>
      <c r="E16" s="1138"/>
      <c r="F16" s="1138" t="str">
        <f>人物卡!F27</f>
        <v>克苏鲁神话</v>
      </c>
      <c r="G16" s="1138"/>
      <c r="H16" s="1138"/>
      <c r="I16" s="1138"/>
      <c r="J16" s="1139">
        <f>人物卡!J27</f>
        <v>0.0</v>
      </c>
      <c r="K16" s="1139"/>
      <c r="L16" s="1138">
        <f>人物卡!L27</f>
        <v>0.0</v>
      </c>
      <c r="M16" s="1138"/>
      <c r="N16" s="1138" t="str">
        <f>人物卡!N27</f>
        <v>——</v>
      </c>
      <c r="O16" s="1138"/>
      <c r="P16" s="1138" t="str">
        <f>人物卡!P27</f>
        <v>——</v>
      </c>
      <c r="Q16" s="1138"/>
      <c r="R16" s="1139">
        <f>人物卡!R27</f>
        <v>0.0</v>
      </c>
      <c r="S16" s="1139"/>
      <c r="T16" s="1139">
        <f>人物卡!T27</f>
        <v>0.0</v>
      </c>
      <c r="U16" s="1139"/>
      <c r="V16" s="1140">
        <f>人物卡!V27</f>
        <v>0.0</v>
      </c>
      <c r="W16" s="1140"/>
      <c r="X16" s="1141">
        <f>人物卡!Z27</f>
        <v>0.0</v>
      </c>
      <c r="Y16" s="1138"/>
      <c r="Z16" s="1138" t="str">
        <f>人物卡!AB27</f>
        <v>驾驶：</v>
      </c>
      <c r="AA16" s="1138"/>
      <c r="AB16" s="1138" t="str">
        <f>IF(人物卡!AD27="","",人物卡!AD27)</f>
        <v/>
      </c>
      <c r="AC16" s="1138"/>
      <c r="AD16" s="1139">
        <f>人物卡!AF27</f>
        <v>1.0</v>
      </c>
      <c r="AE16" s="1139"/>
      <c r="AF16" s="1138">
        <f>人物卡!AH27</f>
        <v>0.0</v>
      </c>
      <c r="AG16" s="1138"/>
      <c r="AH16" s="1138">
        <f>人物卡!AJ27</f>
        <v>0.0</v>
      </c>
      <c r="AI16" s="1138"/>
      <c r="AJ16" s="1138">
        <f>人物卡!AL27</f>
        <v>0.0</v>
      </c>
      <c r="AK16" s="1138"/>
      <c r="AL16" s="1139">
        <f>人物卡!AN27</f>
        <v>1.0</v>
      </c>
      <c r="AM16" s="1139"/>
      <c r="AN16" s="1139">
        <f>人物卡!AP27</f>
        <v>0.0</v>
      </c>
      <c r="AO16" s="1139"/>
      <c r="AP16" s="1140">
        <f>人物卡!AR27</f>
        <v>0.0</v>
      </c>
      <c r="AQ16" s="1140"/>
      <c r="AR16" s="1142" t="str">
        <f>IF(人物卡!AT27="","",人物卡!AT27)</f>
        <v>⛴️</v>
      </c>
    </row>
    <row r="17" spans="8:8" ht="20.9">
      <c r="C17" s="1130" t="str">
        <f>IF(人物卡!A28="","",人物卡!A28)</f>
        <v>👩‍🎤</v>
      </c>
      <c r="D17" s="1131">
        <f>人物卡!D28</f>
        <v>0.0</v>
      </c>
      <c r="E17" s="215"/>
      <c r="F17" s="215" t="str">
        <f>人物卡!F28</f>
        <v>乔装</v>
      </c>
      <c r="G17" s="215"/>
      <c r="H17" s="215"/>
      <c r="I17" s="215"/>
      <c r="J17" s="1132">
        <f>人物卡!J28</f>
        <v>5.0</v>
      </c>
      <c r="K17" s="1132"/>
      <c r="L17" s="215">
        <f>人物卡!L28</f>
        <v>0.0</v>
      </c>
      <c r="M17" s="215"/>
      <c r="N17" s="215">
        <f>人物卡!N28</f>
        <v>0.0</v>
      </c>
      <c r="O17" s="215"/>
      <c r="P17" s="215">
        <f>人物卡!P28</f>
        <v>0.0</v>
      </c>
      <c r="Q17" s="215"/>
      <c r="R17" s="1132">
        <f>人物卡!R28</f>
        <v>5.0</v>
      </c>
      <c r="S17" s="1132"/>
      <c r="T17" s="1132">
        <f>人物卡!T28</f>
        <v>2.0</v>
      </c>
      <c r="U17" s="1132"/>
      <c r="V17" s="1133">
        <f>人物卡!V28</f>
        <v>1.0</v>
      </c>
      <c r="W17" s="1133"/>
      <c r="X17" s="1134">
        <f>人物卡!Z28</f>
        <v>0.0</v>
      </c>
      <c r="Y17" s="215"/>
      <c r="Z17" s="215" t="str">
        <f>人物卡!AB28</f>
        <v>精神分析</v>
      </c>
      <c r="AA17" s="215"/>
      <c r="AB17" s="215"/>
      <c r="AC17" s="215"/>
      <c r="AD17" s="1132">
        <f>人物卡!AF28</f>
        <v>1.0</v>
      </c>
      <c r="AE17" s="1132"/>
      <c r="AF17" s="215">
        <f>人物卡!AH28</f>
        <v>0.0</v>
      </c>
      <c r="AG17" s="215"/>
      <c r="AH17" s="215">
        <f>人物卡!AJ28</f>
        <v>0.0</v>
      </c>
      <c r="AI17" s="215"/>
      <c r="AJ17" s="215">
        <f>人物卡!AL28</f>
        <v>0.0</v>
      </c>
      <c r="AK17" s="215"/>
      <c r="AL17" s="1132">
        <f>人物卡!AN28</f>
        <v>1.0</v>
      </c>
      <c r="AM17" s="1132"/>
      <c r="AN17" s="1132">
        <f>人物卡!AP28</f>
        <v>0.0</v>
      </c>
      <c r="AO17" s="1132"/>
      <c r="AP17" s="1133">
        <f>人物卡!AR28</f>
        <v>0.0</v>
      </c>
      <c r="AQ17" s="1133"/>
      <c r="AR17" s="1135" t="str">
        <f>IF(人物卡!AT28="","",人物卡!AT28)</f>
        <v>💡</v>
      </c>
    </row>
    <row r="18" spans="8:8" ht="20.9">
      <c r="C18" s="1136" t="str">
        <f>IF(人物卡!A29="","",人物卡!A29)</f>
        <v>💨</v>
      </c>
      <c r="D18" s="1137">
        <f>人物卡!D29</f>
        <v>0.0</v>
      </c>
      <c r="E18" s="1138"/>
      <c r="F18" s="1138" t="str">
        <f>人物卡!F29</f>
        <v>闪避</v>
      </c>
      <c r="G18" s="1138"/>
      <c r="H18" s="1138"/>
      <c r="I18" s="1138"/>
      <c r="J18" s="1139">
        <f>人物卡!J29</f>
        <v>0.0</v>
      </c>
      <c r="K18" s="1139"/>
      <c r="L18" s="1138">
        <f>人物卡!L29</f>
        <v>0.0</v>
      </c>
      <c r="M18" s="1138"/>
      <c r="N18" s="1138">
        <f>人物卡!N29</f>
        <v>0.0</v>
      </c>
      <c r="O18" s="1138"/>
      <c r="P18" s="1138">
        <f>人物卡!P29</f>
        <v>0.0</v>
      </c>
      <c r="Q18" s="1138"/>
      <c r="R18" s="1139">
        <f>人物卡!R29</f>
        <v>0.0</v>
      </c>
      <c r="S18" s="1139"/>
      <c r="T18" s="1139">
        <f>人物卡!T29</f>
        <v>0.0</v>
      </c>
      <c r="U18" s="1139"/>
      <c r="V18" s="1140">
        <f>人物卡!V29</f>
        <v>0.0</v>
      </c>
      <c r="W18" s="1140"/>
      <c r="X18" s="1141">
        <f>人物卡!Z29</f>
        <v>0.0</v>
      </c>
      <c r="Y18" s="1138"/>
      <c r="Z18" s="1138" t="str">
        <f>人物卡!AB29</f>
        <v>心理学</v>
      </c>
      <c r="AA18" s="1138"/>
      <c r="AB18" s="1138"/>
      <c r="AC18" s="1138"/>
      <c r="AD18" s="1139">
        <f>人物卡!AF29</f>
        <v>10.0</v>
      </c>
      <c r="AE18" s="1139"/>
      <c r="AF18" s="1138">
        <f>人物卡!AH29</f>
        <v>0.0</v>
      </c>
      <c r="AG18" s="1138"/>
      <c r="AH18" s="1138">
        <f>人物卡!AJ29</f>
        <v>0.0</v>
      </c>
      <c r="AI18" s="1138"/>
      <c r="AJ18" s="1138">
        <f>人物卡!AL29</f>
        <v>0.0</v>
      </c>
      <c r="AK18" s="1138"/>
      <c r="AL18" s="1139">
        <f>人物卡!AN29</f>
        <v>10.0</v>
      </c>
      <c r="AM18" s="1139"/>
      <c r="AN18" s="1139">
        <f>人物卡!AP29</f>
        <v>5.0</v>
      </c>
      <c r="AO18" s="1139"/>
      <c r="AP18" s="1140">
        <f>人物卡!AR29</f>
        <v>2.0</v>
      </c>
      <c r="AQ18" s="1140"/>
      <c r="AR18" s="1142" t="str">
        <f>IF(人物卡!AT29="","",人物卡!AT29)</f>
        <v>💓</v>
      </c>
    </row>
    <row r="19" spans="8:8">
      <c r="C19" s="1130" t="str">
        <f>IF(人物卡!A30="","",人物卡!A30)</f>
        <v>🚙</v>
      </c>
      <c r="D19" s="1131">
        <f>人物卡!D30</f>
        <v>0.0</v>
      </c>
      <c r="E19" s="215"/>
      <c r="F19" s="215" t="str">
        <f>人物卡!F30</f>
        <v>汽车驾驶</v>
      </c>
      <c r="G19" s="215"/>
      <c r="H19" s="215"/>
      <c r="I19" s="215"/>
      <c r="J19" s="1132">
        <f>人物卡!J30</f>
        <v>20.0</v>
      </c>
      <c r="K19" s="1132"/>
      <c r="L19" s="215">
        <f>人物卡!L30</f>
        <v>0.0</v>
      </c>
      <c r="M19" s="215"/>
      <c r="N19" s="215">
        <f>人物卡!N30</f>
        <v>0.0</v>
      </c>
      <c r="O19" s="215"/>
      <c r="P19" s="215">
        <f>人物卡!P30</f>
        <v>0.0</v>
      </c>
      <c r="Q19" s="215"/>
      <c r="R19" s="1132">
        <f>人物卡!R30</f>
        <v>20.0</v>
      </c>
      <c r="S19" s="1132"/>
      <c r="T19" s="1132">
        <f>人物卡!T30</f>
        <v>10.0</v>
      </c>
      <c r="U19" s="1132"/>
      <c r="V19" s="1133">
        <f>人物卡!V30</f>
        <v>4.0</v>
      </c>
      <c r="W19" s="1133"/>
      <c r="X19" s="1134">
        <f>人物卡!Z30</f>
        <v>0.0</v>
      </c>
      <c r="Y19" s="215"/>
      <c r="Z19" s="215" t="str">
        <f>人物卡!AB30</f>
        <v>骑术</v>
      </c>
      <c r="AA19" s="215"/>
      <c r="AB19" s="215"/>
      <c r="AC19" s="215"/>
      <c r="AD19" s="1132">
        <f>人物卡!AF30</f>
        <v>5.0</v>
      </c>
      <c r="AE19" s="1132"/>
      <c r="AF19" s="215">
        <f>人物卡!AH30</f>
        <v>0.0</v>
      </c>
      <c r="AG19" s="215"/>
      <c r="AH19" s="215">
        <f>人物卡!AJ30</f>
        <v>0.0</v>
      </c>
      <c r="AI19" s="215"/>
      <c r="AJ19" s="215">
        <f>人物卡!AL30</f>
        <v>0.0</v>
      </c>
      <c r="AK19" s="215"/>
      <c r="AL19" s="1132">
        <f>人物卡!AN30</f>
        <v>5.0</v>
      </c>
      <c r="AM19" s="1132"/>
      <c r="AN19" s="1132">
        <f>人物卡!AP30</f>
        <v>2.0</v>
      </c>
      <c r="AO19" s="1132"/>
      <c r="AP19" s="1133">
        <f>人物卡!AR30</f>
        <v>1.0</v>
      </c>
      <c r="AQ19" s="1133"/>
      <c r="AR19" s="1135" t="str">
        <f>IF(人物卡!AT30="","",人物卡!AT30)</f>
        <v>🐴</v>
      </c>
    </row>
    <row r="20" spans="8:8" ht="18.6">
      <c r="C20" s="1136" t="str">
        <f>IF(人物卡!A31="","",人物卡!A31)</f>
        <v>⚒️</v>
      </c>
      <c r="D20" s="1137">
        <f>人物卡!D31</f>
        <v>0.0</v>
      </c>
      <c r="E20" s="1138"/>
      <c r="F20" s="1138" t="str">
        <f>人物卡!F31</f>
        <v>电气维修</v>
      </c>
      <c r="G20" s="1138"/>
      <c r="H20" s="1138"/>
      <c r="I20" s="1138"/>
      <c r="J20" s="1139">
        <f>人物卡!J31</f>
        <v>10.0</v>
      </c>
      <c r="K20" s="1139"/>
      <c r="L20" s="1138">
        <f>人物卡!L31</f>
        <v>0.0</v>
      </c>
      <c r="M20" s="1138"/>
      <c r="N20" s="1138">
        <f>人物卡!N31</f>
        <v>0.0</v>
      </c>
      <c r="O20" s="1138"/>
      <c r="P20" s="1138">
        <f>人物卡!P31</f>
        <v>0.0</v>
      </c>
      <c r="Q20" s="1138"/>
      <c r="R20" s="1139">
        <f>人物卡!R31</f>
        <v>10.0</v>
      </c>
      <c r="S20" s="1139"/>
      <c r="T20" s="1139">
        <f>人物卡!T31</f>
        <v>5.0</v>
      </c>
      <c r="U20" s="1139"/>
      <c r="V20" s="1140">
        <f>人物卡!V31</f>
        <v>2.0</v>
      </c>
      <c r="W20" s="1140"/>
      <c r="X20" s="1141">
        <f>人物卡!Z31</f>
        <v>0.0</v>
      </c>
      <c r="Y20" s="1138"/>
      <c r="Z20" s="1138" t="str">
        <f>人物卡!AB31</f>
        <v>科学①</v>
      </c>
      <c r="AA20" s="1138"/>
      <c r="AB20" s="1138" t="str">
        <f>IF(人物卡!AD31="","",人物卡!AD31)</f>
        <v/>
      </c>
      <c r="AC20" s="1138"/>
      <c r="AD20" s="1139">
        <f>人物卡!AF31</f>
        <v>1.0</v>
      </c>
      <c r="AE20" s="1139"/>
      <c r="AF20" s="1138">
        <f>人物卡!AH31</f>
        <v>0.0</v>
      </c>
      <c r="AG20" s="1138"/>
      <c r="AH20" s="1138">
        <f>人物卡!AJ31</f>
        <v>0.0</v>
      </c>
      <c r="AI20" s="1138"/>
      <c r="AJ20" s="1138">
        <f>人物卡!AL31</f>
        <v>0.0</v>
      </c>
      <c r="AK20" s="1138"/>
      <c r="AL20" s="1139">
        <f>人物卡!AN31</f>
        <v>1.0</v>
      </c>
      <c r="AM20" s="1139"/>
      <c r="AN20" s="1139">
        <f>人物卡!AP31</f>
        <v>0.0</v>
      </c>
      <c r="AO20" s="1139"/>
      <c r="AP20" s="1140">
        <f>人物卡!AR31</f>
        <v>0.0</v>
      </c>
      <c r="AQ20" s="1140"/>
      <c r="AR20" s="1142" t="str">
        <f>IF(人物卡!AT31="","",人物卡!AT31)</f>
        <v>🔅</v>
      </c>
    </row>
    <row r="21" spans="8:8" ht="18.6">
      <c r="C21" s="1130" t="str">
        <f>IF(人物卡!A32="","",人物卡!A32)</f>
        <v>⚡</v>
      </c>
      <c r="D21" s="1131">
        <f>人物卡!D32</f>
        <v>0.0</v>
      </c>
      <c r="E21" s="215"/>
      <c r="F21" s="215" t="str">
        <f>人物卡!F32</f>
        <v>电子学 Ω</v>
      </c>
      <c r="G21" s="215"/>
      <c r="H21" s="215"/>
      <c r="I21" s="215"/>
      <c r="J21" s="1132">
        <f>人物卡!J32</f>
        <v>1.0</v>
      </c>
      <c r="K21" s="1132"/>
      <c r="L21" s="215">
        <f>人物卡!L32</f>
        <v>0.0</v>
      </c>
      <c r="M21" s="215"/>
      <c r="N21" s="215">
        <f>人物卡!N32</f>
        <v>0.0</v>
      </c>
      <c r="O21" s="215"/>
      <c r="P21" s="215">
        <f>人物卡!P32</f>
        <v>0.0</v>
      </c>
      <c r="Q21" s="215"/>
      <c r="R21" s="1132">
        <f>人物卡!R32</f>
        <v>1.0</v>
      </c>
      <c r="S21" s="1132"/>
      <c r="T21" s="1132">
        <f>人物卡!T32</f>
        <v>0.0</v>
      </c>
      <c r="U21" s="1132"/>
      <c r="V21" s="1133">
        <f>人物卡!V32</f>
        <v>0.0</v>
      </c>
      <c r="W21" s="1133"/>
      <c r="X21" s="1134">
        <f>人物卡!Z32</f>
        <v>0.0</v>
      </c>
      <c r="Y21" s="215"/>
      <c r="Z21" s="215" t="str">
        <f>人物卡!AB32</f>
        <v>科学②</v>
      </c>
      <c r="AA21" s="215"/>
      <c r="AB21" s="215" t="str">
        <f>IF(人物卡!AD32="","",人物卡!AD32)</f>
        <v/>
      </c>
      <c r="AC21" s="215"/>
      <c r="AD21" s="1132">
        <f>人物卡!AF32</f>
        <v>1.0</v>
      </c>
      <c r="AE21" s="1132"/>
      <c r="AF21" s="215">
        <f>人物卡!AH32</f>
        <v>0.0</v>
      </c>
      <c r="AG21" s="215"/>
      <c r="AH21" s="215">
        <f>人物卡!AJ32</f>
        <v>0.0</v>
      </c>
      <c r="AI21" s="215"/>
      <c r="AJ21" s="215">
        <f>人物卡!AL32</f>
        <v>0.0</v>
      </c>
      <c r="AK21" s="215"/>
      <c r="AL21" s="1132">
        <f>人物卡!AN32</f>
        <v>1.0</v>
      </c>
      <c r="AM21" s="1132"/>
      <c r="AN21" s="1132">
        <f>人物卡!AP32</f>
        <v>0.0</v>
      </c>
      <c r="AO21" s="1132"/>
      <c r="AP21" s="1133">
        <f>人物卡!AR32</f>
        <v>0.0</v>
      </c>
      <c r="AQ21" s="1133"/>
      <c r="AR21" s="1135" t="str">
        <f>IF(人物卡!AT32="","",人物卡!AT32)</f>
        <v>🔅</v>
      </c>
    </row>
    <row r="22" spans="8:8" ht="18.6">
      <c r="C22" s="1136" t="str">
        <f>IF(人物卡!A33="","",人物卡!A33)</f>
        <v>🤥</v>
      </c>
      <c r="D22" s="1137">
        <f>人物卡!D33</f>
        <v>0.0</v>
      </c>
      <c r="E22" s="1138"/>
      <c r="F22" s="1138" t="str">
        <f>人物卡!F33</f>
        <v>话术</v>
      </c>
      <c r="G22" s="1138"/>
      <c r="H22" s="1138"/>
      <c r="I22" s="1138"/>
      <c r="J22" s="1139">
        <f>人物卡!J33</f>
        <v>5.0</v>
      </c>
      <c r="K22" s="1139"/>
      <c r="L22" s="1138">
        <f>人物卡!L33</f>
        <v>0.0</v>
      </c>
      <c r="M22" s="1138"/>
      <c r="N22" s="1138">
        <f>人物卡!N33</f>
        <v>0.0</v>
      </c>
      <c r="O22" s="1138"/>
      <c r="P22" s="1138">
        <f>人物卡!P33</f>
        <v>0.0</v>
      </c>
      <c r="Q22" s="1138"/>
      <c r="R22" s="1139">
        <f>人物卡!R33</f>
        <v>5.0</v>
      </c>
      <c r="S22" s="1139"/>
      <c r="T22" s="1139">
        <f>人物卡!T33</f>
        <v>2.0</v>
      </c>
      <c r="U22" s="1139"/>
      <c r="V22" s="1140">
        <f>人物卡!V33</f>
        <v>1.0</v>
      </c>
      <c r="W22" s="1140"/>
      <c r="X22" s="1141">
        <f>人物卡!Z33</f>
        <v>0.0</v>
      </c>
      <c r="Y22" s="1138"/>
      <c r="Z22" s="1138" t="str">
        <f>人物卡!AB33</f>
        <v>科学③</v>
      </c>
      <c r="AA22" s="1138"/>
      <c r="AB22" s="1138" t="str">
        <f>IF(人物卡!AD33="","",人物卡!AD33)</f>
        <v/>
      </c>
      <c r="AC22" s="1138"/>
      <c r="AD22" s="1139">
        <f>人物卡!AF33</f>
        <v>1.0</v>
      </c>
      <c r="AE22" s="1139"/>
      <c r="AF22" s="1138">
        <f>人物卡!AH33</f>
        <v>0.0</v>
      </c>
      <c r="AG22" s="1138"/>
      <c r="AH22" s="1138">
        <f>人物卡!AJ33</f>
        <v>0.0</v>
      </c>
      <c r="AI22" s="1138"/>
      <c r="AJ22" s="1138">
        <f>人物卡!AL33</f>
        <v>0.0</v>
      </c>
      <c r="AK22" s="1138"/>
      <c r="AL22" s="1139">
        <f>人物卡!AN33</f>
        <v>1.0</v>
      </c>
      <c r="AM22" s="1139"/>
      <c r="AN22" s="1139">
        <f>人物卡!AP33</f>
        <v>0.0</v>
      </c>
      <c r="AO22" s="1139"/>
      <c r="AP22" s="1140">
        <f>人物卡!AR33</f>
        <v>0.0</v>
      </c>
      <c r="AQ22" s="1140"/>
      <c r="AR22" s="1142" t="str">
        <f>IF(人物卡!AT33="","",人物卡!AT33)</f>
        <v>🔅</v>
      </c>
    </row>
    <row r="23" spans="8:8">
      <c r="C23" s="1130" t="str">
        <f>IF(人物卡!A34="","",人物卡!A34)</f>
        <v>🥊</v>
      </c>
      <c r="D23" s="1131">
        <f>人物卡!D34</f>
        <v>0.0</v>
      </c>
      <c r="E23" s="215"/>
      <c r="F23" s="215" t="str">
        <f>人物卡!F34</f>
        <v>格斗：</v>
      </c>
      <c r="G23" s="215"/>
      <c r="H23" s="215" t="str">
        <f>IF(人物卡!H34="","",人物卡!H34)</f>
        <v>斗殴</v>
      </c>
      <c r="I23" s="215"/>
      <c r="J23" s="1132">
        <f>人物卡!J34</f>
        <v>25.0</v>
      </c>
      <c r="K23" s="1132"/>
      <c r="L23" s="215">
        <f>人物卡!L34</f>
        <v>0.0</v>
      </c>
      <c r="M23" s="215"/>
      <c r="N23" s="215">
        <f>人物卡!N34</f>
        <v>0.0</v>
      </c>
      <c r="O23" s="215"/>
      <c r="P23" s="215">
        <f>人物卡!P34</f>
        <v>0.0</v>
      </c>
      <c r="Q23" s="215"/>
      <c r="R23" s="1132">
        <f>人物卡!R34</f>
        <v>25.0</v>
      </c>
      <c r="S23" s="1132"/>
      <c r="T23" s="1132">
        <f>人物卡!T34</f>
        <v>12.0</v>
      </c>
      <c r="U23" s="1132"/>
      <c r="V23" s="1133">
        <f>人物卡!V34</f>
        <v>5.0</v>
      </c>
      <c r="W23" s="1133"/>
      <c r="X23" s="1134">
        <f>人物卡!Z34</f>
        <v>0.0</v>
      </c>
      <c r="Y23" s="215"/>
      <c r="Z23" s="215" t="str">
        <f>人物卡!AB34</f>
        <v>妙手</v>
      </c>
      <c r="AA23" s="215"/>
      <c r="AB23" s="215"/>
      <c r="AC23" s="215"/>
      <c r="AD23" s="1132">
        <f>人物卡!AF34</f>
        <v>10.0</v>
      </c>
      <c r="AE23" s="1132"/>
      <c r="AF23" s="215">
        <f>人物卡!AH34</f>
        <v>0.0</v>
      </c>
      <c r="AG23" s="215"/>
      <c r="AH23" s="215">
        <f>人物卡!AJ34</f>
        <v>0.0</v>
      </c>
      <c r="AI23" s="215"/>
      <c r="AJ23" s="215">
        <f>人物卡!AL34</f>
        <v>0.0</v>
      </c>
      <c r="AK23" s="215"/>
      <c r="AL23" s="1132">
        <f>人物卡!AN34</f>
        <v>10.0</v>
      </c>
      <c r="AM23" s="1132"/>
      <c r="AN23" s="1132">
        <f>人物卡!AP34</f>
        <v>5.0</v>
      </c>
      <c r="AO23" s="1132"/>
      <c r="AP23" s="1133">
        <f>人物卡!AR34</f>
        <v>2.0</v>
      </c>
      <c r="AQ23" s="1133"/>
      <c r="AR23" s="1135" t="str">
        <f>IF(人物卡!AT34="","",人物卡!AT34)</f>
        <v>👋</v>
      </c>
    </row>
    <row r="24" spans="8:8" ht="18.6">
      <c r="C24" s="1136" t="str">
        <f>IF(人物卡!A35="","",人物卡!A35)</f>
        <v>🔅</v>
      </c>
      <c r="D24" s="1137">
        <f>人物卡!D35</f>
        <v>0.0</v>
      </c>
      <c r="E24" s="1138"/>
      <c r="F24" s="1138" t="str">
        <f>人物卡!F35</f>
        <v>格斗①</v>
      </c>
      <c r="G24" s="1138"/>
      <c r="H24" s="1138" t="str">
        <f>IF(人物卡!H35="","",人物卡!H35)</f>
        <v/>
      </c>
      <c r="I24" s="1138"/>
      <c r="J24" s="1139">
        <f>人物卡!J35</f>
        <v>0.0</v>
      </c>
      <c r="K24" s="1139"/>
      <c r="L24" s="1138">
        <f>人物卡!L35</f>
        <v>0.0</v>
      </c>
      <c r="M24" s="1138"/>
      <c r="N24" s="1138">
        <f>人物卡!N35</f>
        <v>0.0</v>
      </c>
      <c r="O24" s="1138"/>
      <c r="P24" s="1138">
        <f>人物卡!P35</f>
        <v>0.0</v>
      </c>
      <c r="Q24" s="1138"/>
      <c r="R24" s="1139">
        <f>人物卡!R35</f>
        <v>0.0</v>
      </c>
      <c r="S24" s="1139"/>
      <c r="T24" s="1139">
        <f>人物卡!T35</f>
        <v>0.0</v>
      </c>
      <c r="U24" s="1139"/>
      <c r="V24" s="1140">
        <f>人物卡!V35</f>
        <v>0.0</v>
      </c>
      <c r="W24" s="1140"/>
      <c r="X24" s="1141">
        <f>人物卡!Z35</f>
        <v>0.0</v>
      </c>
      <c r="Y24" s="1138"/>
      <c r="Z24" s="1138" t="str">
        <f>人物卡!AB35</f>
        <v>侦查</v>
      </c>
      <c r="AA24" s="1138"/>
      <c r="AB24" s="1138"/>
      <c r="AC24" s="1138"/>
      <c r="AD24" s="1139">
        <f>人物卡!AF35</f>
        <v>25.0</v>
      </c>
      <c r="AE24" s="1139"/>
      <c r="AF24" s="1138">
        <f>人物卡!AH35</f>
        <v>0.0</v>
      </c>
      <c r="AG24" s="1138"/>
      <c r="AH24" s="1138">
        <f>人物卡!AJ35</f>
        <v>0.0</v>
      </c>
      <c r="AI24" s="1138"/>
      <c r="AJ24" s="1138">
        <f>人物卡!AL35</f>
        <v>0.0</v>
      </c>
      <c r="AK24" s="1138"/>
      <c r="AL24" s="1139">
        <f>人物卡!AN35</f>
        <v>25.0</v>
      </c>
      <c r="AM24" s="1139"/>
      <c r="AN24" s="1139">
        <f>人物卡!AP35</f>
        <v>12.0</v>
      </c>
      <c r="AO24" s="1139"/>
      <c r="AP24" s="1140">
        <f>人物卡!AR35</f>
        <v>5.0</v>
      </c>
      <c r="AQ24" s="1140"/>
      <c r="AR24" s="1142" t="str">
        <f>IF(人物卡!AT35="","",人物卡!AT35)</f>
        <v>👀</v>
      </c>
    </row>
    <row r="25" spans="8:8" ht="18.6">
      <c r="C25" s="1130" t="str">
        <f>IF(人物卡!A36="","",人物卡!A36)</f>
        <v>🔅</v>
      </c>
      <c r="D25" s="1131">
        <f>人物卡!D36</f>
        <v>0.0</v>
      </c>
      <c r="E25" s="215"/>
      <c r="F25" s="215" t="str">
        <f>人物卡!F36</f>
        <v>格斗②</v>
      </c>
      <c r="G25" s="215"/>
      <c r="H25" s="215" t="str">
        <f>IF(人物卡!H36="","",人物卡!H36)</f>
        <v/>
      </c>
      <c r="I25" s="215"/>
      <c r="J25" s="1132">
        <f>人物卡!J36</f>
        <v>0.0</v>
      </c>
      <c r="K25" s="1132"/>
      <c r="L25" s="215">
        <f>人物卡!L36</f>
        <v>0.0</v>
      </c>
      <c r="M25" s="215"/>
      <c r="N25" s="215">
        <f>人物卡!N36</f>
        <v>0.0</v>
      </c>
      <c r="O25" s="215"/>
      <c r="P25" s="215">
        <f>人物卡!P36</f>
        <v>0.0</v>
      </c>
      <c r="Q25" s="215"/>
      <c r="R25" s="1132">
        <f>人物卡!R36</f>
        <v>0.0</v>
      </c>
      <c r="S25" s="1132"/>
      <c r="T25" s="1132">
        <f>人物卡!T36</f>
        <v>0.0</v>
      </c>
      <c r="U25" s="1132"/>
      <c r="V25" s="1133">
        <f>人物卡!V36</f>
        <v>0.0</v>
      </c>
      <c r="W25" s="1133"/>
      <c r="X25" s="1134">
        <f>人物卡!Z36</f>
        <v>0.0</v>
      </c>
      <c r="Y25" s="215"/>
      <c r="Z25" s="215" t="str">
        <f>人物卡!AB36</f>
        <v>潜行</v>
      </c>
      <c r="AA25" s="215"/>
      <c r="AB25" s="215"/>
      <c r="AC25" s="215"/>
      <c r="AD25" s="1132">
        <f>人物卡!AF36</f>
        <v>20.0</v>
      </c>
      <c r="AE25" s="1132"/>
      <c r="AF25" s="215">
        <f>人物卡!AH36</f>
        <v>0.0</v>
      </c>
      <c r="AG25" s="215"/>
      <c r="AH25" s="215">
        <f>人物卡!AJ36</f>
        <v>0.0</v>
      </c>
      <c r="AI25" s="215"/>
      <c r="AJ25" s="215">
        <f>人物卡!AL36</f>
        <v>0.0</v>
      </c>
      <c r="AK25" s="215"/>
      <c r="AL25" s="1132">
        <f>人物卡!AN36</f>
        <v>20.0</v>
      </c>
      <c r="AM25" s="1132"/>
      <c r="AN25" s="1132">
        <f>人物卡!AP36</f>
        <v>10.0</v>
      </c>
      <c r="AO25" s="1132"/>
      <c r="AP25" s="1133">
        <f>人物卡!AR36</f>
        <v>4.0</v>
      </c>
      <c r="AQ25" s="1133"/>
      <c r="AR25" s="1135" t="str">
        <f>IF(人物卡!AT36="","",人物卡!AT36)</f>
        <v>👣</v>
      </c>
    </row>
    <row r="26" spans="8:8" ht="18.6">
      <c r="C26" s="1136" t="str">
        <f>IF(人物卡!A37="","",人物卡!A37)</f>
        <v>🔅</v>
      </c>
      <c r="D26" s="1137">
        <f>人物卡!D37</f>
        <v>0.0</v>
      </c>
      <c r="E26" s="1138"/>
      <c r="F26" s="1138" t="str">
        <f>人物卡!F37</f>
        <v>格斗③</v>
      </c>
      <c r="G26" s="1138"/>
      <c r="H26" s="1138" t="str">
        <f>IF(人物卡!H37="","",人物卡!H37)</f>
        <v/>
      </c>
      <c r="I26" s="1138"/>
      <c r="J26" s="1139">
        <f>人物卡!J37</f>
        <v>0.0</v>
      </c>
      <c r="K26" s="1139"/>
      <c r="L26" s="1138">
        <f>人物卡!L37</f>
        <v>0.0</v>
      </c>
      <c r="M26" s="1138"/>
      <c r="N26" s="1138">
        <f>人物卡!N37</f>
        <v>0.0</v>
      </c>
      <c r="O26" s="1138"/>
      <c r="P26" s="1138">
        <f>人物卡!P37</f>
        <v>0.0</v>
      </c>
      <c r="Q26" s="1138"/>
      <c r="R26" s="1139">
        <f>人物卡!R37</f>
        <v>0.0</v>
      </c>
      <c r="S26" s="1139"/>
      <c r="T26" s="1139">
        <f>人物卡!T37</f>
        <v>0.0</v>
      </c>
      <c r="U26" s="1139"/>
      <c r="V26" s="1140">
        <f>人物卡!V37</f>
        <v>0.0</v>
      </c>
      <c r="W26" s="1140"/>
      <c r="X26" s="1141">
        <f>人物卡!Z37</f>
        <v>0.0</v>
      </c>
      <c r="Y26" s="1138"/>
      <c r="Z26" s="1138" t="str">
        <f>人物卡!AB37</f>
        <v>生存：</v>
      </c>
      <c r="AA26" s="1138"/>
      <c r="AB26" s="1138" t="str">
        <f>IF(人物卡!AD37="","",人物卡!AD37)</f>
        <v/>
      </c>
      <c r="AC26" s="1138"/>
      <c r="AD26" s="1139">
        <f>人物卡!AF37</f>
        <v>10.0</v>
      </c>
      <c r="AE26" s="1139"/>
      <c r="AF26" s="1138">
        <f>人物卡!AH37</f>
        <v>0.0</v>
      </c>
      <c r="AG26" s="1138"/>
      <c r="AH26" s="1138">
        <f>人物卡!AJ37</f>
        <v>0.0</v>
      </c>
      <c r="AI26" s="1138"/>
      <c r="AJ26" s="1138">
        <f>人物卡!AL37</f>
        <v>0.0</v>
      </c>
      <c r="AK26" s="1138"/>
      <c r="AL26" s="1139">
        <f>人物卡!AN37</f>
        <v>10.0</v>
      </c>
      <c r="AM26" s="1139"/>
      <c r="AN26" s="1139">
        <f>人物卡!AP37</f>
        <v>5.0</v>
      </c>
      <c r="AO26" s="1139"/>
      <c r="AP26" s="1140">
        <f>人物卡!AR37</f>
        <v>2.0</v>
      </c>
      <c r="AQ26" s="1140"/>
      <c r="AR26" s="1142" t="str">
        <f>IF(人物卡!AT37="","",人物卡!AT37)</f>
        <v>⛺</v>
      </c>
    </row>
    <row r="27" spans="8:8" ht="18.6">
      <c r="C27" s="1130" t="str">
        <f>IF(人物卡!A38="","",人物卡!A38)</f>
        <v>🎯</v>
      </c>
      <c r="D27" s="1131">
        <f>人物卡!D38</f>
        <v>0.0</v>
      </c>
      <c r="E27" s="215"/>
      <c r="F27" s="215" t="str">
        <f>人物卡!F38</f>
        <v>射击：</v>
      </c>
      <c r="G27" s="215"/>
      <c r="H27" s="215" t="str">
        <f>IF(人物卡!H38="","",人物卡!H38)</f>
        <v>手枪</v>
      </c>
      <c r="I27" s="215"/>
      <c r="J27" s="1132">
        <f>人物卡!J38</f>
        <v>20.0</v>
      </c>
      <c r="K27" s="1132"/>
      <c r="L27" s="215">
        <f>人物卡!L38</f>
        <v>0.0</v>
      </c>
      <c r="M27" s="215"/>
      <c r="N27" s="215">
        <f>人物卡!N38</f>
        <v>0.0</v>
      </c>
      <c r="O27" s="215"/>
      <c r="P27" s="215">
        <f>人物卡!P38</f>
        <v>0.0</v>
      </c>
      <c r="Q27" s="215"/>
      <c r="R27" s="1132">
        <f>人物卡!R38</f>
        <v>20.0</v>
      </c>
      <c r="S27" s="1132"/>
      <c r="T27" s="1132">
        <f>人物卡!T38</f>
        <v>10.0</v>
      </c>
      <c r="U27" s="1132"/>
      <c r="V27" s="1133">
        <f>人物卡!V38</f>
        <v>4.0</v>
      </c>
      <c r="W27" s="1133"/>
      <c r="X27" s="1134">
        <f>人物卡!Z38</f>
        <v>0.0</v>
      </c>
      <c r="Y27" s="215"/>
      <c r="Z27" s="215" t="str">
        <f>人物卡!AB38</f>
        <v>游泳</v>
      </c>
      <c r="AA27" s="215"/>
      <c r="AB27" s="215"/>
      <c r="AC27" s="215"/>
      <c r="AD27" s="1132">
        <f>人物卡!AF38</f>
        <v>20.0</v>
      </c>
      <c r="AE27" s="1132"/>
      <c r="AF27" s="215">
        <f>人物卡!AH38</f>
        <v>0.0</v>
      </c>
      <c r="AG27" s="215"/>
      <c r="AH27" s="215">
        <f>人物卡!AJ38</f>
        <v>0.0</v>
      </c>
      <c r="AI27" s="215"/>
      <c r="AJ27" s="215">
        <f>人物卡!AL38</f>
        <v>0.0</v>
      </c>
      <c r="AK27" s="215"/>
      <c r="AL27" s="1132">
        <f>人物卡!AN38</f>
        <v>20.0</v>
      </c>
      <c r="AM27" s="1132"/>
      <c r="AN27" s="1132">
        <f>人物卡!AP38</f>
        <v>10.0</v>
      </c>
      <c r="AO27" s="1132"/>
      <c r="AP27" s="1133">
        <f>人物卡!AR38</f>
        <v>4.0</v>
      </c>
      <c r="AQ27" s="1133"/>
      <c r="AR27" s="1135" t="str">
        <f>IF(人物卡!AT38="","",人物卡!AT38)</f>
        <v>🏊‍♂️</v>
      </c>
    </row>
    <row r="28" spans="8:8" ht="18.6">
      <c r="C28" s="1136" t="str">
        <f>IF(人物卡!A39="","",人物卡!A39)</f>
        <v>🎯</v>
      </c>
      <c r="D28" s="1137">
        <f>人物卡!D39</f>
        <v>0.0</v>
      </c>
      <c r="E28" s="1138"/>
      <c r="F28" s="1138" t="str">
        <f>人物卡!F39</f>
        <v>射击①</v>
      </c>
      <c r="G28" s="1138"/>
      <c r="H28" s="1138" t="str">
        <f>IF(人物卡!H39="","",人物卡!H39)</f>
        <v/>
      </c>
      <c r="I28" s="1138"/>
      <c r="J28" s="1139">
        <f>人物卡!J39</f>
        <v>0.0</v>
      </c>
      <c r="K28" s="1139"/>
      <c r="L28" s="1138">
        <f>人物卡!L39</f>
        <v>0.0</v>
      </c>
      <c r="M28" s="1138"/>
      <c r="N28" s="1138">
        <f>人物卡!N39</f>
        <v>0.0</v>
      </c>
      <c r="O28" s="1138"/>
      <c r="P28" s="1138">
        <f>人物卡!P39</f>
        <v>0.0</v>
      </c>
      <c r="Q28" s="1138"/>
      <c r="R28" s="1139">
        <f>人物卡!R39</f>
        <v>0.0</v>
      </c>
      <c r="S28" s="1139"/>
      <c r="T28" s="1139">
        <f>人物卡!T39</f>
        <v>0.0</v>
      </c>
      <c r="U28" s="1139"/>
      <c r="V28" s="1140">
        <f>人物卡!V39</f>
        <v>0.0</v>
      </c>
      <c r="W28" s="1140"/>
      <c r="X28" s="1141">
        <f>人物卡!Z39</f>
        <v>0.0</v>
      </c>
      <c r="Y28" s="1138"/>
      <c r="Z28" s="1138" t="str">
        <f>人物卡!AB39</f>
        <v>投掷</v>
      </c>
      <c r="AA28" s="1138"/>
      <c r="AB28" s="1138"/>
      <c r="AC28" s="1138"/>
      <c r="AD28" s="1139">
        <f>人物卡!AF39</f>
        <v>20.0</v>
      </c>
      <c r="AE28" s="1139"/>
      <c r="AF28" s="1138">
        <f>人物卡!AH39</f>
        <v>0.0</v>
      </c>
      <c r="AG28" s="1138"/>
      <c r="AH28" s="1138">
        <f>人物卡!AJ39</f>
        <v>0.0</v>
      </c>
      <c r="AI28" s="1138"/>
      <c r="AJ28" s="1138">
        <f>人物卡!AL39</f>
        <v>0.0</v>
      </c>
      <c r="AK28" s="1138"/>
      <c r="AL28" s="1139">
        <f>人物卡!AN39</f>
        <v>20.0</v>
      </c>
      <c r="AM28" s="1139"/>
      <c r="AN28" s="1139">
        <f>人物卡!AP39</f>
        <v>10.0</v>
      </c>
      <c r="AO28" s="1139"/>
      <c r="AP28" s="1140">
        <f>人物卡!AR39</f>
        <v>4.0</v>
      </c>
      <c r="AQ28" s="1140"/>
      <c r="AR28" s="1142" t="str">
        <f>IF(人物卡!AT39="","",人物卡!AT39)</f>
        <v>🏀</v>
      </c>
    </row>
    <row r="29" spans="8:8" ht="18.6">
      <c r="C29" s="1130" t="str">
        <f>IF(人物卡!A40="","",人物卡!A40)</f>
        <v>🎯</v>
      </c>
      <c r="D29" s="1131">
        <f>人物卡!D40</f>
        <v>0.0</v>
      </c>
      <c r="E29" s="215"/>
      <c r="F29" s="215" t="str">
        <f>人物卡!F40</f>
        <v>射击②</v>
      </c>
      <c r="G29" s="215"/>
      <c r="H29" s="215" t="str">
        <f>IF(人物卡!H40="","",人物卡!H40)</f>
        <v/>
      </c>
      <c r="I29" s="215"/>
      <c r="J29" s="1132">
        <f>人物卡!J40</f>
        <v>0.0</v>
      </c>
      <c r="K29" s="1132"/>
      <c r="L29" s="215">
        <f>人物卡!L40</f>
        <v>0.0</v>
      </c>
      <c r="M29" s="215"/>
      <c r="N29" s="215">
        <f>人物卡!N40</f>
        <v>0.0</v>
      </c>
      <c r="O29" s="215"/>
      <c r="P29" s="215">
        <f>人物卡!P40</f>
        <v>0.0</v>
      </c>
      <c r="Q29" s="215"/>
      <c r="R29" s="1132">
        <f>人物卡!R40</f>
        <v>0.0</v>
      </c>
      <c r="S29" s="1132"/>
      <c r="T29" s="1132">
        <f>人物卡!T40</f>
        <v>0.0</v>
      </c>
      <c r="U29" s="1132"/>
      <c r="V29" s="1133">
        <f>人物卡!V40</f>
        <v>0.0</v>
      </c>
      <c r="W29" s="1133"/>
      <c r="X29" s="1134">
        <f>人物卡!Z40</f>
        <v>0.0</v>
      </c>
      <c r="Y29" s="215"/>
      <c r="Z29" s="215" t="str">
        <f>人物卡!AB40</f>
        <v>追踪</v>
      </c>
      <c r="AA29" s="215"/>
      <c r="AB29" s="215"/>
      <c r="AC29" s="215"/>
      <c r="AD29" s="1132">
        <f>人物卡!AF40</f>
        <v>10.0</v>
      </c>
      <c r="AE29" s="1132"/>
      <c r="AF29" s="215">
        <f>人物卡!AH40</f>
        <v>0.0</v>
      </c>
      <c r="AG29" s="215"/>
      <c r="AH29" s="215">
        <f>人物卡!AJ40</f>
        <v>0.0</v>
      </c>
      <c r="AI29" s="215"/>
      <c r="AJ29" s="215">
        <f>人物卡!AL40</f>
        <v>0.0</v>
      </c>
      <c r="AK29" s="215"/>
      <c r="AL29" s="1132">
        <f>人物卡!AN40</f>
        <v>10.0</v>
      </c>
      <c r="AM29" s="1132"/>
      <c r="AN29" s="1132">
        <f>人物卡!AP40</f>
        <v>5.0</v>
      </c>
      <c r="AO29" s="1132"/>
      <c r="AP29" s="1133">
        <f>人物卡!AR40</f>
        <v>2.0</v>
      </c>
      <c r="AQ29" s="1133"/>
      <c r="AR29" s="1135" t="str">
        <f>IF(人物卡!AT40="","",人物卡!AT40)</f>
        <v>🐾</v>
      </c>
    </row>
    <row r="30" spans="8:8" ht="18.6">
      <c r="C30" s="1136" t="str">
        <f>IF(人物卡!A41="","",人物卡!A41)</f>
        <v>🎯</v>
      </c>
      <c r="D30" s="1137">
        <f>人物卡!D41</f>
        <v>0.0</v>
      </c>
      <c r="E30" s="1138"/>
      <c r="F30" s="1138" t="str">
        <f>人物卡!F41</f>
        <v>射击③</v>
      </c>
      <c r="G30" s="1138"/>
      <c r="H30" s="1138" t="str">
        <f>IF(人物卡!H41="","",人物卡!H41)</f>
        <v/>
      </c>
      <c r="I30" s="1138"/>
      <c r="J30" s="1139">
        <f>人物卡!J41</f>
        <v>0.0</v>
      </c>
      <c r="K30" s="1139"/>
      <c r="L30" s="1138">
        <f>人物卡!L41</f>
        <v>0.0</v>
      </c>
      <c r="M30" s="1138"/>
      <c r="N30" s="1138">
        <f>人物卡!N41</f>
        <v>0.0</v>
      </c>
      <c r="O30" s="1138"/>
      <c r="P30" s="1138">
        <f>人物卡!P41</f>
        <v>0.0</v>
      </c>
      <c r="Q30" s="1138"/>
      <c r="R30" s="1139">
        <f>人物卡!R41</f>
        <v>0.0</v>
      </c>
      <c r="S30" s="1139"/>
      <c r="T30" s="1139">
        <f>人物卡!T41</f>
        <v>0.0</v>
      </c>
      <c r="U30" s="1139"/>
      <c r="V30" s="1140">
        <f>人物卡!V41</f>
        <v>0.0</v>
      </c>
      <c r="W30" s="1140"/>
      <c r="X30" s="1141">
        <f>人物卡!Z41</f>
        <v>0.0</v>
      </c>
      <c r="Y30" s="1138"/>
      <c r="Z30" s="1138" t="str">
        <f>人物卡!AB41</f>
        <v>动物驯养</v>
      </c>
      <c r="AA30" s="1138"/>
      <c r="AB30" s="1138"/>
      <c r="AC30" s="1138"/>
      <c r="AD30" s="1139">
        <f>人物卡!AF41</f>
        <v>5.0</v>
      </c>
      <c r="AE30" s="1139"/>
      <c r="AF30" s="1138">
        <f>人物卡!AH41</f>
        <v>0.0</v>
      </c>
      <c r="AG30" s="1138"/>
      <c r="AH30" s="1138">
        <f>人物卡!AJ41</f>
        <v>0.0</v>
      </c>
      <c r="AI30" s="1138"/>
      <c r="AJ30" s="1138">
        <f>人物卡!AL41</f>
        <v>0.0</v>
      </c>
      <c r="AK30" s="1138"/>
      <c r="AL30" s="1139">
        <f>人物卡!AN41</f>
        <v>5.0</v>
      </c>
      <c r="AM30" s="1139"/>
      <c r="AN30" s="1139">
        <f>人物卡!AP41</f>
        <v>2.0</v>
      </c>
      <c r="AO30" s="1139"/>
      <c r="AP30" s="1140">
        <f>人物卡!AR41</f>
        <v>1.0</v>
      </c>
      <c r="AQ30" s="1140"/>
      <c r="AR30" s="1142" t="str">
        <f>IF(人物卡!AT41="","",人物卡!AT41)</f>
        <v>🐶</v>
      </c>
    </row>
    <row r="31" spans="8:8" ht="18.6">
      <c r="C31" s="1130" t="str">
        <f>IF(人物卡!A42="","",人物卡!A42)</f>
        <v>💉</v>
      </c>
      <c r="D31" s="1131">
        <f>人物卡!D42</f>
        <v>0.0</v>
      </c>
      <c r="E31" s="215"/>
      <c r="F31" s="215" t="str">
        <f>人物卡!F42</f>
        <v>急救</v>
      </c>
      <c r="G31" s="215"/>
      <c r="H31" s="215"/>
      <c r="I31" s="215"/>
      <c r="J31" s="1132">
        <f>人物卡!J42</f>
        <v>30.0</v>
      </c>
      <c r="K31" s="1132"/>
      <c r="L31" s="215">
        <f>人物卡!L42</f>
        <v>0.0</v>
      </c>
      <c r="M31" s="215"/>
      <c r="N31" s="215">
        <f>人物卡!N42</f>
        <v>0.0</v>
      </c>
      <c r="O31" s="215"/>
      <c r="P31" s="215">
        <f>人物卡!P42</f>
        <v>0.0</v>
      </c>
      <c r="Q31" s="215"/>
      <c r="R31" s="1132">
        <f>人物卡!R42</f>
        <v>30.0</v>
      </c>
      <c r="S31" s="1132"/>
      <c r="T31" s="1132">
        <f>人物卡!T42</f>
        <v>15.0</v>
      </c>
      <c r="U31" s="1132"/>
      <c r="V31" s="1133">
        <f>人物卡!V42</f>
        <v>6.0</v>
      </c>
      <c r="W31" s="1133"/>
      <c r="X31" s="1134">
        <f>人物卡!Z42</f>
        <v>0.0</v>
      </c>
      <c r="Y31" s="215"/>
      <c r="Z31" s="215" t="str">
        <f>人物卡!AB42</f>
        <v>潜水</v>
      </c>
      <c r="AA31" s="215"/>
      <c r="AB31" s="215"/>
      <c r="AC31" s="215"/>
      <c r="AD31" s="1132">
        <f>人物卡!AF42</f>
        <v>1.0</v>
      </c>
      <c r="AE31" s="1132"/>
      <c r="AF31" s="215">
        <f>人物卡!AH42</f>
        <v>0.0</v>
      </c>
      <c r="AG31" s="215"/>
      <c r="AH31" s="215">
        <f>人物卡!AJ42</f>
        <v>0.0</v>
      </c>
      <c r="AI31" s="215"/>
      <c r="AJ31" s="215">
        <f>人物卡!AL42</f>
        <v>0.0</v>
      </c>
      <c r="AK31" s="215"/>
      <c r="AL31" s="1132">
        <f>人物卡!AN42</f>
        <v>1.0</v>
      </c>
      <c r="AM31" s="1132"/>
      <c r="AN31" s="1132">
        <f>人物卡!AP42</f>
        <v>0.0</v>
      </c>
      <c r="AO31" s="1132"/>
      <c r="AP31" s="1133">
        <f>人物卡!AR42</f>
        <v>0.0</v>
      </c>
      <c r="AQ31" s="1133"/>
      <c r="AR31" s="1135" t="str">
        <f>IF(人物卡!AT42="","",人物卡!AT42)</f>
        <v>🐠</v>
      </c>
    </row>
    <row r="32" spans="8:8" ht="18.6">
      <c r="C32" s="1136" t="str">
        <f>IF(人物卡!A43="","",人物卡!A43)</f>
        <v>⏳</v>
      </c>
      <c r="D32" s="1137">
        <f>人物卡!D43</f>
        <v>0.0</v>
      </c>
      <c r="E32" s="1138"/>
      <c r="F32" s="1138" t="str">
        <f>人物卡!F43</f>
        <v>历史</v>
      </c>
      <c r="G32" s="1138"/>
      <c r="H32" s="1138"/>
      <c r="I32" s="1138"/>
      <c r="J32" s="1139">
        <f>人物卡!J43</f>
        <v>5.0</v>
      </c>
      <c r="K32" s="1139"/>
      <c r="L32" s="1138">
        <f>人物卡!L43</f>
        <v>0.0</v>
      </c>
      <c r="M32" s="1138"/>
      <c r="N32" s="1138">
        <f>人物卡!N43</f>
        <v>0.0</v>
      </c>
      <c r="O32" s="1138"/>
      <c r="P32" s="1138">
        <f>人物卡!P43</f>
        <v>0.0</v>
      </c>
      <c r="Q32" s="1138"/>
      <c r="R32" s="1139">
        <f>人物卡!R43</f>
        <v>5.0</v>
      </c>
      <c r="S32" s="1139"/>
      <c r="T32" s="1139">
        <f>人物卡!T43</f>
        <v>2.0</v>
      </c>
      <c r="U32" s="1139"/>
      <c r="V32" s="1140">
        <f>人物卡!V43</f>
        <v>1.0</v>
      </c>
      <c r="W32" s="1140"/>
      <c r="X32" s="1141">
        <f>人物卡!Z43</f>
        <v>0.0</v>
      </c>
      <c r="Y32" s="1138"/>
      <c r="Z32" s="1138" t="str">
        <f>人物卡!AB43</f>
        <v>爆破</v>
      </c>
      <c r="AA32" s="1138"/>
      <c r="AB32" s="1138"/>
      <c r="AC32" s="1138"/>
      <c r="AD32" s="1139">
        <f>人物卡!AF43</f>
        <v>1.0</v>
      </c>
      <c r="AE32" s="1139"/>
      <c r="AF32" s="1138">
        <f>人物卡!AH43</f>
        <v>0.0</v>
      </c>
      <c r="AG32" s="1138"/>
      <c r="AH32" s="1138">
        <f>人物卡!AJ43</f>
        <v>0.0</v>
      </c>
      <c r="AI32" s="1138"/>
      <c r="AJ32" s="1138">
        <f>人物卡!AL43</f>
        <v>0.0</v>
      </c>
      <c r="AK32" s="1138"/>
      <c r="AL32" s="1139">
        <f>人物卡!AN43</f>
        <v>1.0</v>
      </c>
      <c r="AM32" s="1139"/>
      <c r="AN32" s="1139">
        <f>人物卡!AP43</f>
        <v>0.0</v>
      </c>
      <c r="AO32" s="1139"/>
      <c r="AP32" s="1140">
        <f>人物卡!AR43</f>
        <v>0.0</v>
      </c>
      <c r="AQ32" s="1140"/>
      <c r="AR32" s="1142" t="str">
        <f>IF(人物卡!AT43="","",人物卡!AT43)</f>
        <v>💣</v>
      </c>
    </row>
    <row r="33" spans="8:8" ht="18.6">
      <c r="C33" s="1130" t="str">
        <f>IF(人物卡!A44="","",人物卡!A44)</f>
        <v>😱</v>
      </c>
      <c r="D33" s="1131">
        <f>人物卡!D44</f>
        <v>0.0</v>
      </c>
      <c r="E33" s="215"/>
      <c r="F33" s="215" t="str">
        <f>人物卡!F44</f>
        <v>恐吓</v>
      </c>
      <c r="G33" s="215"/>
      <c r="H33" s="215"/>
      <c r="I33" s="215"/>
      <c r="J33" s="1132">
        <f>人物卡!J44</f>
        <v>15.0</v>
      </c>
      <c r="K33" s="1132"/>
      <c r="L33" s="215">
        <f>人物卡!L44</f>
        <v>0.0</v>
      </c>
      <c r="M33" s="215"/>
      <c r="N33" s="215">
        <f>人物卡!N44</f>
        <v>0.0</v>
      </c>
      <c r="O33" s="215"/>
      <c r="P33" s="215">
        <f>人物卡!P44</f>
        <v>0.0</v>
      </c>
      <c r="Q33" s="215"/>
      <c r="R33" s="1132">
        <f>人物卡!R44</f>
        <v>15.0</v>
      </c>
      <c r="S33" s="1132"/>
      <c r="T33" s="1132">
        <f>人物卡!T44</f>
        <v>7.0</v>
      </c>
      <c r="U33" s="1132"/>
      <c r="V33" s="1133">
        <f>人物卡!V44</f>
        <v>3.0</v>
      </c>
      <c r="W33" s="1133"/>
      <c r="X33" s="1134">
        <f>人物卡!Z44</f>
        <v>0.0</v>
      </c>
      <c r="Y33" s="215"/>
      <c r="Z33" s="215" t="str">
        <f>人物卡!AB44</f>
        <v>读唇</v>
      </c>
      <c r="AA33" s="215"/>
      <c r="AB33" s="215"/>
      <c r="AC33" s="215"/>
      <c r="AD33" s="1132">
        <f>人物卡!AF44</f>
        <v>1.0</v>
      </c>
      <c r="AE33" s="1132"/>
      <c r="AF33" s="215">
        <f>人物卡!AH44</f>
        <v>0.0</v>
      </c>
      <c r="AG33" s="215"/>
      <c r="AH33" s="215">
        <f>人物卡!AJ44</f>
        <v>0.0</v>
      </c>
      <c r="AI33" s="215"/>
      <c r="AJ33" s="215">
        <f>人物卡!AL44</f>
        <v>0.0</v>
      </c>
      <c r="AK33" s="215"/>
      <c r="AL33" s="1132">
        <f>人物卡!AN44</f>
        <v>1.0</v>
      </c>
      <c r="AM33" s="1132"/>
      <c r="AN33" s="1132">
        <f>人物卡!AP44</f>
        <v>0.0</v>
      </c>
      <c r="AO33" s="1132"/>
      <c r="AP33" s="1133">
        <f>人物卡!AR44</f>
        <v>0.0</v>
      </c>
      <c r="AQ33" s="1133"/>
      <c r="AR33" s="1135" t="str">
        <f>IF(人物卡!AT44="","",人物卡!AT44)</f>
        <v>👄</v>
      </c>
    </row>
    <row r="34" spans="8:8">
      <c r="C34" s="1136" t="str">
        <f>IF(人物卡!A45="","",人物卡!A45)</f>
        <v>🐸</v>
      </c>
      <c r="D34" s="1137">
        <f>人物卡!D45</f>
        <v>0.0</v>
      </c>
      <c r="E34" s="1138"/>
      <c r="F34" s="1138" t="str">
        <f>人物卡!F45</f>
        <v>跳跃</v>
      </c>
      <c r="G34" s="1138"/>
      <c r="H34" s="1138"/>
      <c r="I34" s="1138"/>
      <c r="J34" s="1139">
        <f>人物卡!J45</f>
        <v>20.0</v>
      </c>
      <c r="K34" s="1139"/>
      <c r="L34" s="1138">
        <f>人物卡!L45</f>
        <v>0.0</v>
      </c>
      <c r="M34" s="1138"/>
      <c r="N34" s="1138">
        <f>人物卡!N45</f>
        <v>0.0</v>
      </c>
      <c r="O34" s="1138"/>
      <c r="P34" s="1138">
        <f>人物卡!P45</f>
        <v>0.0</v>
      </c>
      <c r="Q34" s="1138"/>
      <c r="R34" s="1139">
        <f>人物卡!R45</f>
        <v>20.0</v>
      </c>
      <c r="S34" s="1139"/>
      <c r="T34" s="1139">
        <f>人物卡!T45</f>
        <v>10.0</v>
      </c>
      <c r="U34" s="1139"/>
      <c r="V34" s="1140">
        <f>人物卡!V45</f>
        <v>4.0</v>
      </c>
      <c r="W34" s="1140"/>
      <c r="X34" s="1141">
        <f>人物卡!Z45</f>
        <v>0.0</v>
      </c>
      <c r="Y34" s="1138"/>
      <c r="Z34" s="1138" t="str">
        <f>人物卡!AB45</f>
        <v>催眠</v>
      </c>
      <c r="AA34" s="1138"/>
      <c r="AB34" s="1138"/>
      <c r="AC34" s="1138"/>
      <c r="AD34" s="1139">
        <f>人物卡!AF45</f>
        <v>1.0</v>
      </c>
      <c r="AE34" s="1139"/>
      <c r="AF34" s="1138">
        <f>人物卡!AH45</f>
        <v>0.0</v>
      </c>
      <c r="AG34" s="1138"/>
      <c r="AH34" s="1138">
        <f>人物卡!AJ45</f>
        <v>0.0</v>
      </c>
      <c r="AI34" s="1138"/>
      <c r="AJ34" s="1138">
        <f>人物卡!AL45</f>
        <v>0.0</v>
      </c>
      <c r="AK34" s="1138"/>
      <c r="AL34" s="1139">
        <f>人物卡!AN45</f>
        <v>1.0</v>
      </c>
      <c r="AM34" s="1139"/>
      <c r="AN34" s="1139">
        <f>人物卡!AP45</f>
        <v>0.0</v>
      </c>
      <c r="AO34" s="1139"/>
      <c r="AP34" s="1140">
        <f>人物卡!AR45</f>
        <v>0.0</v>
      </c>
      <c r="AQ34" s="1140"/>
      <c r="AR34" s="1142" t="str">
        <f>IF(人物卡!AT45="","",人物卡!AT45)</f>
        <v>💤</v>
      </c>
    </row>
    <row r="35" spans="8:8" ht="18.6">
      <c r="C35" s="1130" t="str">
        <f>IF(人物卡!A46="","",人物卡!A46)</f>
        <v>🔅</v>
      </c>
      <c r="D35" s="1131">
        <f>人物卡!D46</f>
        <v>0.0</v>
      </c>
      <c r="E35" s="215"/>
      <c r="F35" s="215" t="str">
        <f>人物卡!F46</f>
        <v>外语①</v>
      </c>
      <c r="G35" s="215"/>
      <c r="H35" s="215" t="str">
        <f>IF(人物卡!H46="","",人物卡!H46)</f>
        <v/>
      </c>
      <c r="I35" s="215"/>
      <c r="J35" s="1132">
        <f>人物卡!J46</f>
        <v>1.0</v>
      </c>
      <c r="K35" s="1132"/>
      <c r="L35" s="215">
        <f>人物卡!L46</f>
        <v>0.0</v>
      </c>
      <c r="M35" s="215"/>
      <c r="N35" s="215">
        <f>人物卡!N46</f>
        <v>0.0</v>
      </c>
      <c r="O35" s="215"/>
      <c r="P35" s="215">
        <f>人物卡!P46</f>
        <v>0.0</v>
      </c>
      <c r="Q35" s="215"/>
      <c r="R35" s="1132">
        <f>人物卡!R46</f>
        <v>1.0</v>
      </c>
      <c r="S35" s="1132"/>
      <c r="T35" s="1132">
        <f>人物卡!T46</f>
        <v>0.0</v>
      </c>
      <c r="U35" s="1132"/>
      <c r="V35" s="1133">
        <f>人物卡!V46</f>
        <v>0.0</v>
      </c>
      <c r="W35" s="1133"/>
      <c r="X35" s="1134">
        <f>人物卡!Z46</f>
        <v>0.0</v>
      </c>
      <c r="Y35" s="215"/>
      <c r="Z35" s="215" t="str">
        <f>人物卡!AB46</f>
        <v>炮术</v>
      </c>
      <c r="AA35" s="215"/>
      <c r="AB35" s="215"/>
      <c r="AC35" s="215"/>
      <c r="AD35" s="1132">
        <f>人物卡!AF46</f>
        <v>1.0</v>
      </c>
      <c r="AE35" s="1132"/>
      <c r="AF35" s="215">
        <f>人物卡!AH46</f>
        <v>0.0</v>
      </c>
      <c r="AG35" s="215"/>
      <c r="AH35" s="215">
        <f>人物卡!AJ46</f>
        <v>0.0</v>
      </c>
      <c r="AI35" s="215"/>
      <c r="AJ35" s="215">
        <f>人物卡!AL46</f>
        <v>0.0</v>
      </c>
      <c r="AK35" s="215"/>
      <c r="AL35" s="1132">
        <f>人物卡!AN46</f>
        <v>1.0</v>
      </c>
      <c r="AM35" s="1132"/>
      <c r="AN35" s="1132">
        <f>人物卡!AP46</f>
        <v>0.0</v>
      </c>
      <c r="AO35" s="1132"/>
      <c r="AP35" s="1133">
        <f>人物卡!AR46</f>
        <v>0.0</v>
      </c>
      <c r="AQ35" s="1133"/>
      <c r="AR35" s="1135" t="str">
        <f>IF(人物卡!AT46="","",人物卡!AT46)</f>
        <v>☄️</v>
      </c>
    </row>
    <row r="36" spans="8:8" ht="18.6">
      <c r="C36" s="1136" t="str">
        <f>IF(人物卡!A47="","",人物卡!A47)</f>
        <v>🔅</v>
      </c>
      <c r="D36" s="1137">
        <f>人物卡!D47</f>
        <v>0.0</v>
      </c>
      <c r="E36" s="1138"/>
      <c r="F36" s="1138" t="str">
        <f>人物卡!F47</f>
        <v>外语②</v>
      </c>
      <c r="G36" s="1138"/>
      <c r="H36" s="1138" t="str">
        <f>IF(人物卡!H47="","",人物卡!H47)</f>
        <v/>
      </c>
      <c r="I36" s="1138"/>
      <c r="J36" s="1139">
        <f>人物卡!J47</f>
        <v>1.0</v>
      </c>
      <c r="K36" s="1139"/>
      <c r="L36" s="1138">
        <f>人物卡!L47</f>
        <v>0.0</v>
      </c>
      <c r="M36" s="1138"/>
      <c r="N36" s="1138">
        <f>人物卡!N47</f>
        <v>0.0</v>
      </c>
      <c r="O36" s="1138"/>
      <c r="P36" s="1138">
        <f>人物卡!P47</f>
        <v>0.0</v>
      </c>
      <c r="Q36" s="1138"/>
      <c r="R36" s="1139">
        <f>人物卡!R47</f>
        <v>1.0</v>
      </c>
      <c r="S36" s="1139"/>
      <c r="T36" s="1139">
        <f>人物卡!T47</f>
        <v>0.0</v>
      </c>
      <c r="U36" s="1139"/>
      <c r="V36" s="1140">
        <f>人物卡!V47</f>
        <v>0.0</v>
      </c>
      <c r="W36" s="1140"/>
      <c r="X36" s="1141">
        <f>人物卡!Z47</f>
        <v>0.0</v>
      </c>
      <c r="Y36" s="1138"/>
      <c r="Z36" s="1138" t="str">
        <f>人物卡!AB47</f>
        <v>学识：</v>
      </c>
      <c r="AA36" s="1138"/>
      <c r="AB36" s="1138" t="str">
        <f>IF(人物卡!AD47="","",人物卡!AD47)</f>
        <v/>
      </c>
      <c r="AC36" s="1138"/>
      <c r="AD36" s="1139">
        <f>人物卡!AF47</f>
        <v>1.0</v>
      </c>
      <c r="AE36" s="1139"/>
      <c r="AF36" s="1138">
        <f>人物卡!AH47</f>
        <v>0.0</v>
      </c>
      <c r="AG36" s="1138"/>
      <c r="AH36" s="1138">
        <f>人物卡!AJ47</f>
        <v>0.0</v>
      </c>
      <c r="AI36" s="1138"/>
      <c r="AJ36" s="1138">
        <f>人物卡!AL47</f>
        <v>0.0</v>
      </c>
      <c r="AK36" s="1138"/>
      <c r="AL36" s="1139">
        <f>人物卡!AN47</f>
        <v>1.0</v>
      </c>
      <c r="AM36" s="1139"/>
      <c r="AN36" s="1139">
        <f>人物卡!AP47</f>
        <v>0.0</v>
      </c>
      <c r="AO36" s="1139"/>
      <c r="AP36" s="1140">
        <f>人物卡!AR47</f>
        <v>0.0</v>
      </c>
      <c r="AQ36" s="1140"/>
      <c r="AR36" s="1142" t="str">
        <f>IF(人物卡!AT47="","",人物卡!AT47)</f>
        <v>👽</v>
      </c>
    </row>
    <row r="37" spans="8:8" ht="18.6">
      <c r="C37" s="1130" t="str">
        <f>IF(人物卡!A48="","",人物卡!A48)</f>
        <v>🔅</v>
      </c>
      <c r="D37" s="1131">
        <f>人物卡!D48</f>
        <v>0.0</v>
      </c>
      <c r="E37" s="215"/>
      <c r="F37" s="215" t="str">
        <f>人物卡!F48</f>
        <v>外语③</v>
      </c>
      <c r="G37" s="215"/>
      <c r="H37" s="215" t="str">
        <f>IF(人物卡!H48="","",人物卡!H48)</f>
        <v/>
      </c>
      <c r="I37" s="215"/>
      <c r="J37" s="1132">
        <f>人物卡!J48</f>
        <v>1.0</v>
      </c>
      <c r="K37" s="1132"/>
      <c r="L37" s="215">
        <f>人物卡!L48</f>
        <v>0.0</v>
      </c>
      <c r="M37" s="215"/>
      <c r="N37" s="215">
        <f>人物卡!N48</f>
        <v>0.0</v>
      </c>
      <c r="O37" s="215"/>
      <c r="P37" s="215">
        <f>人物卡!P48</f>
        <v>0.0</v>
      </c>
      <c r="Q37" s="215"/>
      <c r="R37" s="1132">
        <f>人物卡!R48</f>
        <v>1.0</v>
      </c>
      <c r="S37" s="1132"/>
      <c r="T37" s="1132">
        <f>人物卡!T48</f>
        <v>0.0</v>
      </c>
      <c r="U37" s="1132"/>
      <c r="V37" s="1133">
        <f>人物卡!V48</f>
        <v>0.0</v>
      </c>
      <c r="W37" s="1133"/>
      <c r="X37" s="1134">
        <f>人物卡!Z48</f>
        <v>0.0</v>
      </c>
      <c r="Y37" s="215"/>
      <c r="Z37" s="215" t="str">
        <f>人物卡!AB48</f>
        <v>自定义技能</v>
      </c>
      <c r="AA37" s="215"/>
      <c r="AB37" s="215"/>
      <c r="AC37" s="215"/>
      <c r="AD37" s="1132">
        <f>人物卡!AF48</f>
        <v>0.0</v>
      </c>
      <c r="AE37" s="1132"/>
      <c r="AF37" s="215">
        <f>人物卡!AH48</f>
        <v>0.0</v>
      </c>
      <c r="AG37" s="215"/>
      <c r="AH37" s="215">
        <f>人物卡!AJ48</f>
        <v>0.0</v>
      </c>
      <c r="AI37" s="215"/>
      <c r="AJ37" s="215">
        <f>人物卡!AL48</f>
        <v>0.0</v>
      </c>
      <c r="AK37" s="215"/>
      <c r="AL37" s="1132">
        <f>人物卡!AN48</f>
        <v>0.0</v>
      </c>
      <c r="AM37" s="1132"/>
      <c r="AN37" s="1132">
        <f>人物卡!AP48</f>
        <v>0.0</v>
      </c>
      <c r="AO37" s="1132"/>
      <c r="AP37" s="1133">
        <f>人物卡!AR48</f>
        <v>0.0</v>
      </c>
      <c r="AQ37" s="1133"/>
      <c r="AR37" s="1135" t="str">
        <f>IF(人物卡!AT48="","",人物卡!AT48)</f>
        <v>❓</v>
      </c>
    </row>
    <row r="38" spans="8:8" ht="18.6">
      <c r="C38" s="1143" t="str">
        <f>IF(人物卡!A49="","",人物卡!A49)</f>
        <v>🗣️</v>
      </c>
      <c r="D38" s="1144">
        <f>人物卡!D49</f>
        <v>0.0</v>
      </c>
      <c r="E38" s="1145"/>
      <c r="F38" s="1145" t="str">
        <f>人物卡!F49</f>
        <v>母语</v>
      </c>
      <c r="G38" s="1145"/>
      <c r="H38" s="1145" t="str">
        <f>IF(人物卡!H49="","",人物卡!H49)</f>
        <v/>
      </c>
      <c r="I38" s="1145"/>
      <c r="J38" s="1146">
        <f>人物卡!J49</f>
        <v>0.0</v>
      </c>
      <c r="K38" s="1146"/>
      <c r="L38" s="1145">
        <f>人物卡!L49</f>
        <v>0.0</v>
      </c>
      <c r="M38" s="1145"/>
      <c r="N38" s="1145">
        <f>人物卡!N49</f>
        <v>0.0</v>
      </c>
      <c r="O38" s="1145"/>
      <c r="P38" s="1145">
        <f>人物卡!P49</f>
        <v>0.0</v>
      </c>
      <c r="Q38" s="1145"/>
      <c r="R38" s="1146">
        <f>人物卡!R49</f>
        <v>0.0</v>
      </c>
      <c r="S38" s="1146"/>
      <c r="T38" s="1146">
        <f>人物卡!T49</f>
        <v>0.0</v>
      </c>
      <c r="U38" s="1146"/>
      <c r="V38" s="1147">
        <f>人物卡!V49</f>
        <v>0.0</v>
      </c>
      <c r="W38" s="1147"/>
      <c r="X38" s="1148" t="str">
        <f>人物卡!Z49</f>
        <v/>
      </c>
      <c r="Y38" s="1145"/>
      <c r="Z38" s="1145">
        <f>人物卡!AB49</f>
        <v>0.0</v>
      </c>
      <c r="AA38" s="1145"/>
      <c r="AB38" s="1145"/>
      <c r="AC38" s="1145"/>
      <c r="AD38" s="1145">
        <f>人物卡!AF49</f>
        <v>0.0</v>
      </c>
      <c r="AE38" s="1145"/>
      <c r="AF38" s="1145">
        <f>人物卡!AH49</f>
        <v>0.0</v>
      </c>
      <c r="AG38" s="1145"/>
      <c r="AH38" s="1145">
        <f>人物卡!AJ49</f>
        <v>0.0</v>
      </c>
      <c r="AI38" s="1145"/>
      <c r="AJ38" s="1145">
        <f>人物卡!AL49</f>
        <v>0.0</v>
      </c>
      <c r="AK38" s="1145"/>
      <c r="AL38" s="1145">
        <f>人物卡!AN49</f>
        <v>0.0</v>
      </c>
      <c r="AM38" s="1145"/>
      <c r="AN38" s="1145">
        <f>人物卡!AP49</f>
        <v>0.0</v>
      </c>
      <c r="AO38" s="1145"/>
      <c r="AP38" s="1149">
        <f>人物卡!AR49</f>
        <v>0.0</v>
      </c>
      <c r="AQ38" s="1149"/>
      <c r="AR38" s="1150" t="str">
        <f>IF(人物卡!AT49="","",人物卡!AT49)</f>
        <v/>
      </c>
    </row>
    <row r="39" spans="8:8" ht="18.6"/>
    <row r="40" spans="8:8" ht="18.0" customHeight="1">
      <c r="C40" s="1151" t="s">
        <v>6104</v>
      </c>
      <c r="D40" s="1151"/>
      <c r="E40" s="1151"/>
      <c r="F40" s="1151"/>
      <c r="G40" s="1152">
        <f>MAX(G41:H107)</f>
        <v>0.0</v>
      </c>
      <c r="H40" s="1152"/>
      <c r="I40" s="1153" t="str">
        <f>IF(M40=1,"错误：使用本职技能点提高了非本职技能！",_xlfn.TEXTJOIN("、",TRUE,I41:L107))</f>
        <v/>
      </c>
      <c r="J40" s="1153"/>
      <c r="K40" s="1153"/>
      <c r="L40" s="1153"/>
      <c r="M40" s="1154">
        <f>SUM(M41:M107)</f>
        <v>0.0</v>
      </c>
      <c r="N40" s="1122"/>
      <c r="O40" s="1153"/>
      <c r="P40" s="1151" t="s">
        <v>6107</v>
      </c>
      <c r="Q40" s="1151"/>
      <c r="R40" s="1151"/>
      <c r="S40" s="1151"/>
      <c r="T40" s="1155">
        <f>MAX(T41:U107)</f>
        <v>0.0</v>
      </c>
      <c r="U40" s="1155"/>
      <c r="V40" s="1153" t="str">
        <f>_xlfn.TEXTJOIN("、",TRUE,V41:Y107)</f>
        <v/>
      </c>
      <c r="W40" s="1153"/>
      <c r="X40" s="1153"/>
      <c r="Y40" s="1153"/>
      <c r="AB40" s="1153"/>
      <c r="AC40" s="1153" t="s">
        <v>6108</v>
      </c>
      <c r="AD40" s="1153"/>
      <c r="AE40" s="1153"/>
      <c r="AF40" s="1153"/>
      <c r="AG40" s="1153"/>
      <c r="AH40" s="1153"/>
      <c r="AI40" s="1151" t="str">
        <f>_xlfn.TEXTJOIN(CHAR(10),TRUE,AM109:KT109)</f>
        <v/>
      </c>
      <c r="AJ40" s="1151"/>
      <c r="AK40" s="1156" t="str">
        <f>_xlfn.TEXTJOIN(CHAR(10),TRUE,AM110:KT110)</f>
        <v/>
      </c>
      <c r="AL40" s="1156"/>
      <c r="AM40" s="1153">
        <v>1.0</v>
      </c>
      <c r="AN40" s="1153"/>
      <c r="AO40" s="1153"/>
      <c r="AP40" s="1153"/>
      <c r="AQ40" s="1153">
        <v>2.0</v>
      </c>
      <c r="AR40" s="1153"/>
      <c r="AS40" s="1153"/>
      <c r="AT40" s="1153"/>
      <c r="AU40" s="1153">
        <v>3.0</v>
      </c>
      <c r="AV40" s="1153"/>
      <c r="AW40" s="1153"/>
      <c r="AX40" s="1153"/>
      <c r="AY40" s="1153">
        <v>4.0</v>
      </c>
      <c r="AZ40" s="1153"/>
      <c r="BA40" s="1153"/>
      <c r="BB40" s="1153"/>
      <c r="BC40" s="1153">
        <v>5.0</v>
      </c>
      <c r="BD40" s="1153"/>
      <c r="BE40" s="1153"/>
      <c r="BF40" s="1153"/>
      <c r="BG40" s="1153">
        <v>6.0</v>
      </c>
      <c r="BH40" s="1153"/>
      <c r="BI40" s="1153"/>
      <c r="BJ40" s="1153"/>
      <c r="BK40" s="1153">
        <v>7.0</v>
      </c>
      <c r="BL40" s="1153"/>
      <c r="BM40" s="1153"/>
      <c r="BN40" s="1153"/>
      <c r="BO40" s="1153">
        <v>8.0</v>
      </c>
      <c r="BP40" s="1153"/>
      <c r="BQ40" s="1153"/>
      <c r="BR40" s="1153"/>
      <c r="BS40" s="1153">
        <v>9.0</v>
      </c>
      <c r="BT40" s="1153"/>
      <c r="BU40" s="1153"/>
      <c r="BV40" s="1153"/>
      <c r="BW40" s="1153">
        <v>10.0</v>
      </c>
      <c r="BX40" s="1153"/>
      <c r="BY40" s="1153"/>
      <c r="BZ40" s="1153"/>
      <c r="CA40" s="1153">
        <v>11.0</v>
      </c>
      <c r="CB40" s="1153"/>
      <c r="CC40" s="1153"/>
      <c r="CD40" s="1153"/>
      <c r="CE40" s="1153">
        <v>12.0</v>
      </c>
      <c r="CF40" s="1153"/>
      <c r="CG40" s="1153"/>
      <c r="CH40" s="1153"/>
      <c r="CI40" s="1153">
        <v>13.0</v>
      </c>
      <c r="CJ40" s="1153"/>
      <c r="CK40" s="1153"/>
      <c r="CL40" s="1153"/>
      <c r="CM40" s="1153">
        <v>14.0</v>
      </c>
      <c r="CN40" s="1153"/>
      <c r="CO40" s="1153"/>
      <c r="CP40" s="1153"/>
      <c r="CQ40" s="1153">
        <v>15.0</v>
      </c>
      <c r="CR40" s="1153"/>
      <c r="CS40" s="1153"/>
      <c r="CT40" s="1153"/>
      <c r="CU40" s="1153">
        <v>16.0</v>
      </c>
      <c r="CV40" s="1153"/>
      <c r="CW40" s="1153"/>
      <c r="CX40" s="1153"/>
      <c r="CY40" s="1153">
        <v>17.0</v>
      </c>
      <c r="CZ40" s="1153"/>
      <c r="DA40" s="1153"/>
      <c r="DB40" s="1153"/>
      <c r="DC40" s="1153">
        <v>18.0</v>
      </c>
      <c r="DD40" s="1153"/>
      <c r="DE40" s="1153"/>
      <c r="DF40" s="1153"/>
      <c r="DG40" s="1153">
        <v>19.0</v>
      </c>
      <c r="DH40" s="1153"/>
      <c r="DI40" s="1153"/>
      <c r="DJ40" s="1153"/>
      <c r="DK40" s="1153">
        <v>20.0</v>
      </c>
      <c r="DL40" s="1153"/>
      <c r="DM40" s="1153"/>
      <c r="DN40" s="1153"/>
      <c r="DO40" s="1153">
        <v>21.0</v>
      </c>
      <c r="DP40" s="1153"/>
      <c r="DQ40" s="1153"/>
      <c r="DR40" s="1153"/>
      <c r="DS40" s="1153">
        <v>22.0</v>
      </c>
      <c r="DT40" s="1153"/>
      <c r="DU40" s="1153"/>
      <c r="DV40" s="1153"/>
      <c r="DW40" s="1153">
        <v>23.0</v>
      </c>
      <c r="DX40" s="1153"/>
      <c r="DY40" s="1153"/>
      <c r="DZ40" s="1153"/>
      <c r="EA40" s="1153">
        <v>24.0</v>
      </c>
      <c r="EB40" s="1153"/>
      <c r="EC40" s="1153"/>
      <c r="ED40" s="1153"/>
      <c r="EE40" s="1153">
        <v>25.0</v>
      </c>
      <c r="EF40" s="1153"/>
      <c r="EG40" s="1153"/>
      <c r="EH40" s="1153"/>
      <c r="EI40" s="1153">
        <v>26.0</v>
      </c>
      <c r="EJ40" s="1153"/>
      <c r="EK40" s="1153"/>
      <c r="EL40" s="1153"/>
      <c r="EM40" s="1153">
        <v>27.0</v>
      </c>
      <c r="EN40" s="1153"/>
      <c r="EO40" s="1153"/>
      <c r="EP40" s="1153"/>
      <c r="EQ40" s="1153">
        <v>28.0</v>
      </c>
      <c r="ER40" s="1153"/>
      <c r="ES40" s="1153"/>
      <c r="ET40" s="1153"/>
      <c r="EU40" s="1153">
        <v>29.0</v>
      </c>
      <c r="EV40" s="1153"/>
      <c r="EW40" s="1153"/>
      <c r="EX40" s="1153"/>
      <c r="EY40" s="1153">
        <v>30.0</v>
      </c>
      <c r="EZ40" s="1153"/>
      <c r="FA40" s="1153"/>
      <c r="FB40" s="1153"/>
      <c r="FC40" s="1153">
        <v>31.0</v>
      </c>
      <c r="FD40" s="1153"/>
      <c r="FE40" s="1153"/>
      <c r="FF40" s="1153"/>
      <c r="FG40" s="1153">
        <v>32.0</v>
      </c>
      <c r="FH40" s="1153"/>
      <c r="FI40" s="1153"/>
      <c r="FJ40" s="1153"/>
      <c r="FK40" s="1153">
        <v>33.0</v>
      </c>
      <c r="FL40" s="1153"/>
      <c r="FM40" s="1153"/>
      <c r="FN40" s="1153"/>
      <c r="FO40" s="1153">
        <v>34.0</v>
      </c>
      <c r="FP40" s="1153"/>
      <c r="FQ40" s="1153"/>
      <c r="FR40" s="1153"/>
      <c r="FS40" s="1153">
        <v>35.0</v>
      </c>
      <c r="FT40" s="1153"/>
      <c r="FU40" s="1153"/>
      <c r="FV40" s="1153"/>
      <c r="FW40" s="1153">
        <v>36.0</v>
      </c>
      <c r="FX40" s="1153"/>
      <c r="FY40" s="1153"/>
      <c r="FZ40" s="1153"/>
      <c r="GA40" s="1153">
        <v>37.0</v>
      </c>
      <c r="GB40" s="1153"/>
      <c r="GC40" s="1153"/>
      <c r="GD40" s="1153"/>
      <c r="GE40" s="1153">
        <v>38.0</v>
      </c>
      <c r="GF40" s="1153"/>
      <c r="GG40" s="1153"/>
      <c r="GH40" s="1153"/>
      <c r="GI40" s="1153">
        <v>39.0</v>
      </c>
      <c r="GJ40" s="1153"/>
      <c r="GK40" s="1153"/>
      <c r="GL40" s="1153"/>
      <c r="GM40" s="1153">
        <v>40.0</v>
      </c>
      <c r="GN40" s="1153"/>
      <c r="GO40" s="1153"/>
      <c r="GP40" s="1153"/>
      <c r="GQ40" s="1153">
        <v>41.0</v>
      </c>
      <c r="GR40" s="1153"/>
      <c r="GS40" s="1153"/>
      <c r="GT40" s="1153"/>
      <c r="GU40" s="1153">
        <v>42.0</v>
      </c>
      <c r="GV40" s="1153"/>
      <c r="GW40" s="1153"/>
      <c r="GX40" s="1153"/>
      <c r="GY40" s="1153">
        <v>43.0</v>
      </c>
      <c r="GZ40" s="1153"/>
      <c r="HA40" s="1153"/>
      <c r="HB40" s="1153"/>
      <c r="HC40" s="1153">
        <v>44.0</v>
      </c>
      <c r="HD40" s="1153"/>
      <c r="HE40" s="1153"/>
      <c r="HF40" s="1153"/>
      <c r="HG40" s="1153">
        <v>45.0</v>
      </c>
      <c r="HH40" s="1153"/>
      <c r="HI40" s="1153"/>
      <c r="HJ40" s="1153"/>
      <c r="HK40" s="1153">
        <v>46.0</v>
      </c>
      <c r="HL40" s="1153"/>
      <c r="HM40" s="1153"/>
      <c r="HN40" s="1153"/>
      <c r="HO40" s="1153">
        <v>47.0</v>
      </c>
      <c r="HP40" s="1153"/>
      <c r="HQ40" s="1153"/>
      <c r="HR40" s="1153"/>
      <c r="HS40" s="1153">
        <v>48.0</v>
      </c>
      <c r="HT40" s="1153"/>
      <c r="HU40" s="1153"/>
      <c r="HV40" s="1153"/>
      <c r="HW40" s="1153">
        <v>49.0</v>
      </c>
      <c r="HX40" s="1153"/>
      <c r="HY40" s="1153"/>
      <c r="HZ40" s="1153"/>
      <c r="IA40" s="1153">
        <v>50.0</v>
      </c>
      <c r="IB40" s="1153"/>
      <c r="IC40" s="1153"/>
      <c r="ID40" s="1153"/>
      <c r="IE40" s="1153">
        <v>51.0</v>
      </c>
      <c r="IF40" s="1153"/>
      <c r="IG40" s="1153"/>
      <c r="IH40" s="1153"/>
      <c r="II40" s="1153">
        <v>52.0</v>
      </c>
      <c r="IJ40" s="1153"/>
      <c r="IK40" s="1153"/>
      <c r="IL40" s="1153"/>
      <c r="IM40" s="1153">
        <v>53.0</v>
      </c>
      <c r="IN40" s="1153"/>
      <c r="IO40" s="1153"/>
      <c r="IP40" s="1153"/>
      <c r="IQ40" s="1153">
        <v>54.0</v>
      </c>
      <c r="IR40" s="1153"/>
      <c r="IS40" s="1153"/>
      <c r="IT40" s="1153"/>
      <c r="IU40" s="1153">
        <v>55.0</v>
      </c>
      <c r="IV40" s="1153"/>
      <c r="IW40" s="1153"/>
      <c r="IX40" s="1153"/>
      <c r="IY40" s="1153">
        <v>56.0</v>
      </c>
      <c r="IZ40" s="1153"/>
      <c r="JA40" s="1153"/>
      <c r="JB40" s="1153"/>
      <c r="JC40" s="1153">
        <v>57.0</v>
      </c>
      <c r="JD40" s="1153"/>
      <c r="JE40" s="1153"/>
      <c r="JF40" s="1153"/>
      <c r="JG40" s="1153">
        <v>58.0</v>
      </c>
      <c r="JH40" s="1153"/>
      <c r="JI40" s="1153"/>
      <c r="JJ40" s="1153"/>
      <c r="JK40" s="1153">
        <v>59.0</v>
      </c>
      <c r="JL40" s="1153"/>
      <c r="JM40" s="1153"/>
      <c r="JN40" s="1153"/>
      <c r="JO40" s="1153">
        <v>60.0</v>
      </c>
      <c r="JP40" s="1153"/>
      <c r="JQ40" s="1153"/>
      <c r="JR40" s="1153"/>
      <c r="JS40" s="1153">
        <v>61.0</v>
      </c>
      <c r="JT40" s="1153"/>
      <c r="JU40" s="1153"/>
      <c r="JV40" s="1153"/>
      <c r="JW40" s="1153">
        <v>62.0</v>
      </c>
      <c r="JX40" s="1153"/>
      <c r="JY40" s="1153"/>
      <c r="JZ40" s="1153"/>
      <c r="KA40" s="1153">
        <v>63.0</v>
      </c>
      <c r="KB40" s="1153"/>
      <c r="KC40" s="1153"/>
      <c r="KD40" s="1153"/>
      <c r="KE40" s="1153">
        <v>64.0</v>
      </c>
      <c r="KF40" s="1153"/>
      <c r="KG40" s="1153"/>
      <c r="KH40" s="1153"/>
      <c r="KI40" s="1153">
        <v>65.0</v>
      </c>
      <c r="KJ40" s="1153"/>
      <c r="KK40" s="1153"/>
      <c r="KL40" s="1153"/>
      <c r="KM40" s="1153">
        <v>66.0</v>
      </c>
      <c r="KN40" s="1153"/>
      <c r="KO40" s="1153"/>
      <c r="KP40" s="1153"/>
      <c r="KQ40" s="1153">
        <v>67.0</v>
      </c>
      <c r="KR40" s="1153"/>
      <c r="KS40" s="1153"/>
      <c r="KT40" s="1153"/>
    </row>
    <row r="41" spans="8:8">
      <c r="C41" s="1153" t="str">
        <f>IF(F5="","",CONCATENATE(" ",C5,F5,H5))</f>
        <v> 📒会计</v>
      </c>
      <c r="D41" s="1153"/>
      <c r="E41" s="1153"/>
      <c r="F41" s="1153"/>
      <c r="G41" s="1155" t="str">
        <f>IF(AND(L5=0,N5=0),"",IF(ISNONTEXT(D5),"",R5))</f>
        <v/>
      </c>
      <c r="H41" s="1155"/>
      <c r="I41" s="1153" t="str">
        <f>IF(G41=$G$40,C41,"")</f>
        <v/>
      </c>
      <c r="J41" s="1153"/>
      <c r="K41" s="1153"/>
      <c r="L41" s="1153"/>
      <c r="M41" s="1154">
        <f>IF(AND(NOT(N5=0),ISNONTEXT(D5)),1,0)</f>
        <v>0.0</v>
      </c>
      <c r="N41" s="1122"/>
      <c r="O41" s="1122"/>
      <c r="P41" s="1153" t="str">
        <f>IF(F5="","",CONCATENATE(" ",C5,F5,H5))</f>
        <v> 📒会计</v>
      </c>
      <c r="Q41" s="1153"/>
      <c r="R41" s="1153"/>
      <c r="S41" s="1153"/>
      <c r="T41" s="1155" t="str">
        <f>IF(AND(L5=0,P5=0),"",IF(ISNONTEXT(D5),R5,""))</f>
        <v/>
      </c>
      <c r="U41" s="1155"/>
      <c r="V41" s="1153" t="str">
        <f>IF(T41=$T$40,P41,"")</f>
        <v/>
      </c>
      <c r="W41" s="1153"/>
      <c r="X41" s="1153"/>
      <c r="Y41" s="1153"/>
      <c r="AB41" s="1122"/>
      <c r="AC41" s="1153" t="str">
        <f>IF(F5="","",CONCATENATE(C5,F5,H5))</f>
        <v>📒会计</v>
      </c>
      <c r="AD41" s="1153"/>
      <c r="AE41" s="1153"/>
      <c r="AF41" s="1153"/>
      <c r="AG41" s="1155">
        <f>R5</f>
        <v>5.0</v>
      </c>
      <c r="AH41" s="1155"/>
      <c r="AI41" s="1153" t="b">
        <f>IF(AND(OR(ISNUMBER(L5),ISNUMBER(N5),ISNUMBER(P5)),OR(L5&gt;0,N5&gt;0,P5&gt;0)),TRUE,FALSE)</f>
        <v>0</v>
      </c>
      <c r="AJ41" s="1153"/>
      <c r="AK41" s="1153"/>
      <c r="AL41" s="1153"/>
      <c r="AM41" s="1153" t="str">
        <f>IF($AI41,IF(LARGE($AG$41:$AH$107,AM$40)=$AG41,$AC41,""),"")</f>
        <v/>
      </c>
      <c r="AN41" s="1153"/>
      <c r="AO41" s="1153"/>
      <c r="AP41" s="1153"/>
      <c r="AQ41" s="1153" t="str">
        <f>IF($AI41,IF(LARGE($AG$41:$AH$107,AQ$40)=$AG41,$AC41,""),"")</f>
        <v/>
      </c>
      <c r="AR41" s="1153"/>
      <c r="AS41" s="1153"/>
      <c r="AT41" s="1153"/>
      <c r="AU41" s="1153" t="str">
        <f>IF($AI41,IF(LARGE($AG$41:$AH$107,AU$40)=$AG41,$AC41,""),"")</f>
        <v/>
      </c>
      <c r="AV41" s="1153"/>
      <c r="AW41" s="1153"/>
      <c r="AX41" s="1153"/>
      <c r="AY41" s="1153" t="str">
        <f>IF($AI41,IF(LARGE($AG$41:$AH$107,AY$40)=$AG41,$AC41,""),"")</f>
        <v/>
      </c>
      <c r="AZ41" s="1153"/>
      <c r="BA41" s="1153"/>
      <c r="BB41" s="1153"/>
      <c r="BC41" s="1153" t="str">
        <f>IF($AI41,IF(LARGE($AG$41:$AH$107,BC$40)=$AG41,$AC41,""),"")</f>
        <v/>
      </c>
      <c r="BD41" s="1153"/>
      <c r="BE41" s="1153"/>
      <c r="BF41" s="1153"/>
      <c r="BG41" s="1153" t="str">
        <f>IF($AI41,IF(LARGE($AG$41:$AH$107,BG$40)=$AG41,$AC41,""),"")</f>
        <v/>
      </c>
      <c r="BH41" s="1153"/>
      <c r="BI41" s="1153"/>
      <c r="BJ41" s="1153"/>
      <c r="BK41" s="1153" t="str">
        <f>IF($AI41,IF(LARGE($AG$41:$AH$107,BK$40)=$AG41,$AC41,""),"")</f>
        <v/>
      </c>
      <c r="BL41" s="1153"/>
      <c r="BM41" s="1153"/>
      <c r="BN41" s="1153"/>
      <c r="BO41" s="1153" t="str">
        <f>IF($AI41,IF(LARGE($AG$41:$AH$107,BO$40)=$AG41,$AC41,""),"")</f>
        <v/>
      </c>
      <c r="BP41" s="1153"/>
      <c r="BQ41" s="1153"/>
      <c r="BR41" s="1153"/>
      <c r="BS41" s="1153" t="str">
        <f>IF($AI41,IF(LARGE($AG$41:$AH$107,BS$40)=$AG41,$AC41,""),"")</f>
        <v/>
      </c>
      <c r="BT41" s="1153"/>
      <c r="BU41" s="1153"/>
      <c r="BV41" s="1153"/>
      <c r="BW41" s="1153" t="str">
        <f>IF($AI41,IF(LARGE($AG$41:$AH$107,BW$40)=$AG41,$AC41,""),"")</f>
        <v/>
      </c>
      <c r="BX41" s="1153"/>
      <c r="BY41" s="1153"/>
      <c r="BZ41" s="1153"/>
      <c r="CA41" s="1153" t="str">
        <f>IF($AI41,IF(LARGE($AG$41:$AH$107,CA$40)=$AG41,$AC41,""),"")</f>
        <v/>
      </c>
      <c r="CB41" s="1153"/>
      <c r="CC41" s="1153"/>
      <c r="CD41" s="1153"/>
      <c r="CE41" s="1153" t="str">
        <f>IF($AI41,IF(LARGE($AG$41:$AH$107,CE$40)=$AG41,$AC41,""),"")</f>
        <v/>
      </c>
      <c r="CF41" s="1153"/>
      <c r="CG41" s="1153"/>
      <c r="CH41" s="1153"/>
      <c r="CI41" s="1153" t="str">
        <f>IF($AI41,IF(LARGE($AG$41:$AH$107,CI$40)=$AG41,$AC41,""),"")</f>
        <v/>
      </c>
      <c r="CJ41" s="1153"/>
      <c r="CK41" s="1153"/>
      <c r="CL41" s="1153"/>
      <c r="CM41" s="1153" t="str">
        <f>IF($AI41,IF(LARGE($AG$41:$AH$107,CM$40)=$AG41,$AC41,""),"")</f>
        <v/>
      </c>
      <c r="CN41" s="1153"/>
      <c r="CO41" s="1153"/>
      <c r="CP41" s="1153"/>
      <c r="CQ41" s="1153" t="str">
        <f>IF($AI41,IF(LARGE($AG$41:$AH$107,CQ$40)=$AG41,$AC41,""),"")</f>
        <v/>
      </c>
      <c r="CR41" s="1153"/>
      <c r="CS41" s="1153"/>
      <c r="CT41" s="1153"/>
      <c r="CU41" s="1153" t="str">
        <f>IF($AI41,IF(LARGE($AG$41:$AH$107,CU$40)=$AG41,$AC41,""),"")</f>
        <v/>
      </c>
      <c r="CV41" s="1153"/>
      <c r="CW41" s="1153"/>
      <c r="CX41" s="1153"/>
      <c r="CY41" s="1153" t="str">
        <f>IF($AI41,IF(LARGE($AG$41:$AH$107,CY$40)=$AG41,$AC41,""),"")</f>
        <v/>
      </c>
      <c r="CZ41" s="1153"/>
      <c r="DA41" s="1153"/>
      <c r="DB41" s="1153"/>
      <c r="DC41" s="1153" t="str">
        <f>IF($AI41,IF(LARGE($AG$41:$AH$107,DC$40)=$AG41,$AC41,""),"")</f>
        <v/>
      </c>
      <c r="DD41" s="1153"/>
      <c r="DE41" s="1153"/>
      <c r="DF41" s="1153"/>
      <c r="DG41" s="1153" t="str">
        <f>IF($AI41,IF(LARGE($AG$41:$AH$107,DG$40)=$AG41,$AC41,""),"")</f>
        <v/>
      </c>
      <c r="DH41" s="1153"/>
      <c r="DI41" s="1153"/>
      <c r="DJ41" s="1153"/>
      <c r="DK41" s="1153" t="str">
        <f>IF($AI41,IF(LARGE($AG$41:$AH$107,DK$40)=$AG41,$AC41,""),"")</f>
        <v/>
      </c>
      <c r="DL41" s="1153"/>
      <c r="DM41" s="1153"/>
      <c r="DN41" s="1153"/>
      <c r="DO41" s="1153" t="str">
        <f>IF($AI41,IF(LARGE($AG$41:$AH$107,DO$40)=$AG41,$AC41,""),"")</f>
        <v/>
      </c>
      <c r="DP41" s="1153"/>
      <c r="DQ41" s="1153"/>
      <c r="DR41" s="1153"/>
      <c r="DS41" s="1153" t="str">
        <f>IF($AI41,IF(LARGE($AG$41:$AH$107,DS$40)=$AG41,$AC41,""),"")</f>
        <v/>
      </c>
      <c r="DT41" s="1153"/>
      <c r="DU41" s="1153"/>
      <c r="DV41" s="1153"/>
      <c r="DW41" s="1153" t="str">
        <f>IF($AI41,IF(LARGE($AG$41:$AH$107,DW$40)=$AG41,$AC41,""),"")</f>
        <v/>
      </c>
      <c r="DX41" s="1153"/>
      <c r="DY41" s="1153"/>
      <c r="DZ41" s="1153"/>
      <c r="EA41" s="1153" t="str">
        <f>IF($AI41,IF(LARGE($AG$41:$AH$107,EA$40)=$AG41,$AC41,""),"")</f>
        <v/>
      </c>
      <c r="EB41" s="1153"/>
      <c r="EC41" s="1153"/>
      <c r="ED41" s="1153"/>
      <c r="EE41" s="1153" t="str">
        <f>IF($AI41,IF(LARGE($AG$41:$AH$107,EE$40)=$AG41,$AC41,""),"")</f>
        <v/>
      </c>
      <c r="EF41" s="1153"/>
      <c r="EG41" s="1153"/>
      <c r="EH41" s="1153"/>
      <c r="EI41" s="1153" t="str">
        <f>IF($AI41,IF(LARGE($AG$41:$AH$107,EI$40)=$AG41,$AC41,""),"")</f>
        <v/>
      </c>
      <c r="EJ41" s="1153"/>
      <c r="EK41" s="1153"/>
      <c r="EL41" s="1153"/>
      <c r="EM41" s="1153" t="str">
        <f>IF($AI41,IF(LARGE($AG$41:$AH$107,EM$40)=$AG41,$AC41,""),"")</f>
        <v/>
      </c>
      <c r="EN41" s="1153"/>
      <c r="EO41" s="1153"/>
      <c r="EP41" s="1153"/>
      <c r="EQ41" s="1153" t="str">
        <f>IF($AI41,IF(LARGE($AG$41:$AH$107,EQ$40)=$AG41,$AC41,""),"")</f>
        <v/>
      </c>
      <c r="ER41" s="1153"/>
      <c r="ES41" s="1153"/>
      <c r="ET41" s="1153"/>
      <c r="EU41" s="1153" t="str">
        <f>IF($AI41,IF(LARGE($AG$41:$AH$107,EU$40)=$AG41,$AC41,""),"")</f>
        <v/>
      </c>
      <c r="EV41" s="1153"/>
      <c r="EW41" s="1153"/>
      <c r="EX41" s="1153"/>
      <c r="EY41" s="1153" t="str">
        <f>IF($AI41,IF(LARGE($AG$41:$AH$107,EY$40)=$AG41,$AC41,""),"")</f>
        <v/>
      </c>
      <c r="EZ41" s="1153"/>
      <c r="FA41" s="1153"/>
      <c r="FB41" s="1153"/>
      <c r="FC41" s="1153" t="str">
        <f>IF($AI41,IF(LARGE($AG$41:$AH$107,FC$40)=$AG41,$AC41,""),"")</f>
        <v/>
      </c>
      <c r="FD41" s="1153"/>
      <c r="FE41" s="1153"/>
      <c r="FF41" s="1153"/>
      <c r="FG41" s="1153" t="str">
        <f>IF($AI41,IF(LARGE($AG$41:$AH$107,FG$40)=$AG41,$AC41,""),"")</f>
        <v/>
      </c>
      <c r="FH41" s="1153"/>
      <c r="FI41" s="1153"/>
      <c r="FJ41" s="1153"/>
      <c r="FK41" s="1153" t="str">
        <f>IF($AI41,IF(LARGE($AG$41:$AH$107,FK$40)=$AG41,$AC41,""),"")</f>
        <v/>
      </c>
      <c r="FL41" s="1153"/>
      <c r="FM41" s="1153"/>
      <c r="FN41" s="1153"/>
      <c r="FO41" s="1153" t="str">
        <f>IF($AI41,IF(LARGE($AG$41:$AH$107,FO$40)=$AG41,$AC41,""),"")</f>
        <v/>
      </c>
      <c r="FP41" s="1153"/>
      <c r="FQ41" s="1153"/>
      <c r="FR41" s="1153"/>
      <c r="FS41" s="1153" t="str">
        <f>IF($AI41,IF(LARGE($AG$41:$AH$107,FS$40)=$AG41,$AC41,""),"")</f>
        <v/>
      </c>
      <c r="FT41" s="1153"/>
      <c r="FU41" s="1153"/>
      <c r="FV41" s="1153"/>
      <c r="FW41" s="1153" t="str">
        <f>IF($AI41,IF(LARGE($AG$41:$AH$107,FW$40)=$AG41,$AC41,""),"")</f>
        <v/>
      </c>
      <c r="FX41" s="1153"/>
      <c r="FY41" s="1153"/>
      <c r="FZ41" s="1153"/>
      <c r="GA41" s="1153" t="str">
        <f>IF($AI41,IF(LARGE($AG$41:$AH$107,GA$40)=$AG41,$AC41,""),"")</f>
        <v/>
      </c>
      <c r="GB41" s="1153"/>
      <c r="GC41" s="1153"/>
      <c r="GD41" s="1153"/>
      <c r="GE41" s="1153" t="str">
        <f>IF($AI41,IF(LARGE($AG$41:$AH$107,GE$40)=$AG41,$AC41,""),"")</f>
        <v/>
      </c>
      <c r="GF41" s="1153"/>
      <c r="GG41" s="1153"/>
      <c r="GH41" s="1153"/>
      <c r="GI41" s="1153" t="str">
        <f>IF($AI41,IF(LARGE($AG$41:$AH$107,GI$40)=$AG41,$AC41,""),"")</f>
        <v/>
      </c>
      <c r="GJ41" s="1153"/>
      <c r="GK41" s="1153"/>
      <c r="GL41" s="1153"/>
      <c r="GM41" s="1153" t="str">
        <f>IF($AI41,IF(LARGE($AG$41:$AH$107,GM$40)=$AG41,$AC41,""),"")</f>
        <v/>
      </c>
      <c r="GN41" s="1153"/>
      <c r="GO41" s="1153"/>
      <c r="GP41" s="1153"/>
      <c r="GQ41" s="1153" t="str">
        <f>IF($AI41,IF(LARGE($AG$41:$AH$107,GQ$40)=$AG41,$AC41,""),"")</f>
        <v/>
      </c>
      <c r="GR41" s="1153"/>
      <c r="GS41" s="1153"/>
      <c r="GT41" s="1153"/>
      <c r="GU41" s="1153" t="str">
        <f>IF($AI41,IF(LARGE($AG$41:$AH$107,GU$40)=$AG41,$AC41,""),"")</f>
        <v/>
      </c>
      <c r="GV41" s="1153"/>
      <c r="GW41" s="1153"/>
      <c r="GX41" s="1153"/>
      <c r="GY41" s="1153" t="str">
        <f>IF($AI41,IF(LARGE($AG$41:$AH$107,GY$40)=$AG41,$AC41,""),"")</f>
        <v/>
      </c>
      <c r="GZ41" s="1153"/>
      <c r="HA41" s="1153"/>
      <c r="HB41" s="1153"/>
      <c r="HC41" s="1153" t="str">
        <f>IF($AI41,IF(LARGE($AG$41:$AH$107,HC$40)=$AG41,$AC41,""),"")</f>
        <v/>
      </c>
      <c r="HD41" s="1153"/>
      <c r="HE41" s="1153"/>
      <c r="HF41" s="1153"/>
      <c r="HG41" s="1153" t="str">
        <f>IF($AI41,IF(LARGE($AG$41:$AH$107,HG$40)=$AG41,$AC41,""),"")</f>
        <v/>
      </c>
      <c r="HH41" s="1153"/>
      <c r="HI41" s="1153"/>
      <c r="HJ41" s="1153"/>
      <c r="HK41" s="1153" t="str">
        <f>IF($AI41,IF(LARGE($AG$41:$AH$107,HK$40)=$AG41,$AC41,""),"")</f>
        <v/>
      </c>
      <c r="HL41" s="1153"/>
      <c r="HM41" s="1153"/>
      <c r="HN41" s="1153"/>
      <c r="HO41" s="1153" t="str">
        <f>IF($AI41,IF(LARGE($AG$41:$AH$107,HO$40)=$AG41,$AC41,""),"")</f>
        <v/>
      </c>
      <c r="HP41" s="1153"/>
      <c r="HQ41" s="1153"/>
      <c r="HR41" s="1153"/>
      <c r="HS41" s="1153" t="str">
        <f>IF($AI41,IF(LARGE($AG$41:$AH$107,HS$40)=$AG41,$AC41,""),"")</f>
        <v/>
      </c>
      <c r="HT41" s="1153"/>
      <c r="HU41" s="1153"/>
      <c r="HV41" s="1153"/>
      <c r="HW41" s="1153" t="str">
        <f>IF($AI41,IF(LARGE($AG$41:$AH$107,HW$40)=$AG41,$AC41,""),"")</f>
        <v/>
      </c>
      <c r="HX41" s="1153"/>
      <c r="HY41" s="1153"/>
      <c r="HZ41" s="1153"/>
      <c r="IA41" s="1153" t="str">
        <f>IF($AI41,IF(LARGE($AG$41:$AH$107,IA$40)=$AG41,$AC41,""),"")</f>
        <v/>
      </c>
      <c r="IB41" s="1153"/>
      <c r="IC41" s="1153"/>
      <c r="ID41" s="1153"/>
      <c r="IE41" s="1153" t="str">
        <f>IF($AI41,IF(LARGE($AG$41:$AH$107,IE$40)=$AG41,$AC41,""),"")</f>
        <v/>
      </c>
      <c r="IF41" s="1153"/>
      <c r="IG41" s="1153"/>
      <c r="IH41" s="1153"/>
      <c r="II41" s="1153" t="str">
        <f>IF($AI41,IF(LARGE($AG$41:$AH$107,II$40)=$AG41,$AC41,""),"")</f>
        <v/>
      </c>
      <c r="IJ41" s="1153"/>
      <c r="IK41" s="1153"/>
      <c r="IL41" s="1153"/>
      <c r="IM41" s="1153" t="str">
        <f>IF($AI41,IF(LARGE($AG$41:$AH$107,IM$40)=$AG41,$AC41,""),"")</f>
        <v/>
      </c>
      <c r="IN41" s="1153"/>
      <c r="IO41" s="1153"/>
      <c r="IP41" s="1153"/>
      <c r="IQ41" s="1153" t="str">
        <f>IF($AI41,IF(LARGE($AG$41:$AH$107,IQ$40)=$AG41,$AC41,""),"")</f>
        <v/>
      </c>
      <c r="IR41" s="1153"/>
      <c r="IS41" s="1153"/>
      <c r="IT41" s="1153"/>
      <c r="IU41" s="1153" t="str">
        <f>IF($AI41,IF(LARGE($AG$41:$AH$107,IU$40)=$AG41,$AC41,""),"")</f>
        <v/>
      </c>
      <c r="IV41" s="1153"/>
      <c r="IW41" s="1153"/>
      <c r="IX41" s="1153"/>
      <c r="IY41" s="1153" t="str">
        <f>IF($AI41,IF(LARGE($AG$41:$AH$107,IY$40)=$AG41,$AC41,""),"")</f>
        <v/>
      </c>
      <c r="IZ41" s="1153"/>
      <c r="JA41" s="1153"/>
      <c r="JB41" s="1153"/>
      <c r="JC41" s="1153" t="str">
        <f>IF($AI41,IF(LARGE($AG$41:$AH$107,JC$40)=$AG41,$AC41,""),"")</f>
        <v/>
      </c>
      <c r="JD41" s="1153"/>
      <c r="JE41" s="1153"/>
      <c r="JF41" s="1153"/>
      <c r="JG41" s="1153" t="str">
        <f>IF($AI41,IF(LARGE($AG$41:$AH$107,JG$40)=$AG41,$AC41,""),"")</f>
        <v/>
      </c>
      <c r="JH41" s="1153"/>
      <c r="JI41" s="1153"/>
      <c r="JJ41" s="1153"/>
      <c r="JK41" s="1153" t="str">
        <f>IF($AI41,IF(LARGE($AG$41:$AH$107,JK$40)=$AG41,$AC41,""),"")</f>
        <v/>
      </c>
      <c r="JL41" s="1153"/>
      <c r="JM41" s="1153"/>
      <c r="JN41" s="1153"/>
      <c r="JO41" s="1153" t="str">
        <f>IF($AI41,IF(LARGE($AG$41:$AH$107,JO$40)=$AG41,$AC41,""),"")</f>
        <v/>
      </c>
      <c r="JP41" s="1153"/>
      <c r="JQ41" s="1153"/>
      <c r="JR41" s="1153"/>
      <c r="JS41" s="1153" t="str">
        <f>IF($AI41,IF(LARGE($AG$41:$AH$107,JS$40)=$AG41,$AC41,""),"")</f>
        <v/>
      </c>
      <c r="JT41" s="1153"/>
      <c r="JU41" s="1153"/>
      <c r="JV41" s="1153"/>
      <c r="JW41" s="1153" t="str">
        <f>IF($AI41,IF(LARGE($AG$41:$AH$107,JW$40)=$AG41,$AC41,""),"")</f>
        <v/>
      </c>
      <c r="JX41" s="1153"/>
      <c r="JY41" s="1153"/>
      <c r="JZ41" s="1153"/>
      <c r="KA41" s="1153" t="str">
        <f>IF($AI41,IF(LARGE($AG$41:$AH$107,KA$40)=$AG41,$AC41,""),"")</f>
        <v/>
      </c>
      <c r="KB41" s="1153"/>
      <c r="KC41" s="1153"/>
      <c r="KD41" s="1153"/>
      <c r="KE41" s="1153" t="str">
        <f>IF($AI41,IF(LARGE($AG$41:$AH$107,KE$40)=$AG41,$AC41,""),"")</f>
        <v/>
      </c>
      <c r="KF41" s="1153"/>
      <c r="KG41" s="1153"/>
      <c r="KH41" s="1153"/>
      <c r="KI41" s="1153" t="str">
        <f>IF($AI41,IF(LARGE($AG$41:$AH$107,KI$40)=$AG41,$AC41,""),"")</f>
        <v/>
      </c>
      <c r="KJ41" s="1153"/>
      <c r="KK41" s="1153"/>
      <c r="KL41" s="1153"/>
      <c r="KM41" s="1153" t="str">
        <f>IF($AI41,IF(LARGE($AG$41:$AH$107,KM$40)=$AG41,$AC41,""),"")</f>
        <v/>
      </c>
      <c r="KN41" s="1153"/>
      <c r="KO41" s="1153"/>
      <c r="KP41" s="1153"/>
      <c r="KQ41" s="1153" t="str">
        <f>IF($AI41,IF(LARGE($AG$41:$AH$107,KQ$40)=$AG41,$AC41,""),"")</f>
        <v/>
      </c>
      <c r="KR41" s="1153"/>
      <c r="KS41" s="1153"/>
      <c r="KT41" s="1153"/>
    </row>
    <row r="42" spans="8:8">
      <c r="C42" s="1153" t="str">
        <f>IF(F6="","",CONCATENATE(" ",C6,F6,H6))</f>
        <v> 👨🏿‍🦲人类学</v>
      </c>
      <c r="D42" s="1153"/>
      <c r="E42" s="1153"/>
      <c r="F42" s="1153"/>
      <c r="G42" s="1155" t="str">
        <f>IF(AND(L6=0,N6=0),"",IF(ISNONTEXT(D6),"",R6))</f>
        <v/>
      </c>
      <c r="H42" s="1155"/>
      <c r="I42" s="1153" t="str">
        <f>IF(G42=$G$40,C42,"")</f>
        <v/>
      </c>
      <c r="J42" s="1153"/>
      <c r="K42" s="1153"/>
      <c r="L42" s="1153"/>
      <c r="M42" s="1154">
        <f>IF(AND(NOT(N6=0),ISNONTEXT(D6)),1,0)</f>
        <v>0.0</v>
      </c>
      <c r="N42" s="1122"/>
      <c r="O42" s="1122"/>
      <c r="P42" s="1153" t="str">
        <f>IF(F6="","",CONCATENATE(" ",C6,F6,H6))</f>
        <v> 👨🏿‍🦲人类学</v>
      </c>
      <c r="Q42" s="1153"/>
      <c r="R42" s="1153"/>
      <c r="S42" s="1153"/>
      <c r="T42" s="1155" t="str">
        <f>IF(AND(L6=0,P6=0),"",IF(ISNONTEXT(D6),R6,""))</f>
        <v/>
      </c>
      <c r="U42" s="1155"/>
      <c r="V42" s="1153" t="str">
        <f>IF(T42=$T$40,P42,"")</f>
        <v/>
      </c>
      <c r="W42" s="1153"/>
      <c r="X42" s="1153"/>
      <c r="Y42" s="1153"/>
      <c r="AB42" s="1122"/>
      <c r="AC42" s="1153" t="str">
        <f>IF(F6="","",CONCATENATE(C6,F6,H6))</f>
        <v>👨🏿‍🦲人类学</v>
      </c>
      <c r="AD42" s="1153"/>
      <c r="AE42" s="1153"/>
      <c r="AF42" s="1153"/>
      <c r="AG42" s="1155">
        <f>R6</f>
        <v>1.0</v>
      </c>
      <c r="AH42" s="1155"/>
      <c r="AI42" s="1153" t="b">
        <f>IF(AND(OR(ISNUMBER(L6),ISNUMBER(N6),ISNUMBER(P6)),OR(L6&gt;0,N6&gt;0,P6&gt;0)),TRUE,FALSE)</f>
        <v>0</v>
      </c>
      <c r="AJ42" s="1153"/>
      <c r="AK42" s="1153"/>
      <c r="AL42" s="1153"/>
      <c r="AM42" s="1153" t="str">
        <f>IF($AI42,IF(LARGE($AG$41:$AH$107,AM$40)=$AG42,$AC42,""),"")</f>
        <v/>
      </c>
      <c r="AN42" s="1153"/>
      <c r="AO42" s="1153"/>
      <c r="AP42" s="1153"/>
      <c r="AQ42" s="1153" t="str">
        <f>IF($AI42,IF(LARGE($AG$41:$AH$107,AQ$40)=$AG42,$AC42,""),"")</f>
        <v/>
      </c>
      <c r="AR42" s="1153"/>
      <c r="AS42" s="1153"/>
      <c r="AT42" s="1153"/>
      <c r="AU42" s="1153" t="str">
        <f>IF($AI42,IF(LARGE($AG$41:$AH$107,AU$40)=$AG42,$AC42,""),"")</f>
        <v/>
      </c>
      <c r="AV42" s="1153"/>
      <c r="AW42" s="1153"/>
      <c r="AX42" s="1153"/>
      <c r="AY42" s="1153" t="str">
        <f>IF($AI42,IF(LARGE($AG$41:$AH$107,AY$40)=$AG42,$AC42,""),"")</f>
        <v/>
      </c>
      <c r="AZ42" s="1153"/>
      <c r="BA42" s="1153"/>
      <c r="BB42" s="1153"/>
      <c r="BC42" s="1153" t="str">
        <f>IF($AI42,IF(LARGE($AG$41:$AH$107,BC$40)=$AG42,$AC42,""),"")</f>
        <v/>
      </c>
      <c r="BD42" s="1153"/>
      <c r="BE42" s="1153"/>
      <c r="BF42" s="1153"/>
      <c r="BG42" s="1153" t="str">
        <f>IF($AI42,IF(LARGE($AG$41:$AH$107,BG$40)=$AG42,$AC42,""),"")</f>
        <v/>
      </c>
      <c r="BH42" s="1153"/>
      <c r="BI42" s="1153"/>
      <c r="BJ42" s="1153"/>
      <c r="BK42" s="1153" t="str">
        <f>IF($AI42,IF(LARGE($AG$41:$AH$107,BK$40)=$AG42,$AC42,""),"")</f>
        <v/>
      </c>
      <c r="BL42" s="1153"/>
      <c r="BM42" s="1153"/>
      <c r="BN42" s="1153"/>
      <c r="BO42" s="1153" t="str">
        <f>IF($AI42,IF(LARGE($AG$41:$AH$107,BO$40)=$AG42,$AC42,""),"")</f>
        <v/>
      </c>
      <c r="BP42" s="1153"/>
      <c r="BQ42" s="1153"/>
      <c r="BR42" s="1153"/>
      <c r="BS42" s="1153" t="str">
        <f>IF($AI42,IF(LARGE($AG$41:$AH$107,BS$40)=$AG42,$AC42,""),"")</f>
        <v/>
      </c>
      <c r="BT42" s="1153"/>
      <c r="BU42" s="1153"/>
      <c r="BV42" s="1153"/>
      <c r="BW42" s="1153" t="str">
        <f>IF($AI42,IF(LARGE($AG$41:$AH$107,BW$40)=$AG42,$AC42,""),"")</f>
        <v/>
      </c>
      <c r="BX42" s="1153"/>
      <c r="BY42" s="1153"/>
      <c r="BZ42" s="1153"/>
      <c r="CA42" s="1153" t="str">
        <f>IF($AI42,IF(LARGE($AG$41:$AH$107,CA$40)=$AG42,$AC42,""),"")</f>
        <v/>
      </c>
      <c r="CB42" s="1153"/>
      <c r="CC42" s="1153"/>
      <c r="CD42" s="1153"/>
      <c r="CE42" s="1153" t="str">
        <f>IF($AI42,IF(LARGE($AG$41:$AH$107,CE$40)=$AG42,$AC42,""),"")</f>
        <v/>
      </c>
      <c r="CF42" s="1153"/>
      <c r="CG42" s="1153"/>
      <c r="CH42" s="1153"/>
      <c r="CI42" s="1153" t="str">
        <f>IF($AI42,IF(LARGE($AG$41:$AH$107,CI$40)=$AG42,$AC42,""),"")</f>
        <v/>
      </c>
      <c r="CJ42" s="1153"/>
      <c r="CK42" s="1153"/>
      <c r="CL42" s="1153"/>
      <c r="CM42" s="1153" t="str">
        <f>IF($AI42,IF(LARGE($AG$41:$AH$107,CM$40)=$AG42,$AC42,""),"")</f>
        <v/>
      </c>
      <c r="CN42" s="1153"/>
      <c r="CO42" s="1153"/>
      <c r="CP42" s="1153"/>
      <c r="CQ42" s="1153" t="str">
        <f>IF($AI42,IF(LARGE($AG$41:$AH$107,CQ$40)=$AG42,$AC42,""),"")</f>
        <v/>
      </c>
      <c r="CR42" s="1153"/>
      <c r="CS42" s="1153"/>
      <c r="CT42" s="1153"/>
      <c r="CU42" s="1153" t="str">
        <f>IF($AI42,IF(LARGE($AG$41:$AH$107,CU$40)=$AG42,$AC42,""),"")</f>
        <v/>
      </c>
      <c r="CV42" s="1153"/>
      <c r="CW42" s="1153"/>
      <c r="CX42" s="1153"/>
      <c r="CY42" s="1153" t="str">
        <f>IF($AI42,IF(LARGE($AG$41:$AH$107,CY$40)=$AG42,$AC42,""),"")</f>
        <v/>
      </c>
      <c r="CZ42" s="1153"/>
      <c r="DA42" s="1153"/>
      <c r="DB42" s="1153"/>
      <c r="DC42" s="1153" t="str">
        <f>IF($AI42,IF(LARGE($AG$41:$AH$107,DC$40)=$AG42,$AC42,""),"")</f>
        <v/>
      </c>
      <c r="DD42" s="1153"/>
      <c r="DE42" s="1153"/>
      <c r="DF42" s="1153"/>
      <c r="DG42" s="1153" t="str">
        <f>IF($AI42,IF(LARGE($AG$41:$AH$107,DG$40)=$AG42,$AC42,""),"")</f>
        <v/>
      </c>
      <c r="DH42" s="1153"/>
      <c r="DI42" s="1153"/>
      <c r="DJ42" s="1153"/>
      <c r="DK42" s="1153" t="str">
        <f>IF($AI42,IF(LARGE($AG$41:$AH$107,DK$40)=$AG42,$AC42,""),"")</f>
        <v/>
      </c>
      <c r="DL42" s="1153"/>
      <c r="DM42" s="1153"/>
      <c r="DN42" s="1153"/>
      <c r="DO42" s="1153" t="str">
        <f>IF($AI42,IF(LARGE($AG$41:$AH$107,DO$40)=$AG42,$AC42,""),"")</f>
        <v/>
      </c>
      <c r="DP42" s="1153"/>
      <c r="DQ42" s="1153"/>
      <c r="DR42" s="1153"/>
      <c r="DS42" s="1153" t="str">
        <f>IF($AI42,IF(LARGE($AG$41:$AH$107,DS$40)=$AG42,$AC42,""),"")</f>
        <v/>
      </c>
      <c r="DT42" s="1153"/>
      <c r="DU42" s="1153"/>
      <c r="DV42" s="1153"/>
      <c r="DW42" s="1153" t="str">
        <f>IF($AI42,IF(LARGE($AG$41:$AH$107,DW$40)=$AG42,$AC42,""),"")</f>
        <v/>
      </c>
      <c r="DX42" s="1153"/>
      <c r="DY42" s="1153"/>
      <c r="DZ42" s="1153"/>
      <c r="EA42" s="1153" t="str">
        <f>IF($AI42,IF(LARGE($AG$41:$AH$107,EA$40)=$AG42,$AC42,""),"")</f>
        <v/>
      </c>
      <c r="EB42" s="1153"/>
      <c r="EC42" s="1153"/>
      <c r="ED42" s="1153"/>
      <c r="EE42" s="1153" t="str">
        <f>IF($AI42,IF(LARGE($AG$41:$AH$107,EE$40)=$AG42,$AC42,""),"")</f>
        <v/>
      </c>
      <c r="EF42" s="1153"/>
      <c r="EG42" s="1153"/>
      <c r="EH42" s="1153"/>
      <c r="EI42" s="1153" t="str">
        <f>IF($AI42,IF(LARGE($AG$41:$AH$107,EI$40)=$AG42,$AC42,""),"")</f>
        <v/>
      </c>
      <c r="EJ42" s="1153"/>
      <c r="EK42" s="1153"/>
      <c r="EL42" s="1153"/>
      <c r="EM42" s="1153" t="str">
        <f>IF($AI42,IF(LARGE($AG$41:$AH$107,EM$40)=$AG42,$AC42,""),"")</f>
        <v/>
      </c>
      <c r="EN42" s="1153"/>
      <c r="EO42" s="1153"/>
      <c r="EP42" s="1153"/>
      <c r="EQ42" s="1153" t="str">
        <f>IF($AI42,IF(LARGE($AG$41:$AH$107,EQ$40)=$AG42,$AC42,""),"")</f>
        <v/>
      </c>
      <c r="ER42" s="1153"/>
      <c r="ES42" s="1153"/>
      <c r="ET42" s="1153"/>
      <c r="EU42" s="1153" t="str">
        <f>IF($AI42,IF(LARGE($AG$41:$AH$107,EU$40)=$AG42,$AC42,""),"")</f>
        <v/>
      </c>
      <c r="EV42" s="1153"/>
      <c r="EW42" s="1153"/>
      <c r="EX42" s="1153"/>
      <c r="EY42" s="1153" t="str">
        <f>IF($AI42,IF(LARGE($AG$41:$AH$107,EY$40)=$AG42,$AC42,""),"")</f>
        <v/>
      </c>
      <c r="EZ42" s="1153"/>
      <c r="FA42" s="1153"/>
      <c r="FB42" s="1153"/>
      <c r="FC42" s="1153" t="str">
        <f>IF($AI42,IF(LARGE($AG$41:$AH$107,FC$40)=$AG42,$AC42,""),"")</f>
        <v/>
      </c>
      <c r="FD42" s="1153"/>
      <c r="FE42" s="1153"/>
      <c r="FF42" s="1153"/>
      <c r="FG42" s="1153" t="str">
        <f>IF($AI42,IF(LARGE($AG$41:$AH$107,FG$40)=$AG42,$AC42,""),"")</f>
        <v/>
      </c>
      <c r="FH42" s="1153"/>
      <c r="FI42" s="1153"/>
      <c r="FJ42" s="1153"/>
      <c r="FK42" s="1153" t="str">
        <f>IF($AI42,IF(LARGE($AG$41:$AH$107,FK$40)=$AG42,$AC42,""),"")</f>
        <v/>
      </c>
      <c r="FL42" s="1153"/>
      <c r="FM42" s="1153"/>
      <c r="FN42" s="1153"/>
      <c r="FO42" s="1153" t="str">
        <f>IF($AI42,IF(LARGE($AG$41:$AH$107,FO$40)=$AG42,$AC42,""),"")</f>
        <v/>
      </c>
      <c r="FP42" s="1153"/>
      <c r="FQ42" s="1153"/>
      <c r="FR42" s="1153"/>
      <c r="FS42" s="1153" t="str">
        <f>IF($AI42,IF(LARGE($AG$41:$AH$107,FS$40)=$AG42,$AC42,""),"")</f>
        <v/>
      </c>
      <c r="FT42" s="1153"/>
      <c r="FU42" s="1153"/>
      <c r="FV42" s="1153"/>
      <c r="FW42" s="1153" t="str">
        <f>IF($AI42,IF(LARGE($AG$41:$AH$107,FW$40)=$AG42,$AC42,""),"")</f>
        <v/>
      </c>
      <c r="FX42" s="1153"/>
      <c r="FY42" s="1153"/>
      <c r="FZ42" s="1153"/>
      <c r="GA42" s="1153" t="str">
        <f>IF($AI42,IF(LARGE($AG$41:$AH$107,GA$40)=$AG42,$AC42,""),"")</f>
        <v/>
      </c>
      <c r="GB42" s="1153"/>
      <c r="GC42" s="1153"/>
      <c r="GD42" s="1153"/>
      <c r="GE42" s="1153" t="str">
        <f>IF($AI42,IF(LARGE($AG$41:$AH$107,GE$40)=$AG42,$AC42,""),"")</f>
        <v/>
      </c>
      <c r="GF42" s="1153"/>
      <c r="GG42" s="1153"/>
      <c r="GH42" s="1153"/>
      <c r="GI42" s="1153" t="str">
        <f>IF($AI42,IF(LARGE($AG$41:$AH$107,GI$40)=$AG42,$AC42,""),"")</f>
        <v/>
      </c>
      <c r="GJ42" s="1153"/>
      <c r="GK42" s="1153"/>
      <c r="GL42" s="1153"/>
      <c r="GM42" s="1153" t="str">
        <f>IF($AI42,IF(LARGE($AG$41:$AH$107,GM$40)=$AG42,$AC42,""),"")</f>
        <v/>
      </c>
      <c r="GN42" s="1153"/>
      <c r="GO42" s="1153"/>
      <c r="GP42" s="1153"/>
      <c r="GQ42" s="1153" t="str">
        <f>IF($AI42,IF(LARGE($AG$41:$AH$107,GQ$40)=$AG42,$AC42,""),"")</f>
        <v/>
      </c>
      <c r="GR42" s="1153"/>
      <c r="GS42" s="1153"/>
      <c r="GT42" s="1153"/>
      <c r="GU42" s="1153" t="str">
        <f>IF($AI42,IF(LARGE($AG$41:$AH$107,GU$40)=$AG42,$AC42,""),"")</f>
        <v/>
      </c>
      <c r="GV42" s="1153"/>
      <c r="GW42" s="1153"/>
      <c r="GX42" s="1153"/>
      <c r="GY42" s="1153" t="str">
        <f>IF($AI42,IF(LARGE($AG$41:$AH$107,GY$40)=$AG42,$AC42,""),"")</f>
        <v/>
      </c>
      <c r="GZ42" s="1153"/>
      <c r="HA42" s="1153"/>
      <c r="HB42" s="1153"/>
      <c r="HC42" s="1153" t="str">
        <f>IF($AI42,IF(LARGE($AG$41:$AH$107,HC$40)=$AG42,$AC42,""),"")</f>
        <v/>
      </c>
      <c r="HD42" s="1153"/>
      <c r="HE42" s="1153"/>
      <c r="HF42" s="1153"/>
      <c r="HG42" s="1153" t="str">
        <f>IF($AI42,IF(LARGE($AG$41:$AH$107,HG$40)=$AG42,$AC42,""),"")</f>
        <v/>
      </c>
      <c r="HH42" s="1153"/>
      <c r="HI42" s="1153"/>
      <c r="HJ42" s="1153"/>
      <c r="HK42" s="1153" t="str">
        <f>IF($AI42,IF(LARGE($AG$41:$AH$107,HK$40)=$AG42,$AC42,""),"")</f>
        <v/>
      </c>
      <c r="HL42" s="1153"/>
      <c r="HM42" s="1153"/>
      <c r="HN42" s="1153"/>
      <c r="HO42" s="1153" t="str">
        <f>IF($AI42,IF(LARGE($AG$41:$AH$107,HO$40)=$AG42,$AC42,""),"")</f>
        <v/>
      </c>
      <c r="HP42" s="1153"/>
      <c r="HQ42" s="1153"/>
      <c r="HR42" s="1153"/>
      <c r="HS42" s="1153" t="str">
        <f>IF($AI42,IF(LARGE($AG$41:$AH$107,HS$40)=$AG42,$AC42,""),"")</f>
        <v/>
      </c>
      <c r="HT42" s="1153"/>
      <c r="HU42" s="1153"/>
      <c r="HV42" s="1153"/>
      <c r="HW42" s="1153" t="str">
        <f>IF($AI42,IF(LARGE($AG$41:$AH$107,HW$40)=$AG42,$AC42,""),"")</f>
        <v/>
      </c>
      <c r="HX42" s="1153"/>
      <c r="HY42" s="1153"/>
      <c r="HZ42" s="1153"/>
      <c r="IA42" s="1153" t="str">
        <f>IF($AI42,IF(LARGE($AG$41:$AH$107,IA$40)=$AG42,$AC42,""),"")</f>
        <v/>
      </c>
      <c r="IB42" s="1153"/>
      <c r="IC42" s="1153"/>
      <c r="ID42" s="1153"/>
      <c r="IE42" s="1153" t="str">
        <f>IF($AI42,IF(LARGE($AG$41:$AH$107,IE$40)=$AG42,$AC42,""),"")</f>
        <v/>
      </c>
      <c r="IF42" s="1153"/>
      <c r="IG42" s="1153"/>
      <c r="IH42" s="1153"/>
      <c r="II42" s="1153" t="str">
        <f>IF($AI42,IF(LARGE($AG$41:$AH$107,II$40)=$AG42,$AC42,""),"")</f>
        <v/>
      </c>
      <c r="IJ42" s="1153"/>
      <c r="IK42" s="1153"/>
      <c r="IL42" s="1153"/>
      <c r="IM42" s="1153" t="str">
        <f>IF($AI42,IF(LARGE($AG$41:$AH$107,IM$40)=$AG42,$AC42,""),"")</f>
        <v/>
      </c>
      <c r="IN42" s="1153"/>
      <c r="IO42" s="1153"/>
      <c r="IP42" s="1153"/>
      <c r="IQ42" s="1153" t="str">
        <f>IF($AI42,IF(LARGE($AG$41:$AH$107,IQ$40)=$AG42,$AC42,""),"")</f>
        <v/>
      </c>
      <c r="IR42" s="1153"/>
      <c r="IS42" s="1153"/>
      <c r="IT42" s="1153"/>
      <c r="IU42" s="1153" t="str">
        <f>IF($AI42,IF(LARGE($AG$41:$AH$107,IU$40)=$AG42,$AC42,""),"")</f>
        <v/>
      </c>
      <c r="IV42" s="1153"/>
      <c r="IW42" s="1153"/>
      <c r="IX42" s="1153"/>
      <c r="IY42" s="1153" t="str">
        <f>IF($AI42,IF(LARGE($AG$41:$AH$107,IY$40)=$AG42,$AC42,""),"")</f>
        <v/>
      </c>
      <c r="IZ42" s="1153"/>
      <c r="JA42" s="1153"/>
      <c r="JB42" s="1153"/>
      <c r="JC42" s="1153" t="str">
        <f>IF($AI42,IF(LARGE($AG$41:$AH$107,JC$40)=$AG42,$AC42,""),"")</f>
        <v/>
      </c>
      <c r="JD42" s="1153"/>
      <c r="JE42" s="1153"/>
      <c r="JF42" s="1153"/>
      <c r="JG42" s="1153" t="str">
        <f>IF($AI42,IF(LARGE($AG$41:$AH$107,JG$40)=$AG42,$AC42,""),"")</f>
        <v/>
      </c>
      <c r="JH42" s="1153"/>
      <c r="JI42" s="1153"/>
      <c r="JJ42" s="1153"/>
      <c r="JK42" s="1153" t="str">
        <f>IF($AI42,IF(LARGE($AG$41:$AH$107,JK$40)=$AG42,$AC42,""),"")</f>
        <v/>
      </c>
      <c r="JL42" s="1153"/>
      <c r="JM42" s="1153"/>
      <c r="JN42" s="1153"/>
      <c r="JO42" s="1153" t="str">
        <f>IF($AI42,IF(LARGE($AG$41:$AH$107,JO$40)=$AG42,$AC42,""),"")</f>
        <v/>
      </c>
      <c r="JP42" s="1153"/>
      <c r="JQ42" s="1153"/>
      <c r="JR42" s="1153"/>
      <c r="JS42" s="1153" t="str">
        <f>IF($AI42,IF(LARGE($AG$41:$AH$107,JS$40)=$AG42,$AC42,""),"")</f>
        <v/>
      </c>
      <c r="JT42" s="1153"/>
      <c r="JU42" s="1153"/>
      <c r="JV42" s="1153"/>
      <c r="JW42" s="1153" t="str">
        <f>IF($AI42,IF(LARGE($AG$41:$AH$107,JW$40)=$AG42,$AC42,""),"")</f>
        <v/>
      </c>
      <c r="JX42" s="1153"/>
      <c r="JY42" s="1153"/>
      <c r="JZ42" s="1153"/>
      <c r="KA42" s="1153" t="str">
        <f>IF($AI42,IF(LARGE($AG$41:$AH$107,KA$40)=$AG42,$AC42,""),"")</f>
        <v/>
      </c>
      <c r="KB42" s="1153"/>
      <c r="KC42" s="1153"/>
      <c r="KD42" s="1153"/>
      <c r="KE42" s="1153" t="str">
        <f>IF($AI42,IF(LARGE($AG$41:$AH$107,KE$40)=$AG42,$AC42,""),"")</f>
        <v/>
      </c>
      <c r="KF42" s="1153"/>
      <c r="KG42" s="1153"/>
      <c r="KH42" s="1153"/>
      <c r="KI42" s="1153" t="str">
        <f>IF($AI42,IF(LARGE($AG$41:$AH$107,KI$40)=$AG42,$AC42,""),"")</f>
        <v/>
      </c>
      <c r="KJ42" s="1153"/>
      <c r="KK42" s="1153"/>
      <c r="KL42" s="1153"/>
      <c r="KM42" s="1153" t="str">
        <f>IF($AI42,IF(LARGE($AG$41:$AH$107,KM$40)=$AG42,$AC42,""),"")</f>
        <v/>
      </c>
      <c r="KN42" s="1153"/>
      <c r="KO42" s="1153"/>
      <c r="KP42" s="1153"/>
      <c r="KQ42" s="1153" t="str">
        <f>IF($AI42,IF(LARGE($AG$41:$AH$107,KQ$40)=$AG42,$AC42,""),"")</f>
        <v/>
      </c>
      <c r="KR42" s="1153"/>
      <c r="KS42" s="1153"/>
      <c r="KT42" s="1153"/>
    </row>
    <row r="43" spans="8:8">
      <c r="C43" s="1153" t="str">
        <f>IF(F7="","",CONCATENATE(" ",C7,F7,H7))</f>
        <v> 💵估价</v>
      </c>
      <c r="D43" s="1153"/>
      <c r="E43" s="1153"/>
      <c r="F43" s="1153"/>
      <c r="G43" s="1155" t="str">
        <f>IF(AND(L7=0,N7=0),"",IF(ISNONTEXT(D7),"",R7))</f>
        <v/>
      </c>
      <c r="H43" s="1155"/>
      <c r="I43" s="1153" t="str">
        <f>IF(G43=$G$40,C43,"")</f>
        <v/>
      </c>
      <c r="J43" s="1153"/>
      <c r="K43" s="1153"/>
      <c r="L43" s="1153"/>
      <c r="M43" s="1154">
        <f>IF(AND(NOT(N7=0),ISNONTEXT(D7)),1,0)</f>
        <v>0.0</v>
      </c>
      <c r="N43" s="1122"/>
      <c r="O43" s="1122"/>
      <c r="P43" s="1153" t="str">
        <f>IF(F7="","",CONCATENATE(" ",C7,F7,H7))</f>
        <v> 💵估价</v>
      </c>
      <c r="Q43" s="1153"/>
      <c r="R43" s="1153"/>
      <c r="S43" s="1153"/>
      <c r="T43" s="1155" t="str">
        <f>IF(AND(L7=0,P7=0),"",IF(ISNONTEXT(D7),R7,""))</f>
        <v/>
      </c>
      <c r="U43" s="1155"/>
      <c r="V43" s="1153" t="str">
        <f>IF(T43=$T$40,P43,"")</f>
        <v/>
      </c>
      <c r="W43" s="1153"/>
      <c r="X43" s="1153"/>
      <c r="Y43" s="1153"/>
      <c r="AB43" s="1122"/>
      <c r="AC43" s="1153" t="str">
        <f>IF(F7="","",CONCATENATE(C7,F7,H7))</f>
        <v>💵估价</v>
      </c>
      <c r="AD43" s="1153"/>
      <c r="AE43" s="1153"/>
      <c r="AF43" s="1153"/>
      <c r="AG43" s="1155">
        <f>R7</f>
        <v>5.0</v>
      </c>
      <c r="AH43" s="1155"/>
      <c r="AI43" s="1153" t="b">
        <f>IF(AND(OR(ISNUMBER(L7),ISNUMBER(N7),ISNUMBER(P7)),OR(L7&gt;0,N7&gt;0,P7&gt;0)),TRUE,FALSE)</f>
        <v>0</v>
      </c>
      <c r="AJ43" s="1153"/>
      <c r="AK43" s="1153"/>
      <c r="AL43" s="1153"/>
      <c r="AM43" s="1153" t="str">
        <f>IF($AI43,IF(LARGE($AG$41:$AH$107,AM$40)=$AG43,$AC43,""),"")</f>
        <v/>
      </c>
      <c r="AN43" s="1153"/>
      <c r="AO43" s="1153"/>
      <c r="AP43" s="1153"/>
      <c r="AQ43" s="1153" t="str">
        <f>IF($AI43,IF(LARGE($AG$41:$AH$107,AQ$40)=$AG43,$AC43,""),"")</f>
        <v/>
      </c>
      <c r="AR43" s="1153"/>
      <c r="AS43" s="1153"/>
      <c r="AT43" s="1153"/>
      <c r="AU43" s="1153" t="str">
        <f>IF($AI43,IF(LARGE($AG$41:$AH$107,AU$40)=$AG43,$AC43,""),"")</f>
        <v/>
      </c>
      <c r="AV43" s="1153"/>
      <c r="AW43" s="1153"/>
      <c r="AX43" s="1153"/>
      <c r="AY43" s="1153" t="str">
        <f>IF($AI43,IF(LARGE($AG$41:$AH$107,AY$40)=$AG43,$AC43,""),"")</f>
        <v/>
      </c>
      <c r="AZ43" s="1153"/>
      <c r="BA43" s="1153"/>
      <c r="BB43" s="1153"/>
      <c r="BC43" s="1153" t="str">
        <f>IF($AI43,IF(LARGE($AG$41:$AH$107,BC$40)=$AG43,$AC43,""),"")</f>
        <v/>
      </c>
      <c r="BD43" s="1153"/>
      <c r="BE43" s="1153"/>
      <c r="BF43" s="1153"/>
      <c r="BG43" s="1153" t="str">
        <f>IF($AI43,IF(LARGE($AG$41:$AH$107,BG$40)=$AG43,$AC43,""),"")</f>
        <v/>
      </c>
      <c r="BH43" s="1153"/>
      <c r="BI43" s="1153"/>
      <c r="BJ43" s="1153"/>
      <c r="BK43" s="1153" t="str">
        <f>IF($AI43,IF(LARGE($AG$41:$AH$107,BK$40)=$AG43,$AC43,""),"")</f>
        <v/>
      </c>
      <c r="BL43" s="1153"/>
      <c r="BM43" s="1153"/>
      <c r="BN43" s="1153"/>
      <c r="BO43" s="1153" t="str">
        <f>IF($AI43,IF(LARGE($AG$41:$AH$107,BO$40)=$AG43,$AC43,""),"")</f>
        <v/>
      </c>
      <c r="BP43" s="1153"/>
      <c r="BQ43" s="1153"/>
      <c r="BR43" s="1153"/>
      <c r="BS43" s="1153" t="str">
        <f>IF($AI43,IF(LARGE($AG$41:$AH$107,BS$40)=$AG43,$AC43,""),"")</f>
        <v/>
      </c>
      <c r="BT43" s="1153"/>
      <c r="BU43" s="1153"/>
      <c r="BV43" s="1153"/>
      <c r="BW43" s="1153" t="str">
        <f>IF($AI43,IF(LARGE($AG$41:$AH$107,BW$40)=$AG43,$AC43,""),"")</f>
        <v/>
      </c>
      <c r="BX43" s="1153"/>
      <c r="BY43" s="1153"/>
      <c r="BZ43" s="1153"/>
      <c r="CA43" s="1153" t="str">
        <f>IF($AI43,IF(LARGE($AG$41:$AH$107,CA$40)=$AG43,$AC43,""),"")</f>
        <v/>
      </c>
      <c r="CB43" s="1153"/>
      <c r="CC43" s="1153"/>
      <c r="CD43" s="1153"/>
      <c r="CE43" s="1153" t="str">
        <f>IF($AI43,IF(LARGE($AG$41:$AH$107,CE$40)=$AG43,$AC43,""),"")</f>
        <v/>
      </c>
      <c r="CF43" s="1153"/>
      <c r="CG43" s="1153"/>
      <c r="CH43" s="1153"/>
      <c r="CI43" s="1153" t="str">
        <f>IF($AI43,IF(LARGE($AG$41:$AH$107,CI$40)=$AG43,$AC43,""),"")</f>
        <v/>
      </c>
      <c r="CJ43" s="1153"/>
      <c r="CK43" s="1153"/>
      <c r="CL43" s="1153"/>
      <c r="CM43" s="1153" t="str">
        <f>IF($AI43,IF(LARGE($AG$41:$AH$107,CM$40)=$AG43,$AC43,""),"")</f>
        <v/>
      </c>
      <c r="CN43" s="1153"/>
      <c r="CO43" s="1153"/>
      <c r="CP43" s="1153"/>
      <c r="CQ43" s="1153" t="str">
        <f>IF($AI43,IF(LARGE($AG$41:$AH$107,CQ$40)=$AG43,$AC43,""),"")</f>
        <v/>
      </c>
      <c r="CR43" s="1153"/>
      <c r="CS43" s="1153"/>
      <c r="CT43" s="1153"/>
      <c r="CU43" s="1153" t="str">
        <f>IF($AI43,IF(LARGE($AG$41:$AH$107,CU$40)=$AG43,$AC43,""),"")</f>
        <v/>
      </c>
      <c r="CV43" s="1153"/>
      <c r="CW43" s="1153"/>
      <c r="CX43" s="1153"/>
      <c r="CY43" s="1153" t="str">
        <f>IF($AI43,IF(LARGE($AG$41:$AH$107,CY$40)=$AG43,$AC43,""),"")</f>
        <v/>
      </c>
      <c r="CZ43" s="1153"/>
      <c r="DA43" s="1153"/>
      <c r="DB43" s="1153"/>
      <c r="DC43" s="1153" t="str">
        <f>IF($AI43,IF(LARGE($AG$41:$AH$107,DC$40)=$AG43,$AC43,""),"")</f>
        <v/>
      </c>
      <c r="DD43" s="1153"/>
      <c r="DE43" s="1153"/>
      <c r="DF43" s="1153"/>
      <c r="DG43" s="1153" t="str">
        <f>IF($AI43,IF(LARGE($AG$41:$AH$107,DG$40)=$AG43,$AC43,""),"")</f>
        <v/>
      </c>
      <c r="DH43" s="1153"/>
      <c r="DI43" s="1153"/>
      <c r="DJ43" s="1153"/>
      <c r="DK43" s="1153" t="str">
        <f>IF($AI43,IF(LARGE($AG$41:$AH$107,DK$40)=$AG43,$AC43,""),"")</f>
        <v/>
      </c>
      <c r="DL43" s="1153"/>
      <c r="DM43" s="1153"/>
      <c r="DN43" s="1153"/>
      <c r="DO43" s="1153" t="str">
        <f>IF($AI43,IF(LARGE($AG$41:$AH$107,DO$40)=$AG43,$AC43,""),"")</f>
        <v/>
      </c>
      <c r="DP43" s="1153"/>
      <c r="DQ43" s="1153"/>
      <c r="DR43" s="1153"/>
      <c r="DS43" s="1153" t="str">
        <f>IF($AI43,IF(LARGE($AG$41:$AH$107,DS$40)=$AG43,$AC43,""),"")</f>
        <v/>
      </c>
      <c r="DT43" s="1153"/>
      <c r="DU43" s="1153"/>
      <c r="DV43" s="1153"/>
      <c r="DW43" s="1153" t="str">
        <f>IF($AI43,IF(LARGE($AG$41:$AH$107,DW$40)=$AG43,$AC43,""),"")</f>
        <v/>
      </c>
      <c r="DX43" s="1153"/>
      <c r="DY43" s="1153"/>
      <c r="DZ43" s="1153"/>
      <c r="EA43" s="1153" t="str">
        <f>IF($AI43,IF(LARGE($AG$41:$AH$107,EA$40)=$AG43,$AC43,""),"")</f>
        <v/>
      </c>
      <c r="EB43" s="1153"/>
      <c r="EC43" s="1153"/>
      <c r="ED43" s="1153"/>
      <c r="EE43" s="1153" t="str">
        <f>IF($AI43,IF(LARGE($AG$41:$AH$107,EE$40)=$AG43,$AC43,""),"")</f>
        <v/>
      </c>
      <c r="EF43" s="1153"/>
      <c r="EG43" s="1153"/>
      <c r="EH43" s="1153"/>
      <c r="EI43" s="1153" t="str">
        <f>IF($AI43,IF(LARGE($AG$41:$AH$107,EI$40)=$AG43,$AC43,""),"")</f>
        <v/>
      </c>
      <c r="EJ43" s="1153"/>
      <c r="EK43" s="1153"/>
      <c r="EL43" s="1153"/>
      <c r="EM43" s="1153" t="str">
        <f>IF($AI43,IF(LARGE($AG$41:$AH$107,EM$40)=$AG43,$AC43,""),"")</f>
        <v/>
      </c>
      <c r="EN43" s="1153"/>
      <c r="EO43" s="1153"/>
      <c r="EP43" s="1153"/>
      <c r="EQ43" s="1153" t="str">
        <f>IF($AI43,IF(LARGE($AG$41:$AH$107,EQ$40)=$AG43,$AC43,""),"")</f>
        <v/>
      </c>
      <c r="ER43" s="1153"/>
      <c r="ES43" s="1153"/>
      <c r="ET43" s="1153"/>
      <c r="EU43" s="1153" t="str">
        <f>IF($AI43,IF(LARGE($AG$41:$AH$107,EU$40)=$AG43,$AC43,""),"")</f>
        <v/>
      </c>
      <c r="EV43" s="1153"/>
      <c r="EW43" s="1153"/>
      <c r="EX43" s="1153"/>
      <c r="EY43" s="1153" t="str">
        <f>IF($AI43,IF(LARGE($AG$41:$AH$107,EY$40)=$AG43,$AC43,""),"")</f>
        <v/>
      </c>
      <c r="EZ43" s="1153"/>
      <c r="FA43" s="1153"/>
      <c r="FB43" s="1153"/>
      <c r="FC43" s="1153" t="str">
        <f>IF($AI43,IF(LARGE($AG$41:$AH$107,FC$40)=$AG43,$AC43,""),"")</f>
        <v/>
      </c>
      <c r="FD43" s="1153"/>
      <c r="FE43" s="1153"/>
      <c r="FF43" s="1153"/>
      <c r="FG43" s="1153" t="str">
        <f>IF($AI43,IF(LARGE($AG$41:$AH$107,FG$40)=$AG43,$AC43,""),"")</f>
        <v/>
      </c>
      <c r="FH43" s="1153"/>
      <c r="FI43" s="1153"/>
      <c r="FJ43" s="1153"/>
      <c r="FK43" s="1153" t="str">
        <f>IF($AI43,IF(LARGE($AG$41:$AH$107,FK$40)=$AG43,$AC43,""),"")</f>
        <v/>
      </c>
      <c r="FL43" s="1153"/>
      <c r="FM43" s="1153"/>
      <c r="FN43" s="1153"/>
      <c r="FO43" s="1153" t="str">
        <f>IF($AI43,IF(LARGE($AG$41:$AH$107,FO$40)=$AG43,$AC43,""),"")</f>
        <v/>
      </c>
      <c r="FP43" s="1153"/>
      <c r="FQ43" s="1153"/>
      <c r="FR43" s="1153"/>
      <c r="FS43" s="1153" t="str">
        <f>IF($AI43,IF(LARGE($AG$41:$AH$107,FS$40)=$AG43,$AC43,""),"")</f>
        <v/>
      </c>
      <c r="FT43" s="1153"/>
      <c r="FU43" s="1153"/>
      <c r="FV43" s="1153"/>
      <c r="FW43" s="1153" t="str">
        <f>IF($AI43,IF(LARGE($AG$41:$AH$107,FW$40)=$AG43,$AC43,""),"")</f>
        <v/>
      </c>
      <c r="FX43" s="1153"/>
      <c r="FY43" s="1153"/>
      <c r="FZ43" s="1153"/>
      <c r="GA43" s="1153" t="str">
        <f>IF($AI43,IF(LARGE($AG$41:$AH$107,GA$40)=$AG43,$AC43,""),"")</f>
        <v/>
      </c>
      <c r="GB43" s="1153"/>
      <c r="GC43" s="1153"/>
      <c r="GD43" s="1153"/>
      <c r="GE43" s="1153" t="str">
        <f>IF($AI43,IF(LARGE($AG$41:$AH$107,GE$40)=$AG43,$AC43,""),"")</f>
        <v/>
      </c>
      <c r="GF43" s="1153"/>
      <c r="GG43" s="1153"/>
      <c r="GH43" s="1153"/>
      <c r="GI43" s="1153" t="str">
        <f>IF($AI43,IF(LARGE($AG$41:$AH$107,GI$40)=$AG43,$AC43,""),"")</f>
        <v/>
      </c>
      <c r="GJ43" s="1153"/>
      <c r="GK43" s="1153"/>
      <c r="GL43" s="1153"/>
      <c r="GM43" s="1153" t="str">
        <f>IF($AI43,IF(LARGE($AG$41:$AH$107,GM$40)=$AG43,$AC43,""),"")</f>
        <v/>
      </c>
      <c r="GN43" s="1153"/>
      <c r="GO43" s="1153"/>
      <c r="GP43" s="1153"/>
      <c r="GQ43" s="1153" t="str">
        <f>IF($AI43,IF(LARGE($AG$41:$AH$107,GQ$40)=$AG43,$AC43,""),"")</f>
        <v/>
      </c>
      <c r="GR43" s="1153"/>
      <c r="GS43" s="1153"/>
      <c r="GT43" s="1153"/>
      <c r="GU43" s="1153" t="str">
        <f>IF($AI43,IF(LARGE($AG$41:$AH$107,GU$40)=$AG43,$AC43,""),"")</f>
        <v/>
      </c>
      <c r="GV43" s="1153"/>
      <c r="GW43" s="1153"/>
      <c r="GX43" s="1153"/>
      <c r="GY43" s="1153" t="str">
        <f>IF($AI43,IF(LARGE($AG$41:$AH$107,GY$40)=$AG43,$AC43,""),"")</f>
        <v/>
      </c>
      <c r="GZ43" s="1153"/>
      <c r="HA43" s="1153"/>
      <c r="HB43" s="1153"/>
      <c r="HC43" s="1153" t="str">
        <f>IF($AI43,IF(LARGE($AG$41:$AH$107,HC$40)=$AG43,$AC43,""),"")</f>
        <v/>
      </c>
      <c r="HD43" s="1153"/>
      <c r="HE43" s="1153"/>
      <c r="HF43" s="1153"/>
      <c r="HG43" s="1153" t="str">
        <f>IF($AI43,IF(LARGE($AG$41:$AH$107,HG$40)=$AG43,$AC43,""),"")</f>
        <v/>
      </c>
      <c r="HH43" s="1153"/>
      <c r="HI43" s="1153"/>
      <c r="HJ43" s="1153"/>
      <c r="HK43" s="1153" t="str">
        <f>IF($AI43,IF(LARGE($AG$41:$AH$107,HK$40)=$AG43,$AC43,""),"")</f>
        <v/>
      </c>
      <c r="HL43" s="1153"/>
      <c r="HM43" s="1153"/>
      <c r="HN43" s="1153"/>
      <c r="HO43" s="1153" t="str">
        <f>IF($AI43,IF(LARGE($AG$41:$AH$107,HO$40)=$AG43,$AC43,""),"")</f>
        <v/>
      </c>
      <c r="HP43" s="1153"/>
      <c r="HQ43" s="1153"/>
      <c r="HR43" s="1153"/>
      <c r="HS43" s="1153" t="str">
        <f>IF($AI43,IF(LARGE($AG$41:$AH$107,HS$40)=$AG43,$AC43,""),"")</f>
        <v/>
      </c>
      <c r="HT43" s="1153"/>
      <c r="HU43" s="1153"/>
      <c r="HV43" s="1153"/>
      <c r="HW43" s="1153" t="str">
        <f>IF($AI43,IF(LARGE($AG$41:$AH$107,HW$40)=$AG43,$AC43,""),"")</f>
        <v/>
      </c>
      <c r="HX43" s="1153"/>
      <c r="HY43" s="1153"/>
      <c r="HZ43" s="1153"/>
      <c r="IA43" s="1153" t="str">
        <f>IF($AI43,IF(LARGE($AG$41:$AH$107,IA$40)=$AG43,$AC43,""),"")</f>
        <v/>
      </c>
      <c r="IB43" s="1153"/>
      <c r="IC43" s="1153"/>
      <c r="ID43" s="1153"/>
      <c r="IE43" s="1153" t="str">
        <f>IF($AI43,IF(LARGE($AG$41:$AH$107,IE$40)=$AG43,$AC43,""),"")</f>
        <v/>
      </c>
      <c r="IF43" s="1153"/>
      <c r="IG43" s="1153"/>
      <c r="IH43" s="1153"/>
      <c r="II43" s="1153" t="str">
        <f>IF($AI43,IF(LARGE($AG$41:$AH$107,II$40)=$AG43,$AC43,""),"")</f>
        <v/>
      </c>
      <c r="IJ43" s="1153"/>
      <c r="IK43" s="1153"/>
      <c r="IL43" s="1153"/>
      <c r="IM43" s="1153" t="str">
        <f>IF($AI43,IF(LARGE($AG$41:$AH$107,IM$40)=$AG43,$AC43,""),"")</f>
        <v/>
      </c>
      <c r="IN43" s="1153"/>
      <c r="IO43" s="1153"/>
      <c r="IP43" s="1153"/>
      <c r="IQ43" s="1153" t="str">
        <f>IF($AI43,IF(LARGE($AG$41:$AH$107,IQ$40)=$AG43,$AC43,""),"")</f>
        <v/>
      </c>
      <c r="IR43" s="1153"/>
      <c r="IS43" s="1153"/>
      <c r="IT43" s="1153"/>
      <c r="IU43" s="1153" t="str">
        <f>IF($AI43,IF(LARGE($AG$41:$AH$107,IU$40)=$AG43,$AC43,""),"")</f>
        <v/>
      </c>
      <c r="IV43" s="1153"/>
      <c r="IW43" s="1153"/>
      <c r="IX43" s="1153"/>
      <c r="IY43" s="1153" t="str">
        <f>IF($AI43,IF(LARGE($AG$41:$AH$107,IY$40)=$AG43,$AC43,""),"")</f>
        <v/>
      </c>
      <c r="IZ43" s="1153"/>
      <c r="JA43" s="1153"/>
      <c r="JB43" s="1153"/>
      <c r="JC43" s="1153" t="str">
        <f>IF($AI43,IF(LARGE($AG$41:$AH$107,JC$40)=$AG43,$AC43,""),"")</f>
        <v/>
      </c>
      <c r="JD43" s="1153"/>
      <c r="JE43" s="1153"/>
      <c r="JF43" s="1153"/>
      <c r="JG43" s="1153" t="str">
        <f>IF($AI43,IF(LARGE($AG$41:$AH$107,JG$40)=$AG43,$AC43,""),"")</f>
        <v/>
      </c>
      <c r="JH43" s="1153"/>
      <c r="JI43" s="1153"/>
      <c r="JJ43" s="1153"/>
      <c r="JK43" s="1153" t="str">
        <f>IF($AI43,IF(LARGE($AG$41:$AH$107,JK$40)=$AG43,$AC43,""),"")</f>
        <v/>
      </c>
      <c r="JL43" s="1153"/>
      <c r="JM43" s="1153"/>
      <c r="JN43" s="1153"/>
      <c r="JO43" s="1153" t="str">
        <f>IF($AI43,IF(LARGE($AG$41:$AH$107,JO$40)=$AG43,$AC43,""),"")</f>
        <v/>
      </c>
      <c r="JP43" s="1153"/>
      <c r="JQ43" s="1153"/>
      <c r="JR43" s="1153"/>
      <c r="JS43" s="1153" t="str">
        <f>IF($AI43,IF(LARGE($AG$41:$AH$107,JS$40)=$AG43,$AC43,""),"")</f>
        <v/>
      </c>
      <c r="JT43" s="1153"/>
      <c r="JU43" s="1153"/>
      <c r="JV43" s="1153"/>
      <c r="JW43" s="1153" t="str">
        <f>IF($AI43,IF(LARGE($AG$41:$AH$107,JW$40)=$AG43,$AC43,""),"")</f>
        <v/>
      </c>
      <c r="JX43" s="1153"/>
      <c r="JY43" s="1153"/>
      <c r="JZ43" s="1153"/>
      <c r="KA43" s="1153" t="str">
        <f>IF($AI43,IF(LARGE($AG$41:$AH$107,KA$40)=$AG43,$AC43,""),"")</f>
        <v/>
      </c>
      <c r="KB43" s="1153"/>
      <c r="KC43" s="1153"/>
      <c r="KD43" s="1153"/>
      <c r="KE43" s="1153" t="str">
        <f>IF($AI43,IF(LARGE($AG$41:$AH$107,KE$40)=$AG43,$AC43,""),"")</f>
        <v/>
      </c>
      <c r="KF43" s="1153"/>
      <c r="KG43" s="1153"/>
      <c r="KH43" s="1153"/>
      <c r="KI43" s="1153" t="str">
        <f>IF($AI43,IF(LARGE($AG$41:$AH$107,KI$40)=$AG43,$AC43,""),"")</f>
        <v/>
      </c>
      <c r="KJ43" s="1153"/>
      <c r="KK43" s="1153"/>
      <c r="KL43" s="1153"/>
      <c r="KM43" s="1153" t="str">
        <f>IF($AI43,IF(LARGE($AG$41:$AH$107,KM$40)=$AG43,$AC43,""),"")</f>
        <v/>
      </c>
      <c r="KN43" s="1153"/>
      <c r="KO43" s="1153"/>
      <c r="KP43" s="1153"/>
      <c r="KQ43" s="1153" t="str">
        <f>IF($AI43,IF(LARGE($AG$41:$AH$107,KQ$40)=$AG43,$AC43,""),"")</f>
        <v/>
      </c>
      <c r="KR43" s="1153"/>
      <c r="KS43" s="1153"/>
      <c r="KT43" s="1153"/>
    </row>
    <row r="44" spans="8:8">
      <c r="C44" s="1153" t="str">
        <f>IF(F8="","",CONCATENATE(" ",C8,F8,H8))</f>
        <v> 🗿考古学</v>
      </c>
      <c r="D44" s="1153"/>
      <c r="E44" s="1153"/>
      <c r="F44" s="1153"/>
      <c r="G44" s="1155" t="str">
        <f>IF(AND(L8=0,N8=0),"",IF(ISNONTEXT(D8),"",R8))</f>
        <v/>
      </c>
      <c r="H44" s="1155"/>
      <c r="I44" s="1153" t="str">
        <f>IF(G44=$G$40,C44,"")</f>
        <v/>
      </c>
      <c r="J44" s="1153"/>
      <c r="K44" s="1153"/>
      <c r="L44" s="1153"/>
      <c r="M44" s="1154">
        <f>IF(AND(NOT(N8=0),ISNONTEXT(D8)),1,0)</f>
        <v>0.0</v>
      </c>
      <c r="N44" s="1122"/>
      <c r="O44" s="1122"/>
      <c r="P44" s="1153" t="str">
        <f>IF(F8="","",CONCATENATE(" ",C8,F8,H8))</f>
        <v> 🗿考古学</v>
      </c>
      <c r="Q44" s="1153"/>
      <c r="R44" s="1153"/>
      <c r="S44" s="1153"/>
      <c r="T44" s="1155" t="str">
        <f>IF(AND(L8=0,P8=0),"",IF(ISNONTEXT(D8),R8,""))</f>
        <v/>
      </c>
      <c r="U44" s="1155"/>
      <c r="V44" s="1153" t="str">
        <f>IF(T44=$T$40,P44,"")</f>
        <v/>
      </c>
      <c r="W44" s="1153"/>
      <c r="X44" s="1153"/>
      <c r="Y44" s="1153"/>
      <c r="AB44" s="1122"/>
      <c r="AC44" s="1153" t="str">
        <f>IF(F8="","",CONCATENATE(C8,F8,H8))</f>
        <v>🗿考古学</v>
      </c>
      <c r="AD44" s="1153"/>
      <c r="AE44" s="1153"/>
      <c r="AF44" s="1153"/>
      <c r="AG44" s="1155">
        <f>R8</f>
        <v>1.0</v>
      </c>
      <c r="AH44" s="1155"/>
      <c r="AI44" s="1153" t="b">
        <f>IF(AND(OR(ISNUMBER(L8),ISNUMBER(N8),ISNUMBER(P8)),OR(L8&gt;0,N8&gt;0,P8&gt;0)),TRUE,FALSE)</f>
        <v>0</v>
      </c>
      <c r="AJ44" s="1153"/>
      <c r="AK44" s="1153"/>
      <c r="AL44" s="1153"/>
      <c r="AM44" s="1153" t="str">
        <f>IF($AI44,IF(LARGE($AG$41:$AH$107,AM$40)=$AG44,$AC44,""),"")</f>
        <v/>
      </c>
      <c r="AN44" s="1153"/>
      <c r="AO44" s="1153"/>
      <c r="AP44" s="1153"/>
      <c r="AQ44" s="1153" t="str">
        <f>IF($AI44,IF(LARGE($AG$41:$AH$107,AQ$40)=$AG44,$AC44,""),"")</f>
        <v/>
      </c>
      <c r="AR44" s="1153"/>
      <c r="AS44" s="1153"/>
      <c r="AT44" s="1153"/>
      <c r="AU44" s="1153" t="str">
        <f>IF($AI44,IF(LARGE($AG$41:$AH$107,AU$40)=$AG44,$AC44,""),"")</f>
        <v/>
      </c>
      <c r="AV44" s="1153"/>
      <c r="AW44" s="1153"/>
      <c r="AX44" s="1153"/>
      <c r="AY44" s="1153" t="str">
        <f>IF($AI44,IF(LARGE($AG$41:$AH$107,AY$40)=$AG44,$AC44,""),"")</f>
        <v/>
      </c>
      <c r="AZ44" s="1153"/>
      <c r="BA44" s="1153"/>
      <c r="BB44" s="1153"/>
      <c r="BC44" s="1153" t="str">
        <f>IF($AI44,IF(LARGE($AG$41:$AH$107,BC$40)=$AG44,$AC44,""),"")</f>
        <v/>
      </c>
      <c r="BD44" s="1153"/>
      <c r="BE44" s="1153"/>
      <c r="BF44" s="1153"/>
      <c r="BG44" s="1153" t="str">
        <f>IF($AI44,IF(LARGE($AG$41:$AH$107,BG$40)=$AG44,$AC44,""),"")</f>
        <v/>
      </c>
      <c r="BH44" s="1153"/>
      <c r="BI44" s="1153"/>
      <c r="BJ44" s="1153"/>
      <c r="BK44" s="1153" t="str">
        <f>IF($AI44,IF(LARGE($AG$41:$AH$107,BK$40)=$AG44,$AC44,""),"")</f>
        <v/>
      </c>
      <c r="BL44" s="1153"/>
      <c r="BM44" s="1153"/>
      <c r="BN44" s="1153"/>
      <c r="BO44" s="1153" t="str">
        <f>IF($AI44,IF(LARGE($AG$41:$AH$107,BO$40)=$AG44,$AC44,""),"")</f>
        <v/>
      </c>
      <c r="BP44" s="1153"/>
      <c r="BQ44" s="1153"/>
      <c r="BR44" s="1153"/>
      <c r="BS44" s="1153" t="str">
        <f>IF($AI44,IF(LARGE($AG$41:$AH$107,BS$40)=$AG44,$AC44,""),"")</f>
        <v/>
      </c>
      <c r="BT44" s="1153"/>
      <c r="BU44" s="1153"/>
      <c r="BV44" s="1153"/>
      <c r="BW44" s="1153" t="str">
        <f>IF($AI44,IF(LARGE($AG$41:$AH$107,BW$40)=$AG44,$AC44,""),"")</f>
        <v/>
      </c>
      <c r="BX44" s="1153"/>
      <c r="BY44" s="1153"/>
      <c r="BZ44" s="1153"/>
      <c r="CA44" s="1153" t="str">
        <f>IF($AI44,IF(LARGE($AG$41:$AH$107,CA$40)=$AG44,$AC44,""),"")</f>
        <v/>
      </c>
      <c r="CB44" s="1153"/>
      <c r="CC44" s="1153"/>
      <c r="CD44" s="1153"/>
      <c r="CE44" s="1153" t="str">
        <f>IF($AI44,IF(LARGE($AG$41:$AH$107,CE$40)=$AG44,$AC44,""),"")</f>
        <v/>
      </c>
      <c r="CF44" s="1153"/>
      <c r="CG44" s="1153"/>
      <c r="CH44" s="1153"/>
      <c r="CI44" s="1153" t="str">
        <f>IF($AI44,IF(LARGE($AG$41:$AH$107,CI$40)=$AG44,$AC44,""),"")</f>
        <v/>
      </c>
      <c r="CJ44" s="1153"/>
      <c r="CK44" s="1153"/>
      <c r="CL44" s="1153"/>
      <c r="CM44" s="1153" t="str">
        <f>IF($AI44,IF(LARGE($AG$41:$AH$107,CM$40)=$AG44,$AC44,""),"")</f>
        <v/>
      </c>
      <c r="CN44" s="1153"/>
      <c r="CO44" s="1153"/>
      <c r="CP44" s="1153"/>
      <c r="CQ44" s="1153" t="str">
        <f>IF($AI44,IF(LARGE($AG$41:$AH$107,CQ$40)=$AG44,$AC44,""),"")</f>
        <v/>
      </c>
      <c r="CR44" s="1153"/>
      <c r="CS44" s="1153"/>
      <c r="CT44" s="1153"/>
      <c r="CU44" s="1153" t="str">
        <f>IF($AI44,IF(LARGE($AG$41:$AH$107,CU$40)=$AG44,$AC44,""),"")</f>
        <v/>
      </c>
      <c r="CV44" s="1153"/>
      <c r="CW44" s="1153"/>
      <c r="CX44" s="1153"/>
      <c r="CY44" s="1153" t="str">
        <f>IF($AI44,IF(LARGE($AG$41:$AH$107,CY$40)=$AG44,$AC44,""),"")</f>
        <v/>
      </c>
      <c r="CZ44" s="1153"/>
      <c r="DA44" s="1153"/>
      <c r="DB44" s="1153"/>
      <c r="DC44" s="1153" t="str">
        <f>IF($AI44,IF(LARGE($AG$41:$AH$107,DC$40)=$AG44,$AC44,""),"")</f>
        <v/>
      </c>
      <c r="DD44" s="1153"/>
      <c r="DE44" s="1153"/>
      <c r="DF44" s="1153"/>
      <c r="DG44" s="1153" t="str">
        <f>IF($AI44,IF(LARGE($AG$41:$AH$107,DG$40)=$AG44,$AC44,""),"")</f>
        <v/>
      </c>
      <c r="DH44" s="1153"/>
      <c r="DI44" s="1153"/>
      <c r="DJ44" s="1153"/>
      <c r="DK44" s="1153" t="str">
        <f>IF($AI44,IF(LARGE($AG$41:$AH$107,DK$40)=$AG44,$AC44,""),"")</f>
        <v/>
      </c>
      <c r="DL44" s="1153"/>
      <c r="DM44" s="1153"/>
      <c r="DN44" s="1153"/>
      <c r="DO44" s="1153" t="str">
        <f>IF($AI44,IF(LARGE($AG$41:$AH$107,DO$40)=$AG44,$AC44,""),"")</f>
        <v/>
      </c>
      <c r="DP44" s="1153"/>
      <c r="DQ44" s="1153"/>
      <c r="DR44" s="1153"/>
      <c r="DS44" s="1153" t="str">
        <f>IF($AI44,IF(LARGE($AG$41:$AH$107,DS$40)=$AG44,$AC44,""),"")</f>
        <v/>
      </c>
      <c r="DT44" s="1153"/>
      <c r="DU44" s="1153"/>
      <c r="DV44" s="1153"/>
      <c r="DW44" s="1153" t="str">
        <f>IF($AI44,IF(LARGE($AG$41:$AH$107,DW$40)=$AG44,$AC44,""),"")</f>
        <v/>
      </c>
      <c r="DX44" s="1153"/>
      <c r="DY44" s="1153"/>
      <c r="DZ44" s="1153"/>
      <c r="EA44" s="1153" t="str">
        <f>IF($AI44,IF(LARGE($AG$41:$AH$107,EA$40)=$AG44,$AC44,""),"")</f>
        <v/>
      </c>
      <c r="EB44" s="1153"/>
      <c r="EC44" s="1153"/>
      <c r="ED44" s="1153"/>
      <c r="EE44" s="1153" t="str">
        <f>IF($AI44,IF(LARGE($AG$41:$AH$107,EE$40)=$AG44,$AC44,""),"")</f>
        <v/>
      </c>
      <c r="EF44" s="1153"/>
      <c r="EG44" s="1153"/>
      <c r="EH44" s="1153"/>
      <c r="EI44" s="1153" t="str">
        <f>IF($AI44,IF(LARGE($AG$41:$AH$107,EI$40)=$AG44,$AC44,""),"")</f>
        <v/>
      </c>
      <c r="EJ44" s="1153"/>
      <c r="EK44" s="1153"/>
      <c r="EL44" s="1153"/>
      <c r="EM44" s="1153" t="str">
        <f>IF($AI44,IF(LARGE($AG$41:$AH$107,EM$40)=$AG44,$AC44,""),"")</f>
        <v/>
      </c>
      <c r="EN44" s="1153"/>
      <c r="EO44" s="1153"/>
      <c r="EP44" s="1153"/>
      <c r="EQ44" s="1153" t="str">
        <f>IF($AI44,IF(LARGE($AG$41:$AH$107,EQ$40)=$AG44,$AC44,""),"")</f>
        <v/>
      </c>
      <c r="ER44" s="1153"/>
      <c r="ES44" s="1153"/>
      <c r="ET44" s="1153"/>
      <c r="EU44" s="1153" t="str">
        <f>IF($AI44,IF(LARGE($AG$41:$AH$107,EU$40)=$AG44,$AC44,""),"")</f>
        <v/>
      </c>
      <c r="EV44" s="1153"/>
      <c r="EW44" s="1153"/>
      <c r="EX44" s="1153"/>
      <c r="EY44" s="1153" t="str">
        <f>IF($AI44,IF(LARGE($AG$41:$AH$107,EY$40)=$AG44,$AC44,""),"")</f>
        <v/>
      </c>
      <c r="EZ44" s="1153"/>
      <c r="FA44" s="1153"/>
      <c r="FB44" s="1153"/>
      <c r="FC44" s="1153" t="str">
        <f>IF($AI44,IF(LARGE($AG$41:$AH$107,FC$40)=$AG44,$AC44,""),"")</f>
        <v/>
      </c>
      <c r="FD44" s="1153"/>
      <c r="FE44" s="1153"/>
      <c r="FF44" s="1153"/>
      <c r="FG44" s="1153" t="str">
        <f>IF($AI44,IF(LARGE($AG$41:$AH$107,FG$40)=$AG44,$AC44,""),"")</f>
        <v/>
      </c>
      <c r="FH44" s="1153"/>
      <c r="FI44" s="1153"/>
      <c r="FJ44" s="1153"/>
      <c r="FK44" s="1153" t="str">
        <f>IF($AI44,IF(LARGE($AG$41:$AH$107,FK$40)=$AG44,$AC44,""),"")</f>
        <v/>
      </c>
      <c r="FL44" s="1153"/>
      <c r="FM44" s="1153"/>
      <c r="FN44" s="1153"/>
      <c r="FO44" s="1153" t="str">
        <f>IF($AI44,IF(LARGE($AG$41:$AH$107,FO$40)=$AG44,$AC44,""),"")</f>
        <v/>
      </c>
      <c r="FP44" s="1153"/>
      <c r="FQ44" s="1153"/>
      <c r="FR44" s="1153"/>
      <c r="FS44" s="1153" t="str">
        <f>IF($AI44,IF(LARGE($AG$41:$AH$107,FS$40)=$AG44,$AC44,""),"")</f>
        <v/>
      </c>
      <c r="FT44" s="1153"/>
      <c r="FU44" s="1153"/>
      <c r="FV44" s="1153"/>
      <c r="FW44" s="1153" t="str">
        <f>IF($AI44,IF(LARGE($AG$41:$AH$107,FW$40)=$AG44,$AC44,""),"")</f>
        <v/>
      </c>
      <c r="FX44" s="1153"/>
      <c r="FY44" s="1153"/>
      <c r="FZ44" s="1153"/>
      <c r="GA44" s="1153" t="str">
        <f>IF($AI44,IF(LARGE($AG$41:$AH$107,GA$40)=$AG44,$AC44,""),"")</f>
        <v/>
      </c>
      <c r="GB44" s="1153"/>
      <c r="GC44" s="1153"/>
      <c r="GD44" s="1153"/>
      <c r="GE44" s="1153" t="str">
        <f>IF($AI44,IF(LARGE($AG$41:$AH$107,GE$40)=$AG44,$AC44,""),"")</f>
        <v/>
      </c>
      <c r="GF44" s="1153"/>
      <c r="GG44" s="1153"/>
      <c r="GH44" s="1153"/>
      <c r="GI44" s="1153" t="str">
        <f>IF($AI44,IF(LARGE($AG$41:$AH$107,GI$40)=$AG44,$AC44,""),"")</f>
        <v/>
      </c>
      <c r="GJ44" s="1153"/>
      <c r="GK44" s="1153"/>
      <c r="GL44" s="1153"/>
      <c r="GM44" s="1153" t="str">
        <f>IF($AI44,IF(LARGE($AG$41:$AH$107,GM$40)=$AG44,$AC44,""),"")</f>
        <v/>
      </c>
      <c r="GN44" s="1153"/>
      <c r="GO44" s="1153"/>
      <c r="GP44" s="1153"/>
      <c r="GQ44" s="1153" t="str">
        <f>IF($AI44,IF(LARGE($AG$41:$AH$107,GQ$40)=$AG44,$AC44,""),"")</f>
        <v/>
      </c>
      <c r="GR44" s="1153"/>
      <c r="GS44" s="1153"/>
      <c r="GT44" s="1153"/>
      <c r="GU44" s="1153" t="str">
        <f>IF($AI44,IF(LARGE($AG$41:$AH$107,GU$40)=$AG44,$AC44,""),"")</f>
        <v/>
      </c>
      <c r="GV44" s="1153"/>
      <c r="GW44" s="1153"/>
      <c r="GX44" s="1153"/>
      <c r="GY44" s="1153" t="str">
        <f>IF($AI44,IF(LARGE($AG$41:$AH$107,GY$40)=$AG44,$AC44,""),"")</f>
        <v/>
      </c>
      <c r="GZ44" s="1153"/>
      <c r="HA44" s="1153"/>
      <c r="HB44" s="1153"/>
      <c r="HC44" s="1153" t="str">
        <f>IF($AI44,IF(LARGE($AG$41:$AH$107,HC$40)=$AG44,$AC44,""),"")</f>
        <v/>
      </c>
      <c r="HD44" s="1153"/>
      <c r="HE44" s="1153"/>
      <c r="HF44" s="1153"/>
      <c r="HG44" s="1153" t="str">
        <f>IF($AI44,IF(LARGE($AG$41:$AH$107,HG$40)=$AG44,$AC44,""),"")</f>
        <v/>
      </c>
      <c r="HH44" s="1153"/>
      <c r="HI44" s="1153"/>
      <c r="HJ44" s="1153"/>
      <c r="HK44" s="1153" t="str">
        <f>IF($AI44,IF(LARGE($AG$41:$AH$107,HK$40)=$AG44,$AC44,""),"")</f>
        <v/>
      </c>
      <c r="HL44" s="1153"/>
      <c r="HM44" s="1153"/>
      <c r="HN44" s="1153"/>
      <c r="HO44" s="1153" t="str">
        <f>IF($AI44,IF(LARGE($AG$41:$AH$107,HO$40)=$AG44,$AC44,""),"")</f>
        <v/>
      </c>
      <c r="HP44" s="1153"/>
      <c r="HQ44" s="1153"/>
      <c r="HR44" s="1153"/>
      <c r="HS44" s="1153" t="str">
        <f>IF($AI44,IF(LARGE($AG$41:$AH$107,HS$40)=$AG44,$AC44,""),"")</f>
        <v/>
      </c>
      <c r="HT44" s="1153"/>
      <c r="HU44" s="1153"/>
      <c r="HV44" s="1153"/>
      <c r="HW44" s="1153" t="str">
        <f>IF($AI44,IF(LARGE($AG$41:$AH$107,HW$40)=$AG44,$AC44,""),"")</f>
        <v/>
      </c>
      <c r="HX44" s="1153"/>
      <c r="HY44" s="1153"/>
      <c r="HZ44" s="1153"/>
      <c r="IA44" s="1153" t="str">
        <f>IF($AI44,IF(LARGE($AG$41:$AH$107,IA$40)=$AG44,$AC44,""),"")</f>
        <v/>
      </c>
      <c r="IB44" s="1153"/>
      <c r="IC44" s="1153"/>
      <c r="ID44" s="1153"/>
      <c r="IE44" s="1153" t="str">
        <f>IF($AI44,IF(LARGE($AG$41:$AH$107,IE$40)=$AG44,$AC44,""),"")</f>
        <v/>
      </c>
      <c r="IF44" s="1153"/>
      <c r="IG44" s="1153"/>
      <c r="IH44" s="1153"/>
      <c r="II44" s="1153" t="str">
        <f>IF($AI44,IF(LARGE($AG$41:$AH$107,II$40)=$AG44,$AC44,""),"")</f>
        <v/>
      </c>
      <c r="IJ44" s="1153"/>
      <c r="IK44" s="1153"/>
      <c r="IL44" s="1153"/>
      <c r="IM44" s="1153" t="str">
        <f>IF($AI44,IF(LARGE($AG$41:$AH$107,IM$40)=$AG44,$AC44,""),"")</f>
        <v/>
      </c>
      <c r="IN44" s="1153"/>
      <c r="IO44" s="1153"/>
      <c r="IP44" s="1153"/>
      <c r="IQ44" s="1153" t="str">
        <f>IF($AI44,IF(LARGE($AG$41:$AH$107,IQ$40)=$AG44,$AC44,""),"")</f>
        <v/>
      </c>
      <c r="IR44" s="1153"/>
      <c r="IS44" s="1153"/>
      <c r="IT44" s="1153"/>
      <c r="IU44" s="1153" t="str">
        <f>IF($AI44,IF(LARGE($AG$41:$AH$107,IU$40)=$AG44,$AC44,""),"")</f>
        <v/>
      </c>
      <c r="IV44" s="1153"/>
      <c r="IW44" s="1153"/>
      <c r="IX44" s="1153"/>
      <c r="IY44" s="1153" t="str">
        <f>IF($AI44,IF(LARGE($AG$41:$AH$107,IY$40)=$AG44,$AC44,""),"")</f>
        <v/>
      </c>
      <c r="IZ44" s="1153"/>
      <c r="JA44" s="1153"/>
      <c r="JB44" s="1153"/>
      <c r="JC44" s="1153" t="str">
        <f>IF($AI44,IF(LARGE($AG$41:$AH$107,JC$40)=$AG44,$AC44,""),"")</f>
        <v/>
      </c>
      <c r="JD44" s="1153"/>
      <c r="JE44" s="1153"/>
      <c r="JF44" s="1153"/>
      <c r="JG44" s="1153" t="str">
        <f>IF($AI44,IF(LARGE($AG$41:$AH$107,JG$40)=$AG44,$AC44,""),"")</f>
        <v/>
      </c>
      <c r="JH44" s="1153"/>
      <c r="JI44" s="1153"/>
      <c r="JJ44" s="1153"/>
      <c r="JK44" s="1153" t="str">
        <f>IF($AI44,IF(LARGE($AG$41:$AH$107,JK$40)=$AG44,$AC44,""),"")</f>
        <v/>
      </c>
      <c r="JL44" s="1153"/>
      <c r="JM44" s="1153"/>
      <c r="JN44" s="1153"/>
      <c r="JO44" s="1153" t="str">
        <f>IF($AI44,IF(LARGE($AG$41:$AH$107,JO$40)=$AG44,$AC44,""),"")</f>
        <v/>
      </c>
      <c r="JP44" s="1153"/>
      <c r="JQ44" s="1153"/>
      <c r="JR44" s="1153"/>
      <c r="JS44" s="1153" t="str">
        <f>IF($AI44,IF(LARGE($AG$41:$AH$107,JS$40)=$AG44,$AC44,""),"")</f>
        <v/>
      </c>
      <c r="JT44" s="1153"/>
      <c r="JU44" s="1153"/>
      <c r="JV44" s="1153"/>
      <c r="JW44" s="1153" t="str">
        <f>IF($AI44,IF(LARGE($AG$41:$AH$107,JW$40)=$AG44,$AC44,""),"")</f>
        <v/>
      </c>
      <c r="JX44" s="1153"/>
      <c r="JY44" s="1153"/>
      <c r="JZ44" s="1153"/>
      <c r="KA44" s="1153" t="str">
        <f>IF($AI44,IF(LARGE($AG$41:$AH$107,KA$40)=$AG44,$AC44,""),"")</f>
        <v/>
      </c>
      <c r="KB44" s="1153"/>
      <c r="KC44" s="1153"/>
      <c r="KD44" s="1153"/>
      <c r="KE44" s="1153" t="str">
        <f>IF($AI44,IF(LARGE($AG$41:$AH$107,KE$40)=$AG44,$AC44,""),"")</f>
        <v/>
      </c>
      <c r="KF44" s="1153"/>
      <c r="KG44" s="1153"/>
      <c r="KH44" s="1153"/>
      <c r="KI44" s="1153" t="str">
        <f>IF($AI44,IF(LARGE($AG$41:$AH$107,KI$40)=$AG44,$AC44,""),"")</f>
        <v/>
      </c>
      <c r="KJ44" s="1153"/>
      <c r="KK44" s="1153"/>
      <c r="KL44" s="1153"/>
      <c r="KM44" s="1153" t="str">
        <f>IF($AI44,IF(LARGE($AG$41:$AH$107,KM$40)=$AG44,$AC44,""),"")</f>
        <v/>
      </c>
      <c r="KN44" s="1153"/>
      <c r="KO44" s="1153"/>
      <c r="KP44" s="1153"/>
      <c r="KQ44" s="1153" t="str">
        <f>IF($AI44,IF(LARGE($AG$41:$AH$107,KQ$40)=$AG44,$AC44,""),"")</f>
        <v/>
      </c>
      <c r="KR44" s="1153"/>
      <c r="KS44" s="1153"/>
      <c r="KT44" s="1153"/>
    </row>
    <row r="45" spans="8:8">
      <c r="C45" s="1153" t="str">
        <f>IF(F9="","",CONCATENATE(" ",C9,F9,H9))</f>
        <v> 🔅技艺①</v>
      </c>
      <c r="D45" s="1153"/>
      <c r="E45" s="1153"/>
      <c r="F45" s="1153"/>
      <c r="G45" s="1155" t="str">
        <f>IF(AND(L9=0,N9=0),"",IF(ISNONTEXT(D9),"",R9))</f>
        <v/>
      </c>
      <c r="H45" s="1155"/>
      <c r="I45" s="1153" t="str">
        <f>IF(G45=$G$40,C45,"")</f>
        <v/>
      </c>
      <c r="J45" s="1153"/>
      <c r="K45" s="1153"/>
      <c r="L45" s="1153"/>
      <c r="M45" s="1154">
        <f>IF(AND(NOT(N9=0),ISNONTEXT(D9)),1,0)</f>
        <v>0.0</v>
      </c>
      <c r="N45" s="1122"/>
      <c r="O45" s="1122"/>
      <c r="P45" s="1153" t="str">
        <f>IF(F9="","",CONCATENATE(" ",C9,F9,H9))</f>
        <v> 🔅技艺①</v>
      </c>
      <c r="Q45" s="1153"/>
      <c r="R45" s="1153"/>
      <c r="S45" s="1153"/>
      <c r="T45" s="1155" t="str">
        <f>IF(AND(L9=0,P9=0),"",IF(ISNONTEXT(D9),R9,""))</f>
        <v/>
      </c>
      <c r="U45" s="1155"/>
      <c r="V45" s="1153" t="str">
        <f>IF(T45=$T$40,P45,"")</f>
        <v/>
      </c>
      <c r="W45" s="1153"/>
      <c r="X45" s="1153"/>
      <c r="Y45" s="1153"/>
      <c r="AB45" s="1122"/>
      <c r="AC45" s="1153" t="str">
        <f>IF(F9="","",CONCATENATE(C9,F9,H9))</f>
        <v>🔅技艺①</v>
      </c>
      <c r="AD45" s="1153"/>
      <c r="AE45" s="1153"/>
      <c r="AF45" s="1153"/>
      <c r="AG45" s="1155">
        <f>R9</f>
        <v>5.0</v>
      </c>
      <c r="AH45" s="1155"/>
      <c r="AI45" s="1153" t="b">
        <f>IF(AND(OR(ISNUMBER(L9),ISNUMBER(N9),ISNUMBER(P9)),OR(L9&gt;0,N9&gt;0,P9&gt;0)),TRUE,FALSE)</f>
        <v>0</v>
      </c>
      <c r="AJ45" s="1153"/>
      <c r="AK45" s="1153"/>
      <c r="AL45" s="1153"/>
      <c r="AM45" s="1153" t="str">
        <f>IF($AI45,IF(LARGE($AG$41:$AH$107,AM$40)=$AG45,$AC45,""),"")</f>
        <v/>
      </c>
      <c r="AN45" s="1153"/>
      <c r="AO45" s="1153"/>
      <c r="AP45" s="1153"/>
      <c r="AQ45" s="1153" t="str">
        <f>IF($AI45,IF(LARGE($AG$41:$AH$107,AQ$40)=$AG45,$AC45,""),"")</f>
        <v/>
      </c>
      <c r="AR45" s="1153"/>
      <c r="AS45" s="1153"/>
      <c r="AT45" s="1153"/>
      <c r="AU45" s="1153" t="str">
        <f>IF($AI45,IF(LARGE($AG$41:$AH$107,AU$40)=$AG45,$AC45,""),"")</f>
        <v/>
      </c>
      <c r="AV45" s="1153"/>
      <c r="AW45" s="1153"/>
      <c r="AX45" s="1153"/>
      <c r="AY45" s="1153" t="str">
        <f>IF($AI45,IF(LARGE($AG$41:$AH$107,AY$40)=$AG45,$AC45,""),"")</f>
        <v/>
      </c>
      <c r="AZ45" s="1153"/>
      <c r="BA45" s="1153"/>
      <c r="BB45" s="1153"/>
      <c r="BC45" s="1153" t="str">
        <f>IF($AI45,IF(LARGE($AG$41:$AH$107,BC$40)=$AG45,$AC45,""),"")</f>
        <v/>
      </c>
      <c r="BD45" s="1153"/>
      <c r="BE45" s="1153"/>
      <c r="BF45" s="1153"/>
      <c r="BG45" s="1153" t="str">
        <f>IF($AI45,IF(LARGE($AG$41:$AH$107,BG$40)=$AG45,$AC45,""),"")</f>
        <v/>
      </c>
      <c r="BH45" s="1153"/>
      <c r="BI45" s="1153"/>
      <c r="BJ45" s="1153"/>
      <c r="BK45" s="1153" t="str">
        <f>IF($AI45,IF(LARGE($AG$41:$AH$107,BK$40)=$AG45,$AC45,""),"")</f>
        <v/>
      </c>
      <c r="BL45" s="1153"/>
      <c r="BM45" s="1153"/>
      <c r="BN45" s="1153"/>
      <c r="BO45" s="1153" t="str">
        <f>IF($AI45,IF(LARGE($AG$41:$AH$107,BO$40)=$AG45,$AC45,""),"")</f>
        <v/>
      </c>
      <c r="BP45" s="1153"/>
      <c r="BQ45" s="1153"/>
      <c r="BR45" s="1153"/>
      <c r="BS45" s="1153" t="str">
        <f>IF($AI45,IF(LARGE($AG$41:$AH$107,BS$40)=$AG45,$AC45,""),"")</f>
        <v/>
      </c>
      <c r="BT45" s="1153"/>
      <c r="BU45" s="1153"/>
      <c r="BV45" s="1153"/>
      <c r="BW45" s="1153" t="str">
        <f>IF($AI45,IF(LARGE($AG$41:$AH$107,BW$40)=$AG45,$AC45,""),"")</f>
        <v/>
      </c>
      <c r="BX45" s="1153"/>
      <c r="BY45" s="1153"/>
      <c r="BZ45" s="1153"/>
      <c r="CA45" s="1153" t="str">
        <f>IF($AI45,IF(LARGE($AG$41:$AH$107,CA$40)=$AG45,$AC45,""),"")</f>
        <v/>
      </c>
      <c r="CB45" s="1153"/>
      <c r="CC45" s="1153"/>
      <c r="CD45" s="1153"/>
      <c r="CE45" s="1153" t="str">
        <f>IF($AI45,IF(LARGE($AG$41:$AH$107,CE$40)=$AG45,$AC45,""),"")</f>
        <v/>
      </c>
      <c r="CF45" s="1153"/>
      <c r="CG45" s="1153"/>
      <c r="CH45" s="1153"/>
      <c r="CI45" s="1153" t="str">
        <f>IF($AI45,IF(LARGE($AG$41:$AH$107,CI$40)=$AG45,$AC45,""),"")</f>
        <v/>
      </c>
      <c r="CJ45" s="1153"/>
      <c r="CK45" s="1153"/>
      <c r="CL45" s="1153"/>
      <c r="CM45" s="1153" t="str">
        <f>IF($AI45,IF(LARGE($AG$41:$AH$107,CM$40)=$AG45,$AC45,""),"")</f>
        <v/>
      </c>
      <c r="CN45" s="1153"/>
      <c r="CO45" s="1153"/>
      <c r="CP45" s="1153"/>
      <c r="CQ45" s="1153" t="str">
        <f>IF($AI45,IF(LARGE($AG$41:$AH$107,CQ$40)=$AG45,$AC45,""),"")</f>
        <v/>
      </c>
      <c r="CR45" s="1153"/>
      <c r="CS45" s="1153"/>
      <c r="CT45" s="1153"/>
      <c r="CU45" s="1153" t="str">
        <f>IF($AI45,IF(LARGE($AG$41:$AH$107,CU$40)=$AG45,$AC45,""),"")</f>
        <v/>
      </c>
      <c r="CV45" s="1153"/>
      <c r="CW45" s="1153"/>
      <c r="CX45" s="1153"/>
      <c r="CY45" s="1153" t="str">
        <f>IF($AI45,IF(LARGE($AG$41:$AH$107,CY$40)=$AG45,$AC45,""),"")</f>
        <v/>
      </c>
      <c r="CZ45" s="1153"/>
      <c r="DA45" s="1153"/>
      <c r="DB45" s="1153"/>
      <c r="DC45" s="1153" t="str">
        <f>IF($AI45,IF(LARGE($AG$41:$AH$107,DC$40)=$AG45,$AC45,""),"")</f>
        <v/>
      </c>
      <c r="DD45" s="1153"/>
      <c r="DE45" s="1153"/>
      <c r="DF45" s="1153"/>
      <c r="DG45" s="1153" t="str">
        <f>IF($AI45,IF(LARGE($AG$41:$AH$107,DG$40)=$AG45,$AC45,""),"")</f>
        <v/>
      </c>
      <c r="DH45" s="1153"/>
      <c r="DI45" s="1153"/>
      <c r="DJ45" s="1153"/>
      <c r="DK45" s="1153" t="str">
        <f>IF($AI45,IF(LARGE($AG$41:$AH$107,DK$40)=$AG45,$AC45,""),"")</f>
        <v/>
      </c>
      <c r="DL45" s="1153"/>
      <c r="DM45" s="1153"/>
      <c r="DN45" s="1153"/>
      <c r="DO45" s="1153" t="str">
        <f>IF($AI45,IF(LARGE($AG$41:$AH$107,DO$40)=$AG45,$AC45,""),"")</f>
        <v/>
      </c>
      <c r="DP45" s="1153"/>
      <c r="DQ45" s="1153"/>
      <c r="DR45" s="1153"/>
      <c r="DS45" s="1153" t="str">
        <f>IF($AI45,IF(LARGE($AG$41:$AH$107,DS$40)=$AG45,$AC45,""),"")</f>
        <v/>
      </c>
      <c r="DT45" s="1153"/>
      <c r="DU45" s="1153"/>
      <c r="DV45" s="1153"/>
      <c r="DW45" s="1153" t="str">
        <f>IF($AI45,IF(LARGE($AG$41:$AH$107,DW$40)=$AG45,$AC45,""),"")</f>
        <v/>
      </c>
      <c r="DX45" s="1153"/>
      <c r="DY45" s="1153"/>
      <c r="DZ45" s="1153"/>
      <c r="EA45" s="1153" t="str">
        <f>IF($AI45,IF(LARGE($AG$41:$AH$107,EA$40)=$AG45,$AC45,""),"")</f>
        <v/>
      </c>
      <c r="EB45" s="1153"/>
      <c r="EC45" s="1153"/>
      <c r="ED45" s="1153"/>
      <c r="EE45" s="1153" t="str">
        <f>IF($AI45,IF(LARGE($AG$41:$AH$107,EE$40)=$AG45,$AC45,""),"")</f>
        <v/>
      </c>
      <c r="EF45" s="1153"/>
      <c r="EG45" s="1153"/>
      <c r="EH45" s="1153"/>
      <c r="EI45" s="1153" t="str">
        <f>IF($AI45,IF(LARGE($AG$41:$AH$107,EI$40)=$AG45,$AC45,""),"")</f>
        <v/>
      </c>
      <c r="EJ45" s="1153"/>
      <c r="EK45" s="1153"/>
      <c r="EL45" s="1153"/>
      <c r="EM45" s="1153" t="str">
        <f>IF($AI45,IF(LARGE($AG$41:$AH$107,EM$40)=$AG45,$AC45,""),"")</f>
        <v/>
      </c>
      <c r="EN45" s="1153"/>
      <c r="EO45" s="1153"/>
      <c r="EP45" s="1153"/>
      <c r="EQ45" s="1153" t="str">
        <f>IF($AI45,IF(LARGE($AG$41:$AH$107,EQ$40)=$AG45,$AC45,""),"")</f>
        <v/>
      </c>
      <c r="ER45" s="1153"/>
      <c r="ES45" s="1153"/>
      <c r="ET45" s="1153"/>
      <c r="EU45" s="1153" t="str">
        <f>IF($AI45,IF(LARGE($AG$41:$AH$107,EU$40)=$AG45,$AC45,""),"")</f>
        <v/>
      </c>
      <c r="EV45" s="1153"/>
      <c r="EW45" s="1153"/>
      <c r="EX45" s="1153"/>
      <c r="EY45" s="1153" t="str">
        <f>IF($AI45,IF(LARGE($AG$41:$AH$107,EY$40)=$AG45,$AC45,""),"")</f>
        <v/>
      </c>
      <c r="EZ45" s="1153"/>
      <c r="FA45" s="1153"/>
      <c r="FB45" s="1153"/>
      <c r="FC45" s="1153" t="str">
        <f>IF($AI45,IF(LARGE($AG$41:$AH$107,FC$40)=$AG45,$AC45,""),"")</f>
        <v/>
      </c>
      <c r="FD45" s="1153"/>
      <c r="FE45" s="1153"/>
      <c r="FF45" s="1153"/>
      <c r="FG45" s="1153" t="str">
        <f>IF($AI45,IF(LARGE($AG$41:$AH$107,FG$40)=$AG45,$AC45,""),"")</f>
        <v/>
      </c>
      <c r="FH45" s="1153"/>
      <c r="FI45" s="1153"/>
      <c r="FJ45" s="1153"/>
      <c r="FK45" s="1153" t="str">
        <f>IF($AI45,IF(LARGE($AG$41:$AH$107,FK$40)=$AG45,$AC45,""),"")</f>
        <v/>
      </c>
      <c r="FL45" s="1153"/>
      <c r="FM45" s="1153"/>
      <c r="FN45" s="1153"/>
      <c r="FO45" s="1153" t="str">
        <f>IF($AI45,IF(LARGE($AG$41:$AH$107,FO$40)=$AG45,$AC45,""),"")</f>
        <v/>
      </c>
      <c r="FP45" s="1153"/>
      <c r="FQ45" s="1153"/>
      <c r="FR45" s="1153"/>
      <c r="FS45" s="1153" t="str">
        <f>IF($AI45,IF(LARGE($AG$41:$AH$107,FS$40)=$AG45,$AC45,""),"")</f>
        <v/>
      </c>
      <c r="FT45" s="1153"/>
      <c r="FU45" s="1153"/>
      <c r="FV45" s="1153"/>
      <c r="FW45" s="1153" t="str">
        <f>IF($AI45,IF(LARGE($AG$41:$AH$107,FW$40)=$AG45,$AC45,""),"")</f>
        <v/>
      </c>
      <c r="FX45" s="1153"/>
      <c r="FY45" s="1153"/>
      <c r="FZ45" s="1153"/>
      <c r="GA45" s="1153" t="str">
        <f>IF($AI45,IF(LARGE($AG$41:$AH$107,GA$40)=$AG45,$AC45,""),"")</f>
        <v/>
      </c>
      <c r="GB45" s="1153"/>
      <c r="GC45" s="1153"/>
      <c r="GD45" s="1153"/>
      <c r="GE45" s="1153" t="str">
        <f>IF($AI45,IF(LARGE($AG$41:$AH$107,GE$40)=$AG45,$AC45,""),"")</f>
        <v/>
      </c>
      <c r="GF45" s="1153"/>
      <c r="GG45" s="1153"/>
      <c r="GH45" s="1153"/>
      <c r="GI45" s="1153" t="str">
        <f>IF($AI45,IF(LARGE($AG$41:$AH$107,GI$40)=$AG45,$AC45,""),"")</f>
        <v/>
      </c>
      <c r="GJ45" s="1153"/>
      <c r="GK45" s="1153"/>
      <c r="GL45" s="1153"/>
      <c r="GM45" s="1153" t="str">
        <f>IF($AI45,IF(LARGE($AG$41:$AH$107,GM$40)=$AG45,$AC45,""),"")</f>
        <v/>
      </c>
      <c r="GN45" s="1153"/>
      <c r="GO45" s="1153"/>
      <c r="GP45" s="1153"/>
      <c r="GQ45" s="1153" t="str">
        <f>IF($AI45,IF(LARGE($AG$41:$AH$107,GQ$40)=$AG45,$AC45,""),"")</f>
        <v/>
      </c>
      <c r="GR45" s="1153"/>
      <c r="GS45" s="1153"/>
      <c r="GT45" s="1153"/>
      <c r="GU45" s="1153" t="str">
        <f>IF($AI45,IF(LARGE($AG$41:$AH$107,GU$40)=$AG45,$AC45,""),"")</f>
        <v/>
      </c>
      <c r="GV45" s="1153"/>
      <c r="GW45" s="1153"/>
      <c r="GX45" s="1153"/>
      <c r="GY45" s="1153" t="str">
        <f>IF($AI45,IF(LARGE($AG$41:$AH$107,GY$40)=$AG45,$AC45,""),"")</f>
        <v/>
      </c>
      <c r="GZ45" s="1153"/>
      <c r="HA45" s="1153"/>
      <c r="HB45" s="1153"/>
      <c r="HC45" s="1153" t="str">
        <f>IF($AI45,IF(LARGE($AG$41:$AH$107,HC$40)=$AG45,$AC45,""),"")</f>
        <v/>
      </c>
      <c r="HD45" s="1153"/>
      <c r="HE45" s="1153"/>
      <c r="HF45" s="1153"/>
      <c r="HG45" s="1153" t="str">
        <f>IF($AI45,IF(LARGE($AG$41:$AH$107,HG$40)=$AG45,$AC45,""),"")</f>
        <v/>
      </c>
      <c r="HH45" s="1153"/>
      <c r="HI45" s="1153"/>
      <c r="HJ45" s="1153"/>
      <c r="HK45" s="1153" t="str">
        <f>IF($AI45,IF(LARGE($AG$41:$AH$107,HK$40)=$AG45,$AC45,""),"")</f>
        <v/>
      </c>
      <c r="HL45" s="1153"/>
      <c r="HM45" s="1153"/>
      <c r="HN45" s="1153"/>
      <c r="HO45" s="1153" t="str">
        <f>IF($AI45,IF(LARGE($AG$41:$AH$107,HO$40)=$AG45,$AC45,""),"")</f>
        <v/>
      </c>
      <c r="HP45" s="1153"/>
      <c r="HQ45" s="1153"/>
      <c r="HR45" s="1153"/>
      <c r="HS45" s="1153" t="str">
        <f>IF($AI45,IF(LARGE($AG$41:$AH$107,HS$40)=$AG45,$AC45,""),"")</f>
        <v/>
      </c>
      <c r="HT45" s="1153"/>
      <c r="HU45" s="1153"/>
      <c r="HV45" s="1153"/>
      <c r="HW45" s="1153" t="str">
        <f>IF($AI45,IF(LARGE($AG$41:$AH$107,HW$40)=$AG45,$AC45,""),"")</f>
        <v/>
      </c>
      <c r="HX45" s="1153"/>
      <c r="HY45" s="1153"/>
      <c r="HZ45" s="1153"/>
      <c r="IA45" s="1153" t="str">
        <f>IF($AI45,IF(LARGE($AG$41:$AH$107,IA$40)=$AG45,$AC45,""),"")</f>
        <v/>
      </c>
      <c r="IB45" s="1153"/>
      <c r="IC45" s="1153"/>
      <c r="ID45" s="1153"/>
      <c r="IE45" s="1153" t="str">
        <f>IF($AI45,IF(LARGE($AG$41:$AH$107,IE$40)=$AG45,$AC45,""),"")</f>
        <v/>
      </c>
      <c r="IF45" s="1153"/>
      <c r="IG45" s="1153"/>
      <c r="IH45" s="1153"/>
      <c r="II45" s="1153" t="str">
        <f>IF($AI45,IF(LARGE($AG$41:$AH$107,II$40)=$AG45,$AC45,""),"")</f>
        <v/>
      </c>
      <c r="IJ45" s="1153"/>
      <c r="IK45" s="1153"/>
      <c r="IL45" s="1153"/>
      <c r="IM45" s="1153" t="str">
        <f>IF($AI45,IF(LARGE($AG$41:$AH$107,IM$40)=$AG45,$AC45,""),"")</f>
        <v/>
      </c>
      <c r="IN45" s="1153"/>
      <c r="IO45" s="1153"/>
      <c r="IP45" s="1153"/>
      <c r="IQ45" s="1153" t="str">
        <f>IF($AI45,IF(LARGE($AG$41:$AH$107,IQ$40)=$AG45,$AC45,""),"")</f>
        <v/>
      </c>
      <c r="IR45" s="1153"/>
      <c r="IS45" s="1153"/>
      <c r="IT45" s="1153"/>
      <c r="IU45" s="1153" t="str">
        <f>IF($AI45,IF(LARGE($AG$41:$AH$107,IU$40)=$AG45,$AC45,""),"")</f>
        <v/>
      </c>
      <c r="IV45" s="1153"/>
      <c r="IW45" s="1153"/>
      <c r="IX45" s="1153"/>
      <c r="IY45" s="1153" t="str">
        <f>IF($AI45,IF(LARGE($AG$41:$AH$107,IY$40)=$AG45,$AC45,""),"")</f>
        <v/>
      </c>
      <c r="IZ45" s="1153"/>
      <c r="JA45" s="1153"/>
      <c r="JB45" s="1153"/>
      <c r="JC45" s="1153" t="str">
        <f>IF($AI45,IF(LARGE($AG$41:$AH$107,JC$40)=$AG45,$AC45,""),"")</f>
        <v/>
      </c>
      <c r="JD45" s="1153"/>
      <c r="JE45" s="1153"/>
      <c r="JF45" s="1153"/>
      <c r="JG45" s="1153" t="str">
        <f>IF($AI45,IF(LARGE($AG$41:$AH$107,JG$40)=$AG45,$AC45,""),"")</f>
        <v/>
      </c>
      <c r="JH45" s="1153"/>
      <c r="JI45" s="1153"/>
      <c r="JJ45" s="1153"/>
      <c r="JK45" s="1153" t="str">
        <f>IF($AI45,IF(LARGE($AG$41:$AH$107,JK$40)=$AG45,$AC45,""),"")</f>
        <v/>
      </c>
      <c r="JL45" s="1153"/>
      <c r="JM45" s="1153"/>
      <c r="JN45" s="1153"/>
      <c r="JO45" s="1153" t="str">
        <f>IF($AI45,IF(LARGE($AG$41:$AH$107,JO$40)=$AG45,$AC45,""),"")</f>
        <v/>
      </c>
      <c r="JP45" s="1153"/>
      <c r="JQ45" s="1153"/>
      <c r="JR45" s="1153"/>
      <c r="JS45" s="1153" t="str">
        <f>IF($AI45,IF(LARGE($AG$41:$AH$107,JS$40)=$AG45,$AC45,""),"")</f>
        <v/>
      </c>
      <c r="JT45" s="1153"/>
      <c r="JU45" s="1153"/>
      <c r="JV45" s="1153"/>
      <c r="JW45" s="1153" t="str">
        <f>IF($AI45,IF(LARGE($AG$41:$AH$107,JW$40)=$AG45,$AC45,""),"")</f>
        <v/>
      </c>
      <c r="JX45" s="1153"/>
      <c r="JY45" s="1153"/>
      <c r="JZ45" s="1153"/>
      <c r="KA45" s="1153" t="str">
        <f>IF($AI45,IF(LARGE($AG$41:$AH$107,KA$40)=$AG45,$AC45,""),"")</f>
        <v/>
      </c>
      <c r="KB45" s="1153"/>
      <c r="KC45" s="1153"/>
      <c r="KD45" s="1153"/>
      <c r="KE45" s="1153" t="str">
        <f>IF($AI45,IF(LARGE($AG$41:$AH$107,KE$40)=$AG45,$AC45,""),"")</f>
        <v/>
      </c>
      <c r="KF45" s="1153"/>
      <c r="KG45" s="1153"/>
      <c r="KH45" s="1153"/>
      <c r="KI45" s="1153" t="str">
        <f>IF($AI45,IF(LARGE($AG$41:$AH$107,KI$40)=$AG45,$AC45,""),"")</f>
        <v/>
      </c>
      <c r="KJ45" s="1153"/>
      <c r="KK45" s="1153"/>
      <c r="KL45" s="1153"/>
      <c r="KM45" s="1153" t="str">
        <f>IF($AI45,IF(LARGE($AG$41:$AH$107,KM$40)=$AG45,$AC45,""),"")</f>
        <v/>
      </c>
      <c r="KN45" s="1153"/>
      <c r="KO45" s="1153"/>
      <c r="KP45" s="1153"/>
      <c r="KQ45" s="1153" t="str">
        <f>IF($AI45,IF(LARGE($AG$41:$AH$107,KQ$40)=$AG45,$AC45,""),"")</f>
        <v/>
      </c>
      <c r="KR45" s="1153"/>
      <c r="KS45" s="1153"/>
      <c r="KT45" s="1153"/>
    </row>
    <row r="46" spans="8:8">
      <c r="C46" s="1153" t="str">
        <f>IF(F10="","",CONCATENATE(" ",C10,F10,H10))</f>
        <v> 🔅技艺②</v>
      </c>
      <c r="D46" s="1153"/>
      <c r="E46" s="1153"/>
      <c r="F46" s="1153"/>
      <c r="G46" s="1155" t="str">
        <f>IF(AND(L10=0,N10=0),"",IF(ISNONTEXT(D10),"",R10))</f>
        <v/>
      </c>
      <c r="H46" s="1155"/>
      <c r="I46" s="1153" t="str">
        <f>IF(G46=$G$40,C46,"")</f>
        <v/>
      </c>
      <c r="J46" s="1153"/>
      <c r="K46" s="1153"/>
      <c r="L46" s="1153"/>
      <c r="M46" s="1154">
        <f>IF(AND(NOT(N10=0),ISNONTEXT(D10)),1,0)</f>
        <v>0.0</v>
      </c>
      <c r="N46" s="1122"/>
      <c r="O46" s="1122"/>
      <c r="P46" s="1153" t="str">
        <f>IF(F10="","",CONCATENATE(" ",C10,F10,H10))</f>
        <v> 🔅技艺②</v>
      </c>
      <c r="Q46" s="1153"/>
      <c r="R46" s="1153"/>
      <c r="S46" s="1153"/>
      <c r="T46" s="1155" t="str">
        <f>IF(AND(L10=0,P10=0),"",IF(ISNONTEXT(D10),R10,""))</f>
        <v/>
      </c>
      <c r="U46" s="1155"/>
      <c r="V46" s="1153" t="str">
        <f>IF(T46=$T$40,P46,"")</f>
        <v/>
      </c>
      <c r="W46" s="1153"/>
      <c r="X46" s="1153"/>
      <c r="Y46" s="1153"/>
      <c r="AB46" s="1122"/>
      <c r="AC46" s="1153" t="str">
        <f>IF(F10="","",CONCATENATE(C10,F10,H10))</f>
        <v>🔅技艺②</v>
      </c>
      <c r="AD46" s="1153"/>
      <c r="AE46" s="1153"/>
      <c r="AF46" s="1153"/>
      <c r="AG46" s="1155">
        <f>R10</f>
        <v>5.0</v>
      </c>
      <c r="AH46" s="1155"/>
      <c r="AI46" s="1153" t="b">
        <f>IF(AND(OR(ISNUMBER(L10),ISNUMBER(N10),ISNUMBER(P10)),OR(L10&gt;0,N10&gt;0,P10&gt;0)),TRUE,FALSE)</f>
        <v>0</v>
      </c>
      <c r="AJ46" s="1153"/>
      <c r="AK46" s="1153"/>
      <c r="AL46" s="1153"/>
      <c r="AM46" s="1153" t="str">
        <f>IF($AI46,IF(LARGE($AG$41:$AH$107,AM$40)=$AG46,$AC46,""),"")</f>
        <v/>
      </c>
      <c r="AN46" s="1153"/>
      <c r="AO46" s="1153"/>
      <c r="AP46" s="1153"/>
      <c r="AQ46" s="1153" t="str">
        <f>IF($AI46,IF(LARGE($AG$41:$AH$107,AQ$40)=$AG46,$AC46,""),"")</f>
        <v/>
      </c>
      <c r="AR46" s="1153"/>
      <c r="AS46" s="1153"/>
      <c r="AT46" s="1153"/>
      <c r="AU46" s="1153" t="str">
        <f>IF($AI46,IF(LARGE($AG$41:$AH$107,AU$40)=$AG46,$AC46,""),"")</f>
        <v/>
      </c>
      <c r="AV46" s="1153"/>
      <c r="AW46" s="1153"/>
      <c r="AX46" s="1153"/>
      <c r="AY46" s="1153" t="str">
        <f>IF($AI46,IF(LARGE($AG$41:$AH$107,AY$40)=$AG46,$AC46,""),"")</f>
        <v/>
      </c>
      <c r="AZ46" s="1153"/>
      <c r="BA46" s="1153"/>
      <c r="BB46" s="1153"/>
      <c r="BC46" s="1153" t="str">
        <f>IF($AI46,IF(LARGE($AG$41:$AH$107,BC$40)=$AG46,$AC46,""),"")</f>
        <v/>
      </c>
      <c r="BD46" s="1153"/>
      <c r="BE46" s="1153"/>
      <c r="BF46" s="1153"/>
      <c r="BG46" s="1153" t="str">
        <f>IF($AI46,IF(LARGE($AG$41:$AH$107,BG$40)=$AG46,$AC46,""),"")</f>
        <v/>
      </c>
      <c r="BH46" s="1153"/>
      <c r="BI46" s="1153"/>
      <c r="BJ46" s="1153"/>
      <c r="BK46" s="1153" t="str">
        <f>IF($AI46,IF(LARGE($AG$41:$AH$107,BK$40)=$AG46,$AC46,""),"")</f>
        <v/>
      </c>
      <c r="BL46" s="1153"/>
      <c r="BM46" s="1153"/>
      <c r="BN46" s="1153"/>
      <c r="BO46" s="1153" t="str">
        <f>IF($AI46,IF(LARGE($AG$41:$AH$107,BO$40)=$AG46,$AC46,""),"")</f>
        <v/>
      </c>
      <c r="BP46" s="1153"/>
      <c r="BQ46" s="1153"/>
      <c r="BR46" s="1153"/>
      <c r="BS46" s="1153" t="str">
        <f>IF($AI46,IF(LARGE($AG$41:$AH$107,BS$40)=$AG46,$AC46,""),"")</f>
        <v/>
      </c>
      <c r="BT46" s="1153"/>
      <c r="BU46" s="1153"/>
      <c r="BV46" s="1153"/>
      <c r="BW46" s="1153" t="str">
        <f>IF($AI46,IF(LARGE($AG$41:$AH$107,BW$40)=$AG46,$AC46,""),"")</f>
        <v/>
      </c>
      <c r="BX46" s="1153"/>
      <c r="BY46" s="1153"/>
      <c r="BZ46" s="1153"/>
      <c r="CA46" s="1153" t="str">
        <f>IF($AI46,IF(LARGE($AG$41:$AH$107,CA$40)=$AG46,$AC46,""),"")</f>
        <v/>
      </c>
      <c r="CB46" s="1153"/>
      <c r="CC46" s="1153"/>
      <c r="CD46" s="1153"/>
      <c r="CE46" s="1153" t="str">
        <f>IF($AI46,IF(LARGE($AG$41:$AH$107,CE$40)=$AG46,$AC46,""),"")</f>
        <v/>
      </c>
      <c r="CF46" s="1153"/>
      <c r="CG46" s="1153"/>
      <c r="CH46" s="1153"/>
      <c r="CI46" s="1153" t="str">
        <f>IF($AI46,IF(LARGE($AG$41:$AH$107,CI$40)=$AG46,$AC46,""),"")</f>
        <v/>
      </c>
      <c r="CJ46" s="1153"/>
      <c r="CK46" s="1153"/>
      <c r="CL46" s="1153"/>
      <c r="CM46" s="1153" t="str">
        <f>IF($AI46,IF(LARGE($AG$41:$AH$107,CM$40)=$AG46,$AC46,""),"")</f>
        <v/>
      </c>
      <c r="CN46" s="1153"/>
      <c r="CO46" s="1153"/>
      <c r="CP46" s="1153"/>
      <c r="CQ46" s="1153" t="str">
        <f>IF($AI46,IF(LARGE($AG$41:$AH$107,CQ$40)=$AG46,$AC46,""),"")</f>
        <v/>
      </c>
      <c r="CR46" s="1153"/>
      <c r="CS46" s="1153"/>
      <c r="CT46" s="1153"/>
      <c r="CU46" s="1153" t="str">
        <f>IF($AI46,IF(LARGE($AG$41:$AH$107,CU$40)=$AG46,$AC46,""),"")</f>
        <v/>
      </c>
      <c r="CV46" s="1153"/>
      <c r="CW46" s="1153"/>
      <c r="CX46" s="1153"/>
      <c r="CY46" s="1153" t="str">
        <f>IF($AI46,IF(LARGE($AG$41:$AH$107,CY$40)=$AG46,$AC46,""),"")</f>
        <v/>
      </c>
      <c r="CZ46" s="1153"/>
      <c r="DA46" s="1153"/>
      <c r="DB46" s="1153"/>
      <c r="DC46" s="1153" t="str">
        <f>IF($AI46,IF(LARGE($AG$41:$AH$107,DC$40)=$AG46,$AC46,""),"")</f>
        <v/>
      </c>
      <c r="DD46" s="1153"/>
      <c r="DE46" s="1153"/>
      <c r="DF46" s="1153"/>
      <c r="DG46" s="1153" t="str">
        <f>IF($AI46,IF(LARGE($AG$41:$AH$107,DG$40)=$AG46,$AC46,""),"")</f>
        <v/>
      </c>
      <c r="DH46" s="1153"/>
      <c r="DI46" s="1153"/>
      <c r="DJ46" s="1153"/>
      <c r="DK46" s="1153" t="str">
        <f>IF($AI46,IF(LARGE($AG$41:$AH$107,DK$40)=$AG46,$AC46,""),"")</f>
        <v/>
      </c>
      <c r="DL46" s="1153"/>
      <c r="DM46" s="1153"/>
      <c r="DN46" s="1153"/>
      <c r="DO46" s="1153" t="str">
        <f>IF($AI46,IF(LARGE($AG$41:$AH$107,DO$40)=$AG46,$AC46,""),"")</f>
        <v/>
      </c>
      <c r="DP46" s="1153"/>
      <c r="DQ46" s="1153"/>
      <c r="DR46" s="1153"/>
      <c r="DS46" s="1153" t="str">
        <f>IF($AI46,IF(LARGE($AG$41:$AH$107,DS$40)=$AG46,$AC46,""),"")</f>
        <v/>
      </c>
      <c r="DT46" s="1153"/>
      <c r="DU46" s="1153"/>
      <c r="DV46" s="1153"/>
      <c r="DW46" s="1153" t="str">
        <f>IF($AI46,IF(LARGE($AG$41:$AH$107,DW$40)=$AG46,$AC46,""),"")</f>
        <v/>
      </c>
      <c r="DX46" s="1153"/>
      <c r="DY46" s="1153"/>
      <c r="DZ46" s="1153"/>
      <c r="EA46" s="1153" t="str">
        <f>IF($AI46,IF(LARGE($AG$41:$AH$107,EA$40)=$AG46,$AC46,""),"")</f>
        <v/>
      </c>
      <c r="EB46" s="1153"/>
      <c r="EC46" s="1153"/>
      <c r="ED46" s="1153"/>
      <c r="EE46" s="1153" t="str">
        <f>IF($AI46,IF(LARGE($AG$41:$AH$107,EE$40)=$AG46,$AC46,""),"")</f>
        <v/>
      </c>
      <c r="EF46" s="1153"/>
      <c r="EG46" s="1153"/>
      <c r="EH46" s="1153"/>
      <c r="EI46" s="1153" t="str">
        <f>IF($AI46,IF(LARGE($AG$41:$AH$107,EI$40)=$AG46,$AC46,""),"")</f>
        <v/>
      </c>
      <c r="EJ46" s="1153"/>
      <c r="EK46" s="1153"/>
      <c r="EL46" s="1153"/>
      <c r="EM46" s="1153" t="str">
        <f>IF($AI46,IF(LARGE($AG$41:$AH$107,EM$40)=$AG46,$AC46,""),"")</f>
        <v/>
      </c>
      <c r="EN46" s="1153"/>
      <c r="EO46" s="1153"/>
      <c r="EP46" s="1153"/>
      <c r="EQ46" s="1153" t="str">
        <f>IF($AI46,IF(LARGE($AG$41:$AH$107,EQ$40)=$AG46,$AC46,""),"")</f>
        <v/>
      </c>
      <c r="ER46" s="1153"/>
      <c r="ES46" s="1153"/>
      <c r="ET46" s="1153"/>
      <c r="EU46" s="1153" t="str">
        <f>IF($AI46,IF(LARGE($AG$41:$AH$107,EU$40)=$AG46,$AC46,""),"")</f>
        <v/>
      </c>
      <c r="EV46" s="1153"/>
      <c r="EW46" s="1153"/>
      <c r="EX46" s="1153"/>
      <c r="EY46" s="1153" t="str">
        <f>IF($AI46,IF(LARGE($AG$41:$AH$107,EY$40)=$AG46,$AC46,""),"")</f>
        <v/>
      </c>
      <c r="EZ46" s="1153"/>
      <c r="FA46" s="1153"/>
      <c r="FB46" s="1153"/>
      <c r="FC46" s="1153" t="str">
        <f>IF($AI46,IF(LARGE($AG$41:$AH$107,FC$40)=$AG46,$AC46,""),"")</f>
        <v/>
      </c>
      <c r="FD46" s="1153"/>
      <c r="FE46" s="1153"/>
      <c r="FF46" s="1153"/>
      <c r="FG46" s="1153" t="str">
        <f>IF($AI46,IF(LARGE($AG$41:$AH$107,FG$40)=$AG46,$AC46,""),"")</f>
        <v/>
      </c>
      <c r="FH46" s="1153"/>
      <c r="FI46" s="1153"/>
      <c r="FJ46" s="1153"/>
      <c r="FK46" s="1153" t="str">
        <f>IF($AI46,IF(LARGE($AG$41:$AH$107,FK$40)=$AG46,$AC46,""),"")</f>
        <v/>
      </c>
      <c r="FL46" s="1153"/>
      <c r="FM46" s="1153"/>
      <c r="FN46" s="1153"/>
      <c r="FO46" s="1153" t="str">
        <f>IF($AI46,IF(LARGE($AG$41:$AH$107,FO$40)=$AG46,$AC46,""),"")</f>
        <v/>
      </c>
      <c r="FP46" s="1153"/>
      <c r="FQ46" s="1153"/>
      <c r="FR46" s="1153"/>
      <c r="FS46" s="1153" t="str">
        <f>IF($AI46,IF(LARGE($AG$41:$AH$107,FS$40)=$AG46,$AC46,""),"")</f>
        <v/>
      </c>
      <c r="FT46" s="1153"/>
      <c r="FU46" s="1153"/>
      <c r="FV46" s="1153"/>
      <c r="FW46" s="1153" t="str">
        <f>IF($AI46,IF(LARGE($AG$41:$AH$107,FW$40)=$AG46,$AC46,""),"")</f>
        <v/>
      </c>
      <c r="FX46" s="1153"/>
      <c r="FY46" s="1153"/>
      <c r="FZ46" s="1153"/>
      <c r="GA46" s="1153" t="str">
        <f>IF($AI46,IF(LARGE($AG$41:$AH$107,GA$40)=$AG46,$AC46,""),"")</f>
        <v/>
      </c>
      <c r="GB46" s="1153"/>
      <c r="GC46" s="1153"/>
      <c r="GD46" s="1153"/>
      <c r="GE46" s="1153" t="str">
        <f>IF($AI46,IF(LARGE($AG$41:$AH$107,GE$40)=$AG46,$AC46,""),"")</f>
        <v/>
      </c>
      <c r="GF46" s="1153"/>
      <c r="GG46" s="1153"/>
      <c r="GH46" s="1153"/>
      <c r="GI46" s="1153" t="str">
        <f>IF($AI46,IF(LARGE($AG$41:$AH$107,GI$40)=$AG46,$AC46,""),"")</f>
        <v/>
      </c>
      <c r="GJ46" s="1153"/>
      <c r="GK46" s="1153"/>
      <c r="GL46" s="1153"/>
      <c r="GM46" s="1153" t="str">
        <f>IF($AI46,IF(LARGE($AG$41:$AH$107,GM$40)=$AG46,$AC46,""),"")</f>
        <v/>
      </c>
      <c r="GN46" s="1153"/>
      <c r="GO46" s="1153"/>
      <c r="GP46" s="1153"/>
      <c r="GQ46" s="1153" t="str">
        <f>IF($AI46,IF(LARGE($AG$41:$AH$107,GQ$40)=$AG46,$AC46,""),"")</f>
        <v/>
      </c>
      <c r="GR46" s="1153"/>
      <c r="GS46" s="1153"/>
      <c r="GT46" s="1153"/>
      <c r="GU46" s="1153" t="str">
        <f>IF($AI46,IF(LARGE($AG$41:$AH$107,GU$40)=$AG46,$AC46,""),"")</f>
        <v/>
      </c>
      <c r="GV46" s="1153"/>
      <c r="GW46" s="1153"/>
      <c r="GX46" s="1153"/>
      <c r="GY46" s="1153" t="str">
        <f>IF($AI46,IF(LARGE($AG$41:$AH$107,GY$40)=$AG46,$AC46,""),"")</f>
        <v/>
      </c>
      <c r="GZ46" s="1153"/>
      <c r="HA46" s="1153"/>
      <c r="HB46" s="1153"/>
      <c r="HC46" s="1153" t="str">
        <f>IF($AI46,IF(LARGE($AG$41:$AH$107,HC$40)=$AG46,$AC46,""),"")</f>
        <v/>
      </c>
      <c r="HD46" s="1153"/>
      <c r="HE46" s="1153"/>
      <c r="HF46" s="1153"/>
      <c r="HG46" s="1153" t="str">
        <f>IF($AI46,IF(LARGE($AG$41:$AH$107,HG$40)=$AG46,$AC46,""),"")</f>
        <v/>
      </c>
      <c r="HH46" s="1153"/>
      <c r="HI46" s="1153"/>
      <c r="HJ46" s="1153"/>
      <c r="HK46" s="1153" t="str">
        <f>IF($AI46,IF(LARGE($AG$41:$AH$107,HK$40)=$AG46,$AC46,""),"")</f>
        <v/>
      </c>
      <c r="HL46" s="1153"/>
      <c r="HM46" s="1153"/>
      <c r="HN46" s="1153"/>
      <c r="HO46" s="1153" t="str">
        <f>IF($AI46,IF(LARGE($AG$41:$AH$107,HO$40)=$AG46,$AC46,""),"")</f>
        <v/>
      </c>
      <c r="HP46" s="1153"/>
      <c r="HQ46" s="1153"/>
      <c r="HR46" s="1153"/>
      <c r="HS46" s="1153" t="str">
        <f>IF($AI46,IF(LARGE($AG$41:$AH$107,HS$40)=$AG46,$AC46,""),"")</f>
        <v/>
      </c>
      <c r="HT46" s="1153"/>
      <c r="HU46" s="1153"/>
      <c r="HV46" s="1153"/>
      <c r="HW46" s="1153" t="str">
        <f>IF($AI46,IF(LARGE($AG$41:$AH$107,HW$40)=$AG46,$AC46,""),"")</f>
        <v/>
      </c>
      <c r="HX46" s="1153"/>
      <c r="HY46" s="1153"/>
      <c r="HZ46" s="1153"/>
      <c r="IA46" s="1153" t="str">
        <f>IF($AI46,IF(LARGE($AG$41:$AH$107,IA$40)=$AG46,$AC46,""),"")</f>
        <v/>
      </c>
      <c r="IB46" s="1153"/>
      <c r="IC46" s="1153"/>
      <c r="ID46" s="1153"/>
      <c r="IE46" s="1153" t="str">
        <f>IF($AI46,IF(LARGE($AG$41:$AH$107,IE$40)=$AG46,$AC46,""),"")</f>
        <v/>
      </c>
      <c r="IF46" s="1153"/>
      <c r="IG46" s="1153"/>
      <c r="IH46" s="1153"/>
      <c r="II46" s="1153" t="str">
        <f>IF($AI46,IF(LARGE($AG$41:$AH$107,II$40)=$AG46,$AC46,""),"")</f>
        <v/>
      </c>
      <c r="IJ46" s="1153"/>
      <c r="IK46" s="1153"/>
      <c r="IL46" s="1153"/>
      <c r="IM46" s="1153" t="str">
        <f>IF($AI46,IF(LARGE($AG$41:$AH$107,IM$40)=$AG46,$AC46,""),"")</f>
        <v/>
      </c>
      <c r="IN46" s="1153"/>
      <c r="IO46" s="1153"/>
      <c r="IP46" s="1153"/>
      <c r="IQ46" s="1153" t="str">
        <f>IF($AI46,IF(LARGE($AG$41:$AH$107,IQ$40)=$AG46,$AC46,""),"")</f>
        <v/>
      </c>
      <c r="IR46" s="1153"/>
      <c r="IS46" s="1153"/>
      <c r="IT46" s="1153"/>
      <c r="IU46" s="1153" t="str">
        <f>IF($AI46,IF(LARGE($AG$41:$AH$107,IU$40)=$AG46,$AC46,""),"")</f>
        <v/>
      </c>
      <c r="IV46" s="1153"/>
      <c r="IW46" s="1153"/>
      <c r="IX46" s="1153"/>
      <c r="IY46" s="1153" t="str">
        <f>IF($AI46,IF(LARGE($AG$41:$AH$107,IY$40)=$AG46,$AC46,""),"")</f>
        <v/>
      </c>
      <c r="IZ46" s="1153"/>
      <c r="JA46" s="1153"/>
      <c r="JB46" s="1153"/>
      <c r="JC46" s="1153" t="str">
        <f>IF($AI46,IF(LARGE($AG$41:$AH$107,JC$40)=$AG46,$AC46,""),"")</f>
        <v/>
      </c>
      <c r="JD46" s="1153"/>
      <c r="JE46" s="1153"/>
      <c r="JF46" s="1153"/>
      <c r="JG46" s="1153" t="str">
        <f>IF($AI46,IF(LARGE($AG$41:$AH$107,JG$40)=$AG46,$AC46,""),"")</f>
        <v/>
      </c>
      <c r="JH46" s="1153"/>
      <c r="JI46" s="1153"/>
      <c r="JJ46" s="1153"/>
      <c r="JK46" s="1153" t="str">
        <f>IF($AI46,IF(LARGE($AG$41:$AH$107,JK$40)=$AG46,$AC46,""),"")</f>
        <v/>
      </c>
      <c r="JL46" s="1153"/>
      <c r="JM46" s="1153"/>
      <c r="JN46" s="1153"/>
      <c r="JO46" s="1153" t="str">
        <f>IF($AI46,IF(LARGE($AG$41:$AH$107,JO$40)=$AG46,$AC46,""),"")</f>
        <v/>
      </c>
      <c r="JP46" s="1153"/>
      <c r="JQ46" s="1153"/>
      <c r="JR46" s="1153"/>
      <c r="JS46" s="1153" t="str">
        <f>IF($AI46,IF(LARGE($AG$41:$AH$107,JS$40)=$AG46,$AC46,""),"")</f>
        <v/>
      </c>
      <c r="JT46" s="1153"/>
      <c r="JU46" s="1153"/>
      <c r="JV46" s="1153"/>
      <c r="JW46" s="1153" t="str">
        <f>IF($AI46,IF(LARGE($AG$41:$AH$107,JW$40)=$AG46,$AC46,""),"")</f>
        <v/>
      </c>
      <c r="JX46" s="1153"/>
      <c r="JY46" s="1153"/>
      <c r="JZ46" s="1153"/>
      <c r="KA46" s="1153" t="str">
        <f>IF($AI46,IF(LARGE($AG$41:$AH$107,KA$40)=$AG46,$AC46,""),"")</f>
        <v/>
      </c>
      <c r="KB46" s="1153"/>
      <c r="KC46" s="1153"/>
      <c r="KD46" s="1153"/>
      <c r="KE46" s="1153" t="str">
        <f>IF($AI46,IF(LARGE($AG$41:$AH$107,KE$40)=$AG46,$AC46,""),"")</f>
        <v/>
      </c>
      <c r="KF46" s="1153"/>
      <c r="KG46" s="1153"/>
      <c r="KH46" s="1153"/>
      <c r="KI46" s="1153" t="str">
        <f>IF($AI46,IF(LARGE($AG$41:$AH$107,KI$40)=$AG46,$AC46,""),"")</f>
        <v/>
      </c>
      <c r="KJ46" s="1153"/>
      <c r="KK46" s="1153"/>
      <c r="KL46" s="1153"/>
      <c r="KM46" s="1153" t="str">
        <f>IF($AI46,IF(LARGE($AG$41:$AH$107,KM$40)=$AG46,$AC46,""),"")</f>
        <v/>
      </c>
      <c r="KN46" s="1153"/>
      <c r="KO46" s="1153"/>
      <c r="KP46" s="1153"/>
      <c r="KQ46" s="1153" t="str">
        <f>IF($AI46,IF(LARGE($AG$41:$AH$107,KQ$40)=$AG46,$AC46,""),"")</f>
        <v/>
      </c>
      <c r="KR46" s="1153"/>
      <c r="KS46" s="1153"/>
      <c r="KT46" s="1153"/>
    </row>
    <row r="47" spans="8:8">
      <c r="C47" s="1153" t="str">
        <f>IF(F11="","",CONCATENATE(" ",C11,F11,H11))</f>
        <v> 🔅技艺③</v>
      </c>
      <c r="D47" s="1153"/>
      <c r="E47" s="1153"/>
      <c r="F47" s="1153"/>
      <c r="G47" s="1155" t="str">
        <f>IF(AND(L11=0,N11=0),"",IF(ISNONTEXT(D11),"",R11))</f>
        <v/>
      </c>
      <c r="H47" s="1155"/>
      <c r="I47" s="1153" t="str">
        <f>IF(G47=$G$40,C47,"")</f>
        <v/>
      </c>
      <c r="J47" s="1153"/>
      <c r="K47" s="1153"/>
      <c r="L47" s="1153"/>
      <c r="M47" s="1154">
        <f>IF(AND(NOT(N11=0),ISNONTEXT(D11)),1,0)</f>
        <v>0.0</v>
      </c>
      <c r="N47" s="1122"/>
      <c r="O47" s="1122"/>
      <c r="P47" s="1153" t="str">
        <f>IF(F11="","",CONCATENATE(" ",C11,F11,H11))</f>
        <v> 🔅技艺③</v>
      </c>
      <c r="Q47" s="1153"/>
      <c r="R47" s="1153"/>
      <c r="S47" s="1153"/>
      <c r="T47" s="1155" t="str">
        <f>IF(AND(L11=0,P11=0),"",IF(ISNONTEXT(D11),R11,""))</f>
        <v/>
      </c>
      <c r="U47" s="1155"/>
      <c r="V47" s="1153" t="str">
        <f>IF(T47=$T$40,P47,"")</f>
        <v/>
      </c>
      <c r="W47" s="1153"/>
      <c r="X47" s="1153"/>
      <c r="Y47" s="1153"/>
      <c r="AB47" s="1122"/>
      <c r="AC47" s="1153" t="str">
        <f>IF(F11="","",CONCATENATE(C11,F11,H11))</f>
        <v>🔅技艺③</v>
      </c>
      <c r="AD47" s="1153"/>
      <c r="AE47" s="1153"/>
      <c r="AF47" s="1153"/>
      <c r="AG47" s="1155">
        <f>R11</f>
        <v>5.0</v>
      </c>
      <c r="AH47" s="1155"/>
      <c r="AI47" s="1153" t="b">
        <f>IF(AND(OR(ISNUMBER(L11),ISNUMBER(N11),ISNUMBER(P11)),OR(L11&gt;0,N11&gt;0,P11&gt;0)),TRUE,FALSE)</f>
        <v>0</v>
      </c>
      <c r="AJ47" s="1153"/>
      <c r="AK47" s="1153"/>
      <c r="AL47" s="1153"/>
      <c r="AM47" s="1153" t="str">
        <f>IF($AI47,IF(LARGE($AG$41:$AH$107,AM$40)=$AG47,$AC47,""),"")</f>
        <v/>
      </c>
      <c r="AN47" s="1153"/>
      <c r="AO47" s="1153"/>
      <c r="AP47" s="1153"/>
      <c r="AQ47" s="1153" t="str">
        <f>IF($AI47,IF(LARGE($AG$41:$AH$107,AQ$40)=$AG47,$AC47,""),"")</f>
        <v/>
      </c>
      <c r="AR47" s="1153"/>
      <c r="AS47" s="1153"/>
      <c r="AT47" s="1153"/>
      <c r="AU47" s="1153" t="str">
        <f>IF($AI47,IF(LARGE($AG$41:$AH$107,AU$40)=$AG47,$AC47,""),"")</f>
        <v/>
      </c>
      <c r="AV47" s="1153"/>
      <c r="AW47" s="1153"/>
      <c r="AX47" s="1153"/>
      <c r="AY47" s="1153" t="str">
        <f>IF($AI47,IF(LARGE($AG$41:$AH$107,AY$40)=$AG47,$AC47,""),"")</f>
        <v/>
      </c>
      <c r="AZ47" s="1153"/>
      <c r="BA47" s="1153"/>
      <c r="BB47" s="1153"/>
      <c r="BC47" s="1153" t="str">
        <f>IF($AI47,IF(LARGE($AG$41:$AH$107,BC$40)=$AG47,$AC47,""),"")</f>
        <v/>
      </c>
      <c r="BD47" s="1153"/>
      <c r="BE47" s="1153"/>
      <c r="BF47" s="1153"/>
      <c r="BG47" s="1153" t="str">
        <f>IF($AI47,IF(LARGE($AG$41:$AH$107,BG$40)=$AG47,$AC47,""),"")</f>
        <v/>
      </c>
      <c r="BH47" s="1153"/>
      <c r="BI47" s="1153"/>
      <c r="BJ47" s="1153"/>
      <c r="BK47" s="1153" t="str">
        <f>IF($AI47,IF(LARGE($AG$41:$AH$107,BK$40)=$AG47,$AC47,""),"")</f>
        <v/>
      </c>
      <c r="BL47" s="1153"/>
      <c r="BM47" s="1153"/>
      <c r="BN47" s="1153"/>
      <c r="BO47" s="1153" t="str">
        <f>IF($AI47,IF(LARGE($AG$41:$AH$107,BO$40)=$AG47,$AC47,""),"")</f>
        <v/>
      </c>
      <c r="BP47" s="1153"/>
      <c r="BQ47" s="1153"/>
      <c r="BR47" s="1153"/>
      <c r="BS47" s="1153" t="str">
        <f>IF($AI47,IF(LARGE($AG$41:$AH$107,BS$40)=$AG47,$AC47,""),"")</f>
        <v/>
      </c>
      <c r="BT47" s="1153"/>
      <c r="BU47" s="1153"/>
      <c r="BV47" s="1153"/>
      <c r="BW47" s="1153" t="str">
        <f>IF($AI47,IF(LARGE($AG$41:$AH$107,BW$40)=$AG47,$AC47,""),"")</f>
        <v/>
      </c>
      <c r="BX47" s="1153"/>
      <c r="BY47" s="1153"/>
      <c r="BZ47" s="1153"/>
      <c r="CA47" s="1153" t="str">
        <f>IF($AI47,IF(LARGE($AG$41:$AH$107,CA$40)=$AG47,$AC47,""),"")</f>
        <v/>
      </c>
      <c r="CB47" s="1153"/>
      <c r="CC47" s="1153"/>
      <c r="CD47" s="1153"/>
      <c r="CE47" s="1153" t="str">
        <f>IF($AI47,IF(LARGE($AG$41:$AH$107,CE$40)=$AG47,$AC47,""),"")</f>
        <v/>
      </c>
      <c r="CF47" s="1153"/>
      <c r="CG47" s="1153"/>
      <c r="CH47" s="1153"/>
      <c r="CI47" s="1153" t="str">
        <f>IF($AI47,IF(LARGE($AG$41:$AH$107,CI$40)=$AG47,$AC47,""),"")</f>
        <v/>
      </c>
      <c r="CJ47" s="1153"/>
      <c r="CK47" s="1153"/>
      <c r="CL47" s="1153"/>
      <c r="CM47" s="1153" t="str">
        <f>IF($AI47,IF(LARGE($AG$41:$AH$107,CM$40)=$AG47,$AC47,""),"")</f>
        <v/>
      </c>
      <c r="CN47" s="1153"/>
      <c r="CO47" s="1153"/>
      <c r="CP47" s="1153"/>
      <c r="CQ47" s="1153" t="str">
        <f>IF($AI47,IF(LARGE($AG$41:$AH$107,CQ$40)=$AG47,$AC47,""),"")</f>
        <v/>
      </c>
      <c r="CR47" s="1153"/>
      <c r="CS47" s="1153"/>
      <c r="CT47" s="1153"/>
      <c r="CU47" s="1153" t="str">
        <f>IF($AI47,IF(LARGE($AG$41:$AH$107,CU$40)=$AG47,$AC47,""),"")</f>
        <v/>
      </c>
      <c r="CV47" s="1153"/>
      <c r="CW47" s="1153"/>
      <c r="CX47" s="1153"/>
      <c r="CY47" s="1153" t="str">
        <f>IF($AI47,IF(LARGE($AG$41:$AH$107,CY$40)=$AG47,$AC47,""),"")</f>
        <v/>
      </c>
      <c r="CZ47" s="1153"/>
      <c r="DA47" s="1153"/>
      <c r="DB47" s="1153"/>
      <c r="DC47" s="1153" t="str">
        <f>IF($AI47,IF(LARGE($AG$41:$AH$107,DC$40)=$AG47,$AC47,""),"")</f>
        <v/>
      </c>
      <c r="DD47" s="1153"/>
      <c r="DE47" s="1153"/>
      <c r="DF47" s="1153"/>
      <c r="DG47" s="1153" t="str">
        <f>IF($AI47,IF(LARGE($AG$41:$AH$107,DG$40)=$AG47,$AC47,""),"")</f>
        <v/>
      </c>
      <c r="DH47" s="1153"/>
      <c r="DI47" s="1153"/>
      <c r="DJ47" s="1153"/>
      <c r="DK47" s="1153" t="str">
        <f>IF($AI47,IF(LARGE($AG$41:$AH$107,DK$40)=$AG47,$AC47,""),"")</f>
        <v/>
      </c>
      <c r="DL47" s="1153"/>
      <c r="DM47" s="1153"/>
      <c r="DN47" s="1153"/>
      <c r="DO47" s="1153" t="str">
        <f>IF($AI47,IF(LARGE($AG$41:$AH$107,DO$40)=$AG47,$AC47,""),"")</f>
        <v/>
      </c>
      <c r="DP47" s="1153"/>
      <c r="DQ47" s="1153"/>
      <c r="DR47" s="1153"/>
      <c r="DS47" s="1153" t="str">
        <f>IF($AI47,IF(LARGE($AG$41:$AH$107,DS$40)=$AG47,$AC47,""),"")</f>
        <v/>
      </c>
      <c r="DT47" s="1153"/>
      <c r="DU47" s="1153"/>
      <c r="DV47" s="1153"/>
      <c r="DW47" s="1153" t="str">
        <f>IF($AI47,IF(LARGE($AG$41:$AH$107,DW$40)=$AG47,$AC47,""),"")</f>
        <v/>
      </c>
      <c r="DX47" s="1153"/>
      <c r="DY47" s="1153"/>
      <c r="DZ47" s="1153"/>
      <c r="EA47" s="1153" t="str">
        <f>IF($AI47,IF(LARGE($AG$41:$AH$107,EA$40)=$AG47,$AC47,""),"")</f>
        <v/>
      </c>
      <c r="EB47" s="1153"/>
      <c r="EC47" s="1153"/>
      <c r="ED47" s="1153"/>
      <c r="EE47" s="1153" t="str">
        <f>IF($AI47,IF(LARGE($AG$41:$AH$107,EE$40)=$AG47,$AC47,""),"")</f>
        <v/>
      </c>
      <c r="EF47" s="1153"/>
      <c r="EG47" s="1153"/>
      <c r="EH47" s="1153"/>
      <c r="EI47" s="1153" t="str">
        <f>IF($AI47,IF(LARGE($AG$41:$AH$107,EI$40)=$AG47,$AC47,""),"")</f>
        <v/>
      </c>
      <c r="EJ47" s="1153"/>
      <c r="EK47" s="1153"/>
      <c r="EL47" s="1153"/>
      <c r="EM47" s="1153" t="str">
        <f>IF($AI47,IF(LARGE($AG$41:$AH$107,EM$40)=$AG47,$AC47,""),"")</f>
        <v/>
      </c>
      <c r="EN47" s="1153"/>
      <c r="EO47" s="1153"/>
      <c r="EP47" s="1153"/>
      <c r="EQ47" s="1153" t="str">
        <f>IF($AI47,IF(LARGE($AG$41:$AH$107,EQ$40)=$AG47,$AC47,""),"")</f>
        <v/>
      </c>
      <c r="ER47" s="1153"/>
      <c r="ES47" s="1153"/>
      <c r="ET47" s="1153"/>
      <c r="EU47" s="1153" t="str">
        <f>IF($AI47,IF(LARGE($AG$41:$AH$107,EU$40)=$AG47,$AC47,""),"")</f>
        <v/>
      </c>
      <c r="EV47" s="1153"/>
      <c r="EW47" s="1153"/>
      <c r="EX47" s="1153"/>
      <c r="EY47" s="1153" t="str">
        <f>IF($AI47,IF(LARGE($AG$41:$AH$107,EY$40)=$AG47,$AC47,""),"")</f>
        <v/>
      </c>
      <c r="EZ47" s="1153"/>
      <c r="FA47" s="1153"/>
      <c r="FB47" s="1153"/>
      <c r="FC47" s="1153" t="str">
        <f>IF($AI47,IF(LARGE($AG$41:$AH$107,FC$40)=$AG47,$AC47,""),"")</f>
        <v/>
      </c>
      <c r="FD47" s="1153"/>
      <c r="FE47" s="1153"/>
      <c r="FF47" s="1153"/>
      <c r="FG47" s="1153" t="str">
        <f>IF($AI47,IF(LARGE($AG$41:$AH$107,FG$40)=$AG47,$AC47,""),"")</f>
        <v/>
      </c>
      <c r="FH47" s="1153"/>
      <c r="FI47" s="1153"/>
      <c r="FJ47" s="1153"/>
      <c r="FK47" s="1153" t="str">
        <f>IF($AI47,IF(LARGE($AG$41:$AH$107,FK$40)=$AG47,$AC47,""),"")</f>
        <v/>
      </c>
      <c r="FL47" s="1153"/>
      <c r="FM47" s="1153"/>
      <c r="FN47" s="1153"/>
      <c r="FO47" s="1153" t="str">
        <f>IF($AI47,IF(LARGE($AG$41:$AH$107,FO$40)=$AG47,$AC47,""),"")</f>
        <v/>
      </c>
      <c r="FP47" s="1153"/>
      <c r="FQ47" s="1153"/>
      <c r="FR47" s="1153"/>
      <c r="FS47" s="1153" t="str">
        <f>IF($AI47,IF(LARGE($AG$41:$AH$107,FS$40)=$AG47,$AC47,""),"")</f>
        <v/>
      </c>
      <c r="FT47" s="1153"/>
      <c r="FU47" s="1153"/>
      <c r="FV47" s="1153"/>
      <c r="FW47" s="1153" t="str">
        <f>IF($AI47,IF(LARGE($AG$41:$AH$107,FW$40)=$AG47,$AC47,""),"")</f>
        <v/>
      </c>
      <c r="FX47" s="1153"/>
      <c r="FY47" s="1153"/>
      <c r="FZ47" s="1153"/>
      <c r="GA47" s="1153" t="str">
        <f>IF($AI47,IF(LARGE($AG$41:$AH$107,GA$40)=$AG47,$AC47,""),"")</f>
        <v/>
      </c>
      <c r="GB47" s="1153"/>
      <c r="GC47" s="1153"/>
      <c r="GD47" s="1153"/>
      <c r="GE47" s="1153" t="str">
        <f>IF($AI47,IF(LARGE($AG$41:$AH$107,GE$40)=$AG47,$AC47,""),"")</f>
        <v/>
      </c>
      <c r="GF47" s="1153"/>
      <c r="GG47" s="1153"/>
      <c r="GH47" s="1153"/>
      <c r="GI47" s="1153" t="str">
        <f>IF($AI47,IF(LARGE($AG$41:$AH$107,GI$40)=$AG47,$AC47,""),"")</f>
        <v/>
      </c>
      <c r="GJ47" s="1153"/>
      <c r="GK47" s="1153"/>
      <c r="GL47" s="1153"/>
      <c r="GM47" s="1153" t="str">
        <f>IF($AI47,IF(LARGE($AG$41:$AH$107,GM$40)=$AG47,$AC47,""),"")</f>
        <v/>
      </c>
      <c r="GN47" s="1153"/>
      <c r="GO47" s="1153"/>
      <c r="GP47" s="1153"/>
      <c r="GQ47" s="1153" t="str">
        <f>IF($AI47,IF(LARGE($AG$41:$AH$107,GQ$40)=$AG47,$AC47,""),"")</f>
        <v/>
      </c>
      <c r="GR47" s="1153"/>
      <c r="GS47" s="1153"/>
      <c r="GT47" s="1153"/>
      <c r="GU47" s="1153" t="str">
        <f>IF($AI47,IF(LARGE($AG$41:$AH$107,GU$40)=$AG47,$AC47,""),"")</f>
        <v/>
      </c>
      <c r="GV47" s="1153"/>
      <c r="GW47" s="1153"/>
      <c r="GX47" s="1153"/>
      <c r="GY47" s="1153" t="str">
        <f>IF($AI47,IF(LARGE($AG$41:$AH$107,GY$40)=$AG47,$AC47,""),"")</f>
        <v/>
      </c>
      <c r="GZ47" s="1153"/>
      <c r="HA47" s="1153"/>
      <c r="HB47" s="1153"/>
      <c r="HC47" s="1153" t="str">
        <f>IF($AI47,IF(LARGE($AG$41:$AH$107,HC$40)=$AG47,$AC47,""),"")</f>
        <v/>
      </c>
      <c r="HD47" s="1153"/>
      <c r="HE47" s="1153"/>
      <c r="HF47" s="1153"/>
      <c r="HG47" s="1153" t="str">
        <f>IF($AI47,IF(LARGE($AG$41:$AH$107,HG$40)=$AG47,$AC47,""),"")</f>
        <v/>
      </c>
      <c r="HH47" s="1153"/>
      <c r="HI47" s="1153"/>
      <c r="HJ47" s="1153"/>
      <c r="HK47" s="1153" t="str">
        <f>IF($AI47,IF(LARGE($AG$41:$AH$107,HK$40)=$AG47,$AC47,""),"")</f>
        <v/>
      </c>
      <c r="HL47" s="1153"/>
      <c r="HM47" s="1153"/>
      <c r="HN47" s="1153"/>
      <c r="HO47" s="1153" t="str">
        <f>IF($AI47,IF(LARGE($AG$41:$AH$107,HO$40)=$AG47,$AC47,""),"")</f>
        <v/>
      </c>
      <c r="HP47" s="1153"/>
      <c r="HQ47" s="1153"/>
      <c r="HR47" s="1153"/>
      <c r="HS47" s="1153" t="str">
        <f>IF($AI47,IF(LARGE($AG$41:$AH$107,HS$40)=$AG47,$AC47,""),"")</f>
        <v/>
      </c>
      <c r="HT47" s="1153"/>
      <c r="HU47" s="1153"/>
      <c r="HV47" s="1153"/>
      <c r="HW47" s="1153" t="str">
        <f>IF($AI47,IF(LARGE($AG$41:$AH$107,HW$40)=$AG47,$AC47,""),"")</f>
        <v/>
      </c>
      <c r="HX47" s="1153"/>
      <c r="HY47" s="1153"/>
      <c r="HZ47" s="1153"/>
      <c r="IA47" s="1153" t="str">
        <f>IF($AI47,IF(LARGE($AG$41:$AH$107,IA$40)=$AG47,$AC47,""),"")</f>
        <v/>
      </c>
      <c r="IB47" s="1153"/>
      <c r="IC47" s="1153"/>
      <c r="ID47" s="1153"/>
      <c r="IE47" s="1153" t="str">
        <f>IF($AI47,IF(LARGE($AG$41:$AH$107,IE$40)=$AG47,$AC47,""),"")</f>
        <v/>
      </c>
      <c r="IF47" s="1153"/>
      <c r="IG47" s="1153"/>
      <c r="IH47" s="1153"/>
      <c r="II47" s="1153" t="str">
        <f>IF($AI47,IF(LARGE($AG$41:$AH$107,II$40)=$AG47,$AC47,""),"")</f>
        <v/>
      </c>
      <c r="IJ47" s="1153"/>
      <c r="IK47" s="1153"/>
      <c r="IL47" s="1153"/>
      <c r="IM47" s="1153" t="str">
        <f>IF($AI47,IF(LARGE($AG$41:$AH$107,IM$40)=$AG47,$AC47,""),"")</f>
        <v/>
      </c>
      <c r="IN47" s="1153"/>
      <c r="IO47" s="1153"/>
      <c r="IP47" s="1153"/>
      <c r="IQ47" s="1153" t="str">
        <f>IF($AI47,IF(LARGE($AG$41:$AH$107,IQ$40)=$AG47,$AC47,""),"")</f>
        <v/>
      </c>
      <c r="IR47" s="1153"/>
      <c r="IS47" s="1153"/>
      <c r="IT47" s="1153"/>
      <c r="IU47" s="1153" t="str">
        <f>IF($AI47,IF(LARGE($AG$41:$AH$107,IU$40)=$AG47,$AC47,""),"")</f>
        <v/>
      </c>
      <c r="IV47" s="1153"/>
      <c r="IW47" s="1153"/>
      <c r="IX47" s="1153"/>
      <c r="IY47" s="1153" t="str">
        <f>IF($AI47,IF(LARGE($AG$41:$AH$107,IY$40)=$AG47,$AC47,""),"")</f>
        <v/>
      </c>
      <c r="IZ47" s="1153"/>
      <c r="JA47" s="1153"/>
      <c r="JB47" s="1153"/>
      <c r="JC47" s="1153" t="str">
        <f>IF($AI47,IF(LARGE($AG$41:$AH$107,JC$40)=$AG47,$AC47,""),"")</f>
        <v/>
      </c>
      <c r="JD47" s="1153"/>
      <c r="JE47" s="1153"/>
      <c r="JF47" s="1153"/>
      <c r="JG47" s="1153" t="str">
        <f>IF($AI47,IF(LARGE($AG$41:$AH$107,JG$40)=$AG47,$AC47,""),"")</f>
        <v/>
      </c>
      <c r="JH47" s="1153"/>
      <c r="JI47" s="1153"/>
      <c r="JJ47" s="1153"/>
      <c r="JK47" s="1153" t="str">
        <f>IF($AI47,IF(LARGE($AG$41:$AH$107,JK$40)=$AG47,$AC47,""),"")</f>
        <v/>
      </c>
      <c r="JL47" s="1153"/>
      <c r="JM47" s="1153"/>
      <c r="JN47" s="1153"/>
      <c r="JO47" s="1153" t="str">
        <f>IF($AI47,IF(LARGE($AG$41:$AH$107,JO$40)=$AG47,$AC47,""),"")</f>
        <v/>
      </c>
      <c r="JP47" s="1153"/>
      <c r="JQ47" s="1153"/>
      <c r="JR47" s="1153"/>
      <c r="JS47" s="1153" t="str">
        <f>IF($AI47,IF(LARGE($AG$41:$AH$107,JS$40)=$AG47,$AC47,""),"")</f>
        <v/>
      </c>
      <c r="JT47" s="1153"/>
      <c r="JU47" s="1153"/>
      <c r="JV47" s="1153"/>
      <c r="JW47" s="1153" t="str">
        <f>IF($AI47,IF(LARGE($AG$41:$AH$107,JW$40)=$AG47,$AC47,""),"")</f>
        <v/>
      </c>
      <c r="JX47" s="1153"/>
      <c r="JY47" s="1153"/>
      <c r="JZ47" s="1153"/>
      <c r="KA47" s="1153" t="str">
        <f>IF($AI47,IF(LARGE($AG$41:$AH$107,KA$40)=$AG47,$AC47,""),"")</f>
        <v/>
      </c>
      <c r="KB47" s="1153"/>
      <c r="KC47" s="1153"/>
      <c r="KD47" s="1153"/>
      <c r="KE47" s="1153" t="str">
        <f>IF($AI47,IF(LARGE($AG$41:$AH$107,KE$40)=$AG47,$AC47,""),"")</f>
        <v/>
      </c>
      <c r="KF47" s="1153"/>
      <c r="KG47" s="1153"/>
      <c r="KH47" s="1153"/>
      <c r="KI47" s="1153" t="str">
        <f>IF($AI47,IF(LARGE($AG$41:$AH$107,KI$40)=$AG47,$AC47,""),"")</f>
        <v/>
      </c>
      <c r="KJ47" s="1153"/>
      <c r="KK47" s="1153"/>
      <c r="KL47" s="1153"/>
      <c r="KM47" s="1153" t="str">
        <f>IF($AI47,IF(LARGE($AG$41:$AH$107,KM$40)=$AG47,$AC47,""),"")</f>
        <v/>
      </c>
      <c r="KN47" s="1153"/>
      <c r="KO47" s="1153"/>
      <c r="KP47" s="1153"/>
      <c r="KQ47" s="1153" t="str">
        <f>IF($AI47,IF(LARGE($AG$41:$AH$107,KQ$40)=$AG47,$AC47,""),"")</f>
        <v/>
      </c>
      <c r="KR47" s="1153"/>
      <c r="KS47" s="1153"/>
      <c r="KT47" s="1153"/>
    </row>
    <row r="48" spans="8:8">
      <c r="C48" s="1153" t="str">
        <f>IF(F12="","",CONCATENATE(" ",C12,F12,H12))</f>
        <v> 😍取悦</v>
      </c>
      <c r="D48" s="1153"/>
      <c r="E48" s="1153"/>
      <c r="F48" s="1153"/>
      <c r="G48" s="1155" t="str">
        <f>IF(AND(L12=0,N12=0),"",IF(ISNONTEXT(D12),"",R12))</f>
        <v/>
      </c>
      <c r="H48" s="1155"/>
      <c r="I48" s="1153" t="str">
        <f>IF(G48=$G$40,C48,"")</f>
        <v/>
      </c>
      <c r="J48" s="1153"/>
      <c r="K48" s="1153"/>
      <c r="L48" s="1153"/>
      <c r="M48" s="1154">
        <f>IF(AND(NOT(N12=0),ISNONTEXT(D12)),1,0)</f>
        <v>0.0</v>
      </c>
      <c r="N48" s="1122"/>
      <c r="O48" s="1122"/>
      <c r="P48" s="1153" t="str">
        <f>IF(F12="","",CONCATENATE(" ",C12,F12,H12))</f>
        <v> 😍取悦</v>
      </c>
      <c r="Q48" s="1153"/>
      <c r="R48" s="1153"/>
      <c r="S48" s="1153"/>
      <c r="T48" s="1155" t="str">
        <f>IF(AND(L12=0,P12=0),"",IF(ISNONTEXT(D12),R12,""))</f>
        <v/>
      </c>
      <c r="U48" s="1155"/>
      <c r="V48" s="1153" t="str">
        <f>IF(T48=$T$40,P48,"")</f>
        <v/>
      </c>
      <c r="W48" s="1153"/>
      <c r="X48" s="1153"/>
      <c r="Y48" s="1153"/>
      <c r="AB48" s="1122"/>
      <c r="AC48" s="1153" t="str">
        <f>IF(F12="","",CONCATENATE(C12,F12,H12))</f>
        <v>😍取悦</v>
      </c>
      <c r="AD48" s="1153"/>
      <c r="AE48" s="1153"/>
      <c r="AF48" s="1153"/>
      <c r="AG48" s="1155">
        <f>R12</f>
        <v>15.0</v>
      </c>
      <c r="AH48" s="1155"/>
      <c r="AI48" s="1153" t="b">
        <f>IF(AND(OR(ISNUMBER(L12),ISNUMBER(N12),ISNUMBER(P12)),OR(L12&gt;0,N12&gt;0,P12&gt;0)),TRUE,FALSE)</f>
        <v>0</v>
      </c>
      <c r="AJ48" s="1153"/>
      <c r="AK48" s="1153"/>
      <c r="AL48" s="1153"/>
      <c r="AM48" s="1153" t="str">
        <f>IF($AI48,IF(LARGE($AG$41:$AH$107,AM$40)=$AG48,$AC48,""),"")</f>
        <v/>
      </c>
      <c r="AN48" s="1153"/>
      <c r="AO48" s="1153"/>
      <c r="AP48" s="1153"/>
      <c r="AQ48" s="1153" t="str">
        <f>IF($AI48,IF(LARGE($AG$41:$AH$107,AQ$40)=$AG48,$AC48,""),"")</f>
        <v/>
      </c>
      <c r="AR48" s="1153"/>
      <c r="AS48" s="1153"/>
      <c r="AT48" s="1153"/>
      <c r="AU48" s="1153" t="str">
        <f>IF($AI48,IF(LARGE($AG$41:$AH$107,AU$40)=$AG48,$AC48,""),"")</f>
        <v/>
      </c>
      <c r="AV48" s="1153"/>
      <c r="AW48" s="1153"/>
      <c r="AX48" s="1153"/>
      <c r="AY48" s="1153" t="str">
        <f>IF($AI48,IF(LARGE($AG$41:$AH$107,AY$40)=$AG48,$AC48,""),"")</f>
        <v/>
      </c>
      <c r="AZ48" s="1153"/>
      <c r="BA48" s="1153"/>
      <c r="BB48" s="1153"/>
      <c r="BC48" s="1153" t="str">
        <f>IF($AI48,IF(LARGE($AG$41:$AH$107,BC$40)=$AG48,$AC48,""),"")</f>
        <v/>
      </c>
      <c r="BD48" s="1153"/>
      <c r="BE48" s="1153"/>
      <c r="BF48" s="1153"/>
      <c r="BG48" s="1153" t="str">
        <f>IF($AI48,IF(LARGE($AG$41:$AH$107,BG$40)=$AG48,$AC48,""),"")</f>
        <v/>
      </c>
      <c r="BH48" s="1153"/>
      <c r="BI48" s="1153"/>
      <c r="BJ48" s="1153"/>
      <c r="BK48" s="1153" t="str">
        <f>IF($AI48,IF(LARGE($AG$41:$AH$107,BK$40)=$AG48,$AC48,""),"")</f>
        <v/>
      </c>
      <c r="BL48" s="1153"/>
      <c r="BM48" s="1153"/>
      <c r="BN48" s="1153"/>
      <c r="BO48" s="1153" t="str">
        <f>IF($AI48,IF(LARGE($AG$41:$AH$107,BO$40)=$AG48,$AC48,""),"")</f>
        <v/>
      </c>
      <c r="BP48" s="1153"/>
      <c r="BQ48" s="1153"/>
      <c r="BR48" s="1153"/>
      <c r="BS48" s="1153" t="str">
        <f>IF($AI48,IF(LARGE($AG$41:$AH$107,BS$40)=$AG48,$AC48,""),"")</f>
        <v/>
      </c>
      <c r="BT48" s="1153"/>
      <c r="BU48" s="1153"/>
      <c r="BV48" s="1153"/>
      <c r="BW48" s="1153" t="str">
        <f>IF($AI48,IF(LARGE($AG$41:$AH$107,BW$40)=$AG48,$AC48,""),"")</f>
        <v/>
      </c>
      <c r="BX48" s="1153"/>
      <c r="BY48" s="1153"/>
      <c r="BZ48" s="1153"/>
      <c r="CA48" s="1153" t="str">
        <f>IF($AI48,IF(LARGE($AG$41:$AH$107,CA$40)=$AG48,$AC48,""),"")</f>
        <v/>
      </c>
      <c r="CB48" s="1153"/>
      <c r="CC48" s="1153"/>
      <c r="CD48" s="1153"/>
      <c r="CE48" s="1153" t="str">
        <f>IF($AI48,IF(LARGE($AG$41:$AH$107,CE$40)=$AG48,$AC48,""),"")</f>
        <v/>
      </c>
      <c r="CF48" s="1153"/>
      <c r="CG48" s="1153"/>
      <c r="CH48" s="1153"/>
      <c r="CI48" s="1153" t="str">
        <f>IF($AI48,IF(LARGE($AG$41:$AH$107,CI$40)=$AG48,$AC48,""),"")</f>
        <v/>
      </c>
      <c r="CJ48" s="1153"/>
      <c r="CK48" s="1153"/>
      <c r="CL48" s="1153"/>
      <c r="CM48" s="1153" t="str">
        <f>IF($AI48,IF(LARGE($AG$41:$AH$107,CM$40)=$AG48,$AC48,""),"")</f>
        <v/>
      </c>
      <c r="CN48" s="1153"/>
      <c r="CO48" s="1153"/>
      <c r="CP48" s="1153"/>
      <c r="CQ48" s="1153" t="str">
        <f>IF($AI48,IF(LARGE($AG$41:$AH$107,CQ$40)=$AG48,$AC48,""),"")</f>
        <v/>
      </c>
      <c r="CR48" s="1153"/>
      <c r="CS48" s="1153"/>
      <c r="CT48" s="1153"/>
      <c r="CU48" s="1153" t="str">
        <f>IF($AI48,IF(LARGE($AG$41:$AH$107,CU$40)=$AG48,$AC48,""),"")</f>
        <v/>
      </c>
      <c r="CV48" s="1153"/>
      <c r="CW48" s="1153"/>
      <c r="CX48" s="1153"/>
      <c r="CY48" s="1153" t="str">
        <f>IF($AI48,IF(LARGE($AG$41:$AH$107,CY$40)=$AG48,$AC48,""),"")</f>
        <v/>
      </c>
      <c r="CZ48" s="1153"/>
      <c r="DA48" s="1153"/>
      <c r="DB48" s="1153"/>
      <c r="DC48" s="1153" t="str">
        <f>IF($AI48,IF(LARGE($AG$41:$AH$107,DC$40)=$AG48,$AC48,""),"")</f>
        <v/>
      </c>
      <c r="DD48" s="1153"/>
      <c r="DE48" s="1153"/>
      <c r="DF48" s="1153"/>
      <c r="DG48" s="1153" t="str">
        <f>IF($AI48,IF(LARGE($AG$41:$AH$107,DG$40)=$AG48,$AC48,""),"")</f>
        <v/>
      </c>
      <c r="DH48" s="1153"/>
      <c r="DI48" s="1153"/>
      <c r="DJ48" s="1153"/>
      <c r="DK48" s="1153" t="str">
        <f>IF($AI48,IF(LARGE($AG$41:$AH$107,DK$40)=$AG48,$AC48,""),"")</f>
        <v/>
      </c>
      <c r="DL48" s="1153"/>
      <c r="DM48" s="1153"/>
      <c r="DN48" s="1153"/>
      <c r="DO48" s="1153" t="str">
        <f>IF($AI48,IF(LARGE($AG$41:$AH$107,DO$40)=$AG48,$AC48,""),"")</f>
        <v/>
      </c>
      <c r="DP48" s="1153"/>
      <c r="DQ48" s="1153"/>
      <c r="DR48" s="1153"/>
      <c r="DS48" s="1153" t="str">
        <f>IF($AI48,IF(LARGE($AG$41:$AH$107,DS$40)=$AG48,$AC48,""),"")</f>
        <v/>
      </c>
      <c r="DT48" s="1153"/>
      <c r="DU48" s="1153"/>
      <c r="DV48" s="1153"/>
      <c r="DW48" s="1153" t="str">
        <f>IF($AI48,IF(LARGE($AG$41:$AH$107,DW$40)=$AG48,$AC48,""),"")</f>
        <v/>
      </c>
      <c r="DX48" s="1153"/>
      <c r="DY48" s="1153"/>
      <c r="DZ48" s="1153"/>
      <c r="EA48" s="1153" t="str">
        <f>IF($AI48,IF(LARGE($AG$41:$AH$107,EA$40)=$AG48,$AC48,""),"")</f>
        <v/>
      </c>
      <c r="EB48" s="1153"/>
      <c r="EC48" s="1153"/>
      <c r="ED48" s="1153"/>
      <c r="EE48" s="1153" t="str">
        <f>IF($AI48,IF(LARGE($AG$41:$AH$107,EE$40)=$AG48,$AC48,""),"")</f>
        <v/>
      </c>
      <c r="EF48" s="1153"/>
      <c r="EG48" s="1153"/>
      <c r="EH48" s="1153"/>
      <c r="EI48" s="1153" t="str">
        <f>IF($AI48,IF(LARGE($AG$41:$AH$107,EI$40)=$AG48,$AC48,""),"")</f>
        <v/>
      </c>
      <c r="EJ48" s="1153"/>
      <c r="EK48" s="1153"/>
      <c r="EL48" s="1153"/>
      <c r="EM48" s="1153" t="str">
        <f>IF($AI48,IF(LARGE($AG$41:$AH$107,EM$40)=$AG48,$AC48,""),"")</f>
        <v/>
      </c>
      <c r="EN48" s="1153"/>
      <c r="EO48" s="1153"/>
      <c r="EP48" s="1153"/>
      <c r="EQ48" s="1153" t="str">
        <f>IF($AI48,IF(LARGE($AG$41:$AH$107,EQ$40)=$AG48,$AC48,""),"")</f>
        <v/>
      </c>
      <c r="ER48" s="1153"/>
      <c r="ES48" s="1153"/>
      <c r="ET48" s="1153"/>
      <c r="EU48" s="1153" t="str">
        <f>IF($AI48,IF(LARGE($AG$41:$AH$107,EU$40)=$AG48,$AC48,""),"")</f>
        <v/>
      </c>
      <c r="EV48" s="1153"/>
      <c r="EW48" s="1153"/>
      <c r="EX48" s="1153"/>
      <c r="EY48" s="1153" t="str">
        <f>IF($AI48,IF(LARGE($AG$41:$AH$107,EY$40)=$AG48,$AC48,""),"")</f>
        <v/>
      </c>
      <c r="EZ48" s="1153"/>
      <c r="FA48" s="1153"/>
      <c r="FB48" s="1153"/>
      <c r="FC48" s="1153" t="str">
        <f>IF($AI48,IF(LARGE($AG$41:$AH$107,FC$40)=$AG48,$AC48,""),"")</f>
        <v/>
      </c>
      <c r="FD48" s="1153"/>
      <c r="FE48" s="1153"/>
      <c r="FF48" s="1153"/>
      <c r="FG48" s="1153" t="str">
        <f>IF($AI48,IF(LARGE($AG$41:$AH$107,FG$40)=$AG48,$AC48,""),"")</f>
        <v/>
      </c>
      <c r="FH48" s="1153"/>
      <c r="FI48" s="1153"/>
      <c r="FJ48" s="1153"/>
      <c r="FK48" s="1153" t="str">
        <f>IF($AI48,IF(LARGE($AG$41:$AH$107,FK$40)=$AG48,$AC48,""),"")</f>
        <v/>
      </c>
      <c r="FL48" s="1153"/>
      <c r="FM48" s="1153"/>
      <c r="FN48" s="1153"/>
      <c r="FO48" s="1153" t="str">
        <f>IF($AI48,IF(LARGE($AG$41:$AH$107,FO$40)=$AG48,$AC48,""),"")</f>
        <v/>
      </c>
      <c r="FP48" s="1153"/>
      <c r="FQ48" s="1153"/>
      <c r="FR48" s="1153"/>
      <c r="FS48" s="1153" t="str">
        <f>IF($AI48,IF(LARGE($AG$41:$AH$107,FS$40)=$AG48,$AC48,""),"")</f>
        <v/>
      </c>
      <c r="FT48" s="1153"/>
      <c r="FU48" s="1153"/>
      <c r="FV48" s="1153"/>
      <c r="FW48" s="1153" t="str">
        <f>IF($AI48,IF(LARGE($AG$41:$AH$107,FW$40)=$AG48,$AC48,""),"")</f>
        <v/>
      </c>
      <c r="FX48" s="1153"/>
      <c r="FY48" s="1153"/>
      <c r="FZ48" s="1153"/>
      <c r="GA48" s="1153" t="str">
        <f>IF($AI48,IF(LARGE($AG$41:$AH$107,GA$40)=$AG48,$AC48,""),"")</f>
        <v/>
      </c>
      <c r="GB48" s="1153"/>
      <c r="GC48" s="1153"/>
      <c r="GD48" s="1153"/>
      <c r="GE48" s="1153" t="str">
        <f>IF($AI48,IF(LARGE($AG$41:$AH$107,GE$40)=$AG48,$AC48,""),"")</f>
        <v/>
      </c>
      <c r="GF48" s="1153"/>
      <c r="GG48" s="1153"/>
      <c r="GH48" s="1153"/>
      <c r="GI48" s="1153" t="str">
        <f>IF($AI48,IF(LARGE($AG$41:$AH$107,GI$40)=$AG48,$AC48,""),"")</f>
        <v/>
      </c>
      <c r="GJ48" s="1153"/>
      <c r="GK48" s="1153"/>
      <c r="GL48" s="1153"/>
      <c r="GM48" s="1153" t="str">
        <f>IF($AI48,IF(LARGE($AG$41:$AH$107,GM$40)=$AG48,$AC48,""),"")</f>
        <v/>
      </c>
      <c r="GN48" s="1153"/>
      <c r="GO48" s="1153"/>
      <c r="GP48" s="1153"/>
      <c r="GQ48" s="1153" t="str">
        <f>IF($AI48,IF(LARGE($AG$41:$AH$107,GQ$40)=$AG48,$AC48,""),"")</f>
        <v/>
      </c>
      <c r="GR48" s="1153"/>
      <c r="GS48" s="1153"/>
      <c r="GT48" s="1153"/>
      <c r="GU48" s="1153" t="str">
        <f>IF($AI48,IF(LARGE($AG$41:$AH$107,GU$40)=$AG48,$AC48,""),"")</f>
        <v/>
      </c>
      <c r="GV48" s="1153"/>
      <c r="GW48" s="1153"/>
      <c r="GX48" s="1153"/>
      <c r="GY48" s="1153" t="str">
        <f>IF($AI48,IF(LARGE($AG$41:$AH$107,GY$40)=$AG48,$AC48,""),"")</f>
        <v/>
      </c>
      <c r="GZ48" s="1153"/>
      <c r="HA48" s="1153"/>
      <c r="HB48" s="1153"/>
      <c r="HC48" s="1153" t="str">
        <f>IF($AI48,IF(LARGE($AG$41:$AH$107,HC$40)=$AG48,$AC48,""),"")</f>
        <v/>
      </c>
      <c r="HD48" s="1153"/>
      <c r="HE48" s="1153"/>
      <c r="HF48" s="1153"/>
      <c r="HG48" s="1153" t="str">
        <f>IF($AI48,IF(LARGE($AG$41:$AH$107,HG$40)=$AG48,$AC48,""),"")</f>
        <v/>
      </c>
      <c r="HH48" s="1153"/>
      <c r="HI48" s="1153"/>
      <c r="HJ48" s="1153"/>
      <c r="HK48" s="1153" t="str">
        <f>IF($AI48,IF(LARGE($AG$41:$AH$107,HK$40)=$AG48,$AC48,""),"")</f>
        <v/>
      </c>
      <c r="HL48" s="1153"/>
      <c r="HM48" s="1153"/>
      <c r="HN48" s="1153"/>
      <c r="HO48" s="1153" t="str">
        <f>IF($AI48,IF(LARGE($AG$41:$AH$107,HO$40)=$AG48,$AC48,""),"")</f>
        <v/>
      </c>
      <c r="HP48" s="1153"/>
      <c r="HQ48" s="1153"/>
      <c r="HR48" s="1153"/>
      <c r="HS48" s="1153" t="str">
        <f>IF($AI48,IF(LARGE($AG$41:$AH$107,HS$40)=$AG48,$AC48,""),"")</f>
        <v/>
      </c>
      <c r="HT48" s="1153"/>
      <c r="HU48" s="1153"/>
      <c r="HV48" s="1153"/>
      <c r="HW48" s="1153" t="str">
        <f>IF($AI48,IF(LARGE($AG$41:$AH$107,HW$40)=$AG48,$AC48,""),"")</f>
        <v/>
      </c>
      <c r="HX48" s="1153"/>
      <c r="HY48" s="1153"/>
      <c r="HZ48" s="1153"/>
      <c r="IA48" s="1153" t="str">
        <f>IF($AI48,IF(LARGE($AG$41:$AH$107,IA$40)=$AG48,$AC48,""),"")</f>
        <v/>
      </c>
      <c r="IB48" s="1153"/>
      <c r="IC48" s="1153"/>
      <c r="ID48" s="1153"/>
      <c r="IE48" s="1153" t="str">
        <f>IF($AI48,IF(LARGE($AG$41:$AH$107,IE$40)=$AG48,$AC48,""),"")</f>
        <v/>
      </c>
      <c r="IF48" s="1153"/>
      <c r="IG48" s="1153"/>
      <c r="IH48" s="1153"/>
      <c r="II48" s="1153" t="str">
        <f>IF($AI48,IF(LARGE($AG$41:$AH$107,II$40)=$AG48,$AC48,""),"")</f>
        <v/>
      </c>
      <c r="IJ48" s="1153"/>
      <c r="IK48" s="1153"/>
      <c r="IL48" s="1153"/>
      <c r="IM48" s="1153" t="str">
        <f>IF($AI48,IF(LARGE($AG$41:$AH$107,IM$40)=$AG48,$AC48,""),"")</f>
        <v/>
      </c>
      <c r="IN48" s="1153"/>
      <c r="IO48" s="1153"/>
      <c r="IP48" s="1153"/>
      <c r="IQ48" s="1153" t="str">
        <f>IF($AI48,IF(LARGE($AG$41:$AH$107,IQ$40)=$AG48,$AC48,""),"")</f>
        <v/>
      </c>
      <c r="IR48" s="1153"/>
      <c r="IS48" s="1153"/>
      <c r="IT48" s="1153"/>
      <c r="IU48" s="1153" t="str">
        <f>IF($AI48,IF(LARGE($AG$41:$AH$107,IU$40)=$AG48,$AC48,""),"")</f>
        <v/>
      </c>
      <c r="IV48" s="1153"/>
      <c r="IW48" s="1153"/>
      <c r="IX48" s="1153"/>
      <c r="IY48" s="1153" t="str">
        <f>IF($AI48,IF(LARGE($AG$41:$AH$107,IY$40)=$AG48,$AC48,""),"")</f>
        <v/>
      </c>
      <c r="IZ48" s="1153"/>
      <c r="JA48" s="1153"/>
      <c r="JB48" s="1153"/>
      <c r="JC48" s="1153" t="str">
        <f>IF($AI48,IF(LARGE($AG$41:$AH$107,JC$40)=$AG48,$AC48,""),"")</f>
        <v/>
      </c>
      <c r="JD48" s="1153"/>
      <c r="JE48" s="1153"/>
      <c r="JF48" s="1153"/>
      <c r="JG48" s="1153" t="str">
        <f>IF($AI48,IF(LARGE($AG$41:$AH$107,JG$40)=$AG48,$AC48,""),"")</f>
        <v/>
      </c>
      <c r="JH48" s="1153"/>
      <c r="JI48" s="1153"/>
      <c r="JJ48" s="1153"/>
      <c r="JK48" s="1153" t="str">
        <f>IF($AI48,IF(LARGE($AG$41:$AH$107,JK$40)=$AG48,$AC48,""),"")</f>
        <v/>
      </c>
      <c r="JL48" s="1153"/>
      <c r="JM48" s="1153"/>
      <c r="JN48" s="1153"/>
      <c r="JO48" s="1153" t="str">
        <f>IF($AI48,IF(LARGE($AG$41:$AH$107,JO$40)=$AG48,$AC48,""),"")</f>
        <v/>
      </c>
      <c r="JP48" s="1153"/>
      <c r="JQ48" s="1153"/>
      <c r="JR48" s="1153"/>
      <c r="JS48" s="1153" t="str">
        <f>IF($AI48,IF(LARGE($AG$41:$AH$107,JS$40)=$AG48,$AC48,""),"")</f>
        <v/>
      </c>
      <c r="JT48" s="1153"/>
      <c r="JU48" s="1153"/>
      <c r="JV48" s="1153"/>
      <c r="JW48" s="1153" t="str">
        <f>IF($AI48,IF(LARGE($AG$41:$AH$107,JW$40)=$AG48,$AC48,""),"")</f>
        <v/>
      </c>
      <c r="JX48" s="1153"/>
      <c r="JY48" s="1153"/>
      <c r="JZ48" s="1153"/>
      <c r="KA48" s="1153" t="str">
        <f>IF($AI48,IF(LARGE($AG$41:$AH$107,KA$40)=$AG48,$AC48,""),"")</f>
        <v/>
      </c>
      <c r="KB48" s="1153"/>
      <c r="KC48" s="1153"/>
      <c r="KD48" s="1153"/>
      <c r="KE48" s="1153" t="str">
        <f>IF($AI48,IF(LARGE($AG$41:$AH$107,KE$40)=$AG48,$AC48,""),"")</f>
        <v/>
      </c>
      <c r="KF48" s="1153"/>
      <c r="KG48" s="1153"/>
      <c r="KH48" s="1153"/>
      <c r="KI48" s="1153" t="str">
        <f>IF($AI48,IF(LARGE($AG$41:$AH$107,KI$40)=$AG48,$AC48,""),"")</f>
        <v/>
      </c>
      <c r="KJ48" s="1153"/>
      <c r="KK48" s="1153"/>
      <c r="KL48" s="1153"/>
      <c r="KM48" s="1153" t="str">
        <f>IF($AI48,IF(LARGE($AG$41:$AH$107,KM$40)=$AG48,$AC48,""),"")</f>
        <v/>
      </c>
      <c r="KN48" s="1153"/>
      <c r="KO48" s="1153"/>
      <c r="KP48" s="1153"/>
      <c r="KQ48" s="1153" t="str">
        <f>IF($AI48,IF(LARGE($AG$41:$AH$107,KQ$40)=$AG48,$AC48,""),"")</f>
        <v/>
      </c>
      <c r="KR48" s="1153"/>
      <c r="KS48" s="1153"/>
      <c r="KT48" s="1153"/>
    </row>
    <row r="49" spans="8:8">
      <c r="C49" s="1153" t="str">
        <f>IF(F13="","",CONCATENATE(" ",C13,F13,H13))</f>
        <v> 🧗‍♂️攀爬</v>
      </c>
      <c r="D49" s="1153"/>
      <c r="E49" s="1153"/>
      <c r="F49" s="1153"/>
      <c r="G49" s="1155" t="str">
        <f>IF(AND(L13=0,N13=0),"",IF(ISNONTEXT(D13),"",R13))</f>
        <v/>
      </c>
      <c r="H49" s="1155"/>
      <c r="I49" s="1153" t="str">
        <f>IF(G49=$G$40,C49,"")</f>
        <v/>
      </c>
      <c r="J49" s="1153"/>
      <c r="K49" s="1153"/>
      <c r="L49" s="1153"/>
      <c r="M49" s="1154">
        <f>IF(AND(NOT(N13=0),ISNONTEXT(D13)),1,0)</f>
        <v>0.0</v>
      </c>
      <c r="N49" s="1122"/>
      <c r="O49" s="1122"/>
      <c r="P49" s="1153" t="str">
        <f>IF(F13="","",CONCATENATE(" ",C13,F13,H13))</f>
        <v> 🧗‍♂️攀爬</v>
      </c>
      <c r="Q49" s="1153"/>
      <c r="R49" s="1153"/>
      <c r="S49" s="1153"/>
      <c r="T49" s="1155" t="str">
        <f>IF(AND(L13=0,P13=0),"",IF(ISNONTEXT(D13),R13,""))</f>
        <v/>
      </c>
      <c r="U49" s="1155"/>
      <c r="V49" s="1153" t="str">
        <f>IF(T49=$T$40,P49,"")</f>
        <v/>
      </c>
      <c r="W49" s="1153"/>
      <c r="X49" s="1153"/>
      <c r="Y49" s="1153"/>
      <c r="AB49" s="1122"/>
      <c r="AC49" s="1153" t="str">
        <f>IF(F13="","",CONCATENATE(C13,F13,H13))</f>
        <v>🧗‍♂️攀爬</v>
      </c>
      <c r="AD49" s="1153"/>
      <c r="AE49" s="1153"/>
      <c r="AF49" s="1153"/>
      <c r="AG49" s="1155">
        <f>R13</f>
        <v>20.0</v>
      </c>
      <c r="AH49" s="1155"/>
      <c r="AI49" s="1153" t="b">
        <f>IF(AND(OR(ISNUMBER(L13),ISNUMBER(N13),ISNUMBER(P13)),OR(L13&gt;0,N13&gt;0,P13&gt;0)),TRUE,FALSE)</f>
        <v>0</v>
      </c>
      <c r="AJ49" s="1153"/>
      <c r="AK49" s="1153"/>
      <c r="AL49" s="1153"/>
      <c r="AM49" s="1153" t="str">
        <f>IF($AI49,IF(LARGE($AG$41:$AH$107,AM$40)=$AG49,$AC49,""),"")</f>
        <v/>
      </c>
      <c r="AN49" s="1153"/>
      <c r="AO49" s="1153"/>
      <c r="AP49" s="1153"/>
      <c r="AQ49" s="1153" t="str">
        <f>IF($AI49,IF(LARGE($AG$41:$AH$107,AQ$40)=$AG49,$AC49,""),"")</f>
        <v/>
      </c>
      <c r="AR49" s="1153"/>
      <c r="AS49" s="1153"/>
      <c r="AT49" s="1153"/>
      <c r="AU49" s="1153" t="str">
        <f>IF($AI49,IF(LARGE($AG$41:$AH$107,AU$40)=$AG49,$AC49,""),"")</f>
        <v/>
      </c>
      <c r="AV49" s="1153"/>
      <c r="AW49" s="1153"/>
      <c r="AX49" s="1153"/>
      <c r="AY49" s="1153" t="str">
        <f>IF($AI49,IF(LARGE($AG$41:$AH$107,AY$40)=$AG49,$AC49,""),"")</f>
        <v/>
      </c>
      <c r="AZ49" s="1153"/>
      <c r="BA49" s="1153"/>
      <c r="BB49" s="1153"/>
      <c r="BC49" s="1153" t="str">
        <f>IF($AI49,IF(LARGE($AG$41:$AH$107,BC$40)=$AG49,$AC49,""),"")</f>
        <v/>
      </c>
      <c r="BD49" s="1153"/>
      <c r="BE49" s="1153"/>
      <c r="BF49" s="1153"/>
      <c r="BG49" s="1153" t="str">
        <f>IF($AI49,IF(LARGE($AG$41:$AH$107,BG$40)=$AG49,$AC49,""),"")</f>
        <v/>
      </c>
      <c r="BH49" s="1153"/>
      <c r="BI49" s="1153"/>
      <c r="BJ49" s="1153"/>
      <c r="BK49" s="1153" t="str">
        <f>IF($AI49,IF(LARGE($AG$41:$AH$107,BK$40)=$AG49,$AC49,""),"")</f>
        <v/>
      </c>
      <c r="BL49" s="1153"/>
      <c r="BM49" s="1153"/>
      <c r="BN49" s="1153"/>
      <c r="BO49" s="1153" t="str">
        <f>IF($AI49,IF(LARGE($AG$41:$AH$107,BO$40)=$AG49,$AC49,""),"")</f>
        <v/>
      </c>
      <c r="BP49" s="1153"/>
      <c r="BQ49" s="1153"/>
      <c r="BR49" s="1153"/>
      <c r="BS49" s="1153" t="str">
        <f>IF($AI49,IF(LARGE($AG$41:$AH$107,BS$40)=$AG49,$AC49,""),"")</f>
        <v/>
      </c>
      <c r="BT49" s="1153"/>
      <c r="BU49" s="1153"/>
      <c r="BV49" s="1153"/>
      <c r="BW49" s="1153" t="str">
        <f>IF($AI49,IF(LARGE($AG$41:$AH$107,BW$40)=$AG49,$AC49,""),"")</f>
        <v/>
      </c>
      <c r="BX49" s="1153"/>
      <c r="BY49" s="1153"/>
      <c r="BZ49" s="1153"/>
      <c r="CA49" s="1153" t="str">
        <f>IF($AI49,IF(LARGE($AG$41:$AH$107,CA$40)=$AG49,$AC49,""),"")</f>
        <v/>
      </c>
      <c r="CB49" s="1153"/>
      <c r="CC49" s="1153"/>
      <c r="CD49" s="1153"/>
      <c r="CE49" s="1153" t="str">
        <f>IF($AI49,IF(LARGE($AG$41:$AH$107,CE$40)=$AG49,$AC49,""),"")</f>
        <v/>
      </c>
      <c r="CF49" s="1153"/>
      <c r="CG49" s="1153"/>
      <c r="CH49" s="1153"/>
      <c r="CI49" s="1153" t="str">
        <f>IF($AI49,IF(LARGE($AG$41:$AH$107,CI$40)=$AG49,$AC49,""),"")</f>
        <v/>
      </c>
      <c r="CJ49" s="1153"/>
      <c r="CK49" s="1153"/>
      <c r="CL49" s="1153"/>
      <c r="CM49" s="1153" t="str">
        <f>IF($AI49,IF(LARGE($AG$41:$AH$107,CM$40)=$AG49,$AC49,""),"")</f>
        <v/>
      </c>
      <c r="CN49" s="1153"/>
      <c r="CO49" s="1153"/>
      <c r="CP49" s="1153"/>
      <c r="CQ49" s="1153" t="str">
        <f>IF($AI49,IF(LARGE($AG$41:$AH$107,CQ$40)=$AG49,$AC49,""),"")</f>
        <v/>
      </c>
      <c r="CR49" s="1153"/>
      <c r="CS49" s="1153"/>
      <c r="CT49" s="1153"/>
      <c r="CU49" s="1153" t="str">
        <f>IF($AI49,IF(LARGE($AG$41:$AH$107,CU$40)=$AG49,$AC49,""),"")</f>
        <v/>
      </c>
      <c r="CV49" s="1153"/>
      <c r="CW49" s="1153"/>
      <c r="CX49" s="1153"/>
      <c r="CY49" s="1153" t="str">
        <f>IF($AI49,IF(LARGE($AG$41:$AH$107,CY$40)=$AG49,$AC49,""),"")</f>
        <v/>
      </c>
      <c r="CZ49" s="1153"/>
      <c r="DA49" s="1153"/>
      <c r="DB49" s="1153"/>
      <c r="DC49" s="1153" t="str">
        <f>IF($AI49,IF(LARGE($AG$41:$AH$107,DC$40)=$AG49,$AC49,""),"")</f>
        <v/>
      </c>
      <c r="DD49" s="1153"/>
      <c r="DE49" s="1153"/>
      <c r="DF49" s="1153"/>
      <c r="DG49" s="1153" t="str">
        <f>IF($AI49,IF(LARGE($AG$41:$AH$107,DG$40)=$AG49,$AC49,""),"")</f>
        <v/>
      </c>
      <c r="DH49" s="1153"/>
      <c r="DI49" s="1153"/>
      <c r="DJ49" s="1153"/>
      <c r="DK49" s="1153" t="str">
        <f>IF($AI49,IF(LARGE($AG$41:$AH$107,DK$40)=$AG49,$AC49,""),"")</f>
        <v/>
      </c>
      <c r="DL49" s="1153"/>
      <c r="DM49" s="1153"/>
      <c r="DN49" s="1153"/>
      <c r="DO49" s="1153" t="str">
        <f>IF($AI49,IF(LARGE($AG$41:$AH$107,DO$40)=$AG49,$AC49,""),"")</f>
        <v/>
      </c>
      <c r="DP49" s="1153"/>
      <c r="DQ49" s="1153"/>
      <c r="DR49" s="1153"/>
      <c r="DS49" s="1153" t="str">
        <f>IF($AI49,IF(LARGE($AG$41:$AH$107,DS$40)=$AG49,$AC49,""),"")</f>
        <v/>
      </c>
      <c r="DT49" s="1153"/>
      <c r="DU49" s="1153"/>
      <c r="DV49" s="1153"/>
      <c r="DW49" s="1153" t="str">
        <f>IF($AI49,IF(LARGE($AG$41:$AH$107,DW$40)=$AG49,$AC49,""),"")</f>
        <v/>
      </c>
      <c r="DX49" s="1153"/>
      <c r="DY49" s="1153"/>
      <c r="DZ49" s="1153"/>
      <c r="EA49" s="1153" t="str">
        <f>IF($AI49,IF(LARGE($AG$41:$AH$107,EA$40)=$AG49,$AC49,""),"")</f>
        <v/>
      </c>
      <c r="EB49" s="1153"/>
      <c r="EC49" s="1153"/>
      <c r="ED49" s="1153"/>
      <c r="EE49" s="1153" t="str">
        <f>IF($AI49,IF(LARGE($AG$41:$AH$107,EE$40)=$AG49,$AC49,""),"")</f>
        <v/>
      </c>
      <c r="EF49" s="1153"/>
      <c r="EG49" s="1153"/>
      <c r="EH49" s="1153"/>
      <c r="EI49" s="1153" t="str">
        <f>IF($AI49,IF(LARGE($AG$41:$AH$107,EI$40)=$AG49,$AC49,""),"")</f>
        <v/>
      </c>
      <c r="EJ49" s="1153"/>
      <c r="EK49" s="1153"/>
      <c r="EL49" s="1153"/>
      <c r="EM49" s="1153" t="str">
        <f>IF($AI49,IF(LARGE($AG$41:$AH$107,EM$40)=$AG49,$AC49,""),"")</f>
        <v/>
      </c>
      <c r="EN49" s="1153"/>
      <c r="EO49" s="1153"/>
      <c r="EP49" s="1153"/>
      <c r="EQ49" s="1153" t="str">
        <f>IF($AI49,IF(LARGE($AG$41:$AH$107,EQ$40)=$AG49,$AC49,""),"")</f>
        <v/>
      </c>
      <c r="ER49" s="1153"/>
      <c r="ES49" s="1153"/>
      <c r="ET49" s="1153"/>
      <c r="EU49" s="1153" t="str">
        <f>IF($AI49,IF(LARGE($AG$41:$AH$107,EU$40)=$AG49,$AC49,""),"")</f>
        <v/>
      </c>
      <c r="EV49" s="1153"/>
      <c r="EW49" s="1153"/>
      <c r="EX49" s="1153"/>
      <c r="EY49" s="1153" t="str">
        <f>IF($AI49,IF(LARGE($AG$41:$AH$107,EY$40)=$AG49,$AC49,""),"")</f>
        <v/>
      </c>
      <c r="EZ49" s="1153"/>
      <c r="FA49" s="1153"/>
      <c r="FB49" s="1153"/>
      <c r="FC49" s="1153" t="str">
        <f>IF($AI49,IF(LARGE($AG$41:$AH$107,FC$40)=$AG49,$AC49,""),"")</f>
        <v/>
      </c>
      <c r="FD49" s="1153"/>
      <c r="FE49" s="1153"/>
      <c r="FF49" s="1153"/>
      <c r="FG49" s="1153" t="str">
        <f>IF($AI49,IF(LARGE($AG$41:$AH$107,FG$40)=$AG49,$AC49,""),"")</f>
        <v/>
      </c>
      <c r="FH49" s="1153"/>
      <c r="FI49" s="1153"/>
      <c r="FJ49" s="1153"/>
      <c r="FK49" s="1153" t="str">
        <f>IF($AI49,IF(LARGE($AG$41:$AH$107,FK$40)=$AG49,$AC49,""),"")</f>
        <v/>
      </c>
      <c r="FL49" s="1153"/>
      <c r="FM49" s="1153"/>
      <c r="FN49" s="1153"/>
      <c r="FO49" s="1153" t="str">
        <f>IF($AI49,IF(LARGE($AG$41:$AH$107,FO$40)=$AG49,$AC49,""),"")</f>
        <v/>
      </c>
      <c r="FP49" s="1153"/>
      <c r="FQ49" s="1153"/>
      <c r="FR49" s="1153"/>
      <c r="FS49" s="1153" t="str">
        <f>IF($AI49,IF(LARGE($AG$41:$AH$107,FS$40)=$AG49,$AC49,""),"")</f>
        <v/>
      </c>
      <c r="FT49" s="1153"/>
      <c r="FU49" s="1153"/>
      <c r="FV49" s="1153"/>
      <c r="FW49" s="1153" t="str">
        <f>IF($AI49,IF(LARGE($AG$41:$AH$107,FW$40)=$AG49,$AC49,""),"")</f>
        <v/>
      </c>
      <c r="FX49" s="1153"/>
      <c r="FY49" s="1153"/>
      <c r="FZ49" s="1153"/>
      <c r="GA49" s="1153" t="str">
        <f>IF($AI49,IF(LARGE($AG$41:$AH$107,GA$40)=$AG49,$AC49,""),"")</f>
        <v/>
      </c>
      <c r="GB49" s="1153"/>
      <c r="GC49" s="1153"/>
      <c r="GD49" s="1153"/>
      <c r="GE49" s="1153" t="str">
        <f>IF($AI49,IF(LARGE($AG$41:$AH$107,GE$40)=$AG49,$AC49,""),"")</f>
        <v/>
      </c>
      <c r="GF49" s="1153"/>
      <c r="GG49" s="1153"/>
      <c r="GH49" s="1153"/>
      <c r="GI49" s="1153" t="str">
        <f>IF($AI49,IF(LARGE($AG$41:$AH$107,GI$40)=$AG49,$AC49,""),"")</f>
        <v/>
      </c>
      <c r="GJ49" s="1153"/>
      <c r="GK49" s="1153"/>
      <c r="GL49" s="1153"/>
      <c r="GM49" s="1153" t="str">
        <f>IF($AI49,IF(LARGE($AG$41:$AH$107,GM$40)=$AG49,$AC49,""),"")</f>
        <v/>
      </c>
      <c r="GN49" s="1153"/>
      <c r="GO49" s="1153"/>
      <c r="GP49" s="1153"/>
      <c r="GQ49" s="1153" t="str">
        <f>IF($AI49,IF(LARGE($AG$41:$AH$107,GQ$40)=$AG49,$AC49,""),"")</f>
        <v/>
      </c>
      <c r="GR49" s="1153"/>
      <c r="GS49" s="1153"/>
      <c r="GT49" s="1153"/>
      <c r="GU49" s="1153" t="str">
        <f>IF($AI49,IF(LARGE($AG$41:$AH$107,GU$40)=$AG49,$AC49,""),"")</f>
        <v/>
      </c>
      <c r="GV49" s="1153"/>
      <c r="GW49" s="1153"/>
      <c r="GX49" s="1153"/>
      <c r="GY49" s="1153" t="str">
        <f>IF($AI49,IF(LARGE($AG$41:$AH$107,GY$40)=$AG49,$AC49,""),"")</f>
        <v/>
      </c>
      <c r="GZ49" s="1153"/>
      <c r="HA49" s="1153"/>
      <c r="HB49" s="1153"/>
      <c r="HC49" s="1153" t="str">
        <f>IF($AI49,IF(LARGE($AG$41:$AH$107,HC$40)=$AG49,$AC49,""),"")</f>
        <v/>
      </c>
      <c r="HD49" s="1153"/>
      <c r="HE49" s="1153"/>
      <c r="HF49" s="1153"/>
      <c r="HG49" s="1153" t="str">
        <f>IF($AI49,IF(LARGE($AG$41:$AH$107,HG$40)=$AG49,$AC49,""),"")</f>
        <v/>
      </c>
      <c r="HH49" s="1153"/>
      <c r="HI49" s="1153"/>
      <c r="HJ49" s="1153"/>
      <c r="HK49" s="1153" t="str">
        <f>IF($AI49,IF(LARGE($AG$41:$AH$107,HK$40)=$AG49,$AC49,""),"")</f>
        <v/>
      </c>
      <c r="HL49" s="1153"/>
      <c r="HM49" s="1153"/>
      <c r="HN49" s="1153"/>
      <c r="HO49" s="1153" t="str">
        <f>IF($AI49,IF(LARGE($AG$41:$AH$107,HO$40)=$AG49,$AC49,""),"")</f>
        <v/>
      </c>
      <c r="HP49" s="1153"/>
      <c r="HQ49" s="1153"/>
      <c r="HR49" s="1153"/>
      <c r="HS49" s="1153" t="str">
        <f>IF($AI49,IF(LARGE($AG$41:$AH$107,HS$40)=$AG49,$AC49,""),"")</f>
        <v/>
      </c>
      <c r="HT49" s="1153"/>
      <c r="HU49" s="1153"/>
      <c r="HV49" s="1153"/>
      <c r="HW49" s="1153" t="str">
        <f>IF($AI49,IF(LARGE($AG$41:$AH$107,HW$40)=$AG49,$AC49,""),"")</f>
        <v/>
      </c>
      <c r="HX49" s="1153"/>
      <c r="HY49" s="1153"/>
      <c r="HZ49" s="1153"/>
      <c r="IA49" s="1153" t="str">
        <f>IF($AI49,IF(LARGE($AG$41:$AH$107,IA$40)=$AG49,$AC49,""),"")</f>
        <v/>
      </c>
      <c r="IB49" s="1153"/>
      <c r="IC49" s="1153"/>
      <c r="ID49" s="1153"/>
      <c r="IE49" s="1153" t="str">
        <f>IF($AI49,IF(LARGE($AG$41:$AH$107,IE$40)=$AG49,$AC49,""),"")</f>
        <v/>
      </c>
      <c r="IF49" s="1153"/>
      <c r="IG49" s="1153"/>
      <c r="IH49" s="1153"/>
      <c r="II49" s="1153" t="str">
        <f>IF($AI49,IF(LARGE($AG$41:$AH$107,II$40)=$AG49,$AC49,""),"")</f>
        <v/>
      </c>
      <c r="IJ49" s="1153"/>
      <c r="IK49" s="1153"/>
      <c r="IL49" s="1153"/>
      <c r="IM49" s="1153" t="str">
        <f>IF($AI49,IF(LARGE($AG$41:$AH$107,IM$40)=$AG49,$AC49,""),"")</f>
        <v/>
      </c>
      <c r="IN49" s="1153"/>
      <c r="IO49" s="1153"/>
      <c r="IP49" s="1153"/>
      <c r="IQ49" s="1153" t="str">
        <f>IF($AI49,IF(LARGE($AG$41:$AH$107,IQ$40)=$AG49,$AC49,""),"")</f>
        <v/>
      </c>
      <c r="IR49" s="1153"/>
      <c r="IS49" s="1153"/>
      <c r="IT49" s="1153"/>
      <c r="IU49" s="1153" t="str">
        <f>IF($AI49,IF(LARGE($AG$41:$AH$107,IU$40)=$AG49,$AC49,""),"")</f>
        <v/>
      </c>
      <c r="IV49" s="1153"/>
      <c r="IW49" s="1153"/>
      <c r="IX49" s="1153"/>
      <c r="IY49" s="1153" t="str">
        <f>IF($AI49,IF(LARGE($AG$41:$AH$107,IY$40)=$AG49,$AC49,""),"")</f>
        <v/>
      </c>
      <c r="IZ49" s="1153"/>
      <c r="JA49" s="1153"/>
      <c r="JB49" s="1153"/>
      <c r="JC49" s="1153" t="str">
        <f>IF($AI49,IF(LARGE($AG$41:$AH$107,JC$40)=$AG49,$AC49,""),"")</f>
        <v/>
      </c>
      <c r="JD49" s="1153"/>
      <c r="JE49" s="1153"/>
      <c r="JF49" s="1153"/>
      <c r="JG49" s="1153" t="str">
        <f>IF($AI49,IF(LARGE($AG$41:$AH$107,JG$40)=$AG49,$AC49,""),"")</f>
        <v/>
      </c>
      <c r="JH49" s="1153"/>
      <c r="JI49" s="1153"/>
      <c r="JJ49" s="1153"/>
      <c r="JK49" s="1153" t="str">
        <f>IF($AI49,IF(LARGE($AG$41:$AH$107,JK$40)=$AG49,$AC49,""),"")</f>
        <v/>
      </c>
      <c r="JL49" s="1153"/>
      <c r="JM49" s="1153"/>
      <c r="JN49" s="1153"/>
      <c r="JO49" s="1153" t="str">
        <f>IF($AI49,IF(LARGE($AG$41:$AH$107,JO$40)=$AG49,$AC49,""),"")</f>
        <v/>
      </c>
      <c r="JP49" s="1153"/>
      <c r="JQ49" s="1153"/>
      <c r="JR49" s="1153"/>
      <c r="JS49" s="1153" t="str">
        <f>IF($AI49,IF(LARGE($AG$41:$AH$107,JS$40)=$AG49,$AC49,""),"")</f>
        <v/>
      </c>
      <c r="JT49" s="1153"/>
      <c r="JU49" s="1153"/>
      <c r="JV49" s="1153"/>
      <c r="JW49" s="1153" t="str">
        <f>IF($AI49,IF(LARGE($AG$41:$AH$107,JW$40)=$AG49,$AC49,""),"")</f>
        <v/>
      </c>
      <c r="JX49" s="1153"/>
      <c r="JY49" s="1153"/>
      <c r="JZ49" s="1153"/>
      <c r="KA49" s="1153" t="str">
        <f>IF($AI49,IF(LARGE($AG$41:$AH$107,KA$40)=$AG49,$AC49,""),"")</f>
        <v/>
      </c>
      <c r="KB49" s="1153"/>
      <c r="KC49" s="1153"/>
      <c r="KD49" s="1153"/>
      <c r="KE49" s="1153" t="str">
        <f>IF($AI49,IF(LARGE($AG$41:$AH$107,KE$40)=$AG49,$AC49,""),"")</f>
        <v/>
      </c>
      <c r="KF49" s="1153"/>
      <c r="KG49" s="1153"/>
      <c r="KH49" s="1153"/>
      <c r="KI49" s="1153" t="str">
        <f>IF($AI49,IF(LARGE($AG$41:$AH$107,KI$40)=$AG49,$AC49,""),"")</f>
        <v/>
      </c>
      <c r="KJ49" s="1153"/>
      <c r="KK49" s="1153"/>
      <c r="KL49" s="1153"/>
      <c r="KM49" s="1153" t="str">
        <f>IF($AI49,IF(LARGE($AG$41:$AH$107,KM$40)=$AG49,$AC49,""),"")</f>
        <v/>
      </c>
      <c r="KN49" s="1153"/>
      <c r="KO49" s="1153"/>
      <c r="KP49" s="1153"/>
      <c r="KQ49" s="1153" t="str">
        <f>IF($AI49,IF(LARGE($AG$41:$AH$107,KQ$40)=$AG49,$AC49,""),"")</f>
        <v/>
      </c>
      <c r="KR49" s="1153"/>
      <c r="KS49" s="1153"/>
      <c r="KT49" s="1153"/>
    </row>
    <row r="50" spans="8:8">
      <c r="C50" s="1153" t="str">
        <f>IF(F14="","",CONCATENATE(" ",C14,F14,H14))</f>
        <v> 💻计算机使用 Ω</v>
      </c>
      <c r="D50" s="1153"/>
      <c r="E50" s="1153"/>
      <c r="F50" s="1153"/>
      <c r="G50" s="1155" t="str">
        <f>IF(AND(L14=0,N14=0),"",IF(ISNONTEXT(D14),"",R14))</f>
        <v/>
      </c>
      <c r="H50" s="1155"/>
      <c r="I50" s="1153" t="str">
        <f>IF(G50=$G$40,C50,"")</f>
        <v/>
      </c>
      <c r="J50" s="1153"/>
      <c r="K50" s="1153"/>
      <c r="L50" s="1153"/>
      <c r="M50" s="1154">
        <f>IF(AND(NOT(N14=0),ISNONTEXT(D14)),1,0)</f>
        <v>0.0</v>
      </c>
      <c r="N50" s="1122"/>
      <c r="O50" s="1122"/>
      <c r="P50" s="1153" t="str">
        <f>IF(F14="","",CONCATENATE(" ",C14,F14,H14))</f>
        <v> 💻计算机使用 Ω</v>
      </c>
      <c r="Q50" s="1153"/>
      <c r="R50" s="1153"/>
      <c r="S50" s="1153"/>
      <c r="T50" s="1155" t="str">
        <f>IF(AND(L14=0,P14=0),"",IF(ISNONTEXT(D14),R14,""))</f>
        <v/>
      </c>
      <c r="U50" s="1155"/>
      <c r="V50" s="1153" t="str">
        <f>IF(T50=$T$40,P50,"")</f>
        <v/>
      </c>
      <c r="W50" s="1153"/>
      <c r="X50" s="1153"/>
      <c r="Y50" s="1153"/>
      <c r="AB50" s="1122"/>
      <c r="AC50" s="1153" t="str">
        <f>IF(F14="","",CONCATENATE(C14,F14,H14))</f>
        <v>💻计算机使用 Ω</v>
      </c>
      <c r="AD50" s="1153"/>
      <c r="AE50" s="1153"/>
      <c r="AF50" s="1153"/>
      <c r="AG50" s="1155">
        <f>R14</f>
        <v>5.0</v>
      </c>
      <c r="AH50" s="1155"/>
      <c r="AI50" s="1153" t="b">
        <f>IF(AND(OR(ISNUMBER(L14),ISNUMBER(N14),ISNUMBER(P14)),OR(L14&gt;0,N14&gt;0,P14&gt;0)),TRUE,FALSE)</f>
        <v>0</v>
      </c>
      <c r="AJ50" s="1153"/>
      <c r="AK50" s="1153"/>
      <c r="AL50" s="1153"/>
      <c r="AM50" s="1153" t="str">
        <f>IF($AI50,IF(LARGE($AG$41:$AH$107,AM$40)=$AG50,$AC50,""),"")</f>
        <v/>
      </c>
      <c r="AN50" s="1153"/>
      <c r="AO50" s="1153"/>
      <c r="AP50" s="1153"/>
      <c r="AQ50" s="1153" t="str">
        <f>IF($AI50,IF(LARGE($AG$41:$AH$107,AQ$40)=$AG50,$AC50,""),"")</f>
        <v/>
      </c>
      <c r="AR50" s="1153"/>
      <c r="AS50" s="1153"/>
      <c r="AT50" s="1153"/>
      <c r="AU50" s="1153" t="str">
        <f>IF($AI50,IF(LARGE($AG$41:$AH$107,AU$40)=$AG50,$AC50,""),"")</f>
        <v/>
      </c>
      <c r="AV50" s="1153"/>
      <c r="AW50" s="1153"/>
      <c r="AX50" s="1153"/>
      <c r="AY50" s="1153" t="str">
        <f>IF($AI50,IF(LARGE($AG$41:$AH$107,AY$40)=$AG50,$AC50,""),"")</f>
        <v/>
      </c>
      <c r="AZ50" s="1153"/>
      <c r="BA50" s="1153"/>
      <c r="BB50" s="1153"/>
      <c r="BC50" s="1153" t="str">
        <f>IF($AI50,IF(LARGE($AG$41:$AH$107,BC$40)=$AG50,$AC50,""),"")</f>
        <v/>
      </c>
      <c r="BD50" s="1153"/>
      <c r="BE50" s="1153"/>
      <c r="BF50" s="1153"/>
      <c r="BG50" s="1153" t="str">
        <f>IF($AI50,IF(LARGE($AG$41:$AH$107,BG$40)=$AG50,$AC50,""),"")</f>
        <v/>
      </c>
      <c r="BH50" s="1153"/>
      <c r="BI50" s="1153"/>
      <c r="BJ50" s="1153"/>
      <c r="BK50" s="1153" t="str">
        <f>IF($AI50,IF(LARGE($AG$41:$AH$107,BK$40)=$AG50,$AC50,""),"")</f>
        <v/>
      </c>
      <c r="BL50" s="1153"/>
      <c r="BM50" s="1153"/>
      <c r="BN50" s="1153"/>
      <c r="BO50" s="1153" t="str">
        <f>IF($AI50,IF(LARGE($AG$41:$AH$107,BO$40)=$AG50,$AC50,""),"")</f>
        <v/>
      </c>
      <c r="BP50" s="1153"/>
      <c r="BQ50" s="1153"/>
      <c r="BR50" s="1153"/>
      <c r="BS50" s="1153" t="str">
        <f>IF($AI50,IF(LARGE($AG$41:$AH$107,BS$40)=$AG50,$AC50,""),"")</f>
        <v/>
      </c>
      <c r="BT50" s="1153"/>
      <c r="BU50" s="1153"/>
      <c r="BV50" s="1153"/>
      <c r="BW50" s="1153" t="str">
        <f>IF($AI50,IF(LARGE($AG$41:$AH$107,BW$40)=$AG50,$AC50,""),"")</f>
        <v/>
      </c>
      <c r="BX50" s="1153"/>
      <c r="BY50" s="1153"/>
      <c r="BZ50" s="1153"/>
      <c r="CA50" s="1153" t="str">
        <f>IF($AI50,IF(LARGE($AG$41:$AH$107,CA$40)=$AG50,$AC50,""),"")</f>
        <v/>
      </c>
      <c r="CB50" s="1153"/>
      <c r="CC50" s="1153"/>
      <c r="CD50" s="1153"/>
      <c r="CE50" s="1153" t="str">
        <f>IF($AI50,IF(LARGE($AG$41:$AH$107,CE$40)=$AG50,$AC50,""),"")</f>
        <v/>
      </c>
      <c r="CF50" s="1153"/>
      <c r="CG50" s="1153"/>
      <c r="CH50" s="1153"/>
      <c r="CI50" s="1153" t="str">
        <f>IF($AI50,IF(LARGE($AG$41:$AH$107,CI$40)=$AG50,$AC50,""),"")</f>
        <v/>
      </c>
      <c r="CJ50" s="1153"/>
      <c r="CK50" s="1153"/>
      <c r="CL50" s="1153"/>
      <c r="CM50" s="1153" t="str">
        <f>IF($AI50,IF(LARGE($AG$41:$AH$107,CM$40)=$AG50,$AC50,""),"")</f>
        <v/>
      </c>
      <c r="CN50" s="1153"/>
      <c r="CO50" s="1153"/>
      <c r="CP50" s="1153"/>
      <c r="CQ50" s="1153" t="str">
        <f>IF($AI50,IF(LARGE($AG$41:$AH$107,CQ$40)=$AG50,$AC50,""),"")</f>
        <v/>
      </c>
      <c r="CR50" s="1153"/>
      <c r="CS50" s="1153"/>
      <c r="CT50" s="1153"/>
      <c r="CU50" s="1153" t="str">
        <f>IF($AI50,IF(LARGE($AG$41:$AH$107,CU$40)=$AG50,$AC50,""),"")</f>
        <v/>
      </c>
      <c r="CV50" s="1153"/>
      <c r="CW50" s="1153"/>
      <c r="CX50" s="1153"/>
      <c r="CY50" s="1153" t="str">
        <f>IF($AI50,IF(LARGE($AG$41:$AH$107,CY$40)=$AG50,$AC50,""),"")</f>
        <v/>
      </c>
      <c r="CZ50" s="1153"/>
      <c r="DA50" s="1153"/>
      <c r="DB50" s="1153"/>
      <c r="DC50" s="1153" t="str">
        <f>IF($AI50,IF(LARGE($AG$41:$AH$107,DC$40)=$AG50,$AC50,""),"")</f>
        <v/>
      </c>
      <c r="DD50" s="1153"/>
      <c r="DE50" s="1153"/>
      <c r="DF50" s="1153"/>
      <c r="DG50" s="1153" t="str">
        <f>IF($AI50,IF(LARGE($AG$41:$AH$107,DG$40)=$AG50,$AC50,""),"")</f>
        <v/>
      </c>
      <c r="DH50" s="1153"/>
      <c r="DI50" s="1153"/>
      <c r="DJ50" s="1153"/>
      <c r="DK50" s="1153" t="str">
        <f>IF($AI50,IF(LARGE($AG$41:$AH$107,DK$40)=$AG50,$AC50,""),"")</f>
        <v/>
      </c>
      <c r="DL50" s="1153"/>
      <c r="DM50" s="1153"/>
      <c r="DN50" s="1153"/>
      <c r="DO50" s="1153" t="str">
        <f>IF($AI50,IF(LARGE($AG$41:$AH$107,DO$40)=$AG50,$AC50,""),"")</f>
        <v/>
      </c>
      <c r="DP50" s="1153"/>
      <c r="DQ50" s="1153"/>
      <c r="DR50" s="1153"/>
      <c r="DS50" s="1153" t="str">
        <f>IF($AI50,IF(LARGE($AG$41:$AH$107,DS$40)=$AG50,$AC50,""),"")</f>
        <v/>
      </c>
      <c r="DT50" s="1153"/>
      <c r="DU50" s="1153"/>
      <c r="DV50" s="1153"/>
      <c r="DW50" s="1153" t="str">
        <f>IF($AI50,IF(LARGE($AG$41:$AH$107,DW$40)=$AG50,$AC50,""),"")</f>
        <v/>
      </c>
      <c r="DX50" s="1153"/>
      <c r="DY50" s="1153"/>
      <c r="DZ50" s="1153"/>
      <c r="EA50" s="1153" t="str">
        <f>IF($AI50,IF(LARGE($AG$41:$AH$107,EA$40)=$AG50,$AC50,""),"")</f>
        <v/>
      </c>
      <c r="EB50" s="1153"/>
      <c r="EC50" s="1153"/>
      <c r="ED50" s="1153"/>
      <c r="EE50" s="1153" t="str">
        <f>IF($AI50,IF(LARGE($AG$41:$AH$107,EE$40)=$AG50,$AC50,""),"")</f>
        <v/>
      </c>
      <c r="EF50" s="1153"/>
      <c r="EG50" s="1153"/>
      <c r="EH50" s="1153"/>
      <c r="EI50" s="1153" t="str">
        <f>IF($AI50,IF(LARGE($AG$41:$AH$107,EI$40)=$AG50,$AC50,""),"")</f>
        <v/>
      </c>
      <c r="EJ50" s="1153"/>
      <c r="EK50" s="1153"/>
      <c r="EL50" s="1153"/>
      <c r="EM50" s="1153" t="str">
        <f>IF($AI50,IF(LARGE($AG$41:$AH$107,EM$40)=$AG50,$AC50,""),"")</f>
        <v/>
      </c>
      <c r="EN50" s="1153"/>
      <c r="EO50" s="1153"/>
      <c r="EP50" s="1153"/>
      <c r="EQ50" s="1153" t="str">
        <f>IF($AI50,IF(LARGE($AG$41:$AH$107,EQ$40)=$AG50,$AC50,""),"")</f>
        <v/>
      </c>
      <c r="ER50" s="1153"/>
      <c r="ES50" s="1153"/>
      <c r="ET50" s="1153"/>
      <c r="EU50" s="1153" t="str">
        <f>IF($AI50,IF(LARGE($AG$41:$AH$107,EU$40)=$AG50,$AC50,""),"")</f>
        <v/>
      </c>
      <c r="EV50" s="1153"/>
      <c r="EW50" s="1153"/>
      <c r="EX50" s="1153"/>
      <c r="EY50" s="1153" t="str">
        <f>IF($AI50,IF(LARGE($AG$41:$AH$107,EY$40)=$AG50,$AC50,""),"")</f>
        <v/>
      </c>
      <c r="EZ50" s="1153"/>
      <c r="FA50" s="1153"/>
      <c r="FB50" s="1153"/>
      <c r="FC50" s="1153" t="str">
        <f>IF($AI50,IF(LARGE($AG$41:$AH$107,FC$40)=$AG50,$AC50,""),"")</f>
        <v/>
      </c>
      <c r="FD50" s="1153"/>
      <c r="FE50" s="1153"/>
      <c r="FF50" s="1153"/>
      <c r="FG50" s="1153" t="str">
        <f>IF($AI50,IF(LARGE($AG$41:$AH$107,FG$40)=$AG50,$AC50,""),"")</f>
        <v/>
      </c>
      <c r="FH50" s="1153"/>
      <c r="FI50" s="1153"/>
      <c r="FJ50" s="1153"/>
      <c r="FK50" s="1153" t="str">
        <f>IF($AI50,IF(LARGE($AG$41:$AH$107,FK$40)=$AG50,$AC50,""),"")</f>
        <v/>
      </c>
      <c r="FL50" s="1153"/>
      <c r="FM50" s="1153"/>
      <c r="FN50" s="1153"/>
      <c r="FO50" s="1153" t="str">
        <f>IF($AI50,IF(LARGE($AG$41:$AH$107,FO$40)=$AG50,$AC50,""),"")</f>
        <v/>
      </c>
      <c r="FP50" s="1153"/>
      <c r="FQ50" s="1153"/>
      <c r="FR50" s="1153"/>
      <c r="FS50" s="1153" t="str">
        <f>IF($AI50,IF(LARGE($AG$41:$AH$107,FS$40)=$AG50,$AC50,""),"")</f>
        <v/>
      </c>
      <c r="FT50" s="1153"/>
      <c r="FU50" s="1153"/>
      <c r="FV50" s="1153"/>
      <c r="FW50" s="1153" t="str">
        <f>IF($AI50,IF(LARGE($AG$41:$AH$107,FW$40)=$AG50,$AC50,""),"")</f>
        <v/>
      </c>
      <c r="FX50" s="1153"/>
      <c r="FY50" s="1153"/>
      <c r="FZ50" s="1153"/>
      <c r="GA50" s="1153" t="str">
        <f>IF($AI50,IF(LARGE($AG$41:$AH$107,GA$40)=$AG50,$AC50,""),"")</f>
        <v/>
      </c>
      <c r="GB50" s="1153"/>
      <c r="GC50" s="1153"/>
      <c r="GD50" s="1153"/>
      <c r="GE50" s="1153" t="str">
        <f>IF($AI50,IF(LARGE($AG$41:$AH$107,GE$40)=$AG50,$AC50,""),"")</f>
        <v/>
      </c>
      <c r="GF50" s="1153"/>
      <c r="GG50" s="1153"/>
      <c r="GH50" s="1153"/>
      <c r="GI50" s="1153" t="str">
        <f>IF($AI50,IF(LARGE($AG$41:$AH$107,GI$40)=$AG50,$AC50,""),"")</f>
        <v/>
      </c>
      <c r="GJ50" s="1153"/>
      <c r="GK50" s="1153"/>
      <c r="GL50" s="1153"/>
      <c r="GM50" s="1153" t="str">
        <f>IF($AI50,IF(LARGE($AG$41:$AH$107,GM$40)=$AG50,$AC50,""),"")</f>
        <v/>
      </c>
      <c r="GN50" s="1153"/>
      <c r="GO50" s="1153"/>
      <c r="GP50" s="1153"/>
      <c r="GQ50" s="1153" t="str">
        <f>IF($AI50,IF(LARGE($AG$41:$AH$107,GQ$40)=$AG50,$AC50,""),"")</f>
        <v/>
      </c>
      <c r="GR50" s="1153"/>
      <c r="GS50" s="1153"/>
      <c r="GT50" s="1153"/>
      <c r="GU50" s="1153" t="str">
        <f>IF($AI50,IF(LARGE($AG$41:$AH$107,GU$40)=$AG50,$AC50,""),"")</f>
        <v/>
      </c>
      <c r="GV50" s="1153"/>
      <c r="GW50" s="1153"/>
      <c r="GX50" s="1153"/>
      <c r="GY50" s="1153" t="str">
        <f>IF($AI50,IF(LARGE($AG$41:$AH$107,GY$40)=$AG50,$AC50,""),"")</f>
        <v/>
      </c>
      <c r="GZ50" s="1153"/>
      <c r="HA50" s="1153"/>
      <c r="HB50" s="1153"/>
      <c r="HC50" s="1153" t="str">
        <f>IF($AI50,IF(LARGE($AG$41:$AH$107,HC$40)=$AG50,$AC50,""),"")</f>
        <v/>
      </c>
      <c r="HD50" s="1153"/>
      <c r="HE50" s="1153"/>
      <c r="HF50" s="1153"/>
      <c r="HG50" s="1153" t="str">
        <f>IF($AI50,IF(LARGE($AG$41:$AH$107,HG$40)=$AG50,$AC50,""),"")</f>
        <v/>
      </c>
      <c r="HH50" s="1153"/>
      <c r="HI50" s="1153"/>
      <c r="HJ50" s="1153"/>
      <c r="HK50" s="1153" t="str">
        <f>IF($AI50,IF(LARGE($AG$41:$AH$107,HK$40)=$AG50,$AC50,""),"")</f>
        <v/>
      </c>
      <c r="HL50" s="1153"/>
      <c r="HM50" s="1153"/>
      <c r="HN50" s="1153"/>
      <c r="HO50" s="1153" t="str">
        <f>IF($AI50,IF(LARGE($AG$41:$AH$107,HO$40)=$AG50,$AC50,""),"")</f>
        <v/>
      </c>
      <c r="HP50" s="1153"/>
      <c r="HQ50" s="1153"/>
      <c r="HR50" s="1153"/>
      <c r="HS50" s="1153" t="str">
        <f>IF($AI50,IF(LARGE($AG$41:$AH$107,HS$40)=$AG50,$AC50,""),"")</f>
        <v/>
      </c>
      <c r="HT50" s="1153"/>
      <c r="HU50" s="1153"/>
      <c r="HV50" s="1153"/>
      <c r="HW50" s="1153" t="str">
        <f>IF($AI50,IF(LARGE($AG$41:$AH$107,HW$40)=$AG50,$AC50,""),"")</f>
        <v/>
      </c>
      <c r="HX50" s="1153"/>
      <c r="HY50" s="1153"/>
      <c r="HZ50" s="1153"/>
      <c r="IA50" s="1153" t="str">
        <f>IF($AI50,IF(LARGE($AG$41:$AH$107,IA$40)=$AG50,$AC50,""),"")</f>
        <v/>
      </c>
      <c r="IB50" s="1153"/>
      <c r="IC50" s="1153"/>
      <c r="ID50" s="1153"/>
      <c r="IE50" s="1153" t="str">
        <f>IF($AI50,IF(LARGE($AG$41:$AH$107,IE$40)=$AG50,$AC50,""),"")</f>
        <v/>
      </c>
      <c r="IF50" s="1153"/>
      <c r="IG50" s="1153"/>
      <c r="IH50" s="1153"/>
      <c r="II50" s="1153" t="str">
        <f>IF($AI50,IF(LARGE($AG$41:$AH$107,II$40)=$AG50,$AC50,""),"")</f>
        <v/>
      </c>
      <c r="IJ50" s="1153"/>
      <c r="IK50" s="1153"/>
      <c r="IL50" s="1153"/>
      <c r="IM50" s="1153" t="str">
        <f>IF($AI50,IF(LARGE($AG$41:$AH$107,IM$40)=$AG50,$AC50,""),"")</f>
        <v/>
      </c>
      <c r="IN50" s="1153"/>
      <c r="IO50" s="1153"/>
      <c r="IP50" s="1153"/>
      <c r="IQ50" s="1153" t="str">
        <f>IF($AI50,IF(LARGE($AG$41:$AH$107,IQ$40)=$AG50,$AC50,""),"")</f>
        <v/>
      </c>
      <c r="IR50" s="1153"/>
      <c r="IS50" s="1153"/>
      <c r="IT50" s="1153"/>
      <c r="IU50" s="1153" t="str">
        <f>IF($AI50,IF(LARGE($AG$41:$AH$107,IU$40)=$AG50,$AC50,""),"")</f>
        <v/>
      </c>
      <c r="IV50" s="1153"/>
      <c r="IW50" s="1153"/>
      <c r="IX50" s="1153"/>
      <c r="IY50" s="1153" t="str">
        <f>IF($AI50,IF(LARGE($AG$41:$AH$107,IY$40)=$AG50,$AC50,""),"")</f>
        <v/>
      </c>
      <c r="IZ50" s="1153"/>
      <c r="JA50" s="1153"/>
      <c r="JB50" s="1153"/>
      <c r="JC50" s="1153" t="str">
        <f>IF($AI50,IF(LARGE($AG$41:$AH$107,JC$40)=$AG50,$AC50,""),"")</f>
        <v/>
      </c>
      <c r="JD50" s="1153"/>
      <c r="JE50" s="1153"/>
      <c r="JF50" s="1153"/>
      <c r="JG50" s="1153" t="str">
        <f>IF($AI50,IF(LARGE($AG$41:$AH$107,JG$40)=$AG50,$AC50,""),"")</f>
        <v/>
      </c>
      <c r="JH50" s="1153"/>
      <c r="JI50" s="1153"/>
      <c r="JJ50" s="1153"/>
      <c r="JK50" s="1153" t="str">
        <f>IF($AI50,IF(LARGE($AG$41:$AH$107,JK$40)=$AG50,$AC50,""),"")</f>
        <v/>
      </c>
      <c r="JL50" s="1153"/>
      <c r="JM50" s="1153"/>
      <c r="JN50" s="1153"/>
      <c r="JO50" s="1153" t="str">
        <f>IF($AI50,IF(LARGE($AG$41:$AH$107,JO$40)=$AG50,$AC50,""),"")</f>
        <v/>
      </c>
      <c r="JP50" s="1153"/>
      <c r="JQ50" s="1153"/>
      <c r="JR50" s="1153"/>
      <c r="JS50" s="1153" t="str">
        <f>IF($AI50,IF(LARGE($AG$41:$AH$107,JS$40)=$AG50,$AC50,""),"")</f>
        <v/>
      </c>
      <c r="JT50" s="1153"/>
      <c r="JU50" s="1153"/>
      <c r="JV50" s="1153"/>
      <c r="JW50" s="1153" t="str">
        <f>IF($AI50,IF(LARGE($AG$41:$AH$107,JW$40)=$AG50,$AC50,""),"")</f>
        <v/>
      </c>
      <c r="JX50" s="1153"/>
      <c r="JY50" s="1153"/>
      <c r="JZ50" s="1153"/>
      <c r="KA50" s="1153" t="str">
        <f>IF($AI50,IF(LARGE($AG$41:$AH$107,KA$40)=$AG50,$AC50,""),"")</f>
        <v/>
      </c>
      <c r="KB50" s="1153"/>
      <c r="KC50" s="1153"/>
      <c r="KD50" s="1153"/>
      <c r="KE50" s="1153" t="str">
        <f>IF($AI50,IF(LARGE($AG$41:$AH$107,KE$40)=$AG50,$AC50,""),"")</f>
        <v/>
      </c>
      <c r="KF50" s="1153"/>
      <c r="KG50" s="1153"/>
      <c r="KH50" s="1153"/>
      <c r="KI50" s="1153" t="str">
        <f>IF($AI50,IF(LARGE($AG$41:$AH$107,KI$40)=$AG50,$AC50,""),"")</f>
        <v/>
      </c>
      <c r="KJ50" s="1153"/>
      <c r="KK50" s="1153"/>
      <c r="KL50" s="1153"/>
      <c r="KM50" s="1153" t="str">
        <f>IF($AI50,IF(LARGE($AG$41:$AH$107,KM$40)=$AG50,$AC50,""),"")</f>
        <v/>
      </c>
      <c r="KN50" s="1153"/>
      <c r="KO50" s="1153"/>
      <c r="KP50" s="1153"/>
      <c r="KQ50" s="1153" t="str">
        <f>IF($AI50,IF(LARGE($AG$41:$AH$107,KQ$40)=$AG50,$AC50,""),"")</f>
        <v/>
      </c>
      <c r="KR50" s="1153"/>
      <c r="KS50" s="1153"/>
      <c r="KT50" s="1153"/>
    </row>
    <row r="51" spans="8:8">
      <c r="C51" s="1153" t="str">
        <f>IF(F15="","",CONCATENATE(" ",C15,F15,H15))</f>
        <v> 💳信用评级</v>
      </c>
      <c r="D51" s="1153"/>
      <c r="E51" s="1153"/>
      <c r="F51" s="1153"/>
      <c r="G51" s="1155" t="str">
        <f>IF(AND(L15=0,N15=0),"",IF(ISNONTEXT(D15),"",R15))</f>
        <v/>
      </c>
      <c r="H51" s="1155"/>
      <c r="I51" s="1153" t="str">
        <f>IF(G51=$G$40,C51,"")</f>
        <v/>
      </c>
      <c r="J51" s="1153"/>
      <c r="K51" s="1153"/>
      <c r="L51" s="1153"/>
      <c r="M51" s="1154">
        <f>IF(AND(NOT(N15=0),ISNONTEXT(D15)),1,0)</f>
        <v>0.0</v>
      </c>
      <c r="N51" s="1122"/>
      <c r="O51" s="1122"/>
      <c r="P51" s="1153" t="str">
        <f>IF(F15="","",CONCATENATE(" ",C15,F15,H15))</f>
        <v> 💳信用评级</v>
      </c>
      <c r="Q51" s="1153"/>
      <c r="R51" s="1153"/>
      <c r="S51" s="1153"/>
      <c r="T51" s="1155" t="str">
        <f>IF(AND(L15=0,P15=0),"",IF(ISNONTEXT(D15),R15,""))</f>
        <v/>
      </c>
      <c r="U51" s="1155"/>
      <c r="V51" s="1153" t="str">
        <f>IF(T51=$T$40,P51,"")</f>
        <v/>
      </c>
      <c r="W51" s="1153"/>
      <c r="X51" s="1153"/>
      <c r="Y51" s="1153"/>
      <c r="AB51" s="1122"/>
      <c r="AC51" s="1153" t="str">
        <f>IF(F15="","",CONCATENATE(C15,F15,H15))</f>
        <v>💳信用评级</v>
      </c>
      <c r="AD51" s="1153"/>
      <c r="AE51" s="1153"/>
      <c r="AF51" s="1153"/>
      <c r="AG51" s="1155">
        <f>R15</f>
        <v>0.0</v>
      </c>
      <c r="AH51" s="1155"/>
      <c r="AI51" s="1153" t="b">
        <f>IF(AND(OR(ISNUMBER(L15),ISNUMBER(N15),ISNUMBER(P15)),OR(L15&gt;0,N15&gt;0,P15&gt;0)),TRUE,FALSE)</f>
        <v>0</v>
      </c>
      <c r="AJ51" s="1153"/>
      <c r="AK51" s="1153"/>
      <c r="AL51" s="1153"/>
      <c r="AM51" s="1153" t="str">
        <f>IF($AI51,IF(LARGE($AG$41:$AH$107,AM$40)=$AG51,$AC51,""),"")</f>
        <v/>
      </c>
      <c r="AN51" s="1153"/>
      <c r="AO51" s="1153"/>
      <c r="AP51" s="1153"/>
      <c r="AQ51" s="1153" t="str">
        <f>IF($AI51,IF(LARGE($AG$41:$AH$107,AQ$40)=$AG51,$AC51,""),"")</f>
        <v/>
      </c>
      <c r="AR51" s="1153"/>
      <c r="AS51" s="1153"/>
      <c r="AT51" s="1153"/>
      <c r="AU51" s="1153" t="str">
        <f>IF($AI51,IF(LARGE($AG$41:$AH$107,AU$40)=$AG51,$AC51,""),"")</f>
        <v/>
      </c>
      <c r="AV51" s="1153"/>
      <c r="AW51" s="1153"/>
      <c r="AX51" s="1153"/>
      <c r="AY51" s="1153" t="str">
        <f>IF($AI51,IF(LARGE($AG$41:$AH$107,AY$40)=$AG51,$AC51,""),"")</f>
        <v/>
      </c>
      <c r="AZ51" s="1153"/>
      <c r="BA51" s="1153"/>
      <c r="BB51" s="1153"/>
      <c r="BC51" s="1153" t="str">
        <f>IF($AI51,IF(LARGE($AG$41:$AH$107,BC$40)=$AG51,$AC51,""),"")</f>
        <v/>
      </c>
      <c r="BD51" s="1153"/>
      <c r="BE51" s="1153"/>
      <c r="BF51" s="1153"/>
      <c r="BG51" s="1153" t="str">
        <f>IF($AI51,IF(LARGE($AG$41:$AH$107,BG$40)=$AG51,$AC51,""),"")</f>
        <v/>
      </c>
      <c r="BH51" s="1153"/>
      <c r="BI51" s="1153"/>
      <c r="BJ51" s="1153"/>
      <c r="BK51" s="1153" t="str">
        <f>IF($AI51,IF(LARGE($AG$41:$AH$107,BK$40)=$AG51,$AC51,""),"")</f>
        <v/>
      </c>
      <c r="BL51" s="1153"/>
      <c r="BM51" s="1153"/>
      <c r="BN51" s="1153"/>
      <c r="BO51" s="1153" t="str">
        <f>IF($AI51,IF(LARGE($AG$41:$AH$107,BO$40)=$AG51,$AC51,""),"")</f>
        <v/>
      </c>
      <c r="BP51" s="1153"/>
      <c r="BQ51" s="1153"/>
      <c r="BR51" s="1153"/>
      <c r="BS51" s="1153" t="str">
        <f>IF($AI51,IF(LARGE($AG$41:$AH$107,BS$40)=$AG51,$AC51,""),"")</f>
        <v/>
      </c>
      <c r="BT51" s="1153"/>
      <c r="BU51" s="1153"/>
      <c r="BV51" s="1153"/>
      <c r="BW51" s="1153" t="str">
        <f>IF($AI51,IF(LARGE($AG$41:$AH$107,BW$40)=$AG51,$AC51,""),"")</f>
        <v/>
      </c>
      <c r="BX51" s="1153"/>
      <c r="BY51" s="1153"/>
      <c r="BZ51" s="1153"/>
      <c r="CA51" s="1153" t="str">
        <f>IF($AI51,IF(LARGE($AG$41:$AH$107,CA$40)=$AG51,$AC51,""),"")</f>
        <v/>
      </c>
      <c r="CB51" s="1153"/>
      <c r="CC51" s="1153"/>
      <c r="CD51" s="1153"/>
      <c r="CE51" s="1153" t="str">
        <f>IF($AI51,IF(LARGE($AG$41:$AH$107,CE$40)=$AG51,$AC51,""),"")</f>
        <v/>
      </c>
      <c r="CF51" s="1153"/>
      <c r="CG51" s="1153"/>
      <c r="CH51" s="1153"/>
      <c r="CI51" s="1153" t="str">
        <f>IF($AI51,IF(LARGE($AG$41:$AH$107,CI$40)=$AG51,$AC51,""),"")</f>
        <v/>
      </c>
      <c r="CJ51" s="1153"/>
      <c r="CK51" s="1153"/>
      <c r="CL51" s="1153"/>
      <c r="CM51" s="1153" t="str">
        <f>IF($AI51,IF(LARGE($AG$41:$AH$107,CM$40)=$AG51,$AC51,""),"")</f>
        <v/>
      </c>
      <c r="CN51" s="1153"/>
      <c r="CO51" s="1153"/>
      <c r="CP51" s="1153"/>
      <c r="CQ51" s="1153" t="str">
        <f>IF($AI51,IF(LARGE($AG$41:$AH$107,CQ$40)=$AG51,$AC51,""),"")</f>
        <v/>
      </c>
      <c r="CR51" s="1153"/>
      <c r="CS51" s="1153"/>
      <c r="CT51" s="1153"/>
      <c r="CU51" s="1153" t="str">
        <f>IF($AI51,IF(LARGE($AG$41:$AH$107,CU$40)=$AG51,$AC51,""),"")</f>
        <v/>
      </c>
      <c r="CV51" s="1153"/>
      <c r="CW51" s="1153"/>
      <c r="CX51" s="1153"/>
      <c r="CY51" s="1153" t="str">
        <f>IF($AI51,IF(LARGE($AG$41:$AH$107,CY$40)=$AG51,$AC51,""),"")</f>
        <v/>
      </c>
      <c r="CZ51" s="1153"/>
      <c r="DA51" s="1153"/>
      <c r="DB51" s="1153"/>
      <c r="DC51" s="1153" t="str">
        <f>IF($AI51,IF(LARGE($AG$41:$AH$107,DC$40)=$AG51,$AC51,""),"")</f>
        <v/>
      </c>
      <c r="DD51" s="1153"/>
      <c r="DE51" s="1153"/>
      <c r="DF51" s="1153"/>
      <c r="DG51" s="1153" t="str">
        <f>IF($AI51,IF(LARGE($AG$41:$AH$107,DG$40)=$AG51,$AC51,""),"")</f>
        <v/>
      </c>
      <c r="DH51" s="1153"/>
      <c r="DI51" s="1153"/>
      <c r="DJ51" s="1153"/>
      <c r="DK51" s="1153" t="str">
        <f>IF($AI51,IF(LARGE($AG$41:$AH$107,DK$40)=$AG51,$AC51,""),"")</f>
        <v/>
      </c>
      <c r="DL51" s="1153"/>
      <c r="DM51" s="1153"/>
      <c r="DN51" s="1153"/>
      <c r="DO51" s="1153" t="str">
        <f>IF($AI51,IF(LARGE($AG$41:$AH$107,DO$40)=$AG51,$AC51,""),"")</f>
        <v/>
      </c>
      <c r="DP51" s="1153"/>
      <c r="DQ51" s="1153"/>
      <c r="DR51" s="1153"/>
      <c r="DS51" s="1153" t="str">
        <f>IF($AI51,IF(LARGE($AG$41:$AH$107,DS$40)=$AG51,$AC51,""),"")</f>
        <v/>
      </c>
      <c r="DT51" s="1153"/>
      <c r="DU51" s="1153"/>
      <c r="DV51" s="1153"/>
      <c r="DW51" s="1153" t="str">
        <f>IF($AI51,IF(LARGE($AG$41:$AH$107,DW$40)=$AG51,$AC51,""),"")</f>
        <v/>
      </c>
      <c r="DX51" s="1153"/>
      <c r="DY51" s="1153"/>
      <c r="DZ51" s="1153"/>
      <c r="EA51" s="1153" t="str">
        <f>IF($AI51,IF(LARGE($AG$41:$AH$107,EA$40)=$AG51,$AC51,""),"")</f>
        <v/>
      </c>
      <c r="EB51" s="1153"/>
      <c r="EC51" s="1153"/>
      <c r="ED51" s="1153"/>
      <c r="EE51" s="1153" t="str">
        <f>IF($AI51,IF(LARGE($AG$41:$AH$107,EE$40)=$AG51,$AC51,""),"")</f>
        <v/>
      </c>
      <c r="EF51" s="1153"/>
      <c r="EG51" s="1153"/>
      <c r="EH51" s="1153"/>
      <c r="EI51" s="1153" t="str">
        <f>IF($AI51,IF(LARGE($AG$41:$AH$107,EI$40)=$AG51,$AC51,""),"")</f>
        <v/>
      </c>
      <c r="EJ51" s="1153"/>
      <c r="EK51" s="1153"/>
      <c r="EL51" s="1153"/>
      <c r="EM51" s="1153" t="str">
        <f>IF($AI51,IF(LARGE($AG$41:$AH$107,EM$40)=$AG51,$AC51,""),"")</f>
        <v/>
      </c>
      <c r="EN51" s="1153"/>
      <c r="EO51" s="1153"/>
      <c r="EP51" s="1153"/>
      <c r="EQ51" s="1153" t="str">
        <f>IF($AI51,IF(LARGE($AG$41:$AH$107,EQ$40)=$AG51,$AC51,""),"")</f>
        <v/>
      </c>
      <c r="ER51" s="1153"/>
      <c r="ES51" s="1153"/>
      <c r="ET51" s="1153"/>
      <c r="EU51" s="1153" t="str">
        <f>IF($AI51,IF(LARGE($AG$41:$AH$107,EU$40)=$AG51,$AC51,""),"")</f>
        <v/>
      </c>
      <c r="EV51" s="1153"/>
      <c r="EW51" s="1153"/>
      <c r="EX51" s="1153"/>
      <c r="EY51" s="1153" t="str">
        <f>IF($AI51,IF(LARGE($AG$41:$AH$107,EY$40)=$AG51,$AC51,""),"")</f>
        <v/>
      </c>
      <c r="EZ51" s="1153"/>
      <c r="FA51" s="1153"/>
      <c r="FB51" s="1153"/>
      <c r="FC51" s="1153" t="str">
        <f>IF($AI51,IF(LARGE($AG$41:$AH$107,FC$40)=$AG51,$AC51,""),"")</f>
        <v/>
      </c>
      <c r="FD51" s="1153"/>
      <c r="FE51" s="1153"/>
      <c r="FF51" s="1153"/>
      <c r="FG51" s="1153" t="str">
        <f>IF($AI51,IF(LARGE($AG$41:$AH$107,FG$40)=$AG51,$AC51,""),"")</f>
        <v/>
      </c>
      <c r="FH51" s="1153"/>
      <c r="FI51" s="1153"/>
      <c r="FJ51" s="1153"/>
      <c r="FK51" s="1153" t="str">
        <f>IF($AI51,IF(LARGE($AG$41:$AH$107,FK$40)=$AG51,$AC51,""),"")</f>
        <v/>
      </c>
      <c r="FL51" s="1153"/>
      <c r="FM51" s="1153"/>
      <c r="FN51" s="1153"/>
      <c r="FO51" s="1153" t="str">
        <f>IF($AI51,IF(LARGE($AG$41:$AH$107,FO$40)=$AG51,$AC51,""),"")</f>
        <v/>
      </c>
      <c r="FP51" s="1153"/>
      <c r="FQ51" s="1153"/>
      <c r="FR51" s="1153"/>
      <c r="FS51" s="1153" t="str">
        <f>IF($AI51,IF(LARGE($AG$41:$AH$107,FS$40)=$AG51,$AC51,""),"")</f>
        <v/>
      </c>
      <c r="FT51" s="1153"/>
      <c r="FU51" s="1153"/>
      <c r="FV51" s="1153"/>
      <c r="FW51" s="1153" t="str">
        <f>IF($AI51,IF(LARGE($AG$41:$AH$107,FW$40)=$AG51,$AC51,""),"")</f>
        <v/>
      </c>
      <c r="FX51" s="1153"/>
      <c r="FY51" s="1153"/>
      <c r="FZ51" s="1153"/>
      <c r="GA51" s="1153" t="str">
        <f>IF($AI51,IF(LARGE($AG$41:$AH$107,GA$40)=$AG51,$AC51,""),"")</f>
        <v/>
      </c>
      <c r="GB51" s="1153"/>
      <c r="GC51" s="1153"/>
      <c r="GD51" s="1153"/>
      <c r="GE51" s="1153" t="str">
        <f>IF($AI51,IF(LARGE($AG$41:$AH$107,GE$40)=$AG51,$AC51,""),"")</f>
        <v/>
      </c>
      <c r="GF51" s="1153"/>
      <c r="GG51" s="1153"/>
      <c r="GH51" s="1153"/>
      <c r="GI51" s="1153" t="str">
        <f>IF($AI51,IF(LARGE($AG$41:$AH$107,GI$40)=$AG51,$AC51,""),"")</f>
        <v/>
      </c>
      <c r="GJ51" s="1153"/>
      <c r="GK51" s="1153"/>
      <c r="GL51" s="1153"/>
      <c r="GM51" s="1153" t="str">
        <f>IF($AI51,IF(LARGE($AG$41:$AH$107,GM$40)=$AG51,$AC51,""),"")</f>
        <v/>
      </c>
      <c r="GN51" s="1153"/>
      <c r="GO51" s="1153"/>
      <c r="GP51" s="1153"/>
      <c r="GQ51" s="1153" t="str">
        <f>IF($AI51,IF(LARGE($AG$41:$AH$107,GQ$40)=$AG51,$AC51,""),"")</f>
        <v/>
      </c>
      <c r="GR51" s="1153"/>
      <c r="GS51" s="1153"/>
      <c r="GT51" s="1153"/>
      <c r="GU51" s="1153" t="str">
        <f>IF($AI51,IF(LARGE($AG$41:$AH$107,GU$40)=$AG51,$AC51,""),"")</f>
        <v/>
      </c>
      <c r="GV51" s="1153"/>
      <c r="GW51" s="1153"/>
      <c r="GX51" s="1153"/>
      <c r="GY51" s="1153" t="str">
        <f>IF($AI51,IF(LARGE($AG$41:$AH$107,GY$40)=$AG51,$AC51,""),"")</f>
        <v/>
      </c>
      <c r="GZ51" s="1153"/>
      <c r="HA51" s="1153"/>
      <c r="HB51" s="1153"/>
      <c r="HC51" s="1153" t="str">
        <f>IF($AI51,IF(LARGE($AG$41:$AH$107,HC$40)=$AG51,$AC51,""),"")</f>
        <v/>
      </c>
      <c r="HD51" s="1153"/>
      <c r="HE51" s="1153"/>
      <c r="HF51" s="1153"/>
      <c r="HG51" s="1153" t="str">
        <f>IF($AI51,IF(LARGE($AG$41:$AH$107,HG$40)=$AG51,$AC51,""),"")</f>
        <v/>
      </c>
      <c r="HH51" s="1153"/>
      <c r="HI51" s="1153"/>
      <c r="HJ51" s="1153"/>
      <c r="HK51" s="1153" t="str">
        <f>IF($AI51,IF(LARGE($AG$41:$AH$107,HK$40)=$AG51,$AC51,""),"")</f>
        <v/>
      </c>
      <c r="HL51" s="1153"/>
      <c r="HM51" s="1153"/>
      <c r="HN51" s="1153"/>
      <c r="HO51" s="1153" t="str">
        <f>IF($AI51,IF(LARGE($AG$41:$AH$107,HO$40)=$AG51,$AC51,""),"")</f>
        <v/>
      </c>
      <c r="HP51" s="1153"/>
      <c r="HQ51" s="1153"/>
      <c r="HR51" s="1153"/>
      <c r="HS51" s="1153" t="str">
        <f>IF($AI51,IF(LARGE($AG$41:$AH$107,HS$40)=$AG51,$AC51,""),"")</f>
        <v/>
      </c>
      <c r="HT51" s="1153"/>
      <c r="HU51" s="1153"/>
      <c r="HV51" s="1153"/>
      <c r="HW51" s="1153" t="str">
        <f>IF($AI51,IF(LARGE($AG$41:$AH$107,HW$40)=$AG51,$AC51,""),"")</f>
        <v/>
      </c>
      <c r="HX51" s="1153"/>
      <c r="HY51" s="1153"/>
      <c r="HZ51" s="1153"/>
      <c r="IA51" s="1153" t="str">
        <f>IF($AI51,IF(LARGE($AG$41:$AH$107,IA$40)=$AG51,$AC51,""),"")</f>
        <v/>
      </c>
      <c r="IB51" s="1153"/>
      <c r="IC51" s="1153"/>
      <c r="ID51" s="1153"/>
      <c r="IE51" s="1153" t="str">
        <f>IF($AI51,IF(LARGE($AG$41:$AH$107,IE$40)=$AG51,$AC51,""),"")</f>
        <v/>
      </c>
      <c r="IF51" s="1153"/>
      <c r="IG51" s="1153"/>
      <c r="IH51" s="1153"/>
      <c r="II51" s="1153" t="str">
        <f>IF($AI51,IF(LARGE($AG$41:$AH$107,II$40)=$AG51,$AC51,""),"")</f>
        <v/>
      </c>
      <c r="IJ51" s="1153"/>
      <c r="IK51" s="1153"/>
      <c r="IL51" s="1153"/>
      <c r="IM51" s="1153" t="str">
        <f>IF($AI51,IF(LARGE($AG$41:$AH$107,IM$40)=$AG51,$AC51,""),"")</f>
        <v/>
      </c>
      <c r="IN51" s="1153"/>
      <c r="IO51" s="1153"/>
      <c r="IP51" s="1153"/>
      <c r="IQ51" s="1153" t="str">
        <f>IF($AI51,IF(LARGE($AG$41:$AH$107,IQ$40)=$AG51,$AC51,""),"")</f>
        <v/>
      </c>
      <c r="IR51" s="1153"/>
      <c r="IS51" s="1153"/>
      <c r="IT51" s="1153"/>
      <c r="IU51" s="1153" t="str">
        <f>IF($AI51,IF(LARGE($AG$41:$AH$107,IU$40)=$AG51,$AC51,""),"")</f>
        <v/>
      </c>
      <c r="IV51" s="1153"/>
      <c r="IW51" s="1153"/>
      <c r="IX51" s="1153"/>
      <c r="IY51" s="1153" t="str">
        <f>IF($AI51,IF(LARGE($AG$41:$AH$107,IY$40)=$AG51,$AC51,""),"")</f>
        <v/>
      </c>
      <c r="IZ51" s="1153"/>
      <c r="JA51" s="1153"/>
      <c r="JB51" s="1153"/>
      <c r="JC51" s="1153" t="str">
        <f>IF($AI51,IF(LARGE($AG$41:$AH$107,JC$40)=$AG51,$AC51,""),"")</f>
        <v/>
      </c>
      <c r="JD51" s="1153"/>
      <c r="JE51" s="1153"/>
      <c r="JF51" s="1153"/>
      <c r="JG51" s="1153" t="str">
        <f>IF($AI51,IF(LARGE($AG$41:$AH$107,JG$40)=$AG51,$AC51,""),"")</f>
        <v/>
      </c>
      <c r="JH51" s="1153"/>
      <c r="JI51" s="1153"/>
      <c r="JJ51" s="1153"/>
      <c r="JK51" s="1153" t="str">
        <f>IF($AI51,IF(LARGE($AG$41:$AH$107,JK$40)=$AG51,$AC51,""),"")</f>
        <v/>
      </c>
      <c r="JL51" s="1153"/>
      <c r="JM51" s="1153"/>
      <c r="JN51" s="1153"/>
      <c r="JO51" s="1153" t="str">
        <f>IF($AI51,IF(LARGE($AG$41:$AH$107,JO$40)=$AG51,$AC51,""),"")</f>
        <v/>
      </c>
      <c r="JP51" s="1153"/>
      <c r="JQ51" s="1153"/>
      <c r="JR51" s="1153"/>
      <c r="JS51" s="1153" t="str">
        <f>IF($AI51,IF(LARGE($AG$41:$AH$107,JS$40)=$AG51,$AC51,""),"")</f>
        <v/>
      </c>
      <c r="JT51" s="1153"/>
      <c r="JU51" s="1153"/>
      <c r="JV51" s="1153"/>
      <c r="JW51" s="1153" t="str">
        <f>IF($AI51,IF(LARGE($AG$41:$AH$107,JW$40)=$AG51,$AC51,""),"")</f>
        <v/>
      </c>
      <c r="JX51" s="1153"/>
      <c r="JY51" s="1153"/>
      <c r="JZ51" s="1153"/>
      <c r="KA51" s="1153" t="str">
        <f>IF($AI51,IF(LARGE($AG$41:$AH$107,KA$40)=$AG51,$AC51,""),"")</f>
        <v/>
      </c>
      <c r="KB51" s="1153"/>
      <c r="KC51" s="1153"/>
      <c r="KD51" s="1153"/>
      <c r="KE51" s="1153" t="str">
        <f>IF($AI51,IF(LARGE($AG$41:$AH$107,KE$40)=$AG51,$AC51,""),"")</f>
        <v/>
      </c>
      <c r="KF51" s="1153"/>
      <c r="KG51" s="1153"/>
      <c r="KH51" s="1153"/>
      <c r="KI51" s="1153" t="str">
        <f>IF($AI51,IF(LARGE($AG$41:$AH$107,KI$40)=$AG51,$AC51,""),"")</f>
        <v/>
      </c>
      <c r="KJ51" s="1153"/>
      <c r="KK51" s="1153"/>
      <c r="KL51" s="1153"/>
      <c r="KM51" s="1153" t="str">
        <f>IF($AI51,IF(LARGE($AG$41:$AH$107,KM$40)=$AG51,$AC51,""),"")</f>
        <v/>
      </c>
      <c r="KN51" s="1153"/>
      <c r="KO51" s="1153"/>
      <c r="KP51" s="1153"/>
      <c r="KQ51" s="1153" t="str">
        <f>IF($AI51,IF(LARGE($AG$41:$AH$107,KQ$40)=$AG51,$AC51,""),"")</f>
        <v/>
      </c>
      <c r="KR51" s="1153"/>
      <c r="KS51" s="1153"/>
      <c r="KT51" s="1153"/>
    </row>
    <row r="52" spans="8:8">
      <c r="C52" s="1153" t="str">
        <f>IF(F16="","",CONCATENATE(" ",C16,F16,H16))</f>
        <v> 🐙克苏鲁神话</v>
      </c>
      <c r="D52" s="1153"/>
      <c r="E52" s="1153"/>
      <c r="F52" s="1153"/>
      <c r="G52" s="1155" t="str">
        <f>IF(AND(L16=0,N16=0),"",IF(ISNONTEXT(D16),"",R16))</f>
        <v/>
      </c>
      <c r="H52" s="1155"/>
      <c r="I52" s="1153" t="str">
        <f>IF(G52=$G$40,C52,"")</f>
        <v/>
      </c>
      <c r="J52" s="1153"/>
      <c r="K52" s="1153"/>
      <c r="L52" s="1153"/>
      <c r="M52" s="1154">
        <f>IF(AND(NOT(OR(N16=0,N16="——")),ISNONTEXT(D16)),1,0)</f>
        <v>0.0</v>
      </c>
      <c r="N52" s="1122"/>
      <c r="O52" s="1122"/>
      <c r="P52" s="1153" t="str">
        <f>IF(F16="","",CONCATENATE(" ",C16,F16,H16))</f>
        <v> 🐙克苏鲁神话</v>
      </c>
      <c r="Q52" s="1153"/>
      <c r="R52" s="1153"/>
      <c r="S52" s="1153"/>
      <c r="T52" s="1155" t="str">
        <f>IF(AND(L16=0,P16="——"),"",IF(ISNONTEXT(D16),R16,""))</f>
        <v/>
      </c>
      <c r="U52" s="1155"/>
      <c r="V52" s="1153" t="str">
        <f>IF(T52=$T$40,P52,"")</f>
        <v/>
      </c>
      <c r="W52" s="1153"/>
      <c r="X52" s="1153"/>
      <c r="Y52" s="1153"/>
      <c r="AB52" s="1122"/>
      <c r="AC52" s="1153" t="str">
        <f>IF(F16="","",CONCATENATE(C16,F16,H16))</f>
        <v>🐙克苏鲁神话</v>
      </c>
      <c r="AD52" s="1153"/>
      <c r="AE52" s="1153"/>
      <c r="AF52" s="1153"/>
      <c r="AG52" s="1155">
        <f>R16</f>
        <v>0.0</v>
      </c>
      <c r="AH52" s="1155"/>
      <c r="AI52" s="1153" t="b">
        <f>IF(AND(ISNUMBER(L16),L16&gt;0),TRUE,FALSE)</f>
        <v>0</v>
      </c>
      <c r="AJ52" s="1153"/>
      <c r="AK52" s="1153"/>
      <c r="AL52" s="1153"/>
      <c r="AM52" s="1153" t="str">
        <f>IF($AI52,IF(LARGE($AG$41:$AH$107,AM$40)=$AG52,$AC52,""),"")</f>
        <v/>
      </c>
      <c r="AN52" s="1153"/>
      <c r="AO52" s="1153"/>
      <c r="AP52" s="1153"/>
      <c r="AQ52" s="1153" t="str">
        <f>IF($AI52,IF(LARGE($AG$41:$AH$107,AQ$40)=$AG52,$AC52,""),"")</f>
        <v/>
      </c>
      <c r="AR52" s="1153"/>
      <c r="AS52" s="1153"/>
      <c r="AT52" s="1153"/>
      <c r="AU52" s="1153" t="str">
        <f>IF($AI52,IF(LARGE($AG$41:$AH$107,AU$40)=$AG52,$AC52,""),"")</f>
        <v/>
      </c>
      <c r="AV52" s="1153"/>
      <c r="AW52" s="1153"/>
      <c r="AX52" s="1153"/>
      <c r="AY52" s="1153" t="str">
        <f>IF($AI52,IF(LARGE($AG$41:$AH$107,AY$40)=$AG52,$AC52,""),"")</f>
        <v/>
      </c>
      <c r="AZ52" s="1153"/>
      <c r="BA52" s="1153"/>
      <c r="BB52" s="1153"/>
      <c r="BC52" s="1153" t="str">
        <f>IF($AI52,IF(LARGE($AG$41:$AH$107,BC$40)=$AG52,$AC52,""),"")</f>
        <v/>
      </c>
      <c r="BD52" s="1153"/>
      <c r="BE52" s="1153"/>
      <c r="BF52" s="1153"/>
      <c r="BG52" s="1153" t="str">
        <f>IF($AI52,IF(LARGE($AG$41:$AH$107,BG$40)=$AG52,$AC52,""),"")</f>
        <v/>
      </c>
      <c r="BH52" s="1153"/>
      <c r="BI52" s="1153"/>
      <c r="BJ52" s="1153"/>
      <c r="BK52" s="1153" t="str">
        <f>IF($AI52,IF(LARGE($AG$41:$AH$107,BK$40)=$AG52,$AC52,""),"")</f>
        <v/>
      </c>
      <c r="BL52" s="1153"/>
      <c r="BM52" s="1153"/>
      <c r="BN52" s="1153"/>
      <c r="BO52" s="1153" t="str">
        <f>IF($AI52,IF(LARGE($AG$41:$AH$107,BO$40)=$AG52,$AC52,""),"")</f>
        <v/>
      </c>
      <c r="BP52" s="1153"/>
      <c r="BQ52" s="1153"/>
      <c r="BR52" s="1153"/>
      <c r="BS52" s="1153" t="str">
        <f>IF($AI52,IF(LARGE($AG$41:$AH$107,BS$40)=$AG52,$AC52,""),"")</f>
        <v/>
      </c>
      <c r="BT52" s="1153"/>
      <c r="BU52" s="1153"/>
      <c r="BV52" s="1153"/>
      <c r="BW52" s="1153" t="str">
        <f>IF($AI52,IF(LARGE($AG$41:$AH$107,BW$40)=$AG52,$AC52,""),"")</f>
        <v/>
      </c>
      <c r="BX52" s="1153"/>
      <c r="BY52" s="1153"/>
      <c r="BZ52" s="1153"/>
      <c r="CA52" s="1153" t="str">
        <f>IF($AI52,IF(LARGE($AG$41:$AH$107,CA$40)=$AG52,$AC52,""),"")</f>
        <v/>
      </c>
      <c r="CB52" s="1153"/>
      <c r="CC52" s="1153"/>
      <c r="CD52" s="1153"/>
      <c r="CE52" s="1153" t="str">
        <f>IF($AI52,IF(LARGE($AG$41:$AH$107,CE$40)=$AG52,$AC52,""),"")</f>
        <v/>
      </c>
      <c r="CF52" s="1153"/>
      <c r="CG52" s="1153"/>
      <c r="CH52" s="1153"/>
      <c r="CI52" s="1153" t="str">
        <f>IF($AI52,IF(LARGE($AG$41:$AH$107,CI$40)=$AG52,$AC52,""),"")</f>
        <v/>
      </c>
      <c r="CJ52" s="1153"/>
      <c r="CK52" s="1153"/>
      <c r="CL52" s="1153"/>
      <c r="CM52" s="1153" t="str">
        <f>IF($AI52,IF(LARGE($AG$41:$AH$107,CM$40)=$AG52,$AC52,""),"")</f>
        <v/>
      </c>
      <c r="CN52" s="1153"/>
      <c r="CO52" s="1153"/>
      <c r="CP52" s="1153"/>
      <c r="CQ52" s="1153" t="str">
        <f>IF($AI52,IF(LARGE($AG$41:$AH$107,CQ$40)=$AG52,$AC52,""),"")</f>
        <v/>
      </c>
      <c r="CR52" s="1153"/>
      <c r="CS52" s="1153"/>
      <c r="CT52" s="1153"/>
      <c r="CU52" s="1153" t="str">
        <f>IF($AI52,IF(LARGE($AG$41:$AH$107,CU$40)=$AG52,$AC52,""),"")</f>
        <v/>
      </c>
      <c r="CV52" s="1153"/>
      <c r="CW52" s="1153"/>
      <c r="CX52" s="1153"/>
      <c r="CY52" s="1153" t="str">
        <f>IF($AI52,IF(LARGE($AG$41:$AH$107,CY$40)=$AG52,$AC52,""),"")</f>
        <v/>
      </c>
      <c r="CZ52" s="1153"/>
      <c r="DA52" s="1153"/>
      <c r="DB52" s="1153"/>
      <c r="DC52" s="1153" t="str">
        <f>IF($AI52,IF(LARGE($AG$41:$AH$107,DC$40)=$AG52,$AC52,""),"")</f>
        <v/>
      </c>
      <c r="DD52" s="1153"/>
      <c r="DE52" s="1153"/>
      <c r="DF52" s="1153"/>
      <c r="DG52" s="1153" t="str">
        <f>IF($AI52,IF(LARGE($AG$41:$AH$107,DG$40)=$AG52,$AC52,""),"")</f>
        <v/>
      </c>
      <c r="DH52" s="1153"/>
      <c r="DI52" s="1153"/>
      <c r="DJ52" s="1153"/>
      <c r="DK52" s="1153" t="str">
        <f>IF($AI52,IF(LARGE($AG$41:$AH$107,DK$40)=$AG52,$AC52,""),"")</f>
        <v/>
      </c>
      <c r="DL52" s="1153"/>
      <c r="DM52" s="1153"/>
      <c r="DN52" s="1153"/>
      <c r="DO52" s="1153" t="str">
        <f>IF($AI52,IF(LARGE($AG$41:$AH$107,DO$40)=$AG52,$AC52,""),"")</f>
        <v/>
      </c>
      <c r="DP52" s="1153"/>
      <c r="DQ52" s="1153"/>
      <c r="DR52" s="1153"/>
      <c r="DS52" s="1153" t="str">
        <f>IF($AI52,IF(LARGE($AG$41:$AH$107,DS$40)=$AG52,$AC52,""),"")</f>
        <v/>
      </c>
      <c r="DT52" s="1153"/>
      <c r="DU52" s="1153"/>
      <c r="DV52" s="1153"/>
      <c r="DW52" s="1153" t="str">
        <f>IF($AI52,IF(LARGE($AG$41:$AH$107,DW$40)=$AG52,$AC52,""),"")</f>
        <v/>
      </c>
      <c r="DX52" s="1153"/>
      <c r="DY52" s="1153"/>
      <c r="DZ52" s="1153"/>
      <c r="EA52" s="1153" t="str">
        <f>IF($AI52,IF(LARGE($AG$41:$AH$107,EA$40)=$AG52,$AC52,""),"")</f>
        <v/>
      </c>
      <c r="EB52" s="1153"/>
      <c r="EC52" s="1153"/>
      <c r="ED52" s="1153"/>
      <c r="EE52" s="1153" t="str">
        <f>IF($AI52,IF(LARGE($AG$41:$AH$107,EE$40)=$AG52,$AC52,""),"")</f>
        <v/>
      </c>
      <c r="EF52" s="1153"/>
      <c r="EG52" s="1153"/>
      <c r="EH52" s="1153"/>
      <c r="EI52" s="1153" t="str">
        <f>IF($AI52,IF(LARGE($AG$41:$AH$107,EI$40)=$AG52,$AC52,""),"")</f>
        <v/>
      </c>
      <c r="EJ52" s="1153"/>
      <c r="EK52" s="1153"/>
      <c r="EL52" s="1153"/>
      <c r="EM52" s="1153" t="str">
        <f>IF($AI52,IF(LARGE($AG$41:$AH$107,EM$40)=$AG52,$AC52,""),"")</f>
        <v/>
      </c>
      <c r="EN52" s="1153"/>
      <c r="EO52" s="1153"/>
      <c r="EP52" s="1153"/>
      <c r="EQ52" s="1153" t="str">
        <f>IF($AI52,IF(LARGE($AG$41:$AH$107,EQ$40)=$AG52,$AC52,""),"")</f>
        <v/>
      </c>
      <c r="ER52" s="1153"/>
      <c r="ES52" s="1153"/>
      <c r="ET52" s="1153"/>
      <c r="EU52" s="1153" t="str">
        <f>IF($AI52,IF(LARGE($AG$41:$AH$107,EU$40)=$AG52,$AC52,""),"")</f>
        <v/>
      </c>
      <c r="EV52" s="1153"/>
      <c r="EW52" s="1153"/>
      <c r="EX52" s="1153"/>
      <c r="EY52" s="1153" t="str">
        <f>IF($AI52,IF(LARGE($AG$41:$AH$107,EY$40)=$AG52,$AC52,""),"")</f>
        <v/>
      </c>
      <c r="EZ52" s="1153"/>
      <c r="FA52" s="1153"/>
      <c r="FB52" s="1153"/>
      <c r="FC52" s="1153" t="str">
        <f>IF($AI52,IF(LARGE($AG$41:$AH$107,FC$40)=$AG52,$AC52,""),"")</f>
        <v/>
      </c>
      <c r="FD52" s="1153"/>
      <c r="FE52" s="1153"/>
      <c r="FF52" s="1153"/>
      <c r="FG52" s="1153" t="str">
        <f>IF($AI52,IF(LARGE($AG$41:$AH$107,FG$40)=$AG52,$AC52,""),"")</f>
        <v/>
      </c>
      <c r="FH52" s="1153"/>
      <c r="FI52" s="1153"/>
      <c r="FJ52" s="1153"/>
      <c r="FK52" s="1153" t="str">
        <f>IF($AI52,IF(LARGE($AG$41:$AH$107,FK$40)=$AG52,$AC52,""),"")</f>
        <v/>
      </c>
      <c r="FL52" s="1153"/>
      <c r="FM52" s="1153"/>
      <c r="FN52" s="1153"/>
      <c r="FO52" s="1153" t="str">
        <f>IF($AI52,IF(LARGE($AG$41:$AH$107,FO$40)=$AG52,$AC52,""),"")</f>
        <v/>
      </c>
      <c r="FP52" s="1153"/>
      <c r="FQ52" s="1153"/>
      <c r="FR52" s="1153"/>
      <c r="FS52" s="1153" t="str">
        <f>IF($AI52,IF(LARGE($AG$41:$AH$107,FS$40)=$AG52,$AC52,""),"")</f>
        <v/>
      </c>
      <c r="FT52" s="1153"/>
      <c r="FU52" s="1153"/>
      <c r="FV52" s="1153"/>
      <c r="FW52" s="1153" t="str">
        <f>IF($AI52,IF(LARGE($AG$41:$AH$107,FW$40)=$AG52,$AC52,""),"")</f>
        <v/>
      </c>
      <c r="FX52" s="1153"/>
      <c r="FY52" s="1153"/>
      <c r="FZ52" s="1153"/>
      <c r="GA52" s="1153" t="str">
        <f>IF($AI52,IF(LARGE($AG$41:$AH$107,GA$40)=$AG52,$AC52,""),"")</f>
        <v/>
      </c>
      <c r="GB52" s="1153"/>
      <c r="GC52" s="1153"/>
      <c r="GD52" s="1153"/>
      <c r="GE52" s="1153" t="str">
        <f>IF($AI52,IF(LARGE($AG$41:$AH$107,GE$40)=$AG52,$AC52,""),"")</f>
        <v/>
      </c>
      <c r="GF52" s="1153"/>
      <c r="GG52" s="1153"/>
      <c r="GH52" s="1153"/>
      <c r="GI52" s="1153" t="str">
        <f>IF($AI52,IF(LARGE($AG$41:$AH$107,GI$40)=$AG52,$AC52,""),"")</f>
        <v/>
      </c>
      <c r="GJ52" s="1153"/>
      <c r="GK52" s="1153"/>
      <c r="GL52" s="1153"/>
      <c r="GM52" s="1153" t="str">
        <f>IF($AI52,IF(LARGE($AG$41:$AH$107,GM$40)=$AG52,$AC52,""),"")</f>
        <v/>
      </c>
      <c r="GN52" s="1153"/>
      <c r="GO52" s="1153"/>
      <c r="GP52" s="1153"/>
      <c r="GQ52" s="1153" t="str">
        <f>IF($AI52,IF(LARGE($AG$41:$AH$107,GQ$40)=$AG52,$AC52,""),"")</f>
        <v/>
      </c>
      <c r="GR52" s="1153"/>
      <c r="GS52" s="1153"/>
      <c r="GT52" s="1153"/>
      <c r="GU52" s="1153" t="str">
        <f>IF($AI52,IF(LARGE($AG$41:$AH$107,GU$40)=$AG52,$AC52,""),"")</f>
        <v/>
      </c>
      <c r="GV52" s="1153"/>
      <c r="GW52" s="1153"/>
      <c r="GX52" s="1153"/>
      <c r="GY52" s="1153" t="str">
        <f>IF($AI52,IF(LARGE($AG$41:$AH$107,GY$40)=$AG52,$AC52,""),"")</f>
        <v/>
      </c>
      <c r="GZ52" s="1153"/>
      <c r="HA52" s="1153"/>
      <c r="HB52" s="1153"/>
      <c r="HC52" s="1153" t="str">
        <f>IF($AI52,IF(LARGE($AG$41:$AH$107,HC$40)=$AG52,$AC52,""),"")</f>
        <v/>
      </c>
      <c r="HD52" s="1153"/>
      <c r="HE52" s="1153"/>
      <c r="HF52" s="1153"/>
      <c r="HG52" s="1153" t="str">
        <f>IF($AI52,IF(LARGE($AG$41:$AH$107,HG$40)=$AG52,$AC52,""),"")</f>
        <v/>
      </c>
      <c r="HH52" s="1153"/>
      <c r="HI52" s="1153"/>
      <c r="HJ52" s="1153"/>
      <c r="HK52" s="1153" t="str">
        <f>IF($AI52,IF(LARGE($AG$41:$AH$107,HK$40)=$AG52,$AC52,""),"")</f>
        <v/>
      </c>
      <c r="HL52" s="1153"/>
      <c r="HM52" s="1153"/>
      <c r="HN52" s="1153"/>
      <c r="HO52" s="1153" t="str">
        <f>IF($AI52,IF(LARGE($AG$41:$AH$107,HO$40)=$AG52,$AC52,""),"")</f>
        <v/>
      </c>
      <c r="HP52" s="1153"/>
      <c r="HQ52" s="1153"/>
      <c r="HR52" s="1153"/>
      <c r="HS52" s="1153" t="str">
        <f>IF($AI52,IF(LARGE($AG$41:$AH$107,HS$40)=$AG52,$AC52,""),"")</f>
        <v/>
      </c>
      <c r="HT52" s="1153"/>
      <c r="HU52" s="1153"/>
      <c r="HV52" s="1153"/>
      <c r="HW52" s="1153" t="str">
        <f>IF($AI52,IF(LARGE($AG$41:$AH$107,HW$40)=$AG52,$AC52,""),"")</f>
        <v/>
      </c>
      <c r="HX52" s="1153"/>
      <c r="HY52" s="1153"/>
      <c r="HZ52" s="1153"/>
      <c r="IA52" s="1153" t="str">
        <f>IF($AI52,IF(LARGE($AG$41:$AH$107,IA$40)=$AG52,$AC52,""),"")</f>
        <v/>
      </c>
      <c r="IB52" s="1153"/>
      <c r="IC52" s="1153"/>
      <c r="ID52" s="1153"/>
      <c r="IE52" s="1153" t="str">
        <f>IF($AI52,IF(LARGE($AG$41:$AH$107,IE$40)=$AG52,$AC52,""),"")</f>
        <v/>
      </c>
      <c r="IF52" s="1153"/>
      <c r="IG52" s="1153"/>
      <c r="IH52" s="1153"/>
      <c r="II52" s="1153" t="str">
        <f>IF($AI52,IF(LARGE($AG$41:$AH$107,II$40)=$AG52,$AC52,""),"")</f>
        <v/>
      </c>
      <c r="IJ52" s="1153"/>
      <c r="IK52" s="1153"/>
      <c r="IL52" s="1153"/>
      <c r="IM52" s="1153" t="str">
        <f>IF($AI52,IF(LARGE($AG$41:$AH$107,IM$40)=$AG52,$AC52,""),"")</f>
        <v/>
      </c>
      <c r="IN52" s="1153"/>
      <c r="IO52" s="1153"/>
      <c r="IP52" s="1153"/>
      <c r="IQ52" s="1153" t="str">
        <f>IF($AI52,IF(LARGE($AG$41:$AH$107,IQ$40)=$AG52,$AC52,""),"")</f>
        <v/>
      </c>
      <c r="IR52" s="1153"/>
      <c r="IS52" s="1153"/>
      <c r="IT52" s="1153"/>
      <c r="IU52" s="1153" t="str">
        <f>IF($AI52,IF(LARGE($AG$41:$AH$107,IU$40)=$AG52,$AC52,""),"")</f>
        <v/>
      </c>
      <c r="IV52" s="1153"/>
      <c r="IW52" s="1153"/>
      <c r="IX52" s="1153"/>
      <c r="IY52" s="1153" t="str">
        <f>IF($AI52,IF(LARGE($AG$41:$AH$107,IY$40)=$AG52,$AC52,""),"")</f>
        <v/>
      </c>
      <c r="IZ52" s="1153"/>
      <c r="JA52" s="1153"/>
      <c r="JB52" s="1153"/>
      <c r="JC52" s="1153" t="str">
        <f>IF($AI52,IF(LARGE($AG$41:$AH$107,JC$40)=$AG52,$AC52,""),"")</f>
        <v/>
      </c>
      <c r="JD52" s="1153"/>
      <c r="JE52" s="1153"/>
      <c r="JF52" s="1153"/>
      <c r="JG52" s="1153" t="str">
        <f>IF($AI52,IF(LARGE($AG$41:$AH$107,JG$40)=$AG52,$AC52,""),"")</f>
        <v/>
      </c>
      <c r="JH52" s="1153"/>
      <c r="JI52" s="1153"/>
      <c r="JJ52" s="1153"/>
      <c r="JK52" s="1153" t="str">
        <f>IF($AI52,IF(LARGE($AG$41:$AH$107,JK$40)=$AG52,$AC52,""),"")</f>
        <v/>
      </c>
      <c r="JL52" s="1153"/>
      <c r="JM52" s="1153"/>
      <c r="JN52" s="1153"/>
      <c r="JO52" s="1153" t="str">
        <f>IF($AI52,IF(LARGE($AG$41:$AH$107,JO$40)=$AG52,$AC52,""),"")</f>
        <v/>
      </c>
      <c r="JP52" s="1153"/>
      <c r="JQ52" s="1153"/>
      <c r="JR52" s="1153"/>
      <c r="JS52" s="1153" t="str">
        <f>IF($AI52,IF(LARGE($AG$41:$AH$107,JS$40)=$AG52,$AC52,""),"")</f>
        <v/>
      </c>
      <c r="JT52" s="1153"/>
      <c r="JU52" s="1153"/>
      <c r="JV52" s="1153"/>
      <c r="JW52" s="1153" t="str">
        <f>IF($AI52,IF(LARGE($AG$41:$AH$107,JW$40)=$AG52,$AC52,""),"")</f>
        <v/>
      </c>
      <c r="JX52" s="1153"/>
      <c r="JY52" s="1153"/>
      <c r="JZ52" s="1153"/>
      <c r="KA52" s="1153" t="str">
        <f>IF($AI52,IF(LARGE($AG$41:$AH$107,KA$40)=$AG52,$AC52,""),"")</f>
        <v/>
      </c>
      <c r="KB52" s="1153"/>
      <c r="KC52" s="1153"/>
      <c r="KD52" s="1153"/>
      <c r="KE52" s="1153" t="str">
        <f>IF($AI52,IF(LARGE($AG$41:$AH$107,KE$40)=$AG52,$AC52,""),"")</f>
        <v/>
      </c>
      <c r="KF52" s="1153"/>
      <c r="KG52" s="1153"/>
      <c r="KH52" s="1153"/>
      <c r="KI52" s="1153" t="str">
        <f>IF($AI52,IF(LARGE($AG$41:$AH$107,KI$40)=$AG52,$AC52,""),"")</f>
        <v/>
      </c>
      <c r="KJ52" s="1153"/>
      <c r="KK52" s="1153"/>
      <c r="KL52" s="1153"/>
      <c r="KM52" s="1153" t="str">
        <f>IF($AI52,IF(LARGE($AG$41:$AH$107,KM$40)=$AG52,$AC52,""),"")</f>
        <v/>
      </c>
      <c r="KN52" s="1153"/>
      <c r="KO52" s="1153"/>
      <c r="KP52" s="1153"/>
      <c r="KQ52" s="1153" t="str">
        <f>IF($AI52,IF(LARGE($AG$41:$AH$107,KQ$40)=$AG52,$AC52,""),"")</f>
        <v/>
      </c>
      <c r="KR52" s="1153"/>
      <c r="KS52" s="1153"/>
      <c r="KT52" s="1153"/>
    </row>
    <row r="53" spans="8:8">
      <c r="C53" s="1153" t="str">
        <f>IF(F17="","",CONCATENATE(" ",C17,F17,H17))</f>
        <v> 👩‍🎤乔装</v>
      </c>
      <c r="D53" s="1153"/>
      <c r="E53" s="1153"/>
      <c r="F53" s="1153"/>
      <c r="G53" s="1155" t="str">
        <f>IF(AND(L17=0,N17=0),"",IF(ISNONTEXT(D17),"",R17))</f>
        <v/>
      </c>
      <c r="H53" s="1155"/>
      <c r="I53" s="1153" t="str">
        <f>IF(G53=$G$40,C53,"")</f>
        <v/>
      </c>
      <c r="J53" s="1153"/>
      <c r="K53" s="1153"/>
      <c r="L53" s="1153"/>
      <c r="M53" s="1154">
        <f>IF(AND(NOT(N17=0),ISNONTEXT(D17)),1,0)</f>
        <v>0.0</v>
      </c>
      <c r="N53" s="1122"/>
      <c r="O53" s="1122"/>
      <c r="P53" s="1153" t="str">
        <f>IF(F17="","",CONCATENATE(" ",C17,F17,H17))</f>
        <v> 👩‍🎤乔装</v>
      </c>
      <c r="Q53" s="1153"/>
      <c r="R53" s="1153"/>
      <c r="S53" s="1153"/>
      <c r="T53" s="1155" t="str">
        <f>IF(AND(L17=0,P17=0),"",IF(ISNONTEXT(D17),R17,""))</f>
        <v/>
      </c>
      <c r="U53" s="1155"/>
      <c r="V53" s="1153" t="str">
        <f>IF(T53=$T$40,P53,"")</f>
        <v/>
      </c>
      <c r="W53" s="1153"/>
      <c r="X53" s="1153"/>
      <c r="Y53" s="1153"/>
      <c r="AB53" s="1122"/>
      <c r="AC53" s="1153" t="str">
        <f>IF(F17="","",CONCATENATE(C17,F17,H17))</f>
        <v>👩‍🎤乔装</v>
      </c>
      <c r="AD53" s="1153"/>
      <c r="AE53" s="1153"/>
      <c r="AF53" s="1153"/>
      <c r="AG53" s="1155">
        <f>R17</f>
        <v>5.0</v>
      </c>
      <c r="AH53" s="1155"/>
      <c r="AI53" s="1153" t="b">
        <f>IF(AND(OR(ISNUMBER(L17),ISNUMBER(N17),ISNUMBER(P17)),OR(L17&gt;0,N17&gt;0,P17&gt;0)),TRUE,FALSE)</f>
        <v>0</v>
      </c>
      <c r="AJ53" s="1153"/>
      <c r="AK53" s="1153"/>
      <c r="AL53" s="1153"/>
      <c r="AM53" s="1153" t="str">
        <f>IF($AI53,IF(LARGE($AG$41:$AH$107,AM$40)=$AG53,$AC53,""),"")</f>
        <v/>
      </c>
      <c r="AN53" s="1153"/>
      <c r="AO53" s="1153"/>
      <c r="AP53" s="1153"/>
      <c r="AQ53" s="1153" t="str">
        <f>IF($AI53,IF(LARGE($AG$41:$AH$107,AQ$40)=$AG53,$AC53,""),"")</f>
        <v/>
      </c>
      <c r="AR53" s="1153"/>
      <c r="AS53" s="1153"/>
      <c r="AT53" s="1153"/>
      <c r="AU53" s="1153" t="str">
        <f>IF($AI53,IF(LARGE($AG$41:$AH$107,AU$40)=$AG53,$AC53,""),"")</f>
        <v/>
      </c>
      <c r="AV53" s="1153"/>
      <c r="AW53" s="1153"/>
      <c r="AX53" s="1153"/>
      <c r="AY53" s="1153" t="str">
        <f>IF($AI53,IF(LARGE($AG$41:$AH$107,AY$40)=$AG53,$AC53,""),"")</f>
        <v/>
      </c>
      <c r="AZ53" s="1153"/>
      <c r="BA53" s="1153"/>
      <c r="BB53" s="1153"/>
      <c r="BC53" s="1153" t="str">
        <f>IF($AI53,IF(LARGE($AG$41:$AH$107,BC$40)=$AG53,$AC53,""),"")</f>
        <v/>
      </c>
      <c r="BD53" s="1153"/>
      <c r="BE53" s="1153"/>
      <c r="BF53" s="1153"/>
      <c r="BG53" s="1153" t="str">
        <f>IF($AI53,IF(LARGE($AG$41:$AH$107,BG$40)=$AG53,$AC53,""),"")</f>
        <v/>
      </c>
      <c r="BH53" s="1153"/>
      <c r="BI53" s="1153"/>
      <c r="BJ53" s="1153"/>
      <c r="BK53" s="1153" t="str">
        <f>IF($AI53,IF(LARGE($AG$41:$AH$107,BK$40)=$AG53,$AC53,""),"")</f>
        <v/>
      </c>
      <c r="BL53" s="1153"/>
      <c r="BM53" s="1153"/>
      <c r="BN53" s="1153"/>
      <c r="BO53" s="1153" t="str">
        <f>IF($AI53,IF(LARGE($AG$41:$AH$107,BO$40)=$AG53,$AC53,""),"")</f>
        <v/>
      </c>
      <c r="BP53" s="1153"/>
      <c r="BQ53" s="1153"/>
      <c r="BR53" s="1153"/>
      <c r="BS53" s="1153" t="str">
        <f>IF($AI53,IF(LARGE($AG$41:$AH$107,BS$40)=$AG53,$AC53,""),"")</f>
        <v/>
      </c>
      <c r="BT53" s="1153"/>
      <c r="BU53" s="1153"/>
      <c r="BV53" s="1153"/>
      <c r="BW53" s="1153" t="str">
        <f>IF($AI53,IF(LARGE($AG$41:$AH$107,BW$40)=$AG53,$AC53,""),"")</f>
        <v/>
      </c>
      <c r="BX53" s="1153"/>
      <c r="BY53" s="1153"/>
      <c r="BZ53" s="1153"/>
      <c r="CA53" s="1153" t="str">
        <f>IF($AI53,IF(LARGE($AG$41:$AH$107,CA$40)=$AG53,$AC53,""),"")</f>
        <v/>
      </c>
      <c r="CB53" s="1153"/>
      <c r="CC53" s="1153"/>
      <c r="CD53" s="1153"/>
      <c r="CE53" s="1153" t="str">
        <f>IF($AI53,IF(LARGE($AG$41:$AH$107,CE$40)=$AG53,$AC53,""),"")</f>
        <v/>
      </c>
      <c r="CF53" s="1153"/>
      <c r="CG53" s="1153"/>
      <c r="CH53" s="1153"/>
      <c r="CI53" s="1153" t="str">
        <f>IF($AI53,IF(LARGE($AG$41:$AH$107,CI$40)=$AG53,$AC53,""),"")</f>
        <v/>
      </c>
      <c r="CJ53" s="1153"/>
      <c r="CK53" s="1153"/>
      <c r="CL53" s="1153"/>
      <c r="CM53" s="1153" t="str">
        <f>IF($AI53,IF(LARGE($AG$41:$AH$107,CM$40)=$AG53,$AC53,""),"")</f>
        <v/>
      </c>
      <c r="CN53" s="1153"/>
      <c r="CO53" s="1153"/>
      <c r="CP53" s="1153"/>
      <c r="CQ53" s="1153" t="str">
        <f>IF($AI53,IF(LARGE($AG$41:$AH$107,CQ$40)=$AG53,$AC53,""),"")</f>
        <v/>
      </c>
      <c r="CR53" s="1153"/>
      <c r="CS53" s="1153"/>
      <c r="CT53" s="1153"/>
      <c r="CU53" s="1153" t="str">
        <f>IF($AI53,IF(LARGE($AG$41:$AH$107,CU$40)=$AG53,$AC53,""),"")</f>
        <v/>
      </c>
      <c r="CV53" s="1153"/>
      <c r="CW53" s="1153"/>
      <c r="CX53" s="1153"/>
      <c r="CY53" s="1153" t="str">
        <f>IF($AI53,IF(LARGE($AG$41:$AH$107,CY$40)=$AG53,$AC53,""),"")</f>
        <v/>
      </c>
      <c r="CZ53" s="1153"/>
      <c r="DA53" s="1153"/>
      <c r="DB53" s="1153"/>
      <c r="DC53" s="1153" t="str">
        <f>IF($AI53,IF(LARGE($AG$41:$AH$107,DC$40)=$AG53,$AC53,""),"")</f>
        <v/>
      </c>
      <c r="DD53" s="1153"/>
      <c r="DE53" s="1153"/>
      <c r="DF53" s="1153"/>
      <c r="DG53" s="1153" t="str">
        <f>IF($AI53,IF(LARGE($AG$41:$AH$107,DG$40)=$AG53,$AC53,""),"")</f>
        <v/>
      </c>
      <c r="DH53" s="1153"/>
      <c r="DI53" s="1153"/>
      <c r="DJ53" s="1153"/>
      <c r="DK53" s="1153" t="str">
        <f>IF($AI53,IF(LARGE($AG$41:$AH$107,DK$40)=$AG53,$AC53,""),"")</f>
        <v/>
      </c>
      <c r="DL53" s="1153"/>
      <c r="DM53" s="1153"/>
      <c r="DN53" s="1153"/>
      <c r="DO53" s="1153" t="str">
        <f>IF($AI53,IF(LARGE($AG$41:$AH$107,DO$40)=$AG53,$AC53,""),"")</f>
        <v/>
      </c>
      <c r="DP53" s="1153"/>
      <c r="DQ53" s="1153"/>
      <c r="DR53" s="1153"/>
      <c r="DS53" s="1153" t="str">
        <f>IF($AI53,IF(LARGE($AG$41:$AH$107,DS$40)=$AG53,$AC53,""),"")</f>
        <v/>
      </c>
      <c r="DT53" s="1153"/>
      <c r="DU53" s="1153"/>
      <c r="DV53" s="1153"/>
      <c r="DW53" s="1153" t="str">
        <f>IF($AI53,IF(LARGE($AG$41:$AH$107,DW$40)=$AG53,$AC53,""),"")</f>
        <v/>
      </c>
      <c r="DX53" s="1153"/>
      <c r="DY53" s="1153"/>
      <c r="DZ53" s="1153"/>
      <c r="EA53" s="1153" t="str">
        <f>IF($AI53,IF(LARGE($AG$41:$AH$107,EA$40)=$AG53,$AC53,""),"")</f>
        <v/>
      </c>
      <c r="EB53" s="1153"/>
      <c r="EC53" s="1153"/>
      <c r="ED53" s="1153"/>
      <c r="EE53" s="1153" t="str">
        <f>IF($AI53,IF(LARGE($AG$41:$AH$107,EE$40)=$AG53,$AC53,""),"")</f>
        <v/>
      </c>
      <c r="EF53" s="1153"/>
      <c r="EG53" s="1153"/>
      <c r="EH53" s="1153"/>
      <c r="EI53" s="1153" t="str">
        <f>IF($AI53,IF(LARGE($AG$41:$AH$107,EI$40)=$AG53,$AC53,""),"")</f>
        <v/>
      </c>
      <c r="EJ53" s="1153"/>
      <c r="EK53" s="1153"/>
      <c r="EL53" s="1153"/>
      <c r="EM53" s="1153" t="str">
        <f>IF($AI53,IF(LARGE($AG$41:$AH$107,EM$40)=$AG53,$AC53,""),"")</f>
        <v/>
      </c>
      <c r="EN53" s="1153"/>
      <c r="EO53" s="1153"/>
      <c r="EP53" s="1153"/>
      <c r="EQ53" s="1153" t="str">
        <f>IF($AI53,IF(LARGE($AG$41:$AH$107,EQ$40)=$AG53,$AC53,""),"")</f>
        <v/>
      </c>
      <c r="ER53" s="1153"/>
      <c r="ES53" s="1153"/>
      <c r="ET53" s="1153"/>
      <c r="EU53" s="1153" t="str">
        <f>IF($AI53,IF(LARGE($AG$41:$AH$107,EU$40)=$AG53,$AC53,""),"")</f>
        <v/>
      </c>
      <c r="EV53" s="1153"/>
      <c r="EW53" s="1153"/>
      <c r="EX53" s="1153"/>
      <c r="EY53" s="1153" t="str">
        <f>IF($AI53,IF(LARGE($AG$41:$AH$107,EY$40)=$AG53,$AC53,""),"")</f>
        <v/>
      </c>
      <c r="EZ53" s="1153"/>
      <c r="FA53" s="1153"/>
      <c r="FB53" s="1153"/>
      <c r="FC53" s="1153" t="str">
        <f>IF($AI53,IF(LARGE($AG$41:$AH$107,FC$40)=$AG53,$AC53,""),"")</f>
        <v/>
      </c>
      <c r="FD53" s="1153"/>
      <c r="FE53" s="1153"/>
      <c r="FF53" s="1153"/>
      <c r="FG53" s="1153" t="str">
        <f>IF($AI53,IF(LARGE($AG$41:$AH$107,FG$40)=$AG53,$AC53,""),"")</f>
        <v/>
      </c>
      <c r="FH53" s="1153"/>
      <c r="FI53" s="1153"/>
      <c r="FJ53" s="1153"/>
      <c r="FK53" s="1153" t="str">
        <f>IF($AI53,IF(LARGE($AG$41:$AH$107,FK$40)=$AG53,$AC53,""),"")</f>
        <v/>
      </c>
      <c r="FL53" s="1153"/>
      <c r="FM53" s="1153"/>
      <c r="FN53" s="1153"/>
      <c r="FO53" s="1153" t="str">
        <f>IF($AI53,IF(LARGE($AG$41:$AH$107,FO$40)=$AG53,$AC53,""),"")</f>
        <v/>
      </c>
      <c r="FP53" s="1153"/>
      <c r="FQ53" s="1153"/>
      <c r="FR53" s="1153"/>
      <c r="FS53" s="1153" t="str">
        <f>IF($AI53,IF(LARGE($AG$41:$AH$107,FS$40)=$AG53,$AC53,""),"")</f>
        <v/>
      </c>
      <c r="FT53" s="1153"/>
      <c r="FU53" s="1153"/>
      <c r="FV53" s="1153"/>
      <c r="FW53" s="1153" t="str">
        <f>IF($AI53,IF(LARGE($AG$41:$AH$107,FW$40)=$AG53,$AC53,""),"")</f>
        <v/>
      </c>
      <c r="FX53" s="1153"/>
      <c r="FY53" s="1153"/>
      <c r="FZ53" s="1153"/>
      <c r="GA53" s="1153" t="str">
        <f>IF($AI53,IF(LARGE($AG$41:$AH$107,GA$40)=$AG53,$AC53,""),"")</f>
        <v/>
      </c>
      <c r="GB53" s="1153"/>
      <c r="GC53" s="1153"/>
      <c r="GD53" s="1153"/>
      <c r="GE53" s="1153" t="str">
        <f>IF($AI53,IF(LARGE($AG$41:$AH$107,GE$40)=$AG53,$AC53,""),"")</f>
        <v/>
      </c>
      <c r="GF53" s="1153"/>
      <c r="GG53" s="1153"/>
      <c r="GH53" s="1153"/>
      <c r="GI53" s="1153" t="str">
        <f>IF($AI53,IF(LARGE($AG$41:$AH$107,GI$40)=$AG53,$AC53,""),"")</f>
        <v/>
      </c>
      <c r="GJ53" s="1153"/>
      <c r="GK53" s="1153"/>
      <c r="GL53" s="1153"/>
      <c r="GM53" s="1153" t="str">
        <f>IF($AI53,IF(LARGE($AG$41:$AH$107,GM$40)=$AG53,$AC53,""),"")</f>
        <v/>
      </c>
      <c r="GN53" s="1153"/>
      <c r="GO53" s="1153"/>
      <c r="GP53" s="1153"/>
      <c r="GQ53" s="1153" t="str">
        <f>IF($AI53,IF(LARGE($AG$41:$AH$107,GQ$40)=$AG53,$AC53,""),"")</f>
        <v/>
      </c>
      <c r="GR53" s="1153"/>
      <c r="GS53" s="1153"/>
      <c r="GT53" s="1153"/>
      <c r="GU53" s="1153" t="str">
        <f>IF($AI53,IF(LARGE($AG$41:$AH$107,GU$40)=$AG53,$AC53,""),"")</f>
        <v/>
      </c>
      <c r="GV53" s="1153"/>
      <c r="GW53" s="1153"/>
      <c r="GX53" s="1153"/>
      <c r="GY53" s="1153" t="str">
        <f>IF($AI53,IF(LARGE($AG$41:$AH$107,GY$40)=$AG53,$AC53,""),"")</f>
        <v/>
      </c>
      <c r="GZ53" s="1153"/>
      <c r="HA53" s="1153"/>
      <c r="HB53" s="1153"/>
      <c r="HC53" s="1153" t="str">
        <f>IF($AI53,IF(LARGE($AG$41:$AH$107,HC$40)=$AG53,$AC53,""),"")</f>
        <v/>
      </c>
      <c r="HD53" s="1153"/>
      <c r="HE53" s="1153"/>
      <c r="HF53" s="1153"/>
      <c r="HG53" s="1153" t="str">
        <f>IF($AI53,IF(LARGE($AG$41:$AH$107,HG$40)=$AG53,$AC53,""),"")</f>
        <v/>
      </c>
      <c r="HH53" s="1153"/>
      <c r="HI53" s="1153"/>
      <c r="HJ53" s="1153"/>
      <c r="HK53" s="1153" t="str">
        <f>IF($AI53,IF(LARGE($AG$41:$AH$107,HK$40)=$AG53,$AC53,""),"")</f>
        <v/>
      </c>
      <c r="HL53" s="1153"/>
      <c r="HM53" s="1153"/>
      <c r="HN53" s="1153"/>
      <c r="HO53" s="1153" t="str">
        <f>IF($AI53,IF(LARGE($AG$41:$AH$107,HO$40)=$AG53,$AC53,""),"")</f>
        <v/>
      </c>
      <c r="HP53" s="1153"/>
      <c r="HQ53" s="1153"/>
      <c r="HR53" s="1153"/>
      <c r="HS53" s="1153" t="str">
        <f>IF($AI53,IF(LARGE($AG$41:$AH$107,HS$40)=$AG53,$AC53,""),"")</f>
        <v/>
      </c>
      <c r="HT53" s="1153"/>
      <c r="HU53" s="1153"/>
      <c r="HV53" s="1153"/>
      <c r="HW53" s="1153" t="str">
        <f>IF($AI53,IF(LARGE($AG$41:$AH$107,HW$40)=$AG53,$AC53,""),"")</f>
        <v/>
      </c>
      <c r="HX53" s="1153"/>
      <c r="HY53" s="1153"/>
      <c r="HZ53" s="1153"/>
      <c r="IA53" s="1153" t="str">
        <f>IF($AI53,IF(LARGE($AG$41:$AH$107,IA$40)=$AG53,$AC53,""),"")</f>
        <v/>
      </c>
      <c r="IB53" s="1153"/>
      <c r="IC53" s="1153"/>
      <c r="ID53" s="1153"/>
      <c r="IE53" s="1153" t="str">
        <f>IF($AI53,IF(LARGE($AG$41:$AH$107,IE$40)=$AG53,$AC53,""),"")</f>
        <v/>
      </c>
      <c r="IF53" s="1153"/>
      <c r="IG53" s="1153"/>
      <c r="IH53" s="1153"/>
      <c r="II53" s="1153" t="str">
        <f>IF($AI53,IF(LARGE($AG$41:$AH$107,II$40)=$AG53,$AC53,""),"")</f>
        <v/>
      </c>
      <c r="IJ53" s="1153"/>
      <c r="IK53" s="1153"/>
      <c r="IL53" s="1153"/>
      <c r="IM53" s="1153" t="str">
        <f>IF($AI53,IF(LARGE($AG$41:$AH$107,IM$40)=$AG53,$AC53,""),"")</f>
        <v/>
      </c>
      <c r="IN53" s="1153"/>
      <c r="IO53" s="1153"/>
      <c r="IP53" s="1153"/>
      <c r="IQ53" s="1153" t="str">
        <f>IF($AI53,IF(LARGE($AG$41:$AH$107,IQ$40)=$AG53,$AC53,""),"")</f>
        <v/>
      </c>
      <c r="IR53" s="1153"/>
      <c r="IS53" s="1153"/>
      <c r="IT53" s="1153"/>
      <c r="IU53" s="1153" t="str">
        <f>IF($AI53,IF(LARGE($AG$41:$AH$107,IU$40)=$AG53,$AC53,""),"")</f>
        <v/>
      </c>
      <c r="IV53" s="1153"/>
      <c r="IW53" s="1153"/>
      <c r="IX53" s="1153"/>
      <c r="IY53" s="1153" t="str">
        <f>IF($AI53,IF(LARGE($AG$41:$AH$107,IY$40)=$AG53,$AC53,""),"")</f>
        <v/>
      </c>
      <c r="IZ53" s="1153"/>
      <c r="JA53" s="1153"/>
      <c r="JB53" s="1153"/>
      <c r="JC53" s="1153" t="str">
        <f>IF($AI53,IF(LARGE($AG$41:$AH$107,JC$40)=$AG53,$AC53,""),"")</f>
        <v/>
      </c>
      <c r="JD53" s="1153"/>
      <c r="JE53" s="1153"/>
      <c r="JF53" s="1153"/>
      <c r="JG53" s="1153" t="str">
        <f>IF($AI53,IF(LARGE($AG$41:$AH$107,JG$40)=$AG53,$AC53,""),"")</f>
        <v/>
      </c>
      <c r="JH53" s="1153"/>
      <c r="JI53" s="1153"/>
      <c r="JJ53" s="1153"/>
      <c r="JK53" s="1153" t="str">
        <f>IF($AI53,IF(LARGE($AG$41:$AH$107,JK$40)=$AG53,$AC53,""),"")</f>
        <v/>
      </c>
      <c r="JL53" s="1153"/>
      <c r="JM53" s="1153"/>
      <c r="JN53" s="1153"/>
      <c r="JO53" s="1153" t="str">
        <f>IF($AI53,IF(LARGE($AG$41:$AH$107,JO$40)=$AG53,$AC53,""),"")</f>
        <v/>
      </c>
      <c r="JP53" s="1153"/>
      <c r="JQ53" s="1153"/>
      <c r="JR53" s="1153"/>
      <c r="JS53" s="1153" t="str">
        <f>IF($AI53,IF(LARGE($AG$41:$AH$107,JS$40)=$AG53,$AC53,""),"")</f>
        <v/>
      </c>
      <c r="JT53" s="1153"/>
      <c r="JU53" s="1153"/>
      <c r="JV53" s="1153"/>
      <c r="JW53" s="1153" t="str">
        <f>IF($AI53,IF(LARGE($AG$41:$AH$107,JW$40)=$AG53,$AC53,""),"")</f>
        <v/>
      </c>
      <c r="JX53" s="1153"/>
      <c r="JY53" s="1153"/>
      <c r="JZ53" s="1153"/>
      <c r="KA53" s="1153" t="str">
        <f>IF($AI53,IF(LARGE($AG$41:$AH$107,KA$40)=$AG53,$AC53,""),"")</f>
        <v/>
      </c>
      <c r="KB53" s="1153"/>
      <c r="KC53" s="1153"/>
      <c r="KD53" s="1153"/>
      <c r="KE53" s="1153" t="str">
        <f>IF($AI53,IF(LARGE($AG$41:$AH$107,KE$40)=$AG53,$AC53,""),"")</f>
        <v/>
      </c>
      <c r="KF53" s="1153"/>
      <c r="KG53" s="1153"/>
      <c r="KH53" s="1153"/>
      <c r="KI53" s="1153" t="str">
        <f>IF($AI53,IF(LARGE($AG$41:$AH$107,KI$40)=$AG53,$AC53,""),"")</f>
        <v/>
      </c>
      <c r="KJ53" s="1153"/>
      <c r="KK53" s="1153"/>
      <c r="KL53" s="1153"/>
      <c r="KM53" s="1153" t="str">
        <f>IF($AI53,IF(LARGE($AG$41:$AH$107,KM$40)=$AG53,$AC53,""),"")</f>
        <v/>
      </c>
      <c r="KN53" s="1153"/>
      <c r="KO53" s="1153"/>
      <c r="KP53" s="1153"/>
      <c r="KQ53" s="1153" t="str">
        <f>IF($AI53,IF(LARGE($AG$41:$AH$107,KQ$40)=$AG53,$AC53,""),"")</f>
        <v/>
      </c>
      <c r="KR53" s="1153"/>
      <c r="KS53" s="1153"/>
      <c r="KT53" s="1153"/>
    </row>
    <row r="54" spans="8:8">
      <c r="C54" s="1153" t="str">
        <f>IF(F18="","",CONCATENATE(" ",C18,F18,H18))</f>
        <v> 💨闪避</v>
      </c>
      <c r="D54" s="1153"/>
      <c r="E54" s="1153"/>
      <c r="F54" s="1153"/>
      <c r="G54" s="1155" t="str">
        <f>IF(AND(L18=0,N18=0),"",IF(ISNONTEXT(D18),"",R18))</f>
        <v/>
      </c>
      <c r="H54" s="1155"/>
      <c r="I54" s="1153" t="str">
        <f>IF(G54=$G$40,C54,"")</f>
        <v/>
      </c>
      <c r="J54" s="1153"/>
      <c r="K54" s="1153"/>
      <c r="L54" s="1153"/>
      <c r="M54" s="1154">
        <f>IF(AND(NOT(N18=0),ISNONTEXT(D18)),1,0)</f>
        <v>0.0</v>
      </c>
      <c r="N54" s="1122"/>
      <c r="O54" s="1122"/>
      <c r="P54" s="1153" t="str">
        <f>IF(F18="","",CONCATENATE(" ",C18,F18,H18))</f>
        <v> 💨闪避</v>
      </c>
      <c r="Q54" s="1153"/>
      <c r="R54" s="1153"/>
      <c r="S54" s="1153"/>
      <c r="T54" s="1155" t="str">
        <f>IF(AND(L18=0,P18=0),"",IF(ISNONTEXT(D18),R18,""))</f>
        <v/>
      </c>
      <c r="U54" s="1155"/>
      <c r="V54" s="1153" t="str">
        <f>IF(T54=$T$40,P54,"")</f>
        <v/>
      </c>
      <c r="W54" s="1153"/>
      <c r="X54" s="1153"/>
      <c r="Y54" s="1153"/>
      <c r="AB54" s="1122"/>
      <c r="AC54" s="1153" t="str">
        <f>IF(F18="","",CONCATENATE(C18,F18,H18))</f>
        <v>💨闪避</v>
      </c>
      <c r="AD54" s="1153"/>
      <c r="AE54" s="1153"/>
      <c r="AF54" s="1153"/>
      <c r="AG54" s="1155">
        <f>R18</f>
        <v>0.0</v>
      </c>
      <c r="AH54" s="1155"/>
      <c r="AI54" s="1153" t="b">
        <f>IF(AND(OR(ISNUMBER(L18),ISNUMBER(N18),ISNUMBER(P18)),OR(L18&gt;0,N18&gt;0,P18&gt;0)),TRUE,FALSE)</f>
        <v>0</v>
      </c>
      <c r="AJ54" s="1153"/>
      <c r="AK54" s="1153"/>
      <c r="AL54" s="1153"/>
      <c r="AM54" s="1153" t="str">
        <f>IF($AI54,IF(LARGE($AG$41:$AH$107,AM$40)=$AG54,$AC54,""),"")</f>
        <v/>
      </c>
      <c r="AN54" s="1153"/>
      <c r="AO54" s="1153"/>
      <c r="AP54" s="1153"/>
      <c r="AQ54" s="1153" t="str">
        <f>IF($AI54,IF(LARGE($AG$41:$AH$107,AQ$40)=$AG54,$AC54,""),"")</f>
        <v/>
      </c>
      <c r="AR54" s="1153"/>
      <c r="AS54" s="1153"/>
      <c r="AT54" s="1153"/>
      <c r="AU54" s="1153" t="str">
        <f>IF($AI54,IF(LARGE($AG$41:$AH$107,AU$40)=$AG54,$AC54,""),"")</f>
        <v/>
      </c>
      <c r="AV54" s="1153"/>
      <c r="AW54" s="1153"/>
      <c r="AX54" s="1153"/>
      <c r="AY54" s="1153" t="str">
        <f>IF($AI54,IF(LARGE($AG$41:$AH$107,AY$40)=$AG54,$AC54,""),"")</f>
        <v/>
      </c>
      <c r="AZ54" s="1153"/>
      <c r="BA54" s="1153"/>
      <c r="BB54" s="1153"/>
      <c r="BC54" s="1153" t="str">
        <f>IF($AI54,IF(LARGE($AG$41:$AH$107,BC$40)=$AG54,$AC54,""),"")</f>
        <v/>
      </c>
      <c r="BD54" s="1153"/>
      <c r="BE54" s="1153"/>
      <c r="BF54" s="1153"/>
      <c r="BG54" s="1153" t="str">
        <f>IF($AI54,IF(LARGE($AG$41:$AH$107,BG$40)=$AG54,$AC54,""),"")</f>
        <v/>
      </c>
      <c r="BH54" s="1153"/>
      <c r="BI54" s="1153"/>
      <c r="BJ54" s="1153"/>
      <c r="BK54" s="1153" t="str">
        <f>IF($AI54,IF(LARGE($AG$41:$AH$107,BK$40)=$AG54,$AC54,""),"")</f>
        <v/>
      </c>
      <c r="BL54" s="1153"/>
      <c r="BM54" s="1153"/>
      <c r="BN54" s="1153"/>
      <c r="BO54" s="1153" t="str">
        <f>IF($AI54,IF(LARGE($AG$41:$AH$107,BO$40)=$AG54,$AC54,""),"")</f>
        <v/>
      </c>
      <c r="BP54" s="1153"/>
      <c r="BQ54" s="1153"/>
      <c r="BR54" s="1153"/>
      <c r="BS54" s="1153" t="str">
        <f>IF($AI54,IF(LARGE($AG$41:$AH$107,BS$40)=$AG54,$AC54,""),"")</f>
        <v/>
      </c>
      <c r="BT54" s="1153"/>
      <c r="BU54" s="1153"/>
      <c r="BV54" s="1153"/>
      <c r="BW54" s="1153" t="str">
        <f>IF($AI54,IF(LARGE($AG$41:$AH$107,BW$40)=$AG54,$AC54,""),"")</f>
        <v/>
      </c>
      <c r="BX54" s="1153"/>
      <c r="BY54" s="1153"/>
      <c r="BZ54" s="1153"/>
      <c r="CA54" s="1153" t="str">
        <f>IF($AI54,IF(LARGE($AG$41:$AH$107,CA$40)=$AG54,$AC54,""),"")</f>
        <v/>
      </c>
      <c r="CB54" s="1153"/>
      <c r="CC54" s="1153"/>
      <c r="CD54" s="1153"/>
      <c r="CE54" s="1153" t="str">
        <f>IF($AI54,IF(LARGE($AG$41:$AH$107,CE$40)=$AG54,$AC54,""),"")</f>
        <v/>
      </c>
      <c r="CF54" s="1153"/>
      <c r="CG54" s="1153"/>
      <c r="CH54" s="1153"/>
      <c r="CI54" s="1153" t="str">
        <f>IF($AI54,IF(LARGE($AG$41:$AH$107,CI$40)=$AG54,$AC54,""),"")</f>
        <v/>
      </c>
      <c r="CJ54" s="1153"/>
      <c r="CK54" s="1153"/>
      <c r="CL54" s="1153"/>
      <c r="CM54" s="1153" t="str">
        <f>IF($AI54,IF(LARGE($AG$41:$AH$107,CM$40)=$AG54,$AC54,""),"")</f>
        <v/>
      </c>
      <c r="CN54" s="1153"/>
      <c r="CO54" s="1153"/>
      <c r="CP54" s="1153"/>
      <c r="CQ54" s="1153" t="str">
        <f>IF($AI54,IF(LARGE($AG$41:$AH$107,CQ$40)=$AG54,$AC54,""),"")</f>
        <v/>
      </c>
      <c r="CR54" s="1153"/>
      <c r="CS54" s="1153"/>
      <c r="CT54" s="1153"/>
      <c r="CU54" s="1153" t="str">
        <f>IF($AI54,IF(LARGE($AG$41:$AH$107,CU$40)=$AG54,$AC54,""),"")</f>
        <v/>
      </c>
      <c r="CV54" s="1153"/>
      <c r="CW54" s="1153"/>
      <c r="CX54" s="1153"/>
      <c r="CY54" s="1153" t="str">
        <f>IF($AI54,IF(LARGE($AG$41:$AH$107,CY$40)=$AG54,$AC54,""),"")</f>
        <v/>
      </c>
      <c r="CZ54" s="1153"/>
      <c r="DA54" s="1153"/>
      <c r="DB54" s="1153"/>
      <c r="DC54" s="1153" t="str">
        <f>IF($AI54,IF(LARGE($AG$41:$AH$107,DC$40)=$AG54,$AC54,""),"")</f>
        <v/>
      </c>
      <c r="DD54" s="1153"/>
      <c r="DE54" s="1153"/>
      <c r="DF54" s="1153"/>
      <c r="DG54" s="1153" t="str">
        <f>IF($AI54,IF(LARGE($AG$41:$AH$107,DG$40)=$AG54,$AC54,""),"")</f>
        <v/>
      </c>
      <c r="DH54" s="1153"/>
      <c r="DI54" s="1153"/>
      <c r="DJ54" s="1153"/>
      <c r="DK54" s="1153" t="str">
        <f>IF($AI54,IF(LARGE($AG$41:$AH$107,DK$40)=$AG54,$AC54,""),"")</f>
        <v/>
      </c>
      <c r="DL54" s="1153"/>
      <c r="DM54" s="1153"/>
      <c r="DN54" s="1153"/>
      <c r="DO54" s="1153" t="str">
        <f>IF($AI54,IF(LARGE($AG$41:$AH$107,DO$40)=$AG54,$AC54,""),"")</f>
        <v/>
      </c>
      <c r="DP54" s="1153"/>
      <c r="DQ54" s="1153"/>
      <c r="DR54" s="1153"/>
      <c r="DS54" s="1153" t="str">
        <f>IF($AI54,IF(LARGE($AG$41:$AH$107,DS$40)=$AG54,$AC54,""),"")</f>
        <v/>
      </c>
      <c r="DT54" s="1153"/>
      <c r="DU54" s="1153"/>
      <c r="DV54" s="1153"/>
      <c r="DW54" s="1153" t="str">
        <f>IF($AI54,IF(LARGE($AG$41:$AH$107,DW$40)=$AG54,$AC54,""),"")</f>
        <v/>
      </c>
      <c r="DX54" s="1153"/>
      <c r="DY54" s="1153"/>
      <c r="DZ54" s="1153"/>
      <c r="EA54" s="1153" t="str">
        <f>IF($AI54,IF(LARGE($AG$41:$AH$107,EA$40)=$AG54,$AC54,""),"")</f>
        <v/>
      </c>
      <c r="EB54" s="1153"/>
      <c r="EC54" s="1153"/>
      <c r="ED54" s="1153"/>
      <c r="EE54" s="1153" t="str">
        <f>IF($AI54,IF(LARGE($AG$41:$AH$107,EE$40)=$AG54,$AC54,""),"")</f>
        <v/>
      </c>
      <c r="EF54" s="1153"/>
      <c r="EG54" s="1153"/>
      <c r="EH54" s="1153"/>
      <c r="EI54" s="1153" t="str">
        <f>IF($AI54,IF(LARGE($AG$41:$AH$107,EI$40)=$AG54,$AC54,""),"")</f>
        <v/>
      </c>
      <c r="EJ54" s="1153"/>
      <c r="EK54" s="1153"/>
      <c r="EL54" s="1153"/>
      <c r="EM54" s="1153" t="str">
        <f>IF($AI54,IF(LARGE($AG$41:$AH$107,EM$40)=$AG54,$AC54,""),"")</f>
        <v/>
      </c>
      <c r="EN54" s="1153"/>
      <c r="EO54" s="1153"/>
      <c r="EP54" s="1153"/>
      <c r="EQ54" s="1153" t="str">
        <f>IF($AI54,IF(LARGE($AG$41:$AH$107,EQ$40)=$AG54,$AC54,""),"")</f>
        <v/>
      </c>
      <c r="ER54" s="1153"/>
      <c r="ES54" s="1153"/>
      <c r="ET54" s="1153"/>
      <c r="EU54" s="1153" t="str">
        <f>IF($AI54,IF(LARGE($AG$41:$AH$107,EU$40)=$AG54,$AC54,""),"")</f>
        <v/>
      </c>
      <c r="EV54" s="1153"/>
      <c r="EW54" s="1153"/>
      <c r="EX54" s="1153"/>
      <c r="EY54" s="1153" t="str">
        <f>IF($AI54,IF(LARGE($AG$41:$AH$107,EY$40)=$AG54,$AC54,""),"")</f>
        <v/>
      </c>
      <c r="EZ54" s="1153"/>
      <c r="FA54" s="1153"/>
      <c r="FB54" s="1153"/>
      <c r="FC54" s="1153" t="str">
        <f>IF($AI54,IF(LARGE($AG$41:$AH$107,FC$40)=$AG54,$AC54,""),"")</f>
        <v/>
      </c>
      <c r="FD54" s="1153"/>
      <c r="FE54" s="1153"/>
      <c r="FF54" s="1153"/>
      <c r="FG54" s="1153" t="str">
        <f>IF($AI54,IF(LARGE($AG$41:$AH$107,FG$40)=$AG54,$AC54,""),"")</f>
        <v/>
      </c>
      <c r="FH54" s="1153"/>
      <c r="FI54" s="1153"/>
      <c r="FJ54" s="1153"/>
      <c r="FK54" s="1153" t="str">
        <f>IF($AI54,IF(LARGE($AG$41:$AH$107,FK$40)=$AG54,$AC54,""),"")</f>
        <v/>
      </c>
      <c r="FL54" s="1153"/>
      <c r="FM54" s="1153"/>
      <c r="FN54" s="1153"/>
      <c r="FO54" s="1153" t="str">
        <f>IF($AI54,IF(LARGE($AG$41:$AH$107,FO$40)=$AG54,$AC54,""),"")</f>
        <v/>
      </c>
      <c r="FP54" s="1153"/>
      <c r="FQ54" s="1153"/>
      <c r="FR54" s="1153"/>
      <c r="FS54" s="1153" t="str">
        <f>IF($AI54,IF(LARGE($AG$41:$AH$107,FS$40)=$AG54,$AC54,""),"")</f>
        <v/>
      </c>
      <c r="FT54" s="1153"/>
      <c r="FU54" s="1153"/>
      <c r="FV54" s="1153"/>
      <c r="FW54" s="1153" t="str">
        <f>IF($AI54,IF(LARGE($AG$41:$AH$107,FW$40)=$AG54,$AC54,""),"")</f>
        <v/>
      </c>
      <c r="FX54" s="1153"/>
      <c r="FY54" s="1153"/>
      <c r="FZ54" s="1153"/>
      <c r="GA54" s="1153" t="str">
        <f>IF($AI54,IF(LARGE($AG$41:$AH$107,GA$40)=$AG54,$AC54,""),"")</f>
        <v/>
      </c>
      <c r="GB54" s="1153"/>
      <c r="GC54" s="1153"/>
      <c r="GD54" s="1153"/>
      <c r="GE54" s="1153" t="str">
        <f>IF($AI54,IF(LARGE($AG$41:$AH$107,GE$40)=$AG54,$AC54,""),"")</f>
        <v/>
      </c>
      <c r="GF54" s="1153"/>
      <c r="GG54" s="1153"/>
      <c r="GH54" s="1153"/>
      <c r="GI54" s="1153" t="str">
        <f>IF($AI54,IF(LARGE($AG$41:$AH$107,GI$40)=$AG54,$AC54,""),"")</f>
        <v/>
      </c>
      <c r="GJ54" s="1153"/>
      <c r="GK54" s="1153"/>
      <c r="GL54" s="1153"/>
      <c r="GM54" s="1153" t="str">
        <f>IF($AI54,IF(LARGE($AG$41:$AH$107,GM$40)=$AG54,$AC54,""),"")</f>
        <v/>
      </c>
      <c r="GN54" s="1153"/>
      <c r="GO54" s="1153"/>
      <c r="GP54" s="1153"/>
      <c r="GQ54" s="1153" t="str">
        <f>IF($AI54,IF(LARGE($AG$41:$AH$107,GQ$40)=$AG54,$AC54,""),"")</f>
        <v/>
      </c>
      <c r="GR54" s="1153"/>
      <c r="GS54" s="1153"/>
      <c r="GT54" s="1153"/>
      <c r="GU54" s="1153" t="str">
        <f>IF($AI54,IF(LARGE($AG$41:$AH$107,GU$40)=$AG54,$AC54,""),"")</f>
        <v/>
      </c>
      <c r="GV54" s="1153"/>
      <c r="GW54" s="1153"/>
      <c r="GX54" s="1153"/>
      <c r="GY54" s="1153" t="str">
        <f>IF($AI54,IF(LARGE($AG$41:$AH$107,GY$40)=$AG54,$AC54,""),"")</f>
        <v/>
      </c>
      <c r="GZ54" s="1153"/>
      <c r="HA54" s="1153"/>
      <c r="HB54" s="1153"/>
      <c r="HC54" s="1153" t="str">
        <f>IF($AI54,IF(LARGE($AG$41:$AH$107,HC$40)=$AG54,$AC54,""),"")</f>
        <v/>
      </c>
      <c r="HD54" s="1153"/>
      <c r="HE54" s="1153"/>
      <c r="HF54" s="1153"/>
      <c r="HG54" s="1153" t="str">
        <f>IF($AI54,IF(LARGE($AG$41:$AH$107,HG$40)=$AG54,$AC54,""),"")</f>
        <v/>
      </c>
      <c r="HH54" s="1153"/>
      <c r="HI54" s="1153"/>
      <c r="HJ54" s="1153"/>
      <c r="HK54" s="1153" t="str">
        <f>IF($AI54,IF(LARGE($AG$41:$AH$107,HK$40)=$AG54,$AC54,""),"")</f>
        <v/>
      </c>
      <c r="HL54" s="1153"/>
      <c r="HM54" s="1153"/>
      <c r="HN54" s="1153"/>
      <c r="HO54" s="1153" t="str">
        <f>IF($AI54,IF(LARGE($AG$41:$AH$107,HO$40)=$AG54,$AC54,""),"")</f>
        <v/>
      </c>
      <c r="HP54" s="1153"/>
      <c r="HQ54" s="1153"/>
      <c r="HR54" s="1153"/>
      <c r="HS54" s="1153" t="str">
        <f>IF($AI54,IF(LARGE($AG$41:$AH$107,HS$40)=$AG54,$AC54,""),"")</f>
        <v/>
      </c>
      <c r="HT54" s="1153"/>
      <c r="HU54" s="1153"/>
      <c r="HV54" s="1153"/>
      <c r="HW54" s="1153" t="str">
        <f>IF($AI54,IF(LARGE($AG$41:$AH$107,HW$40)=$AG54,$AC54,""),"")</f>
        <v/>
      </c>
      <c r="HX54" s="1153"/>
      <c r="HY54" s="1153"/>
      <c r="HZ54" s="1153"/>
      <c r="IA54" s="1153" t="str">
        <f>IF($AI54,IF(LARGE($AG$41:$AH$107,IA$40)=$AG54,$AC54,""),"")</f>
        <v/>
      </c>
      <c r="IB54" s="1153"/>
      <c r="IC54" s="1153"/>
      <c r="ID54" s="1153"/>
      <c r="IE54" s="1153" t="str">
        <f>IF($AI54,IF(LARGE($AG$41:$AH$107,IE$40)=$AG54,$AC54,""),"")</f>
        <v/>
      </c>
      <c r="IF54" s="1153"/>
      <c r="IG54" s="1153"/>
      <c r="IH54" s="1153"/>
      <c r="II54" s="1153" t="str">
        <f>IF($AI54,IF(LARGE($AG$41:$AH$107,II$40)=$AG54,$AC54,""),"")</f>
        <v/>
      </c>
      <c r="IJ54" s="1153"/>
      <c r="IK54" s="1153"/>
      <c r="IL54" s="1153"/>
      <c r="IM54" s="1153" t="str">
        <f>IF($AI54,IF(LARGE($AG$41:$AH$107,IM$40)=$AG54,$AC54,""),"")</f>
        <v/>
      </c>
      <c r="IN54" s="1153"/>
      <c r="IO54" s="1153"/>
      <c r="IP54" s="1153"/>
      <c r="IQ54" s="1153" t="str">
        <f>IF($AI54,IF(LARGE($AG$41:$AH$107,IQ$40)=$AG54,$AC54,""),"")</f>
        <v/>
      </c>
      <c r="IR54" s="1153"/>
      <c r="IS54" s="1153"/>
      <c r="IT54" s="1153"/>
      <c r="IU54" s="1153" t="str">
        <f>IF($AI54,IF(LARGE($AG$41:$AH$107,IU$40)=$AG54,$AC54,""),"")</f>
        <v/>
      </c>
      <c r="IV54" s="1153"/>
      <c r="IW54" s="1153"/>
      <c r="IX54" s="1153"/>
      <c r="IY54" s="1153" t="str">
        <f>IF($AI54,IF(LARGE($AG$41:$AH$107,IY$40)=$AG54,$AC54,""),"")</f>
        <v/>
      </c>
      <c r="IZ54" s="1153"/>
      <c r="JA54" s="1153"/>
      <c r="JB54" s="1153"/>
      <c r="JC54" s="1153" t="str">
        <f>IF($AI54,IF(LARGE($AG$41:$AH$107,JC$40)=$AG54,$AC54,""),"")</f>
        <v/>
      </c>
      <c r="JD54" s="1153"/>
      <c r="JE54" s="1153"/>
      <c r="JF54" s="1153"/>
      <c r="JG54" s="1153" t="str">
        <f>IF($AI54,IF(LARGE($AG$41:$AH$107,JG$40)=$AG54,$AC54,""),"")</f>
        <v/>
      </c>
      <c r="JH54" s="1153"/>
      <c r="JI54" s="1153"/>
      <c r="JJ54" s="1153"/>
      <c r="JK54" s="1153" t="str">
        <f>IF($AI54,IF(LARGE($AG$41:$AH$107,JK$40)=$AG54,$AC54,""),"")</f>
        <v/>
      </c>
      <c r="JL54" s="1153"/>
      <c r="JM54" s="1153"/>
      <c r="JN54" s="1153"/>
      <c r="JO54" s="1153" t="str">
        <f>IF($AI54,IF(LARGE($AG$41:$AH$107,JO$40)=$AG54,$AC54,""),"")</f>
        <v/>
      </c>
      <c r="JP54" s="1153"/>
      <c r="JQ54" s="1153"/>
      <c r="JR54" s="1153"/>
      <c r="JS54" s="1153" t="str">
        <f>IF($AI54,IF(LARGE($AG$41:$AH$107,JS$40)=$AG54,$AC54,""),"")</f>
        <v/>
      </c>
      <c r="JT54" s="1153"/>
      <c r="JU54" s="1153"/>
      <c r="JV54" s="1153"/>
      <c r="JW54" s="1153" t="str">
        <f>IF($AI54,IF(LARGE($AG$41:$AH$107,JW$40)=$AG54,$AC54,""),"")</f>
        <v/>
      </c>
      <c r="JX54" s="1153"/>
      <c r="JY54" s="1153"/>
      <c r="JZ54" s="1153"/>
      <c r="KA54" s="1153" t="str">
        <f>IF($AI54,IF(LARGE($AG$41:$AH$107,KA$40)=$AG54,$AC54,""),"")</f>
        <v/>
      </c>
      <c r="KB54" s="1153"/>
      <c r="KC54" s="1153"/>
      <c r="KD54" s="1153"/>
      <c r="KE54" s="1153" t="str">
        <f>IF($AI54,IF(LARGE($AG$41:$AH$107,KE$40)=$AG54,$AC54,""),"")</f>
        <v/>
      </c>
      <c r="KF54" s="1153"/>
      <c r="KG54" s="1153"/>
      <c r="KH54" s="1153"/>
      <c r="KI54" s="1153" t="str">
        <f>IF($AI54,IF(LARGE($AG$41:$AH$107,KI$40)=$AG54,$AC54,""),"")</f>
        <v/>
      </c>
      <c r="KJ54" s="1153"/>
      <c r="KK54" s="1153"/>
      <c r="KL54" s="1153"/>
      <c r="KM54" s="1153" t="str">
        <f>IF($AI54,IF(LARGE($AG$41:$AH$107,KM$40)=$AG54,$AC54,""),"")</f>
        <v/>
      </c>
      <c r="KN54" s="1153"/>
      <c r="KO54" s="1153"/>
      <c r="KP54" s="1153"/>
      <c r="KQ54" s="1153" t="str">
        <f>IF($AI54,IF(LARGE($AG$41:$AH$107,KQ$40)=$AG54,$AC54,""),"")</f>
        <v/>
      </c>
      <c r="KR54" s="1153"/>
      <c r="KS54" s="1153"/>
      <c r="KT54" s="1153"/>
    </row>
    <row r="55" spans="8:8">
      <c r="C55" s="1153" t="str">
        <f>IF(F19="","",CONCATENATE(" ",C19,F19,H19))</f>
        <v> 🚙汽车驾驶</v>
      </c>
      <c r="D55" s="1153"/>
      <c r="E55" s="1153"/>
      <c r="F55" s="1153"/>
      <c r="G55" s="1155" t="str">
        <f>IF(AND(L19=0,N19=0),"",IF(ISNONTEXT(D19),"",R19))</f>
        <v/>
      </c>
      <c r="H55" s="1155"/>
      <c r="I55" s="1153" t="str">
        <f>IF(G55=$G$40,C55,"")</f>
        <v/>
      </c>
      <c r="J55" s="1153"/>
      <c r="K55" s="1153"/>
      <c r="L55" s="1153"/>
      <c r="M55" s="1154">
        <f>IF(AND(NOT(N19=0),ISNONTEXT(D19)),1,0)</f>
        <v>0.0</v>
      </c>
      <c r="N55" s="1122"/>
      <c r="O55" s="1122"/>
      <c r="P55" s="1153" t="str">
        <f>IF(F19="","",CONCATENATE(" ",C19,F19,H19))</f>
        <v> 🚙汽车驾驶</v>
      </c>
      <c r="Q55" s="1153"/>
      <c r="R55" s="1153"/>
      <c r="S55" s="1153"/>
      <c r="T55" s="1155" t="str">
        <f>IF(AND(L19=0,P19=0),"",IF(ISNONTEXT(D19),R19,""))</f>
        <v/>
      </c>
      <c r="U55" s="1155"/>
      <c r="V55" s="1153" t="str">
        <f>IF(T55=$T$40,P55,"")</f>
        <v/>
      </c>
      <c r="W55" s="1153"/>
      <c r="X55" s="1153"/>
      <c r="Y55" s="1153"/>
      <c r="AB55" s="1122"/>
      <c r="AC55" s="1153" t="str">
        <f>IF(F19="","",CONCATENATE(C19,F19,H19))</f>
        <v>🚙汽车驾驶</v>
      </c>
      <c r="AD55" s="1153"/>
      <c r="AE55" s="1153"/>
      <c r="AF55" s="1153"/>
      <c r="AG55" s="1155">
        <f>R19</f>
        <v>20.0</v>
      </c>
      <c r="AH55" s="1155"/>
      <c r="AI55" s="1153" t="b">
        <f>IF(AND(OR(ISNUMBER(L19),ISNUMBER(N19),ISNUMBER(P19)),OR(L19&gt;0,N19&gt;0,P19&gt;0)),TRUE,FALSE)</f>
        <v>0</v>
      </c>
      <c r="AJ55" s="1153"/>
      <c r="AK55" s="1153"/>
      <c r="AL55" s="1153"/>
      <c r="AM55" s="1153" t="str">
        <f>IF($AI55,IF(LARGE($AG$41:$AH$107,AM$40)=$AG55,$AC55,""),"")</f>
        <v/>
      </c>
      <c r="AN55" s="1153"/>
      <c r="AO55" s="1153"/>
      <c r="AP55" s="1153"/>
      <c r="AQ55" s="1153" t="str">
        <f>IF($AI55,IF(LARGE($AG$41:$AH$107,AQ$40)=$AG55,$AC55,""),"")</f>
        <v/>
      </c>
      <c r="AR55" s="1153"/>
      <c r="AS55" s="1153"/>
      <c r="AT55" s="1153"/>
      <c r="AU55" s="1153" t="str">
        <f>IF($AI55,IF(LARGE($AG$41:$AH$107,AU$40)=$AG55,$AC55,""),"")</f>
        <v/>
      </c>
      <c r="AV55" s="1153"/>
      <c r="AW55" s="1153"/>
      <c r="AX55" s="1153"/>
      <c r="AY55" s="1153" t="str">
        <f>IF($AI55,IF(LARGE($AG$41:$AH$107,AY$40)=$AG55,$AC55,""),"")</f>
        <v/>
      </c>
      <c r="AZ55" s="1153"/>
      <c r="BA55" s="1153"/>
      <c r="BB55" s="1153"/>
      <c r="BC55" s="1153" t="str">
        <f>IF($AI55,IF(LARGE($AG$41:$AH$107,BC$40)=$AG55,$AC55,""),"")</f>
        <v/>
      </c>
      <c r="BD55" s="1153"/>
      <c r="BE55" s="1153"/>
      <c r="BF55" s="1153"/>
      <c r="BG55" s="1153" t="str">
        <f>IF($AI55,IF(LARGE($AG$41:$AH$107,BG$40)=$AG55,$AC55,""),"")</f>
        <v/>
      </c>
      <c r="BH55" s="1153"/>
      <c r="BI55" s="1153"/>
      <c r="BJ55" s="1153"/>
      <c r="BK55" s="1153" t="str">
        <f>IF($AI55,IF(LARGE($AG$41:$AH$107,BK$40)=$AG55,$AC55,""),"")</f>
        <v/>
      </c>
      <c r="BL55" s="1153"/>
      <c r="BM55" s="1153"/>
      <c r="BN55" s="1153"/>
      <c r="BO55" s="1153" t="str">
        <f>IF($AI55,IF(LARGE($AG$41:$AH$107,BO$40)=$AG55,$AC55,""),"")</f>
        <v/>
      </c>
      <c r="BP55" s="1153"/>
      <c r="BQ55" s="1153"/>
      <c r="BR55" s="1153"/>
      <c r="BS55" s="1153" t="str">
        <f>IF($AI55,IF(LARGE($AG$41:$AH$107,BS$40)=$AG55,$AC55,""),"")</f>
        <v/>
      </c>
      <c r="BT55" s="1153"/>
      <c r="BU55" s="1153"/>
      <c r="BV55" s="1153"/>
      <c r="BW55" s="1153" t="str">
        <f>IF($AI55,IF(LARGE($AG$41:$AH$107,BW$40)=$AG55,$AC55,""),"")</f>
        <v/>
      </c>
      <c r="BX55" s="1153"/>
      <c r="BY55" s="1153"/>
      <c r="BZ55" s="1153"/>
      <c r="CA55" s="1153" t="str">
        <f>IF($AI55,IF(LARGE($AG$41:$AH$107,CA$40)=$AG55,$AC55,""),"")</f>
        <v/>
      </c>
      <c r="CB55" s="1153"/>
      <c r="CC55" s="1153"/>
      <c r="CD55" s="1153"/>
      <c r="CE55" s="1153" t="str">
        <f>IF($AI55,IF(LARGE($AG$41:$AH$107,CE$40)=$AG55,$AC55,""),"")</f>
        <v/>
      </c>
      <c r="CF55" s="1153"/>
      <c r="CG55" s="1153"/>
      <c r="CH55" s="1153"/>
      <c r="CI55" s="1153" t="str">
        <f>IF($AI55,IF(LARGE($AG$41:$AH$107,CI$40)=$AG55,$AC55,""),"")</f>
        <v/>
      </c>
      <c r="CJ55" s="1153"/>
      <c r="CK55" s="1153"/>
      <c r="CL55" s="1153"/>
      <c r="CM55" s="1153" t="str">
        <f>IF($AI55,IF(LARGE($AG$41:$AH$107,CM$40)=$AG55,$AC55,""),"")</f>
        <v/>
      </c>
      <c r="CN55" s="1153"/>
      <c r="CO55" s="1153"/>
      <c r="CP55" s="1153"/>
      <c r="CQ55" s="1153" t="str">
        <f>IF($AI55,IF(LARGE($AG$41:$AH$107,CQ$40)=$AG55,$AC55,""),"")</f>
        <v/>
      </c>
      <c r="CR55" s="1153"/>
      <c r="CS55" s="1153"/>
      <c r="CT55" s="1153"/>
      <c r="CU55" s="1153" t="str">
        <f>IF($AI55,IF(LARGE($AG$41:$AH$107,CU$40)=$AG55,$AC55,""),"")</f>
        <v/>
      </c>
      <c r="CV55" s="1153"/>
      <c r="CW55" s="1153"/>
      <c r="CX55" s="1153"/>
      <c r="CY55" s="1153" t="str">
        <f>IF($AI55,IF(LARGE($AG$41:$AH$107,CY$40)=$AG55,$AC55,""),"")</f>
        <v/>
      </c>
      <c r="CZ55" s="1153"/>
      <c r="DA55" s="1153"/>
      <c r="DB55" s="1153"/>
      <c r="DC55" s="1153" t="str">
        <f>IF($AI55,IF(LARGE($AG$41:$AH$107,DC$40)=$AG55,$AC55,""),"")</f>
        <v/>
      </c>
      <c r="DD55" s="1153"/>
      <c r="DE55" s="1153"/>
      <c r="DF55" s="1153"/>
      <c r="DG55" s="1153" t="str">
        <f>IF($AI55,IF(LARGE($AG$41:$AH$107,DG$40)=$AG55,$AC55,""),"")</f>
        <v/>
      </c>
      <c r="DH55" s="1153"/>
      <c r="DI55" s="1153"/>
      <c r="DJ55" s="1153"/>
      <c r="DK55" s="1153" t="str">
        <f>IF($AI55,IF(LARGE($AG$41:$AH$107,DK$40)=$AG55,$AC55,""),"")</f>
        <v/>
      </c>
      <c r="DL55" s="1153"/>
      <c r="DM55" s="1153"/>
      <c r="DN55" s="1153"/>
      <c r="DO55" s="1153" t="str">
        <f>IF($AI55,IF(LARGE($AG$41:$AH$107,DO$40)=$AG55,$AC55,""),"")</f>
        <v/>
      </c>
      <c r="DP55" s="1153"/>
      <c r="DQ55" s="1153"/>
      <c r="DR55" s="1153"/>
      <c r="DS55" s="1153" t="str">
        <f>IF($AI55,IF(LARGE($AG$41:$AH$107,DS$40)=$AG55,$AC55,""),"")</f>
        <v/>
      </c>
      <c r="DT55" s="1153"/>
      <c r="DU55" s="1153"/>
      <c r="DV55" s="1153"/>
      <c r="DW55" s="1153" t="str">
        <f>IF($AI55,IF(LARGE($AG$41:$AH$107,DW$40)=$AG55,$AC55,""),"")</f>
        <v/>
      </c>
      <c r="DX55" s="1153"/>
      <c r="DY55" s="1153"/>
      <c r="DZ55" s="1153"/>
      <c r="EA55" s="1153" t="str">
        <f>IF($AI55,IF(LARGE($AG$41:$AH$107,EA$40)=$AG55,$AC55,""),"")</f>
        <v/>
      </c>
      <c r="EB55" s="1153"/>
      <c r="EC55" s="1153"/>
      <c r="ED55" s="1153"/>
      <c r="EE55" s="1153" t="str">
        <f>IF($AI55,IF(LARGE($AG$41:$AH$107,EE$40)=$AG55,$AC55,""),"")</f>
        <v/>
      </c>
      <c r="EF55" s="1153"/>
      <c r="EG55" s="1153"/>
      <c r="EH55" s="1153"/>
      <c r="EI55" s="1153" t="str">
        <f>IF($AI55,IF(LARGE($AG$41:$AH$107,EI$40)=$AG55,$AC55,""),"")</f>
        <v/>
      </c>
      <c r="EJ55" s="1153"/>
      <c r="EK55" s="1153"/>
      <c r="EL55" s="1153"/>
      <c r="EM55" s="1153" t="str">
        <f>IF($AI55,IF(LARGE($AG$41:$AH$107,EM$40)=$AG55,$AC55,""),"")</f>
        <v/>
      </c>
      <c r="EN55" s="1153"/>
      <c r="EO55" s="1153"/>
      <c r="EP55" s="1153"/>
      <c r="EQ55" s="1153" t="str">
        <f>IF($AI55,IF(LARGE($AG$41:$AH$107,EQ$40)=$AG55,$AC55,""),"")</f>
        <v/>
      </c>
      <c r="ER55" s="1153"/>
      <c r="ES55" s="1153"/>
      <c r="ET55" s="1153"/>
      <c r="EU55" s="1153" t="str">
        <f>IF($AI55,IF(LARGE($AG$41:$AH$107,EU$40)=$AG55,$AC55,""),"")</f>
        <v/>
      </c>
      <c r="EV55" s="1153"/>
      <c r="EW55" s="1153"/>
      <c r="EX55" s="1153"/>
      <c r="EY55" s="1153" t="str">
        <f>IF($AI55,IF(LARGE($AG$41:$AH$107,EY$40)=$AG55,$AC55,""),"")</f>
        <v/>
      </c>
      <c r="EZ55" s="1153"/>
      <c r="FA55" s="1153"/>
      <c r="FB55" s="1153"/>
      <c r="FC55" s="1153" t="str">
        <f>IF($AI55,IF(LARGE($AG$41:$AH$107,FC$40)=$AG55,$AC55,""),"")</f>
        <v/>
      </c>
      <c r="FD55" s="1153"/>
      <c r="FE55" s="1153"/>
      <c r="FF55" s="1153"/>
      <c r="FG55" s="1153" t="str">
        <f>IF($AI55,IF(LARGE($AG$41:$AH$107,FG$40)=$AG55,$AC55,""),"")</f>
        <v/>
      </c>
      <c r="FH55" s="1153"/>
      <c r="FI55" s="1153"/>
      <c r="FJ55" s="1153"/>
      <c r="FK55" s="1153" t="str">
        <f>IF($AI55,IF(LARGE($AG$41:$AH$107,FK$40)=$AG55,$AC55,""),"")</f>
        <v/>
      </c>
      <c r="FL55" s="1153"/>
      <c r="FM55" s="1153"/>
      <c r="FN55" s="1153"/>
      <c r="FO55" s="1153" t="str">
        <f>IF($AI55,IF(LARGE($AG$41:$AH$107,FO$40)=$AG55,$AC55,""),"")</f>
        <v/>
      </c>
      <c r="FP55" s="1153"/>
      <c r="FQ55" s="1153"/>
      <c r="FR55" s="1153"/>
      <c r="FS55" s="1153" t="str">
        <f>IF($AI55,IF(LARGE($AG$41:$AH$107,FS$40)=$AG55,$AC55,""),"")</f>
        <v/>
      </c>
      <c r="FT55" s="1153"/>
      <c r="FU55" s="1153"/>
      <c r="FV55" s="1153"/>
      <c r="FW55" s="1153" t="str">
        <f>IF($AI55,IF(LARGE($AG$41:$AH$107,FW$40)=$AG55,$AC55,""),"")</f>
        <v/>
      </c>
      <c r="FX55" s="1153"/>
      <c r="FY55" s="1153"/>
      <c r="FZ55" s="1153"/>
      <c r="GA55" s="1153" t="str">
        <f>IF($AI55,IF(LARGE($AG$41:$AH$107,GA$40)=$AG55,$AC55,""),"")</f>
        <v/>
      </c>
      <c r="GB55" s="1153"/>
      <c r="GC55" s="1153"/>
      <c r="GD55" s="1153"/>
      <c r="GE55" s="1153" t="str">
        <f>IF($AI55,IF(LARGE($AG$41:$AH$107,GE$40)=$AG55,$AC55,""),"")</f>
        <v/>
      </c>
      <c r="GF55" s="1153"/>
      <c r="GG55" s="1153"/>
      <c r="GH55" s="1153"/>
      <c r="GI55" s="1153" t="str">
        <f>IF($AI55,IF(LARGE($AG$41:$AH$107,GI$40)=$AG55,$AC55,""),"")</f>
        <v/>
      </c>
      <c r="GJ55" s="1153"/>
      <c r="GK55" s="1153"/>
      <c r="GL55" s="1153"/>
      <c r="GM55" s="1153" t="str">
        <f>IF($AI55,IF(LARGE($AG$41:$AH$107,GM$40)=$AG55,$AC55,""),"")</f>
        <v/>
      </c>
      <c r="GN55" s="1153"/>
      <c r="GO55" s="1153"/>
      <c r="GP55" s="1153"/>
      <c r="GQ55" s="1153" t="str">
        <f>IF($AI55,IF(LARGE($AG$41:$AH$107,GQ$40)=$AG55,$AC55,""),"")</f>
        <v/>
      </c>
      <c r="GR55" s="1153"/>
      <c r="GS55" s="1153"/>
      <c r="GT55" s="1153"/>
      <c r="GU55" s="1153" t="str">
        <f>IF($AI55,IF(LARGE($AG$41:$AH$107,GU$40)=$AG55,$AC55,""),"")</f>
        <v/>
      </c>
      <c r="GV55" s="1153"/>
      <c r="GW55" s="1153"/>
      <c r="GX55" s="1153"/>
      <c r="GY55" s="1153" t="str">
        <f>IF($AI55,IF(LARGE($AG$41:$AH$107,GY$40)=$AG55,$AC55,""),"")</f>
        <v/>
      </c>
      <c r="GZ55" s="1153"/>
      <c r="HA55" s="1153"/>
      <c r="HB55" s="1153"/>
      <c r="HC55" s="1153" t="str">
        <f>IF($AI55,IF(LARGE($AG$41:$AH$107,HC$40)=$AG55,$AC55,""),"")</f>
        <v/>
      </c>
      <c r="HD55" s="1153"/>
      <c r="HE55" s="1153"/>
      <c r="HF55" s="1153"/>
      <c r="HG55" s="1153" t="str">
        <f>IF($AI55,IF(LARGE($AG$41:$AH$107,HG$40)=$AG55,$AC55,""),"")</f>
        <v/>
      </c>
      <c r="HH55" s="1153"/>
      <c r="HI55" s="1153"/>
      <c r="HJ55" s="1153"/>
      <c r="HK55" s="1153" t="str">
        <f>IF($AI55,IF(LARGE($AG$41:$AH$107,HK$40)=$AG55,$AC55,""),"")</f>
        <v/>
      </c>
      <c r="HL55" s="1153"/>
      <c r="HM55" s="1153"/>
      <c r="HN55" s="1153"/>
      <c r="HO55" s="1153" t="str">
        <f>IF($AI55,IF(LARGE($AG$41:$AH$107,HO$40)=$AG55,$AC55,""),"")</f>
        <v/>
      </c>
      <c r="HP55" s="1153"/>
      <c r="HQ55" s="1153"/>
      <c r="HR55" s="1153"/>
      <c r="HS55" s="1153" t="str">
        <f>IF($AI55,IF(LARGE($AG$41:$AH$107,HS$40)=$AG55,$AC55,""),"")</f>
        <v/>
      </c>
      <c r="HT55" s="1153"/>
      <c r="HU55" s="1153"/>
      <c r="HV55" s="1153"/>
      <c r="HW55" s="1153" t="str">
        <f>IF($AI55,IF(LARGE($AG$41:$AH$107,HW$40)=$AG55,$AC55,""),"")</f>
        <v/>
      </c>
      <c r="HX55" s="1153"/>
      <c r="HY55" s="1153"/>
      <c r="HZ55" s="1153"/>
      <c r="IA55" s="1153" t="str">
        <f>IF($AI55,IF(LARGE($AG$41:$AH$107,IA$40)=$AG55,$AC55,""),"")</f>
        <v/>
      </c>
      <c r="IB55" s="1153"/>
      <c r="IC55" s="1153"/>
      <c r="ID55" s="1153"/>
      <c r="IE55" s="1153" t="str">
        <f>IF($AI55,IF(LARGE($AG$41:$AH$107,IE$40)=$AG55,$AC55,""),"")</f>
        <v/>
      </c>
      <c r="IF55" s="1153"/>
      <c r="IG55" s="1153"/>
      <c r="IH55" s="1153"/>
      <c r="II55" s="1153" t="str">
        <f>IF($AI55,IF(LARGE($AG$41:$AH$107,II$40)=$AG55,$AC55,""),"")</f>
        <v/>
      </c>
      <c r="IJ55" s="1153"/>
      <c r="IK55" s="1153"/>
      <c r="IL55" s="1153"/>
      <c r="IM55" s="1153" t="str">
        <f>IF($AI55,IF(LARGE($AG$41:$AH$107,IM$40)=$AG55,$AC55,""),"")</f>
        <v/>
      </c>
      <c r="IN55" s="1153"/>
      <c r="IO55" s="1153"/>
      <c r="IP55" s="1153"/>
      <c r="IQ55" s="1153" t="str">
        <f>IF($AI55,IF(LARGE($AG$41:$AH$107,IQ$40)=$AG55,$AC55,""),"")</f>
        <v/>
      </c>
      <c r="IR55" s="1153"/>
      <c r="IS55" s="1153"/>
      <c r="IT55" s="1153"/>
      <c r="IU55" s="1153" t="str">
        <f>IF($AI55,IF(LARGE($AG$41:$AH$107,IU$40)=$AG55,$AC55,""),"")</f>
        <v/>
      </c>
      <c r="IV55" s="1153"/>
      <c r="IW55" s="1153"/>
      <c r="IX55" s="1153"/>
      <c r="IY55" s="1153" t="str">
        <f>IF($AI55,IF(LARGE($AG$41:$AH$107,IY$40)=$AG55,$AC55,""),"")</f>
        <v/>
      </c>
      <c r="IZ55" s="1153"/>
      <c r="JA55" s="1153"/>
      <c r="JB55" s="1153"/>
      <c r="JC55" s="1153" t="str">
        <f>IF($AI55,IF(LARGE($AG$41:$AH$107,JC$40)=$AG55,$AC55,""),"")</f>
        <v/>
      </c>
      <c r="JD55" s="1153"/>
      <c r="JE55" s="1153"/>
      <c r="JF55" s="1153"/>
      <c r="JG55" s="1153" t="str">
        <f>IF($AI55,IF(LARGE($AG$41:$AH$107,JG$40)=$AG55,$AC55,""),"")</f>
        <v/>
      </c>
      <c r="JH55" s="1153"/>
      <c r="JI55" s="1153"/>
      <c r="JJ55" s="1153"/>
      <c r="JK55" s="1153" t="str">
        <f>IF($AI55,IF(LARGE($AG$41:$AH$107,JK$40)=$AG55,$AC55,""),"")</f>
        <v/>
      </c>
      <c r="JL55" s="1153"/>
      <c r="JM55" s="1153"/>
      <c r="JN55" s="1153"/>
      <c r="JO55" s="1153" t="str">
        <f>IF($AI55,IF(LARGE($AG$41:$AH$107,JO$40)=$AG55,$AC55,""),"")</f>
        <v/>
      </c>
      <c r="JP55" s="1153"/>
      <c r="JQ55" s="1153"/>
      <c r="JR55" s="1153"/>
      <c r="JS55" s="1153" t="str">
        <f>IF($AI55,IF(LARGE($AG$41:$AH$107,JS$40)=$AG55,$AC55,""),"")</f>
        <v/>
      </c>
      <c r="JT55" s="1153"/>
      <c r="JU55" s="1153"/>
      <c r="JV55" s="1153"/>
      <c r="JW55" s="1153" t="str">
        <f>IF($AI55,IF(LARGE($AG$41:$AH$107,JW$40)=$AG55,$AC55,""),"")</f>
        <v/>
      </c>
      <c r="JX55" s="1153"/>
      <c r="JY55" s="1153"/>
      <c r="JZ55" s="1153"/>
      <c r="KA55" s="1153" t="str">
        <f>IF($AI55,IF(LARGE($AG$41:$AH$107,KA$40)=$AG55,$AC55,""),"")</f>
        <v/>
      </c>
      <c r="KB55" s="1153"/>
      <c r="KC55" s="1153"/>
      <c r="KD55" s="1153"/>
      <c r="KE55" s="1153" t="str">
        <f>IF($AI55,IF(LARGE($AG$41:$AH$107,KE$40)=$AG55,$AC55,""),"")</f>
        <v/>
      </c>
      <c r="KF55" s="1153"/>
      <c r="KG55" s="1153"/>
      <c r="KH55" s="1153"/>
      <c r="KI55" s="1153" t="str">
        <f>IF($AI55,IF(LARGE($AG$41:$AH$107,KI$40)=$AG55,$AC55,""),"")</f>
        <v/>
      </c>
      <c r="KJ55" s="1153"/>
      <c r="KK55" s="1153"/>
      <c r="KL55" s="1153"/>
      <c r="KM55" s="1153" t="str">
        <f>IF($AI55,IF(LARGE($AG$41:$AH$107,KM$40)=$AG55,$AC55,""),"")</f>
        <v/>
      </c>
      <c r="KN55" s="1153"/>
      <c r="KO55" s="1153"/>
      <c r="KP55" s="1153"/>
      <c r="KQ55" s="1153" t="str">
        <f>IF($AI55,IF(LARGE($AG$41:$AH$107,KQ$40)=$AG55,$AC55,""),"")</f>
        <v/>
      </c>
      <c r="KR55" s="1153"/>
      <c r="KS55" s="1153"/>
      <c r="KT55" s="1153"/>
    </row>
    <row r="56" spans="8:8">
      <c r="C56" s="1153" t="str">
        <f>IF(F20="","",CONCATENATE(" ",C20,F20,H20))</f>
        <v> ⚒️电气维修</v>
      </c>
      <c r="D56" s="1153"/>
      <c r="E56" s="1153"/>
      <c r="F56" s="1153"/>
      <c r="G56" s="1155" t="str">
        <f>IF(AND(L20=0,N20=0),"",IF(ISNONTEXT(D20),"",R20))</f>
        <v/>
      </c>
      <c r="H56" s="1155"/>
      <c r="I56" s="1153" t="str">
        <f>IF(G56=$G$40,C56,"")</f>
        <v/>
      </c>
      <c r="J56" s="1153"/>
      <c r="K56" s="1153"/>
      <c r="L56" s="1153"/>
      <c r="M56" s="1154">
        <f>IF(AND(NOT(N20=0),ISNONTEXT(D20)),1,0)</f>
        <v>0.0</v>
      </c>
      <c r="N56" s="1122"/>
      <c r="O56" s="1122"/>
      <c r="P56" s="1153" t="str">
        <f>IF(F20="","",CONCATENATE(" ",C20,F20,H20))</f>
        <v> ⚒️电气维修</v>
      </c>
      <c r="Q56" s="1153"/>
      <c r="R56" s="1153"/>
      <c r="S56" s="1153"/>
      <c r="T56" s="1155" t="str">
        <f>IF(AND(L20=0,P20=0),"",IF(ISNONTEXT(D20),R20,""))</f>
        <v/>
      </c>
      <c r="U56" s="1155"/>
      <c r="V56" s="1153" t="str">
        <f>IF(T56=$T$40,P56,"")</f>
        <v/>
      </c>
      <c r="W56" s="1153"/>
      <c r="X56" s="1153"/>
      <c r="Y56" s="1153"/>
      <c r="AB56" s="1122"/>
      <c r="AC56" s="1153" t="str">
        <f>IF(F20="","",CONCATENATE(C20,F20,H20))</f>
        <v>⚒️电气维修</v>
      </c>
      <c r="AD56" s="1153"/>
      <c r="AE56" s="1153"/>
      <c r="AF56" s="1153"/>
      <c r="AG56" s="1155">
        <f>R20</f>
        <v>10.0</v>
      </c>
      <c r="AH56" s="1155"/>
      <c r="AI56" s="1153" t="b">
        <f>IF(AND(OR(ISNUMBER(L20),ISNUMBER(N20),ISNUMBER(P20)),OR(L20&gt;0,N20&gt;0,P20&gt;0)),TRUE,FALSE)</f>
        <v>0</v>
      </c>
      <c r="AJ56" s="1153"/>
      <c r="AK56" s="1153"/>
      <c r="AL56" s="1153"/>
      <c r="AM56" s="1153" t="str">
        <f>IF($AI56,IF(LARGE($AG$41:$AH$107,AM$40)=$AG56,$AC56,""),"")</f>
        <v/>
      </c>
      <c r="AN56" s="1153"/>
      <c r="AO56" s="1153"/>
      <c r="AP56" s="1153"/>
      <c r="AQ56" s="1153" t="str">
        <f>IF($AI56,IF(LARGE($AG$41:$AH$107,AQ$40)=$AG56,$AC56,""),"")</f>
        <v/>
      </c>
      <c r="AR56" s="1153"/>
      <c r="AS56" s="1153"/>
      <c r="AT56" s="1153"/>
      <c r="AU56" s="1153" t="str">
        <f>IF($AI56,IF(LARGE($AG$41:$AH$107,AU$40)=$AG56,$AC56,""),"")</f>
        <v/>
      </c>
      <c r="AV56" s="1153"/>
      <c r="AW56" s="1153"/>
      <c r="AX56" s="1153"/>
      <c r="AY56" s="1153" t="str">
        <f>IF($AI56,IF(LARGE($AG$41:$AH$107,AY$40)=$AG56,$AC56,""),"")</f>
        <v/>
      </c>
      <c r="AZ56" s="1153"/>
      <c r="BA56" s="1153"/>
      <c r="BB56" s="1153"/>
      <c r="BC56" s="1153" t="str">
        <f>IF($AI56,IF(LARGE($AG$41:$AH$107,BC$40)=$AG56,$AC56,""),"")</f>
        <v/>
      </c>
      <c r="BD56" s="1153"/>
      <c r="BE56" s="1153"/>
      <c r="BF56" s="1153"/>
      <c r="BG56" s="1153" t="str">
        <f>IF($AI56,IF(LARGE($AG$41:$AH$107,BG$40)=$AG56,$AC56,""),"")</f>
        <v/>
      </c>
      <c r="BH56" s="1153"/>
      <c r="BI56" s="1153"/>
      <c r="BJ56" s="1153"/>
      <c r="BK56" s="1153" t="str">
        <f>IF($AI56,IF(LARGE($AG$41:$AH$107,BK$40)=$AG56,$AC56,""),"")</f>
        <v/>
      </c>
      <c r="BL56" s="1153"/>
      <c r="BM56" s="1153"/>
      <c r="BN56" s="1153"/>
      <c r="BO56" s="1153" t="str">
        <f>IF($AI56,IF(LARGE($AG$41:$AH$107,BO$40)=$AG56,$AC56,""),"")</f>
        <v/>
      </c>
      <c r="BP56" s="1153"/>
      <c r="BQ56" s="1153"/>
      <c r="BR56" s="1153"/>
      <c r="BS56" s="1153" t="str">
        <f>IF($AI56,IF(LARGE($AG$41:$AH$107,BS$40)=$AG56,$AC56,""),"")</f>
        <v/>
      </c>
      <c r="BT56" s="1153"/>
      <c r="BU56" s="1153"/>
      <c r="BV56" s="1153"/>
      <c r="BW56" s="1153" t="str">
        <f>IF($AI56,IF(LARGE($AG$41:$AH$107,BW$40)=$AG56,$AC56,""),"")</f>
        <v/>
      </c>
      <c r="BX56" s="1153"/>
      <c r="BY56" s="1153"/>
      <c r="BZ56" s="1153"/>
      <c r="CA56" s="1153" t="str">
        <f>IF($AI56,IF(LARGE($AG$41:$AH$107,CA$40)=$AG56,$AC56,""),"")</f>
        <v/>
      </c>
      <c r="CB56" s="1153"/>
      <c r="CC56" s="1153"/>
      <c r="CD56" s="1153"/>
      <c r="CE56" s="1153" t="str">
        <f>IF($AI56,IF(LARGE($AG$41:$AH$107,CE$40)=$AG56,$AC56,""),"")</f>
        <v/>
      </c>
      <c r="CF56" s="1153"/>
      <c r="CG56" s="1153"/>
      <c r="CH56" s="1153"/>
      <c r="CI56" s="1153" t="str">
        <f>IF($AI56,IF(LARGE($AG$41:$AH$107,CI$40)=$AG56,$AC56,""),"")</f>
        <v/>
      </c>
      <c r="CJ56" s="1153"/>
      <c r="CK56" s="1153"/>
      <c r="CL56" s="1153"/>
      <c r="CM56" s="1153" t="str">
        <f>IF($AI56,IF(LARGE($AG$41:$AH$107,CM$40)=$AG56,$AC56,""),"")</f>
        <v/>
      </c>
      <c r="CN56" s="1153"/>
      <c r="CO56" s="1153"/>
      <c r="CP56" s="1153"/>
      <c r="CQ56" s="1153" t="str">
        <f>IF($AI56,IF(LARGE($AG$41:$AH$107,CQ$40)=$AG56,$AC56,""),"")</f>
        <v/>
      </c>
      <c r="CR56" s="1153"/>
      <c r="CS56" s="1153"/>
      <c r="CT56" s="1153"/>
      <c r="CU56" s="1153" t="str">
        <f>IF($AI56,IF(LARGE($AG$41:$AH$107,CU$40)=$AG56,$AC56,""),"")</f>
        <v/>
      </c>
      <c r="CV56" s="1153"/>
      <c r="CW56" s="1153"/>
      <c r="CX56" s="1153"/>
      <c r="CY56" s="1153" t="str">
        <f>IF($AI56,IF(LARGE($AG$41:$AH$107,CY$40)=$AG56,$AC56,""),"")</f>
        <v/>
      </c>
      <c r="CZ56" s="1153"/>
      <c r="DA56" s="1153"/>
      <c r="DB56" s="1153"/>
      <c r="DC56" s="1153" t="str">
        <f>IF($AI56,IF(LARGE($AG$41:$AH$107,DC$40)=$AG56,$AC56,""),"")</f>
        <v/>
      </c>
      <c r="DD56" s="1153"/>
      <c r="DE56" s="1153"/>
      <c r="DF56" s="1153"/>
      <c r="DG56" s="1153" t="str">
        <f>IF($AI56,IF(LARGE($AG$41:$AH$107,DG$40)=$AG56,$AC56,""),"")</f>
        <v/>
      </c>
      <c r="DH56" s="1153"/>
      <c r="DI56" s="1153"/>
      <c r="DJ56" s="1153"/>
      <c r="DK56" s="1153" t="str">
        <f>IF($AI56,IF(LARGE($AG$41:$AH$107,DK$40)=$AG56,$AC56,""),"")</f>
        <v/>
      </c>
      <c r="DL56" s="1153"/>
      <c r="DM56" s="1153"/>
      <c r="DN56" s="1153"/>
      <c r="DO56" s="1153" t="str">
        <f>IF($AI56,IF(LARGE($AG$41:$AH$107,DO$40)=$AG56,$AC56,""),"")</f>
        <v/>
      </c>
      <c r="DP56" s="1153"/>
      <c r="DQ56" s="1153"/>
      <c r="DR56" s="1153"/>
      <c r="DS56" s="1153" t="str">
        <f>IF($AI56,IF(LARGE($AG$41:$AH$107,DS$40)=$AG56,$AC56,""),"")</f>
        <v/>
      </c>
      <c r="DT56" s="1153"/>
      <c r="DU56" s="1153"/>
      <c r="DV56" s="1153"/>
      <c r="DW56" s="1153" t="str">
        <f>IF($AI56,IF(LARGE($AG$41:$AH$107,DW$40)=$AG56,$AC56,""),"")</f>
        <v/>
      </c>
      <c r="DX56" s="1153"/>
      <c r="DY56" s="1153"/>
      <c r="DZ56" s="1153"/>
      <c r="EA56" s="1153" t="str">
        <f>IF($AI56,IF(LARGE($AG$41:$AH$107,EA$40)=$AG56,$AC56,""),"")</f>
        <v/>
      </c>
      <c r="EB56" s="1153"/>
      <c r="EC56" s="1153"/>
      <c r="ED56" s="1153"/>
      <c r="EE56" s="1153" t="str">
        <f>IF($AI56,IF(LARGE($AG$41:$AH$107,EE$40)=$AG56,$AC56,""),"")</f>
        <v/>
      </c>
      <c r="EF56" s="1153"/>
      <c r="EG56" s="1153"/>
      <c r="EH56" s="1153"/>
      <c r="EI56" s="1153" t="str">
        <f>IF($AI56,IF(LARGE($AG$41:$AH$107,EI$40)=$AG56,$AC56,""),"")</f>
        <v/>
      </c>
      <c r="EJ56" s="1153"/>
      <c r="EK56" s="1153"/>
      <c r="EL56" s="1153"/>
      <c r="EM56" s="1153" t="str">
        <f>IF($AI56,IF(LARGE($AG$41:$AH$107,EM$40)=$AG56,$AC56,""),"")</f>
        <v/>
      </c>
      <c r="EN56" s="1153"/>
      <c r="EO56" s="1153"/>
      <c r="EP56" s="1153"/>
      <c r="EQ56" s="1153" t="str">
        <f>IF($AI56,IF(LARGE($AG$41:$AH$107,EQ$40)=$AG56,$AC56,""),"")</f>
        <v/>
      </c>
      <c r="ER56" s="1153"/>
      <c r="ES56" s="1153"/>
      <c r="ET56" s="1153"/>
      <c r="EU56" s="1153" t="str">
        <f>IF($AI56,IF(LARGE($AG$41:$AH$107,EU$40)=$AG56,$AC56,""),"")</f>
        <v/>
      </c>
      <c r="EV56" s="1153"/>
      <c r="EW56" s="1153"/>
      <c r="EX56" s="1153"/>
      <c r="EY56" s="1153" t="str">
        <f>IF($AI56,IF(LARGE($AG$41:$AH$107,EY$40)=$AG56,$AC56,""),"")</f>
        <v/>
      </c>
      <c r="EZ56" s="1153"/>
      <c r="FA56" s="1153"/>
      <c r="FB56" s="1153"/>
      <c r="FC56" s="1153" t="str">
        <f>IF($AI56,IF(LARGE($AG$41:$AH$107,FC$40)=$AG56,$AC56,""),"")</f>
        <v/>
      </c>
      <c r="FD56" s="1153"/>
      <c r="FE56" s="1153"/>
      <c r="FF56" s="1153"/>
      <c r="FG56" s="1153" t="str">
        <f>IF($AI56,IF(LARGE($AG$41:$AH$107,FG$40)=$AG56,$AC56,""),"")</f>
        <v/>
      </c>
      <c r="FH56" s="1153"/>
      <c r="FI56" s="1153"/>
      <c r="FJ56" s="1153"/>
      <c r="FK56" s="1153" t="str">
        <f>IF($AI56,IF(LARGE($AG$41:$AH$107,FK$40)=$AG56,$AC56,""),"")</f>
        <v/>
      </c>
      <c r="FL56" s="1153"/>
      <c r="FM56" s="1153"/>
      <c r="FN56" s="1153"/>
      <c r="FO56" s="1153" t="str">
        <f>IF($AI56,IF(LARGE($AG$41:$AH$107,FO$40)=$AG56,$AC56,""),"")</f>
        <v/>
      </c>
      <c r="FP56" s="1153"/>
      <c r="FQ56" s="1153"/>
      <c r="FR56" s="1153"/>
      <c r="FS56" s="1153" t="str">
        <f>IF($AI56,IF(LARGE($AG$41:$AH$107,FS$40)=$AG56,$AC56,""),"")</f>
        <v/>
      </c>
      <c r="FT56" s="1153"/>
      <c r="FU56" s="1153"/>
      <c r="FV56" s="1153"/>
      <c r="FW56" s="1153" t="str">
        <f>IF($AI56,IF(LARGE($AG$41:$AH$107,FW$40)=$AG56,$AC56,""),"")</f>
        <v/>
      </c>
      <c r="FX56" s="1153"/>
      <c r="FY56" s="1153"/>
      <c r="FZ56" s="1153"/>
      <c r="GA56" s="1153" t="str">
        <f>IF($AI56,IF(LARGE($AG$41:$AH$107,GA$40)=$AG56,$AC56,""),"")</f>
        <v/>
      </c>
      <c r="GB56" s="1153"/>
      <c r="GC56" s="1153"/>
      <c r="GD56" s="1153"/>
      <c r="GE56" s="1153" t="str">
        <f>IF($AI56,IF(LARGE($AG$41:$AH$107,GE$40)=$AG56,$AC56,""),"")</f>
        <v/>
      </c>
      <c r="GF56" s="1153"/>
      <c r="GG56" s="1153"/>
      <c r="GH56" s="1153"/>
      <c r="GI56" s="1153" t="str">
        <f>IF($AI56,IF(LARGE($AG$41:$AH$107,GI$40)=$AG56,$AC56,""),"")</f>
        <v/>
      </c>
      <c r="GJ56" s="1153"/>
      <c r="GK56" s="1153"/>
      <c r="GL56" s="1153"/>
      <c r="GM56" s="1153" t="str">
        <f>IF($AI56,IF(LARGE($AG$41:$AH$107,GM$40)=$AG56,$AC56,""),"")</f>
        <v/>
      </c>
      <c r="GN56" s="1153"/>
      <c r="GO56" s="1153"/>
      <c r="GP56" s="1153"/>
      <c r="GQ56" s="1153" t="str">
        <f>IF($AI56,IF(LARGE($AG$41:$AH$107,GQ$40)=$AG56,$AC56,""),"")</f>
        <v/>
      </c>
      <c r="GR56" s="1153"/>
      <c r="GS56" s="1153"/>
      <c r="GT56" s="1153"/>
      <c r="GU56" s="1153" t="str">
        <f>IF($AI56,IF(LARGE($AG$41:$AH$107,GU$40)=$AG56,$AC56,""),"")</f>
        <v/>
      </c>
      <c r="GV56" s="1153"/>
      <c r="GW56" s="1153"/>
      <c r="GX56" s="1153"/>
      <c r="GY56" s="1153" t="str">
        <f>IF($AI56,IF(LARGE($AG$41:$AH$107,GY$40)=$AG56,$AC56,""),"")</f>
        <v/>
      </c>
      <c r="GZ56" s="1153"/>
      <c r="HA56" s="1153"/>
      <c r="HB56" s="1153"/>
      <c r="HC56" s="1153" t="str">
        <f>IF($AI56,IF(LARGE($AG$41:$AH$107,HC$40)=$AG56,$AC56,""),"")</f>
        <v/>
      </c>
      <c r="HD56" s="1153"/>
      <c r="HE56" s="1153"/>
      <c r="HF56" s="1153"/>
      <c r="HG56" s="1153" t="str">
        <f>IF($AI56,IF(LARGE($AG$41:$AH$107,HG$40)=$AG56,$AC56,""),"")</f>
        <v/>
      </c>
      <c r="HH56" s="1153"/>
      <c r="HI56" s="1153"/>
      <c r="HJ56" s="1153"/>
      <c r="HK56" s="1153" t="str">
        <f>IF($AI56,IF(LARGE($AG$41:$AH$107,HK$40)=$AG56,$AC56,""),"")</f>
        <v/>
      </c>
      <c r="HL56" s="1153"/>
      <c r="HM56" s="1153"/>
      <c r="HN56" s="1153"/>
      <c r="HO56" s="1153" t="str">
        <f>IF($AI56,IF(LARGE($AG$41:$AH$107,HO$40)=$AG56,$AC56,""),"")</f>
        <v/>
      </c>
      <c r="HP56" s="1153"/>
      <c r="HQ56" s="1153"/>
      <c r="HR56" s="1153"/>
      <c r="HS56" s="1153" t="str">
        <f>IF($AI56,IF(LARGE($AG$41:$AH$107,HS$40)=$AG56,$AC56,""),"")</f>
        <v/>
      </c>
      <c r="HT56" s="1153"/>
      <c r="HU56" s="1153"/>
      <c r="HV56" s="1153"/>
      <c r="HW56" s="1153" t="str">
        <f>IF($AI56,IF(LARGE($AG$41:$AH$107,HW$40)=$AG56,$AC56,""),"")</f>
        <v/>
      </c>
      <c r="HX56" s="1153"/>
      <c r="HY56" s="1153"/>
      <c r="HZ56" s="1153"/>
      <c r="IA56" s="1153" t="str">
        <f>IF($AI56,IF(LARGE($AG$41:$AH$107,IA$40)=$AG56,$AC56,""),"")</f>
        <v/>
      </c>
      <c r="IB56" s="1153"/>
      <c r="IC56" s="1153"/>
      <c r="ID56" s="1153"/>
      <c r="IE56" s="1153" t="str">
        <f>IF($AI56,IF(LARGE($AG$41:$AH$107,IE$40)=$AG56,$AC56,""),"")</f>
        <v/>
      </c>
      <c r="IF56" s="1153"/>
      <c r="IG56" s="1153"/>
      <c r="IH56" s="1153"/>
      <c r="II56" s="1153" t="str">
        <f>IF($AI56,IF(LARGE($AG$41:$AH$107,II$40)=$AG56,$AC56,""),"")</f>
        <v/>
      </c>
      <c r="IJ56" s="1153"/>
      <c r="IK56" s="1153"/>
      <c r="IL56" s="1153"/>
      <c r="IM56" s="1153" t="str">
        <f>IF($AI56,IF(LARGE($AG$41:$AH$107,IM$40)=$AG56,$AC56,""),"")</f>
        <v/>
      </c>
      <c r="IN56" s="1153"/>
      <c r="IO56" s="1153"/>
      <c r="IP56" s="1153"/>
      <c r="IQ56" s="1153" t="str">
        <f>IF($AI56,IF(LARGE($AG$41:$AH$107,IQ$40)=$AG56,$AC56,""),"")</f>
        <v/>
      </c>
      <c r="IR56" s="1153"/>
      <c r="IS56" s="1153"/>
      <c r="IT56" s="1153"/>
      <c r="IU56" s="1153" t="str">
        <f>IF($AI56,IF(LARGE($AG$41:$AH$107,IU$40)=$AG56,$AC56,""),"")</f>
        <v/>
      </c>
      <c r="IV56" s="1153"/>
      <c r="IW56" s="1153"/>
      <c r="IX56" s="1153"/>
      <c r="IY56" s="1153" t="str">
        <f>IF($AI56,IF(LARGE($AG$41:$AH$107,IY$40)=$AG56,$AC56,""),"")</f>
        <v/>
      </c>
      <c r="IZ56" s="1153"/>
      <c r="JA56" s="1153"/>
      <c r="JB56" s="1153"/>
      <c r="JC56" s="1153" t="str">
        <f>IF($AI56,IF(LARGE($AG$41:$AH$107,JC$40)=$AG56,$AC56,""),"")</f>
        <v/>
      </c>
      <c r="JD56" s="1153"/>
      <c r="JE56" s="1153"/>
      <c r="JF56" s="1153"/>
      <c r="JG56" s="1153" t="str">
        <f>IF($AI56,IF(LARGE($AG$41:$AH$107,JG$40)=$AG56,$AC56,""),"")</f>
        <v/>
      </c>
      <c r="JH56" s="1153"/>
      <c r="JI56" s="1153"/>
      <c r="JJ56" s="1153"/>
      <c r="JK56" s="1153" t="str">
        <f>IF($AI56,IF(LARGE($AG$41:$AH$107,JK$40)=$AG56,$AC56,""),"")</f>
        <v/>
      </c>
      <c r="JL56" s="1153"/>
      <c r="JM56" s="1153"/>
      <c r="JN56" s="1153"/>
      <c r="JO56" s="1153" t="str">
        <f>IF($AI56,IF(LARGE($AG$41:$AH$107,JO$40)=$AG56,$AC56,""),"")</f>
        <v/>
      </c>
      <c r="JP56" s="1153"/>
      <c r="JQ56" s="1153"/>
      <c r="JR56" s="1153"/>
      <c r="JS56" s="1153" t="str">
        <f>IF($AI56,IF(LARGE($AG$41:$AH$107,JS$40)=$AG56,$AC56,""),"")</f>
        <v/>
      </c>
      <c r="JT56" s="1153"/>
      <c r="JU56" s="1153"/>
      <c r="JV56" s="1153"/>
      <c r="JW56" s="1153" t="str">
        <f>IF($AI56,IF(LARGE($AG$41:$AH$107,JW$40)=$AG56,$AC56,""),"")</f>
        <v/>
      </c>
      <c r="JX56" s="1153"/>
      <c r="JY56" s="1153"/>
      <c r="JZ56" s="1153"/>
      <c r="KA56" s="1153" t="str">
        <f>IF($AI56,IF(LARGE($AG$41:$AH$107,KA$40)=$AG56,$AC56,""),"")</f>
        <v/>
      </c>
      <c r="KB56" s="1153"/>
      <c r="KC56" s="1153"/>
      <c r="KD56" s="1153"/>
      <c r="KE56" s="1153" t="str">
        <f>IF($AI56,IF(LARGE($AG$41:$AH$107,KE$40)=$AG56,$AC56,""),"")</f>
        <v/>
      </c>
      <c r="KF56" s="1153"/>
      <c r="KG56" s="1153"/>
      <c r="KH56" s="1153"/>
      <c r="KI56" s="1153" t="str">
        <f>IF($AI56,IF(LARGE($AG$41:$AH$107,KI$40)=$AG56,$AC56,""),"")</f>
        <v/>
      </c>
      <c r="KJ56" s="1153"/>
      <c r="KK56" s="1153"/>
      <c r="KL56" s="1153"/>
      <c r="KM56" s="1153" t="str">
        <f>IF($AI56,IF(LARGE($AG$41:$AH$107,KM$40)=$AG56,$AC56,""),"")</f>
        <v/>
      </c>
      <c r="KN56" s="1153"/>
      <c r="KO56" s="1153"/>
      <c r="KP56" s="1153"/>
      <c r="KQ56" s="1153" t="str">
        <f>IF($AI56,IF(LARGE($AG$41:$AH$107,KQ$40)=$AG56,$AC56,""),"")</f>
        <v/>
      </c>
      <c r="KR56" s="1153"/>
      <c r="KS56" s="1153"/>
      <c r="KT56" s="1153"/>
    </row>
    <row r="57" spans="8:8">
      <c r="C57" s="1153" t="str">
        <f>IF(F21="","",CONCATENATE(" ",C21,F21,H21))</f>
        <v> ⚡电子学 Ω</v>
      </c>
      <c r="D57" s="1153"/>
      <c r="E57" s="1153"/>
      <c r="F57" s="1153"/>
      <c r="G57" s="1155" t="str">
        <f>IF(AND(L21=0,N21=0),"",IF(ISNONTEXT(D21),"",R21))</f>
        <v/>
      </c>
      <c r="H57" s="1155"/>
      <c r="I57" s="1153" t="str">
        <f>IF(G57=$G$40,C57,"")</f>
        <v/>
      </c>
      <c r="J57" s="1153"/>
      <c r="K57" s="1153"/>
      <c r="L57" s="1153"/>
      <c r="M57" s="1154">
        <f>IF(AND(NOT(N21=0),ISNONTEXT(D21)),1,0)</f>
        <v>0.0</v>
      </c>
      <c r="N57" s="1122"/>
      <c r="O57" s="1122"/>
      <c r="P57" s="1153" t="str">
        <f>IF(F21="","",CONCATENATE(" ",C21,F21,H21))</f>
        <v> ⚡电子学 Ω</v>
      </c>
      <c r="Q57" s="1153"/>
      <c r="R57" s="1153"/>
      <c r="S57" s="1153"/>
      <c r="T57" s="1155" t="str">
        <f>IF(AND(L21=0,P21=0),"",IF(ISNONTEXT(D21),R21,""))</f>
        <v/>
      </c>
      <c r="U57" s="1155"/>
      <c r="V57" s="1153" t="str">
        <f>IF(T57=$T$40,P57,"")</f>
        <v/>
      </c>
      <c r="W57" s="1153"/>
      <c r="X57" s="1153"/>
      <c r="Y57" s="1153"/>
      <c r="AB57" s="1122"/>
      <c r="AC57" s="1153" t="str">
        <f>IF(F21="","",CONCATENATE(C21,F21,H21))</f>
        <v>⚡电子学 Ω</v>
      </c>
      <c r="AD57" s="1153"/>
      <c r="AE57" s="1153"/>
      <c r="AF57" s="1153"/>
      <c r="AG57" s="1155">
        <f>R21</f>
        <v>1.0</v>
      </c>
      <c r="AH57" s="1155"/>
      <c r="AI57" s="1153" t="b">
        <f>IF(AND(OR(ISNUMBER(L21),ISNUMBER(N21),ISNUMBER(P21)),OR(L21&gt;0,N21&gt;0,P21&gt;0)),TRUE,FALSE)</f>
        <v>0</v>
      </c>
      <c r="AJ57" s="1153"/>
      <c r="AK57" s="1153"/>
      <c r="AL57" s="1153"/>
      <c r="AM57" s="1153" t="str">
        <f>IF($AI57,IF(LARGE($AG$41:$AH$107,AM$40)=$AG57,$AC57,""),"")</f>
        <v/>
      </c>
      <c r="AN57" s="1153"/>
      <c r="AO57" s="1153"/>
      <c r="AP57" s="1153"/>
      <c r="AQ57" s="1153" t="str">
        <f>IF($AI57,IF(LARGE($AG$41:$AH$107,AQ$40)=$AG57,$AC57,""),"")</f>
        <v/>
      </c>
      <c r="AR57" s="1153"/>
      <c r="AS57" s="1153"/>
      <c r="AT57" s="1153"/>
      <c r="AU57" s="1153" t="str">
        <f>IF($AI57,IF(LARGE($AG$41:$AH$107,AU$40)=$AG57,$AC57,""),"")</f>
        <v/>
      </c>
      <c r="AV57" s="1153"/>
      <c r="AW57" s="1153"/>
      <c r="AX57" s="1153"/>
      <c r="AY57" s="1153" t="str">
        <f>IF($AI57,IF(LARGE($AG$41:$AH$107,AY$40)=$AG57,$AC57,""),"")</f>
        <v/>
      </c>
      <c r="AZ57" s="1153"/>
      <c r="BA57" s="1153"/>
      <c r="BB57" s="1153"/>
      <c r="BC57" s="1153" t="str">
        <f>IF($AI57,IF(LARGE($AG$41:$AH$107,BC$40)=$AG57,$AC57,""),"")</f>
        <v/>
      </c>
      <c r="BD57" s="1153"/>
      <c r="BE57" s="1153"/>
      <c r="BF57" s="1153"/>
      <c r="BG57" s="1153" t="str">
        <f>IF($AI57,IF(LARGE($AG$41:$AH$107,BG$40)=$AG57,$AC57,""),"")</f>
        <v/>
      </c>
      <c r="BH57" s="1153"/>
      <c r="BI57" s="1153"/>
      <c r="BJ57" s="1153"/>
      <c r="BK57" s="1153" t="str">
        <f>IF($AI57,IF(LARGE($AG$41:$AH$107,BK$40)=$AG57,$AC57,""),"")</f>
        <v/>
      </c>
      <c r="BL57" s="1153"/>
      <c r="BM57" s="1153"/>
      <c r="BN57" s="1153"/>
      <c r="BO57" s="1153" t="str">
        <f>IF($AI57,IF(LARGE($AG$41:$AH$107,BO$40)=$AG57,$AC57,""),"")</f>
        <v/>
      </c>
      <c r="BP57" s="1153"/>
      <c r="BQ57" s="1153"/>
      <c r="BR57" s="1153"/>
      <c r="BS57" s="1153" t="str">
        <f>IF($AI57,IF(LARGE($AG$41:$AH$107,BS$40)=$AG57,$AC57,""),"")</f>
        <v/>
      </c>
      <c r="BT57" s="1153"/>
      <c r="BU57" s="1153"/>
      <c r="BV57" s="1153"/>
      <c r="BW57" s="1153" t="str">
        <f>IF($AI57,IF(LARGE($AG$41:$AH$107,BW$40)=$AG57,$AC57,""),"")</f>
        <v/>
      </c>
      <c r="BX57" s="1153"/>
      <c r="BY57" s="1153"/>
      <c r="BZ57" s="1153"/>
      <c r="CA57" s="1153" t="str">
        <f>IF($AI57,IF(LARGE($AG$41:$AH$107,CA$40)=$AG57,$AC57,""),"")</f>
        <v/>
      </c>
      <c r="CB57" s="1153"/>
      <c r="CC57" s="1153"/>
      <c r="CD57" s="1153"/>
      <c r="CE57" s="1153" t="str">
        <f>IF($AI57,IF(LARGE($AG$41:$AH$107,CE$40)=$AG57,$AC57,""),"")</f>
        <v/>
      </c>
      <c r="CF57" s="1153"/>
      <c r="CG57" s="1153"/>
      <c r="CH57" s="1153"/>
      <c r="CI57" s="1153" t="str">
        <f>IF($AI57,IF(LARGE($AG$41:$AH$107,CI$40)=$AG57,$AC57,""),"")</f>
        <v/>
      </c>
      <c r="CJ57" s="1153"/>
      <c r="CK57" s="1153"/>
      <c r="CL57" s="1153"/>
      <c r="CM57" s="1153" t="str">
        <f>IF($AI57,IF(LARGE($AG$41:$AH$107,CM$40)=$AG57,$AC57,""),"")</f>
        <v/>
      </c>
      <c r="CN57" s="1153"/>
      <c r="CO57" s="1153"/>
      <c r="CP57" s="1153"/>
      <c r="CQ57" s="1153" t="str">
        <f>IF($AI57,IF(LARGE($AG$41:$AH$107,CQ$40)=$AG57,$AC57,""),"")</f>
        <v/>
      </c>
      <c r="CR57" s="1153"/>
      <c r="CS57" s="1153"/>
      <c r="CT57" s="1153"/>
      <c r="CU57" s="1153" t="str">
        <f>IF($AI57,IF(LARGE($AG$41:$AH$107,CU$40)=$AG57,$AC57,""),"")</f>
        <v/>
      </c>
      <c r="CV57" s="1153"/>
      <c r="CW57" s="1153"/>
      <c r="CX57" s="1153"/>
      <c r="CY57" s="1153" t="str">
        <f>IF($AI57,IF(LARGE($AG$41:$AH$107,CY$40)=$AG57,$AC57,""),"")</f>
        <v/>
      </c>
      <c r="CZ57" s="1153"/>
      <c r="DA57" s="1153"/>
      <c r="DB57" s="1153"/>
      <c r="DC57" s="1153" t="str">
        <f>IF($AI57,IF(LARGE($AG$41:$AH$107,DC$40)=$AG57,$AC57,""),"")</f>
        <v/>
      </c>
      <c r="DD57" s="1153"/>
      <c r="DE57" s="1153"/>
      <c r="DF57" s="1153"/>
      <c r="DG57" s="1153" t="str">
        <f>IF($AI57,IF(LARGE($AG$41:$AH$107,DG$40)=$AG57,$AC57,""),"")</f>
        <v/>
      </c>
      <c r="DH57" s="1153"/>
      <c r="DI57" s="1153"/>
      <c r="DJ57" s="1153"/>
      <c r="DK57" s="1153" t="str">
        <f>IF($AI57,IF(LARGE($AG$41:$AH$107,DK$40)=$AG57,$AC57,""),"")</f>
        <v/>
      </c>
      <c r="DL57" s="1153"/>
      <c r="DM57" s="1153"/>
      <c r="DN57" s="1153"/>
      <c r="DO57" s="1153" t="str">
        <f>IF($AI57,IF(LARGE($AG$41:$AH$107,DO$40)=$AG57,$AC57,""),"")</f>
        <v/>
      </c>
      <c r="DP57" s="1153"/>
      <c r="DQ57" s="1153"/>
      <c r="DR57" s="1153"/>
      <c r="DS57" s="1153" t="str">
        <f>IF($AI57,IF(LARGE($AG$41:$AH$107,DS$40)=$AG57,$AC57,""),"")</f>
        <v/>
      </c>
      <c r="DT57" s="1153"/>
      <c r="DU57" s="1153"/>
      <c r="DV57" s="1153"/>
      <c r="DW57" s="1153" t="str">
        <f>IF($AI57,IF(LARGE($AG$41:$AH$107,DW$40)=$AG57,$AC57,""),"")</f>
        <v/>
      </c>
      <c r="DX57" s="1153"/>
      <c r="DY57" s="1153"/>
      <c r="DZ57" s="1153"/>
      <c r="EA57" s="1153" t="str">
        <f>IF($AI57,IF(LARGE($AG$41:$AH$107,EA$40)=$AG57,$AC57,""),"")</f>
        <v/>
      </c>
      <c r="EB57" s="1153"/>
      <c r="EC57" s="1153"/>
      <c r="ED57" s="1153"/>
      <c r="EE57" s="1153" t="str">
        <f>IF($AI57,IF(LARGE($AG$41:$AH$107,EE$40)=$AG57,$AC57,""),"")</f>
        <v/>
      </c>
      <c r="EF57" s="1153"/>
      <c r="EG57" s="1153"/>
      <c r="EH57" s="1153"/>
      <c r="EI57" s="1153" t="str">
        <f>IF($AI57,IF(LARGE($AG$41:$AH$107,EI$40)=$AG57,$AC57,""),"")</f>
        <v/>
      </c>
      <c r="EJ57" s="1153"/>
      <c r="EK57" s="1153"/>
      <c r="EL57" s="1153"/>
      <c r="EM57" s="1153" t="str">
        <f>IF($AI57,IF(LARGE($AG$41:$AH$107,EM$40)=$AG57,$AC57,""),"")</f>
        <v/>
      </c>
      <c r="EN57" s="1153"/>
      <c r="EO57" s="1153"/>
      <c r="EP57" s="1153"/>
      <c r="EQ57" s="1153" t="str">
        <f>IF($AI57,IF(LARGE($AG$41:$AH$107,EQ$40)=$AG57,$AC57,""),"")</f>
        <v/>
      </c>
      <c r="ER57" s="1153"/>
      <c r="ES57" s="1153"/>
      <c r="ET57" s="1153"/>
      <c r="EU57" s="1153" t="str">
        <f>IF($AI57,IF(LARGE($AG$41:$AH$107,EU$40)=$AG57,$AC57,""),"")</f>
        <v/>
      </c>
      <c r="EV57" s="1153"/>
      <c r="EW57" s="1153"/>
      <c r="EX57" s="1153"/>
      <c r="EY57" s="1153" t="str">
        <f>IF($AI57,IF(LARGE($AG$41:$AH$107,EY$40)=$AG57,$AC57,""),"")</f>
        <v/>
      </c>
      <c r="EZ57" s="1153"/>
      <c r="FA57" s="1153"/>
      <c r="FB57" s="1153"/>
      <c r="FC57" s="1153" t="str">
        <f>IF($AI57,IF(LARGE($AG$41:$AH$107,FC$40)=$AG57,$AC57,""),"")</f>
        <v/>
      </c>
      <c r="FD57" s="1153"/>
      <c r="FE57" s="1153"/>
      <c r="FF57" s="1153"/>
      <c r="FG57" s="1153" t="str">
        <f>IF($AI57,IF(LARGE($AG$41:$AH$107,FG$40)=$AG57,$AC57,""),"")</f>
        <v/>
      </c>
      <c r="FH57" s="1153"/>
      <c r="FI57" s="1153"/>
      <c r="FJ57" s="1153"/>
      <c r="FK57" s="1153" t="str">
        <f>IF($AI57,IF(LARGE($AG$41:$AH$107,FK$40)=$AG57,$AC57,""),"")</f>
        <v/>
      </c>
      <c r="FL57" s="1153"/>
      <c r="FM57" s="1153"/>
      <c r="FN57" s="1153"/>
      <c r="FO57" s="1153" t="str">
        <f>IF($AI57,IF(LARGE($AG$41:$AH$107,FO$40)=$AG57,$AC57,""),"")</f>
        <v/>
      </c>
      <c r="FP57" s="1153"/>
      <c r="FQ57" s="1153"/>
      <c r="FR57" s="1153"/>
      <c r="FS57" s="1153" t="str">
        <f>IF($AI57,IF(LARGE($AG$41:$AH$107,FS$40)=$AG57,$AC57,""),"")</f>
        <v/>
      </c>
      <c r="FT57" s="1153"/>
      <c r="FU57" s="1153"/>
      <c r="FV57" s="1153"/>
      <c r="FW57" s="1153" t="str">
        <f>IF($AI57,IF(LARGE($AG$41:$AH$107,FW$40)=$AG57,$AC57,""),"")</f>
        <v/>
      </c>
      <c r="FX57" s="1153"/>
      <c r="FY57" s="1153"/>
      <c r="FZ57" s="1153"/>
      <c r="GA57" s="1153" t="str">
        <f>IF($AI57,IF(LARGE($AG$41:$AH$107,GA$40)=$AG57,$AC57,""),"")</f>
        <v/>
      </c>
      <c r="GB57" s="1153"/>
      <c r="GC57" s="1153"/>
      <c r="GD57" s="1153"/>
      <c r="GE57" s="1153" t="str">
        <f>IF($AI57,IF(LARGE($AG$41:$AH$107,GE$40)=$AG57,$AC57,""),"")</f>
        <v/>
      </c>
      <c r="GF57" s="1153"/>
      <c r="GG57" s="1153"/>
      <c r="GH57" s="1153"/>
      <c r="GI57" s="1153" t="str">
        <f>IF($AI57,IF(LARGE($AG$41:$AH$107,GI$40)=$AG57,$AC57,""),"")</f>
        <v/>
      </c>
      <c r="GJ57" s="1153"/>
      <c r="GK57" s="1153"/>
      <c r="GL57" s="1153"/>
      <c r="GM57" s="1153" t="str">
        <f>IF($AI57,IF(LARGE($AG$41:$AH$107,GM$40)=$AG57,$AC57,""),"")</f>
        <v/>
      </c>
      <c r="GN57" s="1153"/>
      <c r="GO57" s="1153"/>
      <c r="GP57" s="1153"/>
      <c r="GQ57" s="1153" t="str">
        <f>IF($AI57,IF(LARGE($AG$41:$AH$107,GQ$40)=$AG57,$AC57,""),"")</f>
        <v/>
      </c>
      <c r="GR57" s="1153"/>
      <c r="GS57" s="1153"/>
      <c r="GT57" s="1153"/>
      <c r="GU57" s="1153" t="str">
        <f>IF($AI57,IF(LARGE($AG$41:$AH$107,GU$40)=$AG57,$AC57,""),"")</f>
        <v/>
      </c>
      <c r="GV57" s="1153"/>
      <c r="GW57" s="1153"/>
      <c r="GX57" s="1153"/>
      <c r="GY57" s="1153" t="str">
        <f>IF($AI57,IF(LARGE($AG$41:$AH$107,GY$40)=$AG57,$AC57,""),"")</f>
        <v/>
      </c>
      <c r="GZ57" s="1153"/>
      <c r="HA57" s="1153"/>
      <c r="HB57" s="1153"/>
      <c r="HC57" s="1153" t="str">
        <f>IF($AI57,IF(LARGE($AG$41:$AH$107,HC$40)=$AG57,$AC57,""),"")</f>
        <v/>
      </c>
      <c r="HD57" s="1153"/>
      <c r="HE57" s="1153"/>
      <c r="HF57" s="1153"/>
      <c r="HG57" s="1153" t="str">
        <f>IF($AI57,IF(LARGE($AG$41:$AH$107,HG$40)=$AG57,$AC57,""),"")</f>
        <v/>
      </c>
      <c r="HH57" s="1153"/>
      <c r="HI57" s="1153"/>
      <c r="HJ57" s="1153"/>
      <c r="HK57" s="1153" t="str">
        <f>IF($AI57,IF(LARGE($AG$41:$AH$107,HK$40)=$AG57,$AC57,""),"")</f>
        <v/>
      </c>
      <c r="HL57" s="1153"/>
      <c r="HM57" s="1153"/>
      <c r="HN57" s="1153"/>
      <c r="HO57" s="1153" t="str">
        <f>IF($AI57,IF(LARGE($AG$41:$AH$107,HO$40)=$AG57,$AC57,""),"")</f>
        <v/>
      </c>
      <c r="HP57" s="1153"/>
      <c r="HQ57" s="1153"/>
      <c r="HR57" s="1153"/>
      <c r="HS57" s="1153" t="str">
        <f>IF($AI57,IF(LARGE($AG$41:$AH$107,HS$40)=$AG57,$AC57,""),"")</f>
        <v/>
      </c>
      <c r="HT57" s="1153"/>
      <c r="HU57" s="1153"/>
      <c r="HV57" s="1153"/>
      <c r="HW57" s="1153" t="str">
        <f>IF($AI57,IF(LARGE($AG$41:$AH$107,HW$40)=$AG57,$AC57,""),"")</f>
        <v/>
      </c>
      <c r="HX57" s="1153"/>
      <c r="HY57" s="1153"/>
      <c r="HZ57" s="1153"/>
      <c r="IA57" s="1153" t="str">
        <f>IF($AI57,IF(LARGE($AG$41:$AH$107,IA$40)=$AG57,$AC57,""),"")</f>
        <v/>
      </c>
      <c r="IB57" s="1153"/>
      <c r="IC57" s="1153"/>
      <c r="ID57" s="1153"/>
      <c r="IE57" s="1153" t="str">
        <f>IF($AI57,IF(LARGE($AG$41:$AH$107,IE$40)=$AG57,$AC57,""),"")</f>
        <v/>
      </c>
      <c r="IF57" s="1153"/>
      <c r="IG57" s="1153"/>
      <c r="IH57" s="1153"/>
      <c r="II57" s="1153" t="str">
        <f>IF($AI57,IF(LARGE($AG$41:$AH$107,II$40)=$AG57,$AC57,""),"")</f>
        <v/>
      </c>
      <c r="IJ57" s="1153"/>
      <c r="IK57" s="1153"/>
      <c r="IL57" s="1153"/>
      <c r="IM57" s="1153" t="str">
        <f>IF($AI57,IF(LARGE($AG$41:$AH$107,IM$40)=$AG57,$AC57,""),"")</f>
        <v/>
      </c>
      <c r="IN57" s="1153"/>
      <c r="IO57" s="1153"/>
      <c r="IP57" s="1153"/>
      <c r="IQ57" s="1153" t="str">
        <f>IF($AI57,IF(LARGE($AG$41:$AH$107,IQ$40)=$AG57,$AC57,""),"")</f>
        <v/>
      </c>
      <c r="IR57" s="1153"/>
      <c r="IS57" s="1153"/>
      <c r="IT57" s="1153"/>
      <c r="IU57" s="1153" t="str">
        <f>IF($AI57,IF(LARGE($AG$41:$AH$107,IU$40)=$AG57,$AC57,""),"")</f>
        <v/>
      </c>
      <c r="IV57" s="1153"/>
      <c r="IW57" s="1153"/>
      <c r="IX57" s="1153"/>
      <c r="IY57" s="1153" t="str">
        <f>IF($AI57,IF(LARGE($AG$41:$AH$107,IY$40)=$AG57,$AC57,""),"")</f>
        <v/>
      </c>
      <c r="IZ57" s="1153"/>
      <c r="JA57" s="1153"/>
      <c r="JB57" s="1153"/>
      <c r="JC57" s="1153" t="str">
        <f>IF($AI57,IF(LARGE($AG$41:$AH$107,JC$40)=$AG57,$AC57,""),"")</f>
        <v/>
      </c>
      <c r="JD57" s="1153"/>
      <c r="JE57" s="1153"/>
      <c r="JF57" s="1153"/>
      <c r="JG57" s="1153" t="str">
        <f>IF($AI57,IF(LARGE($AG$41:$AH$107,JG$40)=$AG57,$AC57,""),"")</f>
        <v/>
      </c>
      <c r="JH57" s="1153"/>
      <c r="JI57" s="1153"/>
      <c r="JJ57" s="1153"/>
      <c r="JK57" s="1153" t="str">
        <f>IF($AI57,IF(LARGE($AG$41:$AH$107,JK$40)=$AG57,$AC57,""),"")</f>
        <v/>
      </c>
      <c r="JL57" s="1153"/>
      <c r="JM57" s="1153"/>
      <c r="JN57" s="1153"/>
      <c r="JO57" s="1153" t="str">
        <f>IF($AI57,IF(LARGE($AG$41:$AH$107,JO$40)=$AG57,$AC57,""),"")</f>
        <v/>
      </c>
      <c r="JP57" s="1153"/>
      <c r="JQ57" s="1153"/>
      <c r="JR57" s="1153"/>
      <c r="JS57" s="1153" t="str">
        <f>IF($AI57,IF(LARGE($AG$41:$AH$107,JS$40)=$AG57,$AC57,""),"")</f>
        <v/>
      </c>
      <c r="JT57" s="1153"/>
      <c r="JU57" s="1153"/>
      <c r="JV57" s="1153"/>
      <c r="JW57" s="1153" t="str">
        <f>IF($AI57,IF(LARGE($AG$41:$AH$107,JW$40)=$AG57,$AC57,""),"")</f>
        <v/>
      </c>
      <c r="JX57" s="1153"/>
      <c r="JY57" s="1153"/>
      <c r="JZ57" s="1153"/>
      <c r="KA57" s="1153" t="str">
        <f>IF($AI57,IF(LARGE($AG$41:$AH$107,KA$40)=$AG57,$AC57,""),"")</f>
        <v/>
      </c>
      <c r="KB57" s="1153"/>
      <c r="KC57" s="1153"/>
      <c r="KD57" s="1153"/>
      <c r="KE57" s="1153" t="str">
        <f>IF($AI57,IF(LARGE($AG$41:$AH$107,KE$40)=$AG57,$AC57,""),"")</f>
        <v/>
      </c>
      <c r="KF57" s="1153"/>
      <c r="KG57" s="1153"/>
      <c r="KH57" s="1153"/>
      <c r="KI57" s="1153" t="str">
        <f>IF($AI57,IF(LARGE($AG$41:$AH$107,KI$40)=$AG57,$AC57,""),"")</f>
        <v/>
      </c>
      <c r="KJ57" s="1153"/>
      <c r="KK57" s="1153"/>
      <c r="KL57" s="1153"/>
      <c r="KM57" s="1153" t="str">
        <f>IF($AI57,IF(LARGE($AG$41:$AH$107,KM$40)=$AG57,$AC57,""),"")</f>
        <v/>
      </c>
      <c r="KN57" s="1153"/>
      <c r="KO57" s="1153"/>
      <c r="KP57" s="1153"/>
      <c r="KQ57" s="1153" t="str">
        <f>IF($AI57,IF(LARGE($AG$41:$AH$107,KQ$40)=$AG57,$AC57,""),"")</f>
        <v/>
      </c>
      <c r="KR57" s="1153"/>
      <c r="KS57" s="1153"/>
      <c r="KT57" s="1153"/>
    </row>
    <row r="58" spans="8:8">
      <c r="C58" s="1153" t="str">
        <f>IF(F22="","",CONCATENATE(" ",C22,F22,H22))</f>
        <v> 🤥话术</v>
      </c>
      <c r="D58" s="1153"/>
      <c r="E58" s="1153"/>
      <c r="F58" s="1153"/>
      <c r="G58" s="1155" t="str">
        <f>IF(AND(L22=0,N22=0),"",IF(ISNONTEXT(D22),"",R22))</f>
        <v/>
      </c>
      <c r="H58" s="1155"/>
      <c r="I58" s="1153" t="str">
        <f>IF(G58=$G$40,C58,"")</f>
        <v/>
      </c>
      <c r="J58" s="1153"/>
      <c r="K58" s="1153"/>
      <c r="L58" s="1153"/>
      <c r="M58" s="1154">
        <f>IF(AND(NOT(N22=0),ISNONTEXT(D22)),1,0)</f>
        <v>0.0</v>
      </c>
      <c r="N58" s="1122"/>
      <c r="O58" s="1122"/>
      <c r="P58" s="1153" t="str">
        <f>IF(F22="","",CONCATENATE(" ",C22,F22,H22))</f>
        <v> 🤥话术</v>
      </c>
      <c r="Q58" s="1153"/>
      <c r="R58" s="1153"/>
      <c r="S58" s="1153"/>
      <c r="T58" s="1155" t="str">
        <f>IF(AND(L22=0,P22=0),"",IF(ISNONTEXT(D22),R22,""))</f>
        <v/>
      </c>
      <c r="U58" s="1155"/>
      <c r="V58" s="1153" t="str">
        <f>IF(T58=$T$40,P58,"")</f>
        <v/>
      </c>
      <c r="W58" s="1153"/>
      <c r="X58" s="1153"/>
      <c r="Y58" s="1153"/>
      <c r="AB58" s="1122"/>
      <c r="AC58" s="1153" t="str">
        <f>IF(F22="","",CONCATENATE(C22,F22,H22))</f>
        <v>🤥话术</v>
      </c>
      <c r="AD58" s="1153"/>
      <c r="AE58" s="1153"/>
      <c r="AF58" s="1153"/>
      <c r="AG58" s="1155">
        <f>R22</f>
        <v>5.0</v>
      </c>
      <c r="AH58" s="1155"/>
      <c r="AI58" s="1153" t="b">
        <f>IF(AND(OR(ISNUMBER(L22),ISNUMBER(N22),ISNUMBER(P22)),OR(L22&gt;0,N22&gt;0,P22&gt;0)),TRUE,FALSE)</f>
        <v>0</v>
      </c>
      <c r="AJ58" s="1153"/>
      <c r="AK58" s="1153"/>
      <c r="AL58" s="1153"/>
      <c r="AM58" s="1153" t="str">
        <f>IF($AI58,IF(LARGE($AG$41:$AH$107,AM$40)=$AG58,$AC58,""),"")</f>
        <v/>
      </c>
      <c r="AN58" s="1153"/>
      <c r="AO58" s="1153"/>
      <c r="AP58" s="1153"/>
      <c r="AQ58" s="1153" t="str">
        <f>IF($AI58,IF(LARGE($AG$41:$AH$107,AQ$40)=$AG58,$AC58,""),"")</f>
        <v/>
      </c>
      <c r="AR58" s="1153"/>
      <c r="AS58" s="1153"/>
      <c r="AT58" s="1153"/>
      <c r="AU58" s="1153" t="str">
        <f>IF($AI58,IF(LARGE($AG$41:$AH$107,AU$40)=$AG58,$AC58,""),"")</f>
        <v/>
      </c>
      <c r="AV58" s="1153"/>
      <c r="AW58" s="1153"/>
      <c r="AX58" s="1153"/>
      <c r="AY58" s="1153" t="str">
        <f>IF($AI58,IF(LARGE($AG$41:$AH$107,AY$40)=$AG58,$AC58,""),"")</f>
        <v/>
      </c>
      <c r="AZ58" s="1153"/>
      <c r="BA58" s="1153"/>
      <c r="BB58" s="1153"/>
      <c r="BC58" s="1153" t="str">
        <f>IF($AI58,IF(LARGE($AG$41:$AH$107,BC$40)=$AG58,$AC58,""),"")</f>
        <v/>
      </c>
      <c r="BD58" s="1153"/>
      <c r="BE58" s="1153"/>
      <c r="BF58" s="1153"/>
      <c r="BG58" s="1153" t="str">
        <f>IF($AI58,IF(LARGE($AG$41:$AH$107,BG$40)=$AG58,$AC58,""),"")</f>
        <v/>
      </c>
      <c r="BH58" s="1153"/>
      <c r="BI58" s="1153"/>
      <c r="BJ58" s="1153"/>
      <c r="BK58" s="1153" t="str">
        <f>IF($AI58,IF(LARGE($AG$41:$AH$107,BK$40)=$AG58,$AC58,""),"")</f>
        <v/>
      </c>
      <c r="BL58" s="1153"/>
      <c r="BM58" s="1153"/>
      <c r="BN58" s="1153"/>
      <c r="BO58" s="1153" t="str">
        <f>IF($AI58,IF(LARGE($AG$41:$AH$107,BO$40)=$AG58,$AC58,""),"")</f>
        <v/>
      </c>
      <c r="BP58" s="1153"/>
      <c r="BQ58" s="1153"/>
      <c r="BR58" s="1153"/>
      <c r="BS58" s="1153" t="str">
        <f>IF($AI58,IF(LARGE($AG$41:$AH$107,BS$40)=$AG58,$AC58,""),"")</f>
        <v/>
      </c>
      <c r="BT58" s="1153"/>
      <c r="BU58" s="1153"/>
      <c r="BV58" s="1153"/>
      <c r="BW58" s="1153" t="str">
        <f>IF($AI58,IF(LARGE($AG$41:$AH$107,BW$40)=$AG58,$AC58,""),"")</f>
        <v/>
      </c>
      <c r="BX58" s="1153"/>
      <c r="BY58" s="1153"/>
      <c r="BZ58" s="1153"/>
      <c r="CA58" s="1153" t="str">
        <f>IF($AI58,IF(LARGE($AG$41:$AH$107,CA$40)=$AG58,$AC58,""),"")</f>
        <v/>
      </c>
      <c r="CB58" s="1153"/>
      <c r="CC58" s="1153"/>
      <c r="CD58" s="1153"/>
      <c r="CE58" s="1153" t="str">
        <f>IF($AI58,IF(LARGE($AG$41:$AH$107,CE$40)=$AG58,$AC58,""),"")</f>
        <v/>
      </c>
      <c r="CF58" s="1153"/>
      <c r="CG58" s="1153"/>
      <c r="CH58" s="1153"/>
      <c r="CI58" s="1153" t="str">
        <f>IF($AI58,IF(LARGE($AG$41:$AH$107,CI$40)=$AG58,$AC58,""),"")</f>
        <v/>
      </c>
      <c r="CJ58" s="1153"/>
      <c r="CK58" s="1153"/>
      <c r="CL58" s="1153"/>
      <c r="CM58" s="1153" t="str">
        <f>IF($AI58,IF(LARGE($AG$41:$AH$107,CM$40)=$AG58,$AC58,""),"")</f>
        <v/>
      </c>
      <c r="CN58" s="1153"/>
      <c r="CO58" s="1153"/>
      <c r="CP58" s="1153"/>
      <c r="CQ58" s="1153" t="str">
        <f>IF($AI58,IF(LARGE($AG$41:$AH$107,CQ$40)=$AG58,$AC58,""),"")</f>
        <v/>
      </c>
      <c r="CR58" s="1153"/>
      <c r="CS58" s="1153"/>
      <c r="CT58" s="1153"/>
      <c r="CU58" s="1153" t="str">
        <f>IF($AI58,IF(LARGE($AG$41:$AH$107,CU$40)=$AG58,$AC58,""),"")</f>
        <v/>
      </c>
      <c r="CV58" s="1153"/>
      <c r="CW58" s="1153"/>
      <c r="CX58" s="1153"/>
      <c r="CY58" s="1153" t="str">
        <f>IF($AI58,IF(LARGE($AG$41:$AH$107,CY$40)=$AG58,$AC58,""),"")</f>
        <v/>
      </c>
      <c r="CZ58" s="1153"/>
      <c r="DA58" s="1153"/>
      <c r="DB58" s="1153"/>
      <c r="DC58" s="1153" t="str">
        <f>IF($AI58,IF(LARGE($AG$41:$AH$107,DC$40)=$AG58,$AC58,""),"")</f>
        <v/>
      </c>
      <c r="DD58" s="1153"/>
      <c r="DE58" s="1153"/>
      <c r="DF58" s="1153"/>
      <c r="DG58" s="1153" t="str">
        <f>IF($AI58,IF(LARGE($AG$41:$AH$107,DG$40)=$AG58,$AC58,""),"")</f>
        <v/>
      </c>
      <c r="DH58" s="1153"/>
      <c r="DI58" s="1153"/>
      <c r="DJ58" s="1153"/>
      <c r="DK58" s="1153" t="str">
        <f>IF($AI58,IF(LARGE($AG$41:$AH$107,DK$40)=$AG58,$AC58,""),"")</f>
        <v/>
      </c>
      <c r="DL58" s="1153"/>
      <c r="DM58" s="1153"/>
      <c r="DN58" s="1153"/>
      <c r="DO58" s="1153" t="str">
        <f>IF($AI58,IF(LARGE($AG$41:$AH$107,DO$40)=$AG58,$AC58,""),"")</f>
        <v/>
      </c>
      <c r="DP58" s="1153"/>
      <c r="DQ58" s="1153"/>
      <c r="DR58" s="1153"/>
      <c r="DS58" s="1153" t="str">
        <f>IF($AI58,IF(LARGE($AG$41:$AH$107,DS$40)=$AG58,$AC58,""),"")</f>
        <v/>
      </c>
      <c r="DT58" s="1153"/>
      <c r="DU58" s="1153"/>
      <c r="DV58" s="1153"/>
      <c r="DW58" s="1153" t="str">
        <f>IF($AI58,IF(LARGE($AG$41:$AH$107,DW$40)=$AG58,$AC58,""),"")</f>
        <v/>
      </c>
      <c r="DX58" s="1153"/>
      <c r="DY58" s="1153"/>
      <c r="DZ58" s="1153"/>
      <c r="EA58" s="1153" t="str">
        <f>IF($AI58,IF(LARGE($AG$41:$AH$107,EA$40)=$AG58,$AC58,""),"")</f>
        <v/>
      </c>
      <c r="EB58" s="1153"/>
      <c r="EC58" s="1153"/>
      <c r="ED58" s="1153"/>
      <c r="EE58" s="1153" t="str">
        <f>IF($AI58,IF(LARGE($AG$41:$AH$107,EE$40)=$AG58,$AC58,""),"")</f>
        <v/>
      </c>
      <c r="EF58" s="1153"/>
      <c r="EG58" s="1153"/>
      <c r="EH58" s="1153"/>
      <c r="EI58" s="1153" t="str">
        <f>IF($AI58,IF(LARGE($AG$41:$AH$107,EI$40)=$AG58,$AC58,""),"")</f>
        <v/>
      </c>
      <c r="EJ58" s="1153"/>
      <c r="EK58" s="1153"/>
      <c r="EL58" s="1153"/>
      <c r="EM58" s="1153" t="str">
        <f>IF($AI58,IF(LARGE($AG$41:$AH$107,EM$40)=$AG58,$AC58,""),"")</f>
        <v/>
      </c>
      <c r="EN58" s="1153"/>
      <c r="EO58" s="1153"/>
      <c r="EP58" s="1153"/>
      <c r="EQ58" s="1153" t="str">
        <f>IF($AI58,IF(LARGE($AG$41:$AH$107,EQ$40)=$AG58,$AC58,""),"")</f>
        <v/>
      </c>
      <c r="ER58" s="1153"/>
      <c r="ES58" s="1153"/>
      <c r="ET58" s="1153"/>
      <c r="EU58" s="1153" t="str">
        <f>IF($AI58,IF(LARGE($AG$41:$AH$107,EU$40)=$AG58,$AC58,""),"")</f>
        <v/>
      </c>
      <c r="EV58" s="1153"/>
      <c r="EW58" s="1153"/>
      <c r="EX58" s="1153"/>
      <c r="EY58" s="1153" t="str">
        <f>IF($AI58,IF(LARGE($AG$41:$AH$107,EY$40)=$AG58,$AC58,""),"")</f>
        <v/>
      </c>
      <c r="EZ58" s="1153"/>
      <c r="FA58" s="1153"/>
      <c r="FB58" s="1153"/>
      <c r="FC58" s="1153" t="str">
        <f>IF($AI58,IF(LARGE($AG$41:$AH$107,FC$40)=$AG58,$AC58,""),"")</f>
        <v/>
      </c>
      <c r="FD58" s="1153"/>
      <c r="FE58" s="1153"/>
      <c r="FF58" s="1153"/>
      <c r="FG58" s="1153" t="str">
        <f>IF($AI58,IF(LARGE($AG$41:$AH$107,FG$40)=$AG58,$AC58,""),"")</f>
        <v/>
      </c>
      <c r="FH58" s="1153"/>
      <c r="FI58" s="1153"/>
      <c r="FJ58" s="1153"/>
      <c r="FK58" s="1153" t="str">
        <f>IF($AI58,IF(LARGE($AG$41:$AH$107,FK$40)=$AG58,$AC58,""),"")</f>
        <v/>
      </c>
      <c r="FL58" s="1153"/>
      <c r="FM58" s="1153"/>
      <c r="FN58" s="1153"/>
      <c r="FO58" s="1153" t="str">
        <f>IF($AI58,IF(LARGE($AG$41:$AH$107,FO$40)=$AG58,$AC58,""),"")</f>
        <v/>
      </c>
      <c r="FP58" s="1153"/>
      <c r="FQ58" s="1153"/>
      <c r="FR58" s="1153"/>
      <c r="FS58" s="1153" t="str">
        <f>IF($AI58,IF(LARGE($AG$41:$AH$107,FS$40)=$AG58,$AC58,""),"")</f>
        <v/>
      </c>
      <c r="FT58" s="1153"/>
      <c r="FU58" s="1153"/>
      <c r="FV58" s="1153"/>
      <c r="FW58" s="1153" t="str">
        <f>IF($AI58,IF(LARGE($AG$41:$AH$107,FW$40)=$AG58,$AC58,""),"")</f>
        <v/>
      </c>
      <c r="FX58" s="1153"/>
      <c r="FY58" s="1153"/>
      <c r="FZ58" s="1153"/>
      <c r="GA58" s="1153" t="str">
        <f>IF($AI58,IF(LARGE($AG$41:$AH$107,GA$40)=$AG58,$AC58,""),"")</f>
        <v/>
      </c>
      <c r="GB58" s="1153"/>
      <c r="GC58" s="1153"/>
      <c r="GD58" s="1153"/>
      <c r="GE58" s="1153" t="str">
        <f>IF($AI58,IF(LARGE($AG$41:$AH$107,GE$40)=$AG58,$AC58,""),"")</f>
        <v/>
      </c>
      <c r="GF58" s="1153"/>
      <c r="GG58" s="1153"/>
      <c r="GH58" s="1153"/>
      <c r="GI58" s="1153" t="str">
        <f>IF($AI58,IF(LARGE($AG$41:$AH$107,GI$40)=$AG58,$AC58,""),"")</f>
        <v/>
      </c>
      <c r="GJ58" s="1153"/>
      <c r="GK58" s="1153"/>
      <c r="GL58" s="1153"/>
      <c r="GM58" s="1153" t="str">
        <f>IF($AI58,IF(LARGE($AG$41:$AH$107,GM$40)=$AG58,$AC58,""),"")</f>
        <v/>
      </c>
      <c r="GN58" s="1153"/>
      <c r="GO58" s="1153"/>
      <c r="GP58" s="1153"/>
      <c r="GQ58" s="1153" t="str">
        <f>IF($AI58,IF(LARGE($AG$41:$AH$107,GQ$40)=$AG58,$AC58,""),"")</f>
        <v/>
      </c>
      <c r="GR58" s="1153"/>
      <c r="GS58" s="1153"/>
      <c r="GT58" s="1153"/>
      <c r="GU58" s="1153" t="str">
        <f>IF($AI58,IF(LARGE($AG$41:$AH$107,GU$40)=$AG58,$AC58,""),"")</f>
        <v/>
      </c>
      <c r="GV58" s="1153"/>
      <c r="GW58" s="1153"/>
      <c r="GX58" s="1153"/>
      <c r="GY58" s="1153" t="str">
        <f>IF($AI58,IF(LARGE($AG$41:$AH$107,GY$40)=$AG58,$AC58,""),"")</f>
        <v/>
      </c>
      <c r="GZ58" s="1153"/>
      <c r="HA58" s="1153"/>
      <c r="HB58" s="1153"/>
      <c r="HC58" s="1153" t="str">
        <f>IF($AI58,IF(LARGE($AG$41:$AH$107,HC$40)=$AG58,$AC58,""),"")</f>
        <v/>
      </c>
      <c r="HD58" s="1153"/>
      <c r="HE58" s="1153"/>
      <c r="HF58" s="1153"/>
      <c r="HG58" s="1153" t="str">
        <f>IF($AI58,IF(LARGE($AG$41:$AH$107,HG$40)=$AG58,$AC58,""),"")</f>
        <v/>
      </c>
      <c r="HH58" s="1153"/>
      <c r="HI58" s="1153"/>
      <c r="HJ58" s="1153"/>
      <c r="HK58" s="1153" t="str">
        <f>IF($AI58,IF(LARGE($AG$41:$AH$107,HK$40)=$AG58,$AC58,""),"")</f>
        <v/>
      </c>
      <c r="HL58" s="1153"/>
      <c r="HM58" s="1153"/>
      <c r="HN58" s="1153"/>
      <c r="HO58" s="1153" t="str">
        <f>IF($AI58,IF(LARGE($AG$41:$AH$107,HO$40)=$AG58,$AC58,""),"")</f>
        <v/>
      </c>
      <c r="HP58" s="1153"/>
      <c r="HQ58" s="1153"/>
      <c r="HR58" s="1153"/>
      <c r="HS58" s="1153" t="str">
        <f>IF($AI58,IF(LARGE($AG$41:$AH$107,HS$40)=$AG58,$AC58,""),"")</f>
        <v/>
      </c>
      <c r="HT58" s="1153"/>
      <c r="HU58" s="1153"/>
      <c r="HV58" s="1153"/>
      <c r="HW58" s="1153" t="str">
        <f>IF($AI58,IF(LARGE($AG$41:$AH$107,HW$40)=$AG58,$AC58,""),"")</f>
        <v/>
      </c>
      <c r="HX58" s="1153"/>
      <c r="HY58" s="1153"/>
      <c r="HZ58" s="1153"/>
      <c r="IA58" s="1153" t="str">
        <f>IF($AI58,IF(LARGE($AG$41:$AH$107,IA$40)=$AG58,$AC58,""),"")</f>
        <v/>
      </c>
      <c r="IB58" s="1153"/>
      <c r="IC58" s="1153"/>
      <c r="ID58" s="1153"/>
      <c r="IE58" s="1153" t="str">
        <f>IF($AI58,IF(LARGE($AG$41:$AH$107,IE$40)=$AG58,$AC58,""),"")</f>
        <v/>
      </c>
      <c r="IF58" s="1153"/>
      <c r="IG58" s="1153"/>
      <c r="IH58" s="1153"/>
      <c r="II58" s="1153" t="str">
        <f>IF($AI58,IF(LARGE($AG$41:$AH$107,II$40)=$AG58,$AC58,""),"")</f>
        <v/>
      </c>
      <c r="IJ58" s="1153"/>
      <c r="IK58" s="1153"/>
      <c r="IL58" s="1153"/>
      <c r="IM58" s="1153" t="str">
        <f>IF($AI58,IF(LARGE($AG$41:$AH$107,IM$40)=$AG58,$AC58,""),"")</f>
        <v/>
      </c>
      <c r="IN58" s="1153"/>
      <c r="IO58" s="1153"/>
      <c r="IP58" s="1153"/>
      <c r="IQ58" s="1153" t="str">
        <f>IF($AI58,IF(LARGE($AG$41:$AH$107,IQ$40)=$AG58,$AC58,""),"")</f>
        <v/>
      </c>
      <c r="IR58" s="1153"/>
      <c r="IS58" s="1153"/>
      <c r="IT58" s="1153"/>
      <c r="IU58" s="1153" t="str">
        <f>IF($AI58,IF(LARGE($AG$41:$AH$107,IU$40)=$AG58,$AC58,""),"")</f>
        <v/>
      </c>
      <c r="IV58" s="1153"/>
      <c r="IW58" s="1153"/>
      <c r="IX58" s="1153"/>
      <c r="IY58" s="1153" t="str">
        <f>IF($AI58,IF(LARGE($AG$41:$AH$107,IY$40)=$AG58,$AC58,""),"")</f>
        <v/>
      </c>
      <c r="IZ58" s="1153"/>
      <c r="JA58" s="1153"/>
      <c r="JB58" s="1153"/>
      <c r="JC58" s="1153" t="str">
        <f>IF($AI58,IF(LARGE($AG$41:$AH$107,JC$40)=$AG58,$AC58,""),"")</f>
        <v/>
      </c>
      <c r="JD58" s="1153"/>
      <c r="JE58" s="1153"/>
      <c r="JF58" s="1153"/>
      <c r="JG58" s="1153" t="str">
        <f>IF($AI58,IF(LARGE($AG$41:$AH$107,JG$40)=$AG58,$AC58,""),"")</f>
        <v/>
      </c>
      <c r="JH58" s="1153"/>
      <c r="JI58" s="1153"/>
      <c r="JJ58" s="1153"/>
      <c r="JK58" s="1153" t="str">
        <f>IF($AI58,IF(LARGE($AG$41:$AH$107,JK$40)=$AG58,$AC58,""),"")</f>
        <v/>
      </c>
      <c r="JL58" s="1153"/>
      <c r="JM58" s="1153"/>
      <c r="JN58" s="1153"/>
      <c r="JO58" s="1153" t="str">
        <f>IF($AI58,IF(LARGE($AG$41:$AH$107,JO$40)=$AG58,$AC58,""),"")</f>
        <v/>
      </c>
      <c r="JP58" s="1153"/>
      <c r="JQ58" s="1153"/>
      <c r="JR58" s="1153"/>
      <c r="JS58" s="1153" t="str">
        <f>IF($AI58,IF(LARGE($AG$41:$AH$107,JS$40)=$AG58,$AC58,""),"")</f>
        <v/>
      </c>
      <c r="JT58" s="1153"/>
      <c r="JU58" s="1153"/>
      <c r="JV58" s="1153"/>
      <c r="JW58" s="1153" t="str">
        <f>IF($AI58,IF(LARGE($AG$41:$AH$107,JW$40)=$AG58,$AC58,""),"")</f>
        <v/>
      </c>
      <c r="JX58" s="1153"/>
      <c r="JY58" s="1153"/>
      <c r="JZ58" s="1153"/>
      <c r="KA58" s="1153" t="str">
        <f>IF($AI58,IF(LARGE($AG$41:$AH$107,KA$40)=$AG58,$AC58,""),"")</f>
        <v/>
      </c>
      <c r="KB58" s="1153"/>
      <c r="KC58" s="1153"/>
      <c r="KD58" s="1153"/>
      <c r="KE58" s="1153" t="str">
        <f>IF($AI58,IF(LARGE($AG$41:$AH$107,KE$40)=$AG58,$AC58,""),"")</f>
        <v/>
      </c>
      <c r="KF58" s="1153"/>
      <c r="KG58" s="1153"/>
      <c r="KH58" s="1153"/>
      <c r="KI58" s="1153" t="str">
        <f>IF($AI58,IF(LARGE($AG$41:$AH$107,KI$40)=$AG58,$AC58,""),"")</f>
        <v/>
      </c>
      <c r="KJ58" s="1153"/>
      <c r="KK58" s="1153"/>
      <c r="KL58" s="1153"/>
      <c r="KM58" s="1153" t="str">
        <f>IF($AI58,IF(LARGE($AG$41:$AH$107,KM$40)=$AG58,$AC58,""),"")</f>
        <v/>
      </c>
      <c r="KN58" s="1153"/>
      <c r="KO58" s="1153"/>
      <c r="KP58" s="1153"/>
      <c r="KQ58" s="1153" t="str">
        <f>IF($AI58,IF(LARGE($AG$41:$AH$107,KQ$40)=$AG58,$AC58,""),"")</f>
        <v/>
      </c>
      <c r="KR58" s="1153"/>
      <c r="KS58" s="1153"/>
      <c r="KT58" s="1153"/>
    </row>
    <row r="59" spans="8:8">
      <c r="C59" s="1153" t="str">
        <f>IF(F23="","",CONCATENATE(" ",C23,F23,H23))</f>
        <v> 🥊格斗：斗殴</v>
      </c>
      <c r="D59" s="1153"/>
      <c r="E59" s="1153"/>
      <c r="F59" s="1153"/>
      <c r="G59" s="1155" t="str">
        <f>IF(AND(L23=0,N23=0),"",IF(ISNONTEXT(D23),"",R23))</f>
        <v/>
      </c>
      <c r="H59" s="1155"/>
      <c r="I59" s="1153" t="str">
        <f>IF(G59=$G$40,C59,"")</f>
        <v/>
      </c>
      <c r="J59" s="1153"/>
      <c r="K59" s="1153"/>
      <c r="L59" s="1153"/>
      <c r="M59" s="1154">
        <f>IF(AND(NOT(N23=0),ISNONTEXT(D23)),1,0)</f>
        <v>0.0</v>
      </c>
      <c r="N59" s="1122"/>
      <c r="O59" s="1122"/>
      <c r="P59" s="1153" t="str">
        <f>IF(F23="","",CONCATENATE(" ",C23,F23,H23))</f>
        <v> 🥊格斗：斗殴</v>
      </c>
      <c r="Q59" s="1153"/>
      <c r="R59" s="1153"/>
      <c r="S59" s="1153"/>
      <c r="T59" s="1155" t="str">
        <f>IF(AND(L23=0,P23=0),"",IF(ISNONTEXT(D23),R23,""))</f>
        <v/>
      </c>
      <c r="U59" s="1155"/>
      <c r="V59" s="1153" t="str">
        <f>IF(T59=$T$40,P59,"")</f>
        <v/>
      </c>
      <c r="W59" s="1153"/>
      <c r="X59" s="1153"/>
      <c r="Y59" s="1153"/>
      <c r="AB59" s="1122"/>
      <c r="AC59" s="1153" t="str">
        <f>IF(F23="","",CONCATENATE(C23,F23,H23))</f>
        <v>🥊格斗：斗殴</v>
      </c>
      <c r="AD59" s="1153"/>
      <c r="AE59" s="1153"/>
      <c r="AF59" s="1153"/>
      <c r="AG59" s="1155">
        <f>R23</f>
        <v>25.0</v>
      </c>
      <c r="AH59" s="1155"/>
      <c r="AI59" s="1153" t="b">
        <f>IF(AND(OR(ISNUMBER(L23),ISNUMBER(N23),ISNUMBER(P23)),OR(L23&gt;0,N23&gt;0,P23&gt;0)),TRUE,FALSE)</f>
        <v>0</v>
      </c>
      <c r="AJ59" s="1153"/>
      <c r="AK59" s="1153"/>
      <c r="AL59" s="1153"/>
      <c r="AM59" s="1153" t="str">
        <f>IF($AI59,IF(LARGE($AG$41:$AH$107,AM$40)=$AG59,$AC59,""),"")</f>
        <v/>
      </c>
      <c r="AN59" s="1153"/>
      <c r="AO59" s="1153"/>
      <c r="AP59" s="1153"/>
      <c r="AQ59" s="1153" t="str">
        <f>IF($AI59,IF(LARGE($AG$41:$AH$107,AQ$40)=$AG59,$AC59,""),"")</f>
        <v/>
      </c>
      <c r="AR59" s="1153"/>
      <c r="AS59" s="1153"/>
      <c r="AT59" s="1153"/>
      <c r="AU59" s="1153" t="str">
        <f>IF($AI59,IF(LARGE($AG$41:$AH$107,AU$40)=$AG59,$AC59,""),"")</f>
        <v/>
      </c>
      <c r="AV59" s="1153"/>
      <c r="AW59" s="1153"/>
      <c r="AX59" s="1153"/>
      <c r="AY59" s="1153" t="str">
        <f>IF($AI59,IF(LARGE($AG$41:$AH$107,AY$40)=$AG59,$AC59,""),"")</f>
        <v/>
      </c>
      <c r="AZ59" s="1153"/>
      <c r="BA59" s="1153"/>
      <c r="BB59" s="1153"/>
      <c r="BC59" s="1153" t="str">
        <f>IF($AI59,IF(LARGE($AG$41:$AH$107,BC$40)=$AG59,$AC59,""),"")</f>
        <v/>
      </c>
      <c r="BD59" s="1153"/>
      <c r="BE59" s="1153"/>
      <c r="BF59" s="1153"/>
      <c r="BG59" s="1153" t="str">
        <f>IF($AI59,IF(LARGE($AG$41:$AH$107,BG$40)=$AG59,$AC59,""),"")</f>
        <v/>
      </c>
      <c r="BH59" s="1153"/>
      <c r="BI59" s="1153"/>
      <c r="BJ59" s="1153"/>
      <c r="BK59" s="1153" t="str">
        <f>IF($AI59,IF(LARGE($AG$41:$AH$107,BK$40)=$AG59,$AC59,""),"")</f>
        <v/>
      </c>
      <c r="BL59" s="1153"/>
      <c r="BM59" s="1153"/>
      <c r="BN59" s="1153"/>
      <c r="BO59" s="1153" t="str">
        <f>IF($AI59,IF(LARGE($AG$41:$AH$107,BO$40)=$AG59,$AC59,""),"")</f>
        <v/>
      </c>
      <c r="BP59" s="1153"/>
      <c r="BQ59" s="1153"/>
      <c r="BR59" s="1153"/>
      <c r="BS59" s="1153" t="str">
        <f>IF($AI59,IF(LARGE($AG$41:$AH$107,BS$40)=$AG59,$AC59,""),"")</f>
        <v/>
      </c>
      <c r="BT59" s="1153"/>
      <c r="BU59" s="1153"/>
      <c r="BV59" s="1153"/>
      <c r="BW59" s="1153" t="str">
        <f>IF($AI59,IF(LARGE($AG$41:$AH$107,BW$40)=$AG59,$AC59,""),"")</f>
        <v/>
      </c>
      <c r="BX59" s="1153"/>
      <c r="BY59" s="1153"/>
      <c r="BZ59" s="1153"/>
      <c r="CA59" s="1153" t="str">
        <f>IF($AI59,IF(LARGE($AG$41:$AH$107,CA$40)=$AG59,$AC59,""),"")</f>
        <v/>
      </c>
      <c r="CB59" s="1153"/>
      <c r="CC59" s="1153"/>
      <c r="CD59" s="1153"/>
      <c r="CE59" s="1153" t="str">
        <f>IF($AI59,IF(LARGE($AG$41:$AH$107,CE$40)=$AG59,$AC59,""),"")</f>
        <v/>
      </c>
      <c r="CF59" s="1153"/>
      <c r="CG59" s="1153"/>
      <c r="CH59" s="1153"/>
      <c r="CI59" s="1153" t="str">
        <f>IF($AI59,IF(LARGE($AG$41:$AH$107,CI$40)=$AG59,$AC59,""),"")</f>
        <v/>
      </c>
      <c r="CJ59" s="1153"/>
      <c r="CK59" s="1153"/>
      <c r="CL59" s="1153"/>
      <c r="CM59" s="1153" t="str">
        <f>IF($AI59,IF(LARGE($AG$41:$AH$107,CM$40)=$AG59,$AC59,""),"")</f>
        <v/>
      </c>
      <c r="CN59" s="1153"/>
      <c r="CO59" s="1153"/>
      <c r="CP59" s="1153"/>
      <c r="CQ59" s="1153" t="str">
        <f>IF($AI59,IF(LARGE($AG$41:$AH$107,CQ$40)=$AG59,$AC59,""),"")</f>
        <v/>
      </c>
      <c r="CR59" s="1153"/>
      <c r="CS59" s="1153"/>
      <c r="CT59" s="1153"/>
      <c r="CU59" s="1153" t="str">
        <f>IF($AI59,IF(LARGE($AG$41:$AH$107,CU$40)=$AG59,$AC59,""),"")</f>
        <v/>
      </c>
      <c r="CV59" s="1153"/>
      <c r="CW59" s="1153"/>
      <c r="CX59" s="1153"/>
      <c r="CY59" s="1153" t="str">
        <f>IF($AI59,IF(LARGE($AG$41:$AH$107,CY$40)=$AG59,$AC59,""),"")</f>
        <v/>
      </c>
      <c r="CZ59" s="1153"/>
      <c r="DA59" s="1153"/>
      <c r="DB59" s="1153"/>
      <c r="DC59" s="1153" t="str">
        <f>IF($AI59,IF(LARGE($AG$41:$AH$107,DC$40)=$AG59,$AC59,""),"")</f>
        <v/>
      </c>
      <c r="DD59" s="1153"/>
      <c r="DE59" s="1153"/>
      <c r="DF59" s="1153"/>
      <c r="DG59" s="1153" t="str">
        <f>IF($AI59,IF(LARGE($AG$41:$AH$107,DG$40)=$AG59,$AC59,""),"")</f>
        <v/>
      </c>
      <c r="DH59" s="1153"/>
      <c r="DI59" s="1153"/>
      <c r="DJ59" s="1153"/>
      <c r="DK59" s="1153" t="str">
        <f>IF($AI59,IF(LARGE($AG$41:$AH$107,DK$40)=$AG59,$AC59,""),"")</f>
        <v/>
      </c>
      <c r="DL59" s="1153"/>
      <c r="DM59" s="1153"/>
      <c r="DN59" s="1153"/>
      <c r="DO59" s="1153" t="str">
        <f>IF($AI59,IF(LARGE($AG$41:$AH$107,DO$40)=$AG59,$AC59,""),"")</f>
        <v/>
      </c>
      <c r="DP59" s="1153"/>
      <c r="DQ59" s="1153"/>
      <c r="DR59" s="1153"/>
      <c r="DS59" s="1153" t="str">
        <f>IF($AI59,IF(LARGE($AG$41:$AH$107,DS$40)=$AG59,$AC59,""),"")</f>
        <v/>
      </c>
      <c r="DT59" s="1153"/>
      <c r="DU59" s="1153"/>
      <c r="DV59" s="1153"/>
      <c r="DW59" s="1153" t="str">
        <f>IF($AI59,IF(LARGE($AG$41:$AH$107,DW$40)=$AG59,$AC59,""),"")</f>
        <v/>
      </c>
      <c r="DX59" s="1153"/>
      <c r="DY59" s="1153"/>
      <c r="DZ59" s="1153"/>
      <c r="EA59" s="1153" t="str">
        <f>IF($AI59,IF(LARGE($AG$41:$AH$107,EA$40)=$AG59,$AC59,""),"")</f>
        <v/>
      </c>
      <c r="EB59" s="1153"/>
      <c r="EC59" s="1153"/>
      <c r="ED59" s="1153"/>
      <c r="EE59" s="1153" t="str">
        <f>IF($AI59,IF(LARGE($AG$41:$AH$107,EE$40)=$AG59,$AC59,""),"")</f>
        <v/>
      </c>
      <c r="EF59" s="1153"/>
      <c r="EG59" s="1153"/>
      <c r="EH59" s="1153"/>
      <c r="EI59" s="1153" t="str">
        <f>IF($AI59,IF(LARGE($AG$41:$AH$107,EI$40)=$AG59,$AC59,""),"")</f>
        <v/>
      </c>
      <c r="EJ59" s="1153"/>
      <c r="EK59" s="1153"/>
      <c r="EL59" s="1153"/>
      <c r="EM59" s="1153" t="str">
        <f>IF($AI59,IF(LARGE($AG$41:$AH$107,EM$40)=$AG59,$AC59,""),"")</f>
        <v/>
      </c>
      <c r="EN59" s="1153"/>
      <c r="EO59" s="1153"/>
      <c r="EP59" s="1153"/>
      <c r="EQ59" s="1153" t="str">
        <f>IF($AI59,IF(LARGE($AG$41:$AH$107,EQ$40)=$AG59,$AC59,""),"")</f>
        <v/>
      </c>
      <c r="ER59" s="1153"/>
      <c r="ES59" s="1153"/>
      <c r="ET59" s="1153"/>
      <c r="EU59" s="1153" t="str">
        <f>IF($AI59,IF(LARGE($AG$41:$AH$107,EU$40)=$AG59,$AC59,""),"")</f>
        <v/>
      </c>
      <c r="EV59" s="1153"/>
      <c r="EW59" s="1153"/>
      <c r="EX59" s="1153"/>
      <c r="EY59" s="1153" t="str">
        <f>IF($AI59,IF(LARGE($AG$41:$AH$107,EY$40)=$AG59,$AC59,""),"")</f>
        <v/>
      </c>
      <c r="EZ59" s="1153"/>
      <c r="FA59" s="1153"/>
      <c r="FB59" s="1153"/>
      <c r="FC59" s="1153" t="str">
        <f>IF($AI59,IF(LARGE($AG$41:$AH$107,FC$40)=$AG59,$AC59,""),"")</f>
        <v/>
      </c>
      <c r="FD59" s="1153"/>
      <c r="FE59" s="1153"/>
      <c r="FF59" s="1153"/>
      <c r="FG59" s="1153" t="str">
        <f>IF($AI59,IF(LARGE($AG$41:$AH$107,FG$40)=$AG59,$AC59,""),"")</f>
        <v/>
      </c>
      <c r="FH59" s="1153"/>
      <c r="FI59" s="1153"/>
      <c r="FJ59" s="1153"/>
      <c r="FK59" s="1153" t="str">
        <f>IF($AI59,IF(LARGE($AG$41:$AH$107,FK$40)=$AG59,$AC59,""),"")</f>
        <v/>
      </c>
      <c r="FL59" s="1153"/>
      <c r="FM59" s="1153"/>
      <c r="FN59" s="1153"/>
      <c r="FO59" s="1153" t="str">
        <f>IF($AI59,IF(LARGE($AG$41:$AH$107,FO$40)=$AG59,$AC59,""),"")</f>
        <v/>
      </c>
      <c r="FP59" s="1153"/>
      <c r="FQ59" s="1153"/>
      <c r="FR59" s="1153"/>
      <c r="FS59" s="1153" t="str">
        <f>IF($AI59,IF(LARGE($AG$41:$AH$107,FS$40)=$AG59,$AC59,""),"")</f>
        <v/>
      </c>
      <c r="FT59" s="1153"/>
      <c r="FU59" s="1153"/>
      <c r="FV59" s="1153"/>
      <c r="FW59" s="1153" t="str">
        <f>IF($AI59,IF(LARGE($AG$41:$AH$107,FW$40)=$AG59,$AC59,""),"")</f>
        <v/>
      </c>
      <c r="FX59" s="1153"/>
      <c r="FY59" s="1153"/>
      <c r="FZ59" s="1153"/>
      <c r="GA59" s="1153" t="str">
        <f>IF($AI59,IF(LARGE($AG$41:$AH$107,GA$40)=$AG59,$AC59,""),"")</f>
        <v/>
      </c>
      <c r="GB59" s="1153"/>
      <c r="GC59" s="1153"/>
      <c r="GD59" s="1153"/>
      <c r="GE59" s="1153" t="str">
        <f>IF($AI59,IF(LARGE($AG$41:$AH$107,GE$40)=$AG59,$AC59,""),"")</f>
        <v/>
      </c>
      <c r="GF59" s="1153"/>
      <c r="GG59" s="1153"/>
      <c r="GH59" s="1153"/>
      <c r="GI59" s="1153" t="str">
        <f>IF($AI59,IF(LARGE($AG$41:$AH$107,GI$40)=$AG59,$AC59,""),"")</f>
        <v/>
      </c>
      <c r="GJ59" s="1153"/>
      <c r="GK59" s="1153"/>
      <c r="GL59" s="1153"/>
      <c r="GM59" s="1153" t="str">
        <f>IF($AI59,IF(LARGE($AG$41:$AH$107,GM$40)=$AG59,$AC59,""),"")</f>
        <v/>
      </c>
      <c r="GN59" s="1153"/>
      <c r="GO59" s="1153"/>
      <c r="GP59" s="1153"/>
      <c r="GQ59" s="1153" t="str">
        <f>IF($AI59,IF(LARGE($AG$41:$AH$107,GQ$40)=$AG59,$AC59,""),"")</f>
        <v/>
      </c>
      <c r="GR59" s="1153"/>
      <c r="GS59" s="1153"/>
      <c r="GT59" s="1153"/>
      <c r="GU59" s="1153" t="str">
        <f>IF($AI59,IF(LARGE($AG$41:$AH$107,GU$40)=$AG59,$AC59,""),"")</f>
        <v/>
      </c>
      <c r="GV59" s="1153"/>
      <c r="GW59" s="1153"/>
      <c r="GX59" s="1153"/>
      <c r="GY59" s="1153" t="str">
        <f>IF($AI59,IF(LARGE($AG$41:$AH$107,GY$40)=$AG59,$AC59,""),"")</f>
        <v/>
      </c>
      <c r="GZ59" s="1153"/>
      <c r="HA59" s="1153"/>
      <c r="HB59" s="1153"/>
      <c r="HC59" s="1153" t="str">
        <f>IF($AI59,IF(LARGE($AG$41:$AH$107,HC$40)=$AG59,$AC59,""),"")</f>
        <v/>
      </c>
      <c r="HD59" s="1153"/>
      <c r="HE59" s="1153"/>
      <c r="HF59" s="1153"/>
      <c r="HG59" s="1153" t="str">
        <f>IF($AI59,IF(LARGE($AG$41:$AH$107,HG$40)=$AG59,$AC59,""),"")</f>
        <v/>
      </c>
      <c r="HH59" s="1153"/>
      <c r="HI59" s="1153"/>
      <c r="HJ59" s="1153"/>
      <c r="HK59" s="1153" t="str">
        <f>IF($AI59,IF(LARGE($AG$41:$AH$107,HK$40)=$AG59,$AC59,""),"")</f>
        <v/>
      </c>
      <c r="HL59" s="1153"/>
      <c r="HM59" s="1153"/>
      <c r="HN59" s="1153"/>
      <c r="HO59" s="1153" t="str">
        <f>IF($AI59,IF(LARGE($AG$41:$AH$107,HO$40)=$AG59,$AC59,""),"")</f>
        <v/>
      </c>
      <c r="HP59" s="1153"/>
      <c r="HQ59" s="1153"/>
      <c r="HR59" s="1153"/>
      <c r="HS59" s="1153" t="str">
        <f>IF($AI59,IF(LARGE($AG$41:$AH$107,HS$40)=$AG59,$AC59,""),"")</f>
        <v/>
      </c>
      <c r="HT59" s="1153"/>
      <c r="HU59" s="1153"/>
      <c r="HV59" s="1153"/>
      <c r="HW59" s="1153" t="str">
        <f>IF($AI59,IF(LARGE($AG$41:$AH$107,HW$40)=$AG59,$AC59,""),"")</f>
        <v/>
      </c>
      <c r="HX59" s="1153"/>
      <c r="HY59" s="1153"/>
      <c r="HZ59" s="1153"/>
      <c r="IA59" s="1153" t="str">
        <f>IF($AI59,IF(LARGE($AG$41:$AH$107,IA$40)=$AG59,$AC59,""),"")</f>
        <v/>
      </c>
      <c r="IB59" s="1153"/>
      <c r="IC59" s="1153"/>
      <c r="ID59" s="1153"/>
      <c r="IE59" s="1153" t="str">
        <f>IF($AI59,IF(LARGE($AG$41:$AH$107,IE$40)=$AG59,$AC59,""),"")</f>
        <v/>
      </c>
      <c r="IF59" s="1153"/>
      <c r="IG59" s="1153"/>
      <c r="IH59" s="1153"/>
      <c r="II59" s="1153" t="str">
        <f>IF($AI59,IF(LARGE($AG$41:$AH$107,II$40)=$AG59,$AC59,""),"")</f>
        <v/>
      </c>
      <c r="IJ59" s="1153"/>
      <c r="IK59" s="1153"/>
      <c r="IL59" s="1153"/>
      <c r="IM59" s="1153" t="str">
        <f>IF($AI59,IF(LARGE($AG$41:$AH$107,IM$40)=$AG59,$AC59,""),"")</f>
        <v/>
      </c>
      <c r="IN59" s="1153"/>
      <c r="IO59" s="1153"/>
      <c r="IP59" s="1153"/>
      <c r="IQ59" s="1153" t="str">
        <f>IF($AI59,IF(LARGE($AG$41:$AH$107,IQ$40)=$AG59,$AC59,""),"")</f>
        <v/>
      </c>
      <c r="IR59" s="1153"/>
      <c r="IS59" s="1153"/>
      <c r="IT59" s="1153"/>
      <c r="IU59" s="1153" t="str">
        <f>IF($AI59,IF(LARGE($AG$41:$AH$107,IU$40)=$AG59,$AC59,""),"")</f>
        <v/>
      </c>
      <c r="IV59" s="1153"/>
      <c r="IW59" s="1153"/>
      <c r="IX59" s="1153"/>
      <c r="IY59" s="1153" t="str">
        <f>IF($AI59,IF(LARGE($AG$41:$AH$107,IY$40)=$AG59,$AC59,""),"")</f>
        <v/>
      </c>
      <c r="IZ59" s="1153"/>
      <c r="JA59" s="1153"/>
      <c r="JB59" s="1153"/>
      <c r="JC59" s="1153" t="str">
        <f>IF($AI59,IF(LARGE($AG$41:$AH$107,JC$40)=$AG59,$AC59,""),"")</f>
        <v/>
      </c>
      <c r="JD59" s="1153"/>
      <c r="JE59" s="1153"/>
      <c r="JF59" s="1153"/>
      <c r="JG59" s="1153" t="str">
        <f>IF($AI59,IF(LARGE($AG$41:$AH$107,JG$40)=$AG59,$AC59,""),"")</f>
        <v/>
      </c>
      <c r="JH59" s="1153"/>
      <c r="JI59" s="1153"/>
      <c r="JJ59" s="1153"/>
      <c r="JK59" s="1153" t="str">
        <f>IF($AI59,IF(LARGE($AG$41:$AH$107,JK$40)=$AG59,$AC59,""),"")</f>
        <v/>
      </c>
      <c r="JL59" s="1153"/>
      <c r="JM59" s="1153"/>
      <c r="JN59" s="1153"/>
      <c r="JO59" s="1153" t="str">
        <f>IF($AI59,IF(LARGE($AG$41:$AH$107,JO$40)=$AG59,$AC59,""),"")</f>
        <v/>
      </c>
      <c r="JP59" s="1153"/>
      <c r="JQ59" s="1153"/>
      <c r="JR59" s="1153"/>
      <c r="JS59" s="1153" t="str">
        <f>IF($AI59,IF(LARGE($AG$41:$AH$107,JS$40)=$AG59,$AC59,""),"")</f>
        <v/>
      </c>
      <c r="JT59" s="1153"/>
      <c r="JU59" s="1153"/>
      <c r="JV59" s="1153"/>
      <c r="JW59" s="1153" t="str">
        <f>IF($AI59,IF(LARGE($AG$41:$AH$107,JW$40)=$AG59,$AC59,""),"")</f>
        <v/>
      </c>
      <c r="JX59" s="1153"/>
      <c r="JY59" s="1153"/>
      <c r="JZ59" s="1153"/>
      <c r="KA59" s="1153" t="str">
        <f>IF($AI59,IF(LARGE($AG$41:$AH$107,KA$40)=$AG59,$AC59,""),"")</f>
        <v/>
      </c>
      <c r="KB59" s="1153"/>
      <c r="KC59" s="1153"/>
      <c r="KD59" s="1153"/>
      <c r="KE59" s="1153" t="str">
        <f>IF($AI59,IF(LARGE($AG$41:$AH$107,KE$40)=$AG59,$AC59,""),"")</f>
        <v/>
      </c>
      <c r="KF59" s="1153"/>
      <c r="KG59" s="1153"/>
      <c r="KH59" s="1153"/>
      <c r="KI59" s="1153" t="str">
        <f>IF($AI59,IF(LARGE($AG$41:$AH$107,KI$40)=$AG59,$AC59,""),"")</f>
        <v/>
      </c>
      <c r="KJ59" s="1153"/>
      <c r="KK59" s="1153"/>
      <c r="KL59" s="1153"/>
      <c r="KM59" s="1153" t="str">
        <f>IF($AI59,IF(LARGE($AG$41:$AH$107,KM$40)=$AG59,$AC59,""),"")</f>
        <v/>
      </c>
      <c r="KN59" s="1153"/>
      <c r="KO59" s="1153"/>
      <c r="KP59" s="1153"/>
      <c r="KQ59" s="1153" t="str">
        <f>IF($AI59,IF(LARGE($AG$41:$AH$107,KQ$40)=$AG59,$AC59,""),"")</f>
        <v/>
      </c>
      <c r="KR59" s="1153"/>
      <c r="KS59" s="1153"/>
      <c r="KT59" s="1153"/>
    </row>
    <row r="60" spans="8:8">
      <c r="C60" s="1153" t="str">
        <f>IF(F24="","",CONCATENATE(" ",C24,F24,H24))</f>
        <v> 🔅格斗①</v>
      </c>
      <c r="D60" s="1153"/>
      <c r="E60" s="1153"/>
      <c r="F60" s="1153"/>
      <c r="G60" s="1155" t="str">
        <f>IF(AND(L24=0,N24=0),"",IF(ISNONTEXT(D24),"",R24))</f>
        <v/>
      </c>
      <c r="H60" s="1155"/>
      <c r="I60" s="1153" t="str">
        <f>IF(G60=$G$40,C60,"")</f>
        <v/>
      </c>
      <c r="J60" s="1153"/>
      <c r="K60" s="1153"/>
      <c r="L60" s="1153"/>
      <c r="M60" s="1154">
        <f>IF(AND(NOT(N24=0),ISNONTEXT(D24)),1,0)</f>
        <v>0.0</v>
      </c>
      <c r="N60" s="1122"/>
      <c r="O60" s="1122"/>
      <c r="P60" s="1153" t="str">
        <f>IF(F24="","",CONCATENATE(" ",C24,F24,H24))</f>
        <v> 🔅格斗①</v>
      </c>
      <c r="Q60" s="1153"/>
      <c r="R60" s="1153"/>
      <c r="S60" s="1153"/>
      <c r="T60" s="1155" t="str">
        <f>IF(AND(L24=0,P24=0),"",IF(ISNONTEXT(D24),R24,""))</f>
        <v/>
      </c>
      <c r="U60" s="1155"/>
      <c r="V60" s="1153" t="str">
        <f>IF(T60=$T$40,P60,"")</f>
        <v/>
      </c>
      <c r="W60" s="1153"/>
      <c r="X60" s="1153"/>
      <c r="Y60" s="1153"/>
      <c r="AB60" s="1122"/>
      <c r="AC60" s="1153" t="str">
        <f>IF(F24="","",CONCATENATE(C24,F24,H24))</f>
        <v>🔅格斗①</v>
      </c>
      <c r="AD60" s="1153"/>
      <c r="AE60" s="1153"/>
      <c r="AF60" s="1153"/>
      <c r="AG60" s="1155">
        <f>R24</f>
        <v>0.0</v>
      </c>
      <c r="AH60" s="1155"/>
      <c r="AI60" s="1153" t="b">
        <f>IF(AND(OR(ISNUMBER(L24),ISNUMBER(N24),ISNUMBER(P24)),OR(L24&gt;0,N24&gt;0,P24&gt;0)),TRUE,FALSE)</f>
        <v>0</v>
      </c>
      <c r="AJ60" s="1153"/>
      <c r="AK60" s="1153"/>
      <c r="AL60" s="1153"/>
      <c r="AM60" s="1153" t="str">
        <f>IF($AI60,IF(LARGE($AG$41:$AH$107,AM$40)=$AG60,$AC60,""),"")</f>
        <v/>
      </c>
      <c r="AN60" s="1153"/>
      <c r="AO60" s="1153"/>
      <c r="AP60" s="1153"/>
      <c r="AQ60" s="1153" t="str">
        <f>IF($AI60,IF(LARGE($AG$41:$AH$107,AQ$40)=$AG60,$AC60,""),"")</f>
        <v/>
      </c>
      <c r="AR60" s="1153"/>
      <c r="AS60" s="1153"/>
      <c r="AT60" s="1153"/>
      <c r="AU60" s="1153" t="str">
        <f>IF($AI60,IF(LARGE($AG$41:$AH$107,AU$40)=$AG60,$AC60,""),"")</f>
        <v/>
      </c>
      <c r="AV60" s="1153"/>
      <c r="AW60" s="1153"/>
      <c r="AX60" s="1153"/>
      <c r="AY60" s="1153" t="str">
        <f>IF($AI60,IF(LARGE($AG$41:$AH$107,AY$40)=$AG60,$AC60,""),"")</f>
        <v/>
      </c>
      <c r="AZ60" s="1153"/>
      <c r="BA60" s="1153"/>
      <c r="BB60" s="1153"/>
      <c r="BC60" s="1153" t="str">
        <f>IF($AI60,IF(LARGE($AG$41:$AH$107,BC$40)=$AG60,$AC60,""),"")</f>
        <v/>
      </c>
      <c r="BD60" s="1153"/>
      <c r="BE60" s="1153"/>
      <c r="BF60" s="1153"/>
      <c r="BG60" s="1153" t="str">
        <f>IF($AI60,IF(LARGE($AG$41:$AH$107,BG$40)=$AG60,$AC60,""),"")</f>
        <v/>
      </c>
      <c r="BH60" s="1153"/>
      <c r="BI60" s="1153"/>
      <c r="BJ60" s="1153"/>
      <c r="BK60" s="1153" t="str">
        <f>IF($AI60,IF(LARGE($AG$41:$AH$107,BK$40)=$AG60,$AC60,""),"")</f>
        <v/>
      </c>
      <c r="BL60" s="1153"/>
      <c r="BM60" s="1153"/>
      <c r="BN60" s="1153"/>
      <c r="BO60" s="1153" t="str">
        <f>IF($AI60,IF(LARGE($AG$41:$AH$107,BO$40)=$AG60,$AC60,""),"")</f>
        <v/>
      </c>
      <c r="BP60" s="1153"/>
      <c r="BQ60" s="1153"/>
      <c r="BR60" s="1153"/>
      <c r="BS60" s="1153" t="str">
        <f>IF($AI60,IF(LARGE($AG$41:$AH$107,BS$40)=$AG60,$AC60,""),"")</f>
        <v/>
      </c>
      <c r="BT60" s="1153"/>
      <c r="BU60" s="1153"/>
      <c r="BV60" s="1153"/>
      <c r="BW60" s="1153" t="str">
        <f>IF($AI60,IF(LARGE($AG$41:$AH$107,BW$40)=$AG60,$AC60,""),"")</f>
        <v/>
      </c>
      <c r="BX60" s="1153"/>
      <c r="BY60" s="1153"/>
      <c r="BZ60" s="1153"/>
      <c r="CA60" s="1153" t="str">
        <f>IF($AI60,IF(LARGE($AG$41:$AH$107,CA$40)=$AG60,$AC60,""),"")</f>
        <v/>
      </c>
      <c r="CB60" s="1153"/>
      <c r="CC60" s="1153"/>
      <c r="CD60" s="1153"/>
      <c r="CE60" s="1153" t="str">
        <f>IF($AI60,IF(LARGE($AG$41:$AH$107,CE$40)=$AG60,$AC60,""),"")</f>
        <v/>
      </c>
      <c r="CF60" s="1153"/>
      <c r="CG60" s="1153"/>
      <c r="CH60" s="1153"/>
      <c r="CI60" s="1153" t="str">
        <f>IF($AI60,IF(LARGE($AG$41:$AH$107,CI$40)=$AG60,$AC60,""),"")</f>
        <v/>
      </c>
      <c r="CJ60" s="1153"/>
      <c r="CK60" s="1153"/>
      <c r="CL60" s="1153"/>
      <c r="CM60" s="1153" t="str">
        <f>IF($AI60,IF(LARGE($AG$41:$AH$107,CM$40)=$AG60,$AC60,""),"")</f>
        <v/>
      </c>
      <c r="CN60" s="1153"/>
      <c r="CO60" s="1153"/>
      <c r="CP60" s="1153"/>
      <c r="CQ60" s="1153" t="str">
        <f>IF($AI60,IF(LARGE($AG$41:$AH$107,CQ$40)=$AG60,$AC60,""),"")</f>
        <v/>
      </c>
      <c r="CR60" s="1153"/>
      <c r="CS60" s="1153"/>
      <c r="CT60" s="1153"/>
      <c r="CU60" s="1153" t="str">
        <f>IF($AI60,IF(LARGE($AG$41:$AH$107,CU$40)=$AG60,$AC60,""),"")</f>
        <v/>
      </c>
      <c r="CV60" s="1153"/>
      <c r="CW60" s="1153"/>
      <c r="CX60" s="1153"/>
      <c r="CY60" s="1153" t="str">
        <f>IF($AI60,IF(LARGE($AG$41:$AH$107,CY$40)=$AG60,$AC60,""),"")</f>
        <v/>
      </c>
      <c r="CZ60" s="1153"/>
      <c r="DA60" s="1153"/>
      <c r="DB60" s="1153"/>
      <c r="DC60" s="1153" t="str">
        <f>IF($AI60,IF(LARGE($AG$41:$AH$107,DC$40)=$AG60,$AC60,""),"")</f>
        <v/>
      </c>
      <c r="DD60" s="1153"/>
      <c r="DE60" s="1153"/>
      <c r="DF60" s="1153"/>
      <c r="DG60" s="1153" t="str">
        <f>IF($AI60,IF(LARGE($AG$41:$AH$107,DG$40)=$AG60,$AC60,""),"")</f>
        <v/>
      </c>
      <c r="DH60" s="1153"/>
      <c r="DI60" s="1153"/>
      <c r="DJ60" s="1153"/>
      <c r="DK60" s="1153" t="str">
        <f>IF($AI60,IF(LARGE($AG$41:$AH$107,DK$40)=$AG60,$AC60,""),"")</f>
        <v/>
      </c>
      <c r="DL60" s="1153"/>
      <c r="DM60" s="1153"/>
      <c r="DN60" s="1153"/>
      <c r="DO60" s="1153" t="str">
        <f>IF($AI60,IF(LARGE($AG$41:$AH$107,DO$40)=$AG60,$AC60,""),"")</f>
        <v/>
      </c>
      <c r="DP60" s="1153"/>
      <c r="DQ60" s="1153"/>
      <c r="DR60" s="1153"/>
      <c r="DS60" s="1153" t="str">
        <f>IF($AI60,IF(LARGE($AG$41:$AH$107,DS$40)=$AG60,$AC60,""),"")</f>
        <v/>
      </c>
      <c r="DT60" s="1153"/>
      <c r="DU60" s="1153"/>
      <c r="DV60" s="1153"/>
      <c r="DW60" s="1153" t="str">
        <f>IF($AI60,IF(LARGE($AG$41:$AH$107,DW$40)=$AG60,$AC60,""),"")</f>
        <v/>
      </c>
      <c r="DX60" s="1153"/>
      <c r="DY60" s="1153"/>
      <c r="DZ60" s="1153"/>
      <c r="EA60" s="1153" t="str">
        <f>IF($AI60,IF(LARGE($AG$41:$AH$107,EA$40)=$AG60,$AC60,""),"")</f>
        <v/>
      </c>
      <c r="EB60" s="1153"/>
      <c r="EC60" s="1153"/>
      <c r="ED60" s="1153"/>
      <c r="EE60" s="1153" t="str">
        <f>IF($AI60,IF(LARGE($AG$41:$AH$107,EE$40)=$AG60,$AC60,""),"")</f>
        <v/>
      </c>
      <c r="EF60" s="1153"/>
      <c r="EG60" s="1153"/>
      <c r="EH60" s="1153"/>
      <c r="EI60" s="1153" t="str">
        <f>IF($AI60,IF(LARGE($AG$41:$AH$107,EI$40)=$AG60,$AC60,""),"")</f>
        <v/>
      </c>
      <c r="EJ60" s="1153"/>
      <c r="EK60" s="1153"/>
      <c r="EL60" s="1153"/>
      <c r="EM60" s="1153" t="str">
        <f>IF($AI60,IF(LARGE($AG$41:$AH$107,EM$40)=$AG60,$AC60,""),"")</f>
        <v/>
      </c>
      <c r="EN60" s="1153"/>
      <c r="EO60" s="1153"/>
      <c r="EP60" s="1153"/>
      <c r="EQ60" s="1153" t="str">
        <f>IF($AI60,IF(LARGE($AG$41:$AH$107,EQ$40)=$AG60,$AC60,""),"")</f>
        <v/>
      </c>
      <c r="ER60" s="1153"/>
      <c r="ES60" s="1153"/>
      <c r="ET60" s="1153"/>
      <c r="EU60" s="1153" t="str">
        <f>IF($AI60,IF(LARGE($AG$41:$AH$107,EU$40)=$AG60,$AC60,""),"")</f>
        <v/>
      </c>
      <c r="EV60" s="1153"/>
      <c r="EW60" s="1153"/>
      <c r="EX60" s="1153"/>
      <c r="EY60" s="1153" t="str">
        <f>IF($AI60,IF(LARGE($AG$41:$AH$107,EY$40)=$AG60,$AC60,""),"")</f>
        <v/>
      </c>
      <c r="EZ60" s="1153"/>
      <c r="FA60" s="1153"/>
      <c r="FB60" s="1153"/>
      <c r="FC60" s="1153" t="str">
        <f>IF($AI60,IF(LARGE($AG$41:$AH$107,FC$40)=$AG60,$AC60,""),"")</f>
        <v/>
      </c>
      <c r="FD60" s="1153"/>
      <c r="FE60" s="1153"/>
      <c r="FF60" s="1153"/>
      <c r="FG60" s="1153" t="str">
        <f>IF($AI60,IF(LARGE($AG$41:$AH$107,FG$40)=$AG60,$AC60,""),"")</f>
        <v/>
      </c>
      <c r="FH60" s="1153"/>
      <c r="FI60" s="1153"/>
      <c r="FJ60" s="1153"/>
      <c r="FK60" s="1153" t="str">
        <f>IF($AI60,IF(LARGE($AG$41:$AH$107,FK$40)=$AG60,$AC60,""),"")</f>
        <v/>
      </c>
      <c r="FL60" s="1153"/>
      <c r="FM60" s="1153"/>
      <c r="FN60" s="1153"/>
      <c r="FO60" s="1153" t="str">
        <f>IF($AI60,IF(LARGE($AG$41:$AH$107,FO$40)=$AG60,$AC60,""),"")</f>
        <v/>
      </c>
      <c r="FP60" s="1153"/>
      <c r="FQ60" s="1153"/>
      <c r="FR60" s="1153"/>
      <c r="FS60" s="1153" t="str">
        <f>IF($AI60,IF(LARGE($AG$41:$AH$107,FS$40)=$AG60,$AC60,""),"")</f>
        <v/>
      </c>
      <c r="FT60" s="1153"/>
      <c r="FU60" s="1153"/>
      <c r="FV60" s="1153"/>
      <c r="FW60" s="1153" t="str">
        <f>IF($AI60,IF(LARGE($AG$41:$AH$107,FW$40)=$AG60,$AC60,""),"")</f>
        <v/>
      </c>
      <c r="FX60" s="1153"/>
      <c r="FY60" s="1153"/>
      <c r="FZ60" s="1153"/>
      <c r="GA60" s="1153" t="str">
        <f>IF($AI60,IF(LARGE($AG$41:$AH$107,GA$40)=$AG60,$AC60,""),"")</f>
        <v/>
      </c>
      <c r="GB60" s="1153"/>
      <c r="GC60" s="1153"/>
      <c r="GD60" s="1153"/>
      <c r="GE60" s="1153" t="str">
        <f>IF($AI60,IF(LARGE($AG$41:$AH$107,GE$40)=$AG60,$AC60,""),"")</f>
        <v/>
      </c>
      <c r="GF60" s="1153"/>
      <c r="GG60" s="1153"/>
      <c r="GH60" s="1153"/>
      <c r="GI60" s="1153" t="str">
        <f>IF($AI60,IF(LARGE($AG$41:$AH$107,GI$40)=$AG60,$AC60,""),"")</f>
        <v/>
      </c>
      <c r="GJ60" s="1153"/>
      <c r="GK60" s="1153"/>
      <c r="GL60" s="1153"/>
      <c r="GM60" s="1153" t="str">
        <f>IF($AI60,IF(LARGE($AG$41:$AH$107,GM$40)=$AG60,$AC60,""),"")</f>
        <v/>
      </c>
      <c r="GN60" s="1153"/>
      <c r="GO60" s="1153"/>
      <c r="GP60" s="1153"/>
      <c r="GQ60" s="1153" t="str">
        <f>IF($AI60,IF(LARGE($AG$41:$AH$107,GQ$40)=$AG60,$AC60,""),"")</f>
        <v/>
      </c>
      <c r="GR60" s="1153"/>
      <c r="GS60" s="1153"/>
      <c r="GT60" s="1153"/>
      <c r="GU60" s="1153" t="str">
        <f>IF($AI60,IF(LARGE($AG$41:$AH$107,GU$40)=$AG60,$AC60,""),"")</f>
        <v/>
      </c>
      <c r="GV60" s="1153"/>
      <c r="GW60" s="1153"/>
      <c r="GX60" s="1153"/>
      <c r="GY60" s="1153" t="str">
        <f>IF($AI60,IF(LARGE($AG$41:$AH$107,GY$40)=$AG60,$AC60,""),"")</f>
        <v/>
      </c>
      <c r="GZ60" s="1153"/>
      <c r="HA60" s="1153"/>
      <c r="HB60" s="1153"/>
      <c r="HC60" s="1153" t="str">
        <f>IF($AI60,IF(LARGE($AG$41:$AH$107,HC$40)=$AG60,$AC60,""),"")</f>
        <v/>
      </c>
      <c r="HD60" s="1153"/>
      <c r="HE60" s="1153"/>
      <c r="HF60" s="1153"/>
      <c r="HG60" s="1153" t="str">
        <f>IF($AI60,IF(LARGE($AG$41:$AH$107,HG$40)=$AG60,$AC60,""),"")</f>
        <v/>
      </c>
      <c r="HH60" s="1153"/>
      <c r="HI60" s="1153"/>
      <c r="HJ60" s="1153"/>
      <c r="HK60" s="1153" t="str">
        <f>IF($AI60,IF(LARGE($AG$41:$AH$107,HK$40)=$AG60,$AC60,""),"")</f>
        <v/>
      </c>
      <c r="HL60" s="1153"/>
      <c r="HM60" s="1153"/>
      <c r="HN60" s="1153"/>
      <c r="HO60" s="1153" t="str">
        <f>IF($AI60,IF(LARGE($AG$41:$AH$107,HO$40)=$AG60,$AC60,""),"")</f>
        <v/>
      </c>
      <c r="HP60" s="1153"/>
      <c r="HQ60" s="1153"/>
      <c r="HR60" s="1153"/>
      <c r="HS60" s="1153" t="str">
        <f>IF($AI60,IF(LARGE($AG$41:$AH$107,HS$40)=$AG60,$AC60,""),"")</f>
        <v/>
      </c>
      <c r="HT60" s="1153"/>
      <c r="HU60" s="1153"/>
      <c r="HV60" s="1153"/>
      <c r="HW60" s="1153" t="str">
        <f>IF($AI60,IF(LARGE($AG$41:$AH$107,HW$40)=$AG60,$AC60,""),"")</f>
        <v/>
      </c>
      <c r="HX60" s="1153"/>
      <c r="HY60" s="1153"/>
      <c r="HZ60" s="1153"/>
      <c r="IA60" s="1153" t="str">
        <f>IF($AI60,IF(LARGE($AG$41:$AH$107,IA$40)=$AG60,$AC60,""),"")</f>
        <v/>
      </c>
      <c r="IB60" s="1153"/>
      <c r="IC60" s="1153"/>
      <c r="ID60" s="1153"/>
      <c r="IE60" s="1153" t="str">
        <f>IF($AI60,IF(LARGE($AG$41:$AH$107,IE$40)=$AG60,$AC60,""),"")</f>
        <v/>
      </c>
      <c r="IF60" s="1153"/>
      <c r="IG60" s="1153"/>
      <c r="IH60" s="1153"/>
      <c r="II60" s="1153" t="str">
        <f>IF($AI60,IF(LARGE($AG$41:$AH$107,II$40)=$AG60,$AC60,""),"")</f>
        <v/>
      </c>
      <c r="IJ60" s="1153"/>
      <c r="IK60" s="1153"/>
      <c r="IL60" s="1153"/>
      <c r="IM60" s="1153" t="str">
        <f>IF($AI60,IF(LARGE($AG$41:$AH$107,IM$40)=$AG60,$AC60,""),"")</f>
        <v/>
      </c>
      <c r="IN60" s="1153"/>
      <c r="IO60" s="1153"/>
      <c r="IP60" s="1153"/>
      <c r="IQ60" s="1153" t="str">
        <f>IF($AI60,IF(LARGE($AG$41:$AH$107,IQ$40)=$AG60,$AC60,""),"")</f>
        <v/>
      </c>
      <c r="IR60" s="1153"/>
      <c r="IS60" s="1153"/>
      <c r="IT60" s="1153"/>
      <c r="IU60" s="1153" t="str">
        <f>IF($AI60,IF(LARGE($AG$41:$AH$107,IU$40)=$AG60,$AC60,""),"")</f>
        <v/>
      </c>
      <c r="IV60" s="1153"/>
      <c r="IW60" s="1153"/>
      <c r="IX60" s="1153"/>
      <c r="IY60" s="1153" t="str">
        <f>IF($AI60,IF(LARGE($AG$41:$AH$107,IY$40)=$AG60,$AC60,""),"")</f>
        <v/>
      </c>
      <c r="IZ60" s="1153"/>
      <c r="JA60" s="1153"/>
      <c r="JB60" s="1153"/>
      <c r="JC60" s="1153" t="str">
        <f>IF($AI60,IF(LARGE($AG$41:$AH$107,JC$40)=$AG60,$AC60,""),"")</f>
        <v/>
      </c>
      <c r="JD60" s="1153"/>
      <c r="JE60" s="1153"/>
      <c r="JF60" s="1153"/>
      <c r="JG60" s="1153" t="str">
        <f>IF($AI60,IF(LARGE($AG$41:$AH$107,JG$40)=$AG60,$AC60,""),"")</f>
        <v/>
      </c>
      <c r="JH60" s="1153"/>
      <c r="JI60" s="1153"/>
      <c r="JJ60" s="1153"/>
      <c r="JK60" s="1153" t="str">
        <f>IF($AI60,IF(LARGE($AG$41:$AH$107,JK$40)=$AG60,$AC60,""),"")</f>
        <v/>
      </c>
      <c r="JL60" s="1153"/>
      <c r="JM60" s="1153"/>
      <c r="JN60" s="1153"/>
      <c r="JO60" s="1153" t="str">
        <f>IF($AI60,IF(LARGE($AG$41:$AH$107,JO$40)=$AG60,$AC60,""),"")</f>
        <v/>
      </c>
      <c r="JP60" s="1153"/>
      <c r="JQ60" s="1153"/>
      <c r="JR60" s="1153"/>
      <c r="JS60" s="1153" t="str">
        <f>IF($AI60,IF(LARGE($AG$41:$AH$107,JS$40)=$AG60,$AC60,""),"")</f>
        <v/>
      </c>
      <c r="JT60" s="1153"/>
      <c r="JU60" s="1153"/>
      <c r="JV60" s="1153"/>
      <c r="JW60" s="1153" t="str">
        <f>IF($AI60,IF(LARGE($AG$41:$AH$107,JW$40)=$AG60,$AC60,""),"")</f>
        <v/>
      </c>
      <c r="JX60" s="1153"/>
      <c r="JY60" s="1153"/>
      <c r="JZ60" s="1153"/>
      <c r="KA60" s="1153" t="str">
        <f>IF($AI60,IF(LARGE($AG$41:$AH$107,KA$40)=$AG60,$AC60,""),"")</f>
        <v/>
      </c>
      <c r="KB60" s="1153"/>
      <c r="KC60" s="1153"/>
      <c r="KD60" s="1153"/>
      <c r="KE60" s="1153" t="str">
        <f>IF($AI60,IF(LARGE($AG$41:$AH$107,KE$40)=$AG60,$AC60,""),"")</f>
        <v/>
      </c>
      <c r="KF60" s="1153"/>
      <c r="KG60" s="1153"/>
      <c r="KH60" s="1153"/>
      <c r="KI60" s="1153" t="str">
        <f>IF($AI60,IF(LARGE($AG$41:$AH$107,KI$40)=$AG60,$AC60,""),"")</f>
        <v/>
      </c>
      <c r="KJ60" s="1153"/>
      <c r="KK60" s="1153"/>
      <c r="KL60" s="1153"/>
      <c r="KM60" s="1153" t="str">
        <f>IF($AI60,IF(LARGE($AG$41:$AH$107,KM$40)=$AG60,$AC60,""),"")</f>
        <v/>
      </c>
      <c r="KN60" s="1153"/>
      <c r="KO60" s="1153"/>
      <c r="KP60" s="1153"/>
      <c r="KQ60" s="1153" t="str">
        <f>IF($AI60,IF(LARGE($AG$41:$AH$107,KQ$40)=$AG60,$AC60,""),"")</f>
        <v/>
      </c>
      <c r="KR60" s="1153"/>
      <c r="KS60" s="1153"/>
      <c r="KT60" s="1153"/>
    </row>
    <row r="61" spans="8:8">
      <c r="C61" s="1153" t="str">
        <f>IF(F25="","",CONCATENATE(" ",C25,F25,H25))</f>
        <v> 🔅格斗②</v>
      </c>
      <c r="D61" s="1153"/>
      <c r="E61" s="1153"/>
      <c r="F61" s="1153"/>
      <c r="G61" s="1155" t="str">
        <f>IF(AND(L25=0,N25=0),"",IF(ISNONTEXT(D25),"",R25))</f>
        <v/>
      </c>
      <c r="H61" s="1155"/>
      <c r="I61" s="1153" t="str">
        <f>IF(G61=$G$40,C61,"")</f>
        <v/>
      </c>
      <c r="J61" s="1153"/>
      <c r="K61" s="1153"/>
      <c r="L61" s="1153"/>
      <c r="M61" s="1154">
        <f>IF(AND(NOT(N25=0),ISNONTEXT(D25)),1,0)</f>
        <v>0.0</v>
      </c>
      <c r="N61" s="1122"/>
      <c r="O61" s="1122"/>
      <c r="P61" s="1153" t="str">
        <f>IF(F25="","",CONCATENATE(" ",C25,F25,H25))</f>
        <v> 🔅格斗②</v>
      </c>
      <c r="Q61" s="1153"/>
      <c r="R61" s="1153"/>
      <c r="S61" s="1153"/>
      <c r="T61" s="1155" t="str">
        <f>IF(AND(L25=0,P25=0),"",IF(ISNONTEXT(D25),R25,""))</f>
        <v/>
      </c>
      <c r="U61" s="1155"/>
      <c r="V61" s="1153" t="str">
        <f>IF(T61=$T$40,P61,"")</f>
        <v/>
      </c>
      <c r="W61" s="1153"/>
      <c r="X61" s="1153"/>
      <c r="Y61" s="1153"/>
      <c r="AB61" s="1122"/>
      <c r="AC61" s="1153" t="str">
        <f>IF(F25="","",CONCATENATE(C25,F25,H25))</f>
        <v>🔅格斗②</v>
      </c>
      <c r="AD61" s="1153"/>
      <c r="AE61" s="1153"/>
      <c r="AF61" s="1153"/>
      <c r="AG61" s="1155">
        <f>R25</f>
        <v>0.0</v>
      </c>
      <c r="AH61" s="1155"/>
      <c r="AI61" s="1153" t="b">
        <f>IF(AND(OR(ISNUMBER(L25),ISNUMBER(N25),ISNUMBER(P25)),OR(L25&gt;0,N25&gt;0,P25&gt;0)),TRUE,FALSE)</f>
        <v>0</v>
      </c>
      <c r="AJ61" s="1153"/>
      <c r="AK61" s="1153"/>
      <c r="AL61" s="1153"/>
      <c r="AM61" s="1153" t="str">
        <f>IF($AI61,IF(LARGE($AG$41:$AH$107,AM$40)=$AG61,$AC61,""),"")</f>
        <v/>
      </c>
      <c r="AN61" s="1153"/>
      <c r="AO61" s="1153"/>
      <c r="AP61" s="1153"/>
      <c r="AQ61" s="1153" t="str">
        <f>IF($AI61,IF(LARGE($AG$41:$AH$107,AQ$40)=$AG61,$AC61,""),"")</f>
        <v/>
      </c>
      <c r="AR61" s="1153"/>
      <c r="AS61" s="1153"/>
      <c r="AT61" s="1153"/>
      <c r="AU61" s="1153" t="str">
        <f>IF($AI61,IF(LARGE($AG$41:$AH$107,AU$40)=$AG61,$AC61,""),"")</f>
        <v/>
      </c>
      <c r="AV61" s="1153"/>
      <c r="AW61" s="1153"/>
      <c r="AX61" s="1153"/>
      <c r="AY61" s="1153" t="str">
        <f>IF($AI61,IF(LARGE($AG$41:$AH$107,AY$40)=$AG61,$AC61,""),"")</f>
        <v/>
      </c>
      <c r="AZ61" s="1153"/>
      <c r="BA61" s="1153"/>
      <c r="BB61" s="1153"/>
      <c r="BC61" s="1153" t="str">
        <f>IF($AI61,IF(LARGE($AG$41:$AH$107,BC$40)=$AG61,$AC61,""),"")</f>
        <v/>
      </c>
      <c r="BD61" s="1153"/>
      <c r="BE61" s="1153"/>
      <c r="BF61" s="1153"/>
      <c r="BG61" s="1153" t="str">
        <f>IF($AI61,IF(LARGE($AG$41:$AH$107,BG$40)=$AG61,$AC61,""),"")</f>
        <v/>
      </c>
      <c r="BH61" s="1153"/>
      <c r="BI61" s="1153"/>
      <c r="BJ61" s="1153"/>
      <c r="BK61" s="1153" t="str">
        <f>IF($AI61,IF(LARGE($AG$41:$AH$107,BK$40)=$AG61,$AC61,""),"")</f>
        <v/>
      </c>
      <c r="BL61" s="1153"/>
      <c r="BM61" s="1153"/>
      <c r="BN61" s="1153"/>
      <c r="BO61" s="1153" t="str">
        <f>IF($AI61,IF(LARGE($AG$41:$AH$107,BO$40)=$AG61,$AC61,""),"")</f>
        <v/>
      </c>
      <c r="BP61" s="1153"/>
      <c r="BQ61" s="1153"/>
      <c r="BR61" s="1153"/>
      <c r="BS61" s="1153" t="str">
        <f>IF($AI61,IF(LARGE($AG$41:$AH$107,BS$40)=$AG61,$AC61,""),"")</f>
        <v/>
      </c>
      <c r="BT61" s="1153"/>
      <c r="BU61" s="1153"/>
      <c r="BV61" s="1153"/>
      <c r="BW61" s="1153" t="str">
        <f>IF($AI61,IF(LARGE($AG$41:$AH$107,BW$40)=$AG61,$AC61,""),"")</f>
        <v/>
      </c>
      <c r="BX61" s="1153"/>
      <c r="BY61" s="1153"/>
      <c r="BZ61" s="1153"/>
      <c r="CA61" s="1153" t="str">
        <f>IF($AI61,IF(LARGE($AG$41:$AH$107,CA$40)=$AG61,$AC61,""),"")</f>
        <v/>
      </c>
      <c r="CB61" s="1153"/>
      <c r="CC61" s="1153"/>
      <c r="CD61" s="1153"/>
      <c r="CE61" s="1153" t="str">
        <f>IF($AI61,IF(LARGE($AG$41:$AH$107,CE$40)=$AG61,$AC61,""),"")</f>
        <v/>
      </c>
      <c r="CF61" s="1153"/>
      <c r="CG61" s="1153"/>
      <c r="CH61" s="1153"/>
      <c r="CI61" s="1153" t="str">
        <f>IF($AI61,IF(LARGE($AG$41:$AH$107,CI$40)=$AG61,$AC61,""),"")</f>
        <v/>
      </c>
      <c r="CJ61" s="1153"/>
      <c r="CK61" s="1153"/>
      <c r="CL61" s="1153"/>
      <c r="CM61" s="1153" t="str">
        <f>IF($AI61,IF(LARGE($AG$41:$AH$107,CM$40)=$AG61,$AC61,""),"")</f>
        <v/>
      </c>
      <c r="CN61" s="1153"/>
      <c r="CO61" s="1153"/>
      <c r="CP61" s="1153"/>
      <c r="CQ61" s="1153" t="str">
        <f>IF($AI61,IF(LARGE($AG$41:$AH$107,CQ$40)=$AG61,$AC61,""),"")</f>
        <v/>
      </c>
      <c r="CR61" s="1153"/>
      <c r="CS61" s="1153"/>
      <c r="CT61" s="1153"/>
      <c r="CU61" s="1153" t="str">
        <f>IF($AI61,IF(LARGE($AG$41:$AH$107,CU$40)=$AG61,$AC61,""),"")</f>
        <v/>
      </c>
      <c r="CV61" s="1153"/>
      <c r="CW61" s="1153"/>
      <c r="CX61" s="1153"/>
      <c r="CY61" s="1153" t="str">
        <f>IF($AI61,IF(LARGE($AG$41:$AH$107,CY$40)=$AG61,$AC61,""),"")</f>
        <v/>
      </c>
      <c r="CZ61" s="1153"/>
      <c r="DA61" s="1153"/>
      <c r="DB61" s="1153"/>
      <c r="DC61" s="1153" t="str">
        <f>IF($AI61,IF(LARGE($AG$41:$AH$107,DC$40)=$AG61,$AC61,""),"")</f>
        <v/>
      </c>
      <c r="DD61" s="1153"/>
      <c r="DE61" s="1153"/>
      <c r="DF61" s="1153"/>
      <c r="DG61" s="1153" t="str">
        <f>IF($AI61,IF(LARGE($AG$41:$AH$107,DG$40)=$AG61,$AC61,""),"")</f>
        <v/>
      </c>
      <c r="DH61" s="1153"/>
      <c r="DI61" s="1153"/>
      <c r="DJ61" s="1153"/>
      <c r="DK61" s="1153" t="str">
        <f>IF($AI61,IF(LARGE($AG$41:$AH$107,DK$40)=$AG61,$AC61,""),"")</f>
        <v/>
      </c>
      <c r="DL61" s="1153"/>
      <c r="DM61" s="1153"/>
      <c r="DN61" s="1153"/>
      <c r="DO61" s="1153" t="str">
        <f>IF($AI61,IF(LARGE($AG$41:$AH$107,DO$40)=$AG61,$AC61,""),"")</f>
        <v/>
      </c>
      <c r="DP61" s="1153"/>
      <c r="DQ61" s="1153"/>
      <c r="DR61" s="1153"/>
      <c r="DS61" s="1153" t="str">
        <f>IF($AI61,IF(LARGE($AG$41:$AH$107,DS$40)=$AG61,$AC61,""),"")</f>
        <v/>
      </c>
      <c r="DT61" s="1153"/>
      <c r="DU61" s="1153"/>
      <c r="DV61" s="1153"/>
      <c r="DW61" s="1153" t="str">
        <f>IF($AI61,IF(LARGE($AG$41:$AH$107,DW$40)=$AG61,$AC61,""),"")</f>
        <v/>
      </c>
      <c r="DX61" s="1153"/>
      <c r="DY61" s="1153"/>
      <c r="DZ61" s="1153"/>
      <c r="EA61" s="1153" t="str">
        <f>IF($AI61,IF(LARGE($AG$41:$AH$107,EA$40)=$AG61,$AC61,""),"")</f>
        <v/>
      </c>
      <c r="EB61" s="1153"/>
      <c r="EC61" s="1153"/>
      <c r="ED61" s="1153"/>
      <c r="EE61" s="1153" t="str">
        <f>IF($AI61,IF(LARGE($AG$41:$AH$107,EE$40)=$AG61,$AC61,""),"")</f>
        <v/>
      </c>
      <c r="EF61" s="1153"/>
      <c r="EG61" s="1153"/>
      <c r="EH61" s="1153"/>
      <c r="EI61" s="1153" t="str">
        <f>IF($AI61,IF(LARGE($AG$41:$AH$107,EI$40)=$AG61,$AC61,""),"")</f>
        <v/>
      </c>
      <c r="EJ61" s="1153"/>
      <c r="EK61" s="1153"/>
      <c r="EL61" s="1153"/>
      <c r="EM61" s="1153" t="str">
        <f>IF($AI61,IF(LARGE($AG$41:$AH$107,EM$40)=$AG61,$AC61,""),"")</f>
        <v/>
      </c>
      <c r="EN61" s="1153"/>
      <c r="EO61" s="1153"/>
      <c r="EP61" s="1153"/>
      <c r="EQ61" s="1153" t="str">
        <f>IF($AI61,IF(LARGE($AG$41:$AH$107,EQ$40)=$AG61,$AC61,""),"")</f>
        <v/>
      </c>
      <c r="ER61" s="1153"/>
      <c r="ES61" s="1153"/>
      <c r="ET61" s="1153"/>
      <c r="EU61" s="1153" t="str">
        <f>IF($AI61,IF(LARGE($AG$41:$AH$107,EU$40)=$AG61,$AC61,""),"")</f>
        <v/>
      </c>
      <c r="EV61" s="1153"/>
      <c r="EW61" s="1153"/>
      <c r="EX61" s="1153"/>
      <c r="EY61" s="1153" t="str">
        <f>IF($AI61,IF(LARGE($AG$41:$AH$107,EY$40)=$AG61,$AC61,""),"")</f>
        <v/>
      </c>
      <c r="EZ61" s="1153"/>
      <c r="FA61" s="1153"/>
      <c r="FB61" s="1153"/>
      <c r="FC61" s="1153" t="str">
        <f>IF($AI61,IF(LARGE($AG$41:$AH$107,FC$40)=$AG61,$AC61,""),"")</f>
        <v/>
      </c>
      <c r="FD61" s="1153"/>
      <c r="FE61" s="1153"/>
      <c r="FF61" s="1153"/>
      <c r="FG61" s="1153" t="str">
        <f>IF($AI61,IF(LARGE($AG$41:$AH$107,FG$40)=$AG61,$AC61,""),"")</f>
        <v/>
      </c>
      <c r="FH61" s="1153"/>
      <c r="FI61" s="1153"/>
      <c r="FJ61" s="1153"/>
      <c r="FK61" s="1153" t="str">
        <f>IF($AI61,IF(LARGE($AG$41:$AH$107,FK$40)=$AG61,$AC61,""),"")</f>
        <v/>
      </c>
      <c r="FL61" s="1153"/>
      <c r="FM61" s="1153"/>
      <c r="FN61" s="1153"/>
      <c r="FO61" s="1153" t="str">
        <f>IF($AI61,IF(LARGE($AG$41:$AH$107,FO$40)=$AG61,$AC61,""),"")</f>
        <v/>
      </c>
      <c r="FP61" s="1153"/>
      <c r="FQ61" s="1153"/>
      <c r="FR61" s="1153"/>
      <c r="FS61" s="1153" t="str">
        <f>IF($AI61,IF(LARGE($AG$41:$AH$107,FS$40)=$AG61,$AC61,""),"")</f>
        <v/>
      </c>
      <c r="FT61" s="1153"/>
      <c r="FU61" s="1153"/>
      <c r="FV61" s="1153"/>
      <c r="FW61" s="1153" t="str">
        <f>IF($AI61,IF(LARGE($AG$41:$AH$107,FW$40)=$AG61,$AC61,""),"")</f>
        <v/>
      </c>
      <c r="FX61" s="1153"/>
      <c r="FY61" s="1153"/>
      <c r="FZ61" s="1153"/>
      <c r="GA61" s="1153" t="str">
        <f>IF($AI61,IF(LARGE($AG$41:$AH$107,GA$40)=$AG61,$AC61,""),"")</f>
        <v/>
      </c>
      <c r="GB61" s="1153"/>
      <c r="GC61" s="1153"/>
      <c r="GD61" s="1153"/>
      <c r="GE61" s="1153" t="str">
        <f>IF($AI61,IF(LARGE($AG$41:$AH$107,GE$40)=$AG61,$AC61,""),"")</f>
        <v/>
      </c>
      <c r="GF61" s="1153"/>
      <c r="GG61" s="1153"/>
      <c r="GH61" s="1153"/>
      <c r="GI61" s="1153" t="str">
        <f>IF($AI61,IF(LARGE($AG$41:$AH$107,GI$40)=$AG61,$AC61,""),"")</f>
        <v/>
      </c>
      <c r="GJ61" s="1153"/>
      <c r="GK61" s="1153"/>
      <c r="GL61" s="1153"/>
      <c r="GM61" s="1153" t="str">
        <f>IF($AI61,IF(LARGE($AG$41:$AH$107,GM$40)=$AG61,$AC61,""),"")</f>
        <v/>
      </c>
      <c r="GN61" s="1153"/>
      <c r="GO61" s="1153"/>
      <c r="GP61" s="1153"/>
      <c r="GQ61" s="1153" t="str">
        <f>IF($AI61,IF(LARGE($AG$41:$AH$107,GQ$40)=$AG61,$AC61,""),"")</f>
        <v/>
      </c>
      <c r="GR61" s="1153"/>
      <c r="GS61" s="1153"/>
      <c r="GT61" s="1153"/>
      <c r="GU61" s="1153" t="str">
        <f>IF($AI61,IF(LARGE($AG$41:$AH$107,GU$40)=$AG61,$AC61,""),"")</f>
        <v/>
      </c>
      <c r="GV61" s="1153"/>
      <c r="GW61" s="1153"/>
      <c r="GX61" s="1153"/>
      <c r="GY61" s="1153" t="str">
        <f>IF($AI61,IF(LARGE($AG$41:$AH$107,GY$40)=$AG61,$AC61,""),"")</f>
        <v/>
      </c>
      <c r="GZ61" s="1153"/>
      <c r="HA61" s="1153"/>
      <c r="HB61" s="1153"/>
      <c r="HC61" s="1153" t="str">
        <f>IF($AI61,IF(LARGE($AG$41:$AH$107,HC$40)=$AG61,$AC61,""),"")</f>
        <v/>
      </c>
      <c r="HD61" s="1153"/>
      <c r="HE61" s="1153"/>
      <c r="HF61" s="1153"/>
      <c r="HG61" s="1153" t="str">
        <f>IF($AI61,IF(LARGE($AG$41:$AH$107,HG$40)=$AG61,$AC61,""),"")</f>
        <v/>
      </c>
      <c r="HH61" s="1153"/>
      <c r="HI61" s="1153"/>
      <c r="HJ61" s="1153"/>
      <c r="HK61" s="1153" t="str">
        <f>IF($AI61,IF(LARGE($AG$41:$AH$107,HK$40)=$AG61,$AC61,""),"")</f>
        <v/>
      </c>
      <c r="HL61" s="1153"/>
      <c r="HM61" s="1153"/>
      <c r="HN61" s="1153"/>
      <c r="HO61" s="1153" t="str">
        <f>IF($AI61,IF(LARGE($AG$41:$AH$107,HO$40)=$AG61,$AC61,""),"")</f>
        <v/>
      </c>
      <c r="HP61" s="1153"/>
      <c r="HQ61" s="1153"/>
      <c r="HR61" s="1153"/>
      <c r="HS61" s="1153" t="str">
        <f>IF($AI61,IF(LARGE($AG$41:$AH$107,HS$40)=$AG61,$AC61,""),"")</f>
        <v/>
      </c>
      <c r="HT61" s="1153"/>
      <c r="HU61" s="1153"/>
      <c r="HV61" s="1153"/>
      <c r="HW61" s="1153" t="str">
        <f>IF($AI61,IF(LARGE($AG$41:$AH$107,HW$40)=$AG61,$AC61,""),"")</f>
        <v/>
      </c>
      <c r="HX61" s="1153"/>
      <c r="HY61" s="1153"/>
      <c r="HZ61" s="1153"/>
      <c r="IA61" s="1153" t="str">
        <f>IF($AI61,IF(LARGE($AG$41:$AH$107,IA$40)=$AG61,$AC61,""),"")</f>
        <v/>
      </c>
      <c r="IB61" s="1153"/>
      <c r="IC61" s="1153"/>
      <c r="ID61" s="1153"/>
      <c r="IE61" s="1153" t="str">
        <f>IF($AI61,IF(LARGE($AG$41:$AH$107,IE$40)=$AG61,$AC61,""),"")</f>
        <v/>
      </c>
      <c r="IF61" s="1153"/>
      <c r="IG61" s="1153"/>
      <c r="IH61" s="1153"/>
      <c r="II61" s="1153" t="str">
        <f>IF($AI61,IF(LARGE($AG$41:$AH$107,II$40)=$AG61,$AC61,""),"")</f>
        <v/>
      </c>
      <c r="IJ61" s="1153"/>
      <c r="IK61" s="1153"/>
      <c r="IL61" s="1153"/>
      <c r="IM61" s="1153" t="str">
        <f>IF($AI61,IF(LARGE($AG$41:$AH$107,IM$40)=$AG61,$AC61,""),"")</f>
        <v/>
      </c>
      <c r="IN61" s="1153"/>
      <c r="IO61" s="1153"/>
      <c r="IP61" s="1153"/>
      <c r="IQ61" s="1153" t="str">
        <f>IF($AI61,IF(LARGE($AG$41:$AH$107,IQ$40)=$AG61,$AC61,""),"")</f>
        <v/>
      </c>
      <c r="IR61" s="1153"/>
      <c r="IS61" s="1153"/>
      <c r="IT61" s="1153"/>
      <c r="IU61" s="1153" t="str">
        <f>IF($AI61,IF(LARGE($AG$41:$AH$107,IU$40)=$AG61,$AC61,""),"")</f>
        <v/>
      </c>
      <c r="IV61" s="1153"/>
      <c r="IW61" s="1153"/>
      <c r="IX61" s="1153"/>
      <c r="IY61" s="1153" t="str">
        <f>IF($AI61,IF(LARGE($AG$41:$AH$107,IY$40)=$AG61,$AC61,""),"")</f>
        <v/>
      </c>
      <c r="IZ61" s="1153"/>
      <c r="JA61" s="1153"/>
      <c r="JB61" s="1153"/>
      <c r="JC61" s="1153" t="str">
        <f>IF($AI61,IF(LARGE($AG$41:$AH$107,JC$40)=$AG61,$AC61,""),"")</f>
        <v/>
      </c>
      <c r="JD61" s="1153"/>
      <c r="JE61" s="1153"/>
      <c r="JF61" s="1153"/>
      <c r="JG61" s="1153" t="str">
        <f>IF($AI61,IF(LARGE($AG$41:$AH$107,JG$40)=$AG61,$AC61,""),"")</f>
        <v/>
      </c>
      <c r="JH61" s="1153"/>
      <c r="JI61" s="1153"/>
      <c r="JJ61" s="1153"/>
      <c r="JK61" s="1153" t="str">
        <f>IF($AI61,IF(LARGE($AG$41:$AH$107,JK$40)=$AG61,$AC61,""),"")</f>
        <v/>
      </c>
      <c r="JL61" s="1153"/>
      <c r="JM61" s="1153"/>
      <c r="JN61" s="1153"/>
      <c r="JO61" s="1153" t="str">
        <f>IF($AI61,IF(LARGE($AG$41:$AH$107,JO$40)=$AG61,$AC61,""),"")</f>
        <v/>
      </c>
      <c r="JP61" s="1153"/>
      <c r="JQ61" s="1153"/>
      <c r="JR61" s="1153"/>
      <c r="JS61" s="1153" t="str">
        <f>IF($AI61,IF(LARGE($AG$41:$AH$107,JS$40)=$AG61,$AC61,""),"")</f>
        <v/>
      </c>
      <c r="JT61" s="1153"/>
      <c r="JU61" s="1153"/>
      <c r="JV61" s="1153"/>
      <c r="JW61" s="1153" t="str">
        <f>IF($AI61,IF(LARGE($AG$41:$AH$107,JW$40)=$AG61,$AC61,""),"")</f>
        <v/>
      </c>
      <c r="JX61" s="1153"/>
      <c r="JY61" s="1153"/>
      <c r="JZ61" s="1153"/>
      <c r="KA61" s="1153" t="str">
        <f>IF($AI61,IF(LARGE($AG$41:$AH$107,KA$40)=$AG61,$AC61,""),"")</f>
        <v/>
      </c>
      <c r="KB61" s="1153"/>
      <c r="KC61" s="1153"/>
      <c r="KD61" s="1153"/>
      <c r="KE61" s="1153" t="str">
        <f>IF($AI61,IF(LARGE($AG$41:$AH$107,KE$40)=$AG61,$AC61,""),"")</f>
        <v/>
      </c>
      <c r="KF61" s="1153"/>
      <c r="KG61" s="1153"/>
      <c r="KH61" s="1153"/>
      <c r="KI61" s="1153" t="str">
        <f>IF($AI61,IF(LARGE($AG$41:$AH$107,KI$40)=$AG61,$AC61,""),"")</f>
        <v/>
      </c>
      <c r="KJ61" s="1153"/>
      <c r="KK61" s="1153"/>
      <c r="KL61" s="1153"/>
      <c r="KM61" s="1153" t="str">
        <f>IF($AI61,IF(LARGE($AG$41:$AH$107,KM$40)=$AG61,$AC61,""),"")</f>
        <v/>
      </c>
      <c r="KN61" s="1153"/>
      <c r="KO61" s="1153"/>
      <c r="KP61" s="1153"/>
      <c r="KQ61" s="1153" t="str">
        <f>IF($AI61,IF(LARGE($AG$41:$AH$107,KQ$40)=$AG61,$AC61,""),"")</f>
        <v/>
      </c>
      <c r="KR61" s="1153"/>
      <c r="KS61" s="1153"/>
      <c r="KT61" s="1153"/>
    </row>
    <row r="62" spans="8:8">
      <c r="C62" s="1153" t="str">
        <f>IF(F26="","",CONCATENATE(" ",C26,F26,H26))</f>
        <v> 🔅格斗③</v>
      </c>
      <c r="D62" s="1153"/>
      <c r="E62" s="1153"/>
      <c r="F62" s="1153"/>
      <c r="G62" s="1155" t="str">
        <f>IF(AND(L26=0,N26=0),"",IF(ISNONTEXT(D26),"",R26))</f>
        <v/>
      </c>
      <c r="H62" s="1155"/>
      <c r="I62" s="1153" t="str">
        <f>IF(G62=$G$40,C62,"")</f>
        <v/>
      </c>
      <c r="J62" s="1153"/>
      <c r="K62" s="1153"/>
      <c r="L62" s="1153"/>
      <c r="M62" s="1154">
        <f>IF(AND(NOT(N26=0),ISNONTEXT(D26)),1,0)</f>
        <v>0.0</v>
      </c>
      <c r="N62" s="1122"/>
      <c r="O62" s="1122"/>
      <c r="P62" s="1153" t="str">
        <f>IF(F26="","",CONCATENATE(" ",C26,F26,H26))</f>
        <v> 🔅格斗③</v>
      </c>
      <c r="Q62" s="1153"/>
      <c r="R62" s="1153"/>
      <c r="S62" s="1153"/>
      <c r="T62" s="1155" t="str">
        <f>IF(AND(L26=0,P26=0),"",IF(ISNONTEXT(D26),R26,""))</f>
        <v/>
      </c>
      <c r="U62" s="1155"/>
      <c r="V62" s="1153" t="str">
        <f>IF(T62=$T$40,P62,"")</f>
        <v/>
      </c>
      <c r="W62" s="1153"/>
      <c r="X62" s="1153"/>
      <c r="Y62" s="1153"/>
      <c r="AB62" s="1122"/>
      <c r="AC62" s="1153" t="str">
        <f>IF(F26="","",CONCATENATE(C26,F26,H26))</f>
        <v>🔅格斗③</v>
      </c>
      <c r="AD62" s="1153"/>
      <c r="AE62" s="1153"/>
      <c r="AF62" s="1153"/>
      <c r="AG62" s="1155">
        <f>R26</f>
        <v>0.0</v>
      </c>
      <c r="AH62" s="1155"/>
      <c r="AI62" s="1153" t="b">
        <f>IF(AND(OR(ISNUMBER(L26),ISNUMBER(N26),ISNUMBER(P26)),OR(L26&gt;0,N26&gt;0,P26&gt;0)),TRUE,FALSE)</f>
        <v>0</v>
      </c>
      <c r="AJ62" s="1153"/>
      <c r="AK62" s="1153"/>
      <c r="AL62" s="1153"/>
      <c r="AM62" s="1153" t="str">
        <f>IF($AI62,IF(LARGE($AG$41:$AH$107,AM$40)=$AG62,$AC62,""),"")</f>
        <v/>
      </c>
      <c r="AN62" s="1153"/>
      <c r="AO62" s="1153"/>
      <c r="AP62" s="1153"/>
      <c r="AQ62" s="1153" t="str">
        <f>IF($AI62,IF(LARGE($AG$41:$AH$107,AQ$40)=$AG62,$AC62,""),"")</f>
        <v/>
      </c>
      <c r="AR62" s="1153"/>
      <c r="AS62" s="1153"/>
      <c r="AT62" s="1153"/>
      <c r="AU62" s="1153" t="str">
        <f>IF($AI62,IF(LARGE($AG$41:$AH$107,AU$40)=$AG62,$AC62,""),"")</f>
        <v/>
      </c>
      <c r="AV62" s="1153"/>
      <c r="AW62" s="1153"/>
      <c r="AX62" s="1153"/>
      <c r="AY62" s="1153" t="str">
        <f>IF($AI62,IF(LARGE($AG$41:$AH$107,AY$40)=$AG62,$AC62,""),"")</f>
        <v/>
      </c>
      <c r="AZ62" s="1153"/>
      <c r="BA62" s="1153"/>
      <c r="BB62" s="1153"/>
      <c r="BC62" s="1153" t="str">
        <f>IF($AI62,IF(LARGE($AG$41:$AH$107,BC$40)=$AG62,$AC62,""),"")</f>
        <v/>
      </c>
      <c r="BD62" s="1153"/>
      <c r="BE62" s="1153"/>
      <c r="BF62" s="1153"/>
      <c r="BG62" s="1153" t="str">
        <f>IF($AI62,IF(LARGE($AG$41:$AH$107,BG$40)=$AG62,$AC62,""),"")</f>
        <v/>
      </c>
      <c r="BH62" s="1153"/>
      <c r="BI62" s="1153"/>
      <c r="BJ62" s="1153"/>
      <c r="BK62" s="1153" t="str">
        <f>IF($AI62,IF(LARGE($AG$41:$AH$107,BK$40)=$AG62,$AC62,""),"")</f>
        <v/>
      </c>
      <c r="BL62" s="1153"/>
      <c r="BM62" s="1153"/>
      <c r="BN62" s="1153"/>
      <c r="BO62" s="1153" t="str">
        <f>IF($AI62,IF(LARGE($AG$41:$AH$107,BO$40)=$AG62,$AC62,""),"")</f>
        <v/>
      </c>
      <c r="BP62" s="1153"/>
      <c r="BQ62" s="1153"/>
      <c r="BR62" s="1153"/>
      <c r="BS62" s="1153" t="str">
        <f>IF($AI62,IF(LARGE($AG$41:$AH$107,BS$40)=$AG62,$AC62,""),"")</f>
        <v/>
      </c>
      <c r="BT62" s="1153"/>
      <c r="BU62" s="1153"/>
      <c r="BV62" s="1153"/>
      <c r="BW62" s="1153" t="str">
        <f>IF($AI62,IF(LARGE($AG$41:$AH$107,BW$40)=$AG62,$AC62,""),"")</f>
        <v/>
      </c>
      <c r="BX62" s="1153"/>
      <c r="BY62" s="1153"/>
      <c r="BZ62" s="1153"/>
      <c r="CA62" s="1153" t="str">
        <f>IF($AI62,IF(LARGE($AG$41:$AH$107,CA$40)=$AG62,$AC62,""),"")</f>
        <v/>
      </c>
      <c r="CB62" s="1153"/>
      <c r="CC62" s="1153"/>
      <c r="CD62" s="1153"/>
      <c r="CE62" s="1153" t="str">
        <f>IF($AI62,IF(LARGE($AG$41:$AH$107,CE$40)=$AG62,$AC62,""),"")</f>
        <v/>
      </c>
      <c r="CF62" s="1153"/>
      <c r="CG62" s="1153"/>
      <c r="CH62" s="1153"/>
      <c r="CI62" s="1153" t="str">
        <f>IF($AI62,IF(LARGE($AG$41:$AH$107,CI$40)=$AG62,$AC62,""),"")</f>
        <v/>
      </c>
      <c r="CJ62" s="1153"/>
      <c r="CK62" s="1153"/>
      <c r="CL62" s="1153"/>
      <c r="CM62" s="1153" t="str">
        <f>IF($AI62,IF(LARGE($AG$41:$AH$107,CM$40)=$AG62,$AC62,""),"")</f>
        <v/>
      </c>
      <c r="CN62" s="1153"/>
      <c r="CO62" s="1153"/>
      <c r="CP62" s="1153"/>
      <c r="CQ62" s="1153" t="str">
        <f>IF($AI62,IF(LARGE($AG$41:$AH$107,CQ$40)=$AG62,$AC62,""),"")</f>
        <v/>
      </c>
      <c r="CR62" s="1153"/>
      <c r="CS62" s="1153"/>
      <c r="CT62" s="1153"/>
      <c r="CU62" s="1153" t="str">
        <f>IF($AI62,IF(LARGE($AG$41:$AH$107,CU$40)=$AG62,$AC62,""),"")</f>
        <v/>
      </c>
      <c r="CV62" s="1153"/>
      <c r="CW62" s="1153"/>
      <c r="CX62" s="1153"/>
      <c r="CY62" s="1153" t="str">
        <f>IF($AI62,IF(LARGE($AG$41:$AH$107,CY$40)=$AG62,$AC62,""),"")</f>
        <v/>
      </c>
      <c r="CZ62" s="1153"/>
      <c r="DA62" s="1153"/>
      <c r="DB62" s="1153"/>
      <c r="DC62" s="1153" t="str">
        <f>IF($AI62,IF(LARGE($AG$41:$AH$107,DC$40)=$AG62,$AC62,""),"")</f>
        <v/>
      </c>
      <c r="DD62" s="1153"/>
      <c r="DE62" s="1153"/>
      <c r="DF62" s="1153"/>
      <c r="DG62" s="1153" t="str">
        <f>IF($AI62,IF(LARGE($AG$41:$AH$107,DG$40)=$AG62,$AC62,""),"")</f>
        <v/>
      </c>
      <c r="DH62" s="1153"/>
      <c r="DI62" s="1153"/>
      <c r="DJ62" s="1153"/>
      <c r="DK62" s="1153" t="str">
        <f>IF($AI62,IF(LARGE($AG$41:$AH$107,DK$40)=$AG62,$AC62,""),"")</f>
        <v/>
      </c>
      <c r="DL62" s="1153"/>
      <c r="DM62" s="1153"/>
      <c r="DN62" s="1153"/>
      <c r="DO62" s="1153" t="str">
        <f>IF($AI62,IF(LARGE($AG$41:$AH$107,DO$40)=$AG62,$AC62,""),"")</f>
        <v/>
      </c>
      <c r="DP62" s="1153"/>
      <c r="DQ62" s="1153"/>
      <c r="DR62" s="1153"/>
      <c r="DS62" s="1153" t="str">
        <f>IF($AI62,IF(LARGE($AG$41:$AH$107,DS$40)=$AG62,$AC62,""),"")</f>
        <v/>
      </c>
      <c r="DT62" s="1153"/>
      <c r="DU62" s="1153"/>
      <c r="DV62" s="1153"/>
      <c r="DW62" s="1153" t="str">
        <f>IF($AI62,IF(LARGE($AG$41:$AH$107,DW$40)=$AG62,$AC62,""),"")</f>
        <v/>
      </c>
      <c r="DX62" s="1153"/>
      <c r="DY62" s="1153"/>
      <c r="DZ62" s="1153"/>
      <c r="EA62" s="1153" t="str">
        <f>IF($AI62,IF(LARGE($AG$41:$AH$107,EA$40)=$AG62,$AC62,""),"")</f>
        <v/>
      </c>
      <c r="EB62" s="1153"/>
      <c r="EC62" s="1153"/>
      <c r="ED62" s="1153"/>
      <c r="EE62" s="1153" t="str">
        <f>IF($AI62,IF(LARGE($AG$41:$AH$107,EE$40)=$AG62,$AC62,""),"")</f>
        <v/>
      </c>
      <c r="EF62" s="1153"/>
      <c r="EG62" s="1153"/>
      <c r="EH62" s="1153"/>
      <c r="EI62" s="1153" t="str">
        <f>IF($AI62,IF(LARGE($AG$41:$AH$107,EI$40)=$AG62,$AC62,""),"")</f>
        <v/>
      </c>
      <c r="EJ62" s="1153"/>
      <c r="EK62" s="1153"/>
      <c r="EL62" s="1153"/>
      <c r="EM62" s="1153" t="str">
        <f>IF($AI62,IF(LARGE($AG$41:$AH$107,EM$40)=$AG62,$AC62,""),"")</f>
        <v/>
      </c>
      <c r="EN62" s="1153"/>
      <c r="EO62" s="1153"/>
      <c r="EP62" s="1153"/>
      <c r="EQ62" s="1153" t="str">
        <f>IF($AI62,IF(LARGE($AG$41:$AH$107,EQ$40)=$AG62,$AC62,""),"")</f>
        <v/>
      </c>
      <c r="ER62" s="1153"/>
      <c r="ES62" s="1153"/>
      <c r="ET62" s="1153"/>
      <c r="EU62" s="1153" t="str">
        <f>IF($AI62,IF(LARGE($AG$41:$AH$107,EU$40)=$AG62,$AC62,""),"")</f>
        <v/>
      </c>
      <c r="EV62" s="1153"/>
      <c r="EW62" s="1153"/>
      <c r="EX62" s="1153"/>
      <c r="EY62" s="1153" t="str">
        <f>IF($AI62,IF(LARGE($AG$41:$AH$107,EY$40)=$AG62,$AC62,""),"")</f>
        <v/>
      </c>
      <c r="EZ62" s="1153"/>
      <c r="FA62" s="1153"/>
      <c r="FB62" s="1153"/>
      <c r="FC62" s="1153" t="str">
        <f>IF($AI62,IF(LARGE($AG$41:$AH$107,FC$40)=$AG62,$AC62,""),"")</f>
        <v/>
      </c>
      <c r="FD62" s="1153"/>
      <c r="FE62" s="1153"/>
      <c r="FF62" s="1153"/>
      <c r="FG62" s="1153" t="str">
        <f>IF($AI62,IF(LARGE($AG$41:$AH$107,FG$40)=$AG62,$AC62,""),"")</f>
        <v/>
      </c>
      <c r="FH62" s="1153"/>
      <c r="FI62" s="1153"/>
      <c r="FJ62" s="1153"/>
      <c r="FK62" s="1153" t="str">
        <f>IF($AI62,IF(LARGE($AG$41:$AH$107,FK$40)=$AG62,$AC62,""),"")</f>
        <v/>
      </c>
      <c r="FL62" s="1153"/>
      <c r="FM62" s="1153"/>
      <c r="FN62" s="1153"/>
      <c r="FO62" s="1153" t="str">
        <f>IF($AI62,IF(LARGE($AG$41:$AH$107,FO$40)=$AG62,$AC62,""),"")</f>
        <v/>
      </c>
      <c r="FP62" s="1153"/>
      <c r="FQ62" s="1153"/>
      <c r="FR62" s="1153"/>
      <c r="FS62" s="1153" t="str">
        <f>IF($AI62,IF(LARGE($AG$41:$AH$107,FS$40)=$AG62,$AC62,""),"")</f>
        <v/>
      </c>
      <c r="FT62" s="1153"/>
      <c r="FU62" s="1153"/>
      <c r="FV62" s="1153"/>
      <c r="FW62" s="1153" t="str">
        <f>IF($AI62,IF(LARGE($AG$41:$AH$107,FW$40)=$AG62,$AC62,""),"")</f>
        <v/>
      </c>
      <c r="FX62" s="1153"/>
      <c r="FY62" s="1153"/>
      <c r="FZ62" s="1153"/>
      <c r="GA62" s="1153" t="str">
        <f>IF($AI62,IF(LARGE($AG$41:$AH$107,GA$40)=$AG62,$AC62,""),"")</f>
        <v/>
      </c>
      <c r="GB62" s="1153"/>
      <c r="GC62" s="1153"/>
      <c r="GD62" s="1153"/>
      <c r="GE62" s="1153" t="str">
        <f>IF($AI62,IF(LARGE($AG$41:$AH$107,GE$40)=$AG62,$AC62,""),"")</f>
        <v/>
      </c>
      <c r="GF62" s="1153"/>
      <c r="GG62" s="1153"/>
      <c r="GH62" s="1153"/>
      <c r="GI62" s="1153" t="str">
        <f>IF($AI62,IF(LARGE($AG$41:$AH$107,GI$40)=$AG62,$AC62,""),"")</f>
        <v/>
      </c>
      <c r="GJ62" s="1153"/>
      <c r="GK62" s="1153"/>
      <c r="GL62" s="1153"/>
      <c r="GM62" s="1153" t="str">
        <f>IF($AI62,IF(LARGE($AG$41:$AH$107,GM$40)=$AG62,$AC62,""),"")</f>
        <v/>
      </c>
      <c r="GN62" s="1153"/>
      <c r="GO62" s="1153"/>
      <c r="GP62" s="1153"/>
      <c r="GQ62" s="1153" t="str">
        <f>IF($AI62,IF(LARGE($AG$41:$AH$107,GQ$40)=$AG62,$AC62,""),"")</f>
        <v/>
      </c>
      <c r="GR62" s="1153"/>
      <c r="GS62" s="1153"/>
      <c r="GT62" s="1153"/>
      <c r="GU62" s="1153" t="str">
        <f>IF($AI62,IF(LARGE($AG$41:$AH$107,GU$40)=$AG62,$AC62,""),"")</f>
        <v/>
      </c>
      <c r="GV62" s="1153"/>
      <c r="GW62" s="1153"/>
      <c r="GX62" s="1153"/>
      <c r="GY62" s="1153" t="str">
        <f>IF($AI62,IF(LARGE($AG$41:$AH$107,GY$40)=$AG62,$AC62,""),"")</f>
        <v/>
      </c>
      <c r="GZ62" s="1153"/>
      <c r="HA62" s="1153"/>
      <c r="HB62" s="1153"/>
      <c r="HC62" s="1153" t="str">
        <f>IF($AI62,IF(LARGE($AG$41:$AH$107,HC$40)=$AG62,$AC62,""),"")</f>
        <v/>
      </c>
      <c r="HD62" s="1153"/>
      <c r="HE62" s="1153"/>
      <c r="HF62" s="1153"/>
      <c r="HG62" s="1153" t="str">
        <f>IF($AI62,IF(LARGE($AG$41:$AH$107,HG$40)=$AG62,$AC62,""),"")</f>
        <v/>
      </c>
      <c r="HH62" s="1153"/>
      <c r="HI62" s="1153"/>
      <c r="HJ62" s="1153"/>
      <c r="HK62" s="1153" t="str">
        <f>IF($AI62,IF(LARGE($AG$41:$AH$107,HK$40)=$AG62,$AC62,""),"")</f>
        <v/>
      </c>
      <c r="HL62" s="1153"/>
      <c r="HM62" s="1153"/>
      <c r="HN62" s="1153"/>
      <c r="HO62" s="1153" t="str">
        <f>IF($AI62,IF(LARGE($AG$41:$AH$107,HO$40)=$AG62,$AC62,""),"")</f>
        <v/>
      </c>
      <c r="HP62" s="1153"/>
      <c r="HQ62" s="1153"/>
      <c r="HR62" s="1153"/>
      <c r="HS62" s="1153" t="str">
        <f>IF($AI62,IF(LARGE($AG$41:$AH$107,HS$40)=$AG62,$AC62,""),"")</f>
        <v/>
      </c>
      <c r="HT62" s="1153"/>
      <c r="HU62" s="1153"/>
      <c r="HV62" s="1153"/>
      <c r="HW62" s="1153" t="str">
        <f>IF($AI62,IF(LARGE($AG$41:$AH$107,HW$40)=$AG62,$AC62,""),"")</f>
        <v/>
      </c>
      <c r="HX62" s="1153"/>
      <c r="HY62" s="1153"/>
      <c r="HZ62" s="1153"/>
      <c r="IA62" s="1153" t="str">
        <f>IF($AI62,IF(LARGE($AG$41:$AH$107,IA$40)=$AG62,$AC62,""),"")</f>
        <v/>
      </c>
      <c r="IB62" s="1153"/>
      <c r="IC62" s="1153"/>
      <c r="ID62" s="1153"/>
      <c r="IE62" s="1153" t="str">
        <f>IF($AI62,IF(LARGE($AG$41:$AH$107,IE$40)=$AG62,$AC62,""),"")</f>
        <v/>
      </c>
      <c r="IF62" s="1153"/>
      <c r="IG62" s="1153"/>
      <c r="IH62" s="1153"/>
      <c r="II62" s="1153" t="str">
        <f>IF($AI62,IF(LARGE($AG$41:$AH$107,II$40)=$AG62,$AC62,""),"")</f>
        <v/>
      </c>
      <c r="IJ62" s="1153"/>
      <c r="IK62" s="1153"/>
      <c r="IL62" s="1153"/>
      <c r="IM62" s="1153" t="str">
        <f>IF($AI62,IF(LARGE($AG$41:$AH$107,IM$40)=$AG62,$AC62,""),"")</f>
        <v/>
      </c>
      <c r="IN62" s="1153"/>
      <c r="IO62" s="1153"/>
      <c r="IP62" s="1153"/>
      <c r="IQ62" s="1153" t="str">
        <f>IF($AI62,IF(LARGE($AG$41:$AH$107,IQ$40)=$AG62,$AC62,""),"")</f>
        <v/>
      </c>
      <c r="IR62" s="1153"/>
      <c r="IS62" s="1153"/>
      <c r="IT62" s="1153"/>
      <c r="IU62" s="1153" t="str">
        <f>IF($AI62,IF(LARGE($AG$41:$AH$107,IU$40)=$AG62,$AC62,""),"")</f>
        <v/>
      </c>
      <c r="IV62" s="1153"/>
      <c r="IW62" s="1153"/>
      <c r="IX62" s="1153"/>
      <c r="IY62" s="1153" t="str">
        <f>IF($AI62,IF(LARGE($AG$41:$AH$107,IY$40)=$AG62,$AC62,""),"")</f>
        <v/>
      </c>
      <c r="IZ62" s="1153"/>
      <c r="JA62" s="1153"/>
      <c r="JB62" s="1153"/>
      <c r="JC62" s="1153" t="str">
        <f>IF($AI62,IF(LARGE($AG$41:$AH$107,JC$40)=$AG62,$AC62,""),"")</f>
        <v/>
      </c>
      <c r="JD62" s="1153"/>
      <c r="JE62" s="1153"/>
      <c r="JF62" s="1153"/>
      <c r="JG62" s="1153" t="str">
        <f>IF($AI62,IF(LARGE($AG$41:$AH$107,JG$40)=$AG62,$AC62,""),"")</f>
        <v/>
      </c>
      <c r="JH62" s="1153"/>
      <c r="JI62" s="1153"/>
      <c r="JJ62" s="1153"/>
      <c r="JK62" s="1153" t="str">
        <f>IF($AI62,IF(LARGE($AG$41:$AH$107,JK$40)=$AG62,$AC62,""),"")</f>
        <v/>
      </c>
      <c r="JL62" s="1153"/>
      <c r="JM62" s="1153"/>
      <c r="JN62" s="1153"/>
      <c r="JO62" s="1153" t="str">
        <f>IF($AI62,IF(LARGE($AG$41:$AH$107,JO$40)=$AG62,$AC62,""),"")</f>
        <v/>
      </c>
      <c r="JP62" s="1153"/>
      <c r="JQ62" s="1153"/>
      <c r="JR62" s="1153"/>
      <c r="JS62" s="1153" t="str">
        <f>IF($AI62,IF(LARGE($AG$41:$AH$107,JS$40)=$AG62,$AC62,""),"")</f>
        <v/>
      </c>
      <c r="JT62" s="1153"/>
      <c r="JU62" s="1153"/>
      <c r="JV62" s="1153"/>
      <c r="JW62" s="1153" t="str">
        <f>IF($AI62,IF(LARGE($AG$41:$AH$107,JW$40)=$AG62,$AC62,""),"")</f>
        <v/>
      </c>
      <c r="JX62" s="1153"/>
      <c r="JY62" s="1153"/>
      <c r="JZ62" s="1153"/>
      <c r="KA62" s="1153" t="str">
        <f>IF($AI62,IF(LARGE($AG$41:$AH$107,KA$40)=$AG62,$AC62,""),"")</f>
        <v/>
      </c>
      <c r="KB62" s="1153"/>
      <c r="KC62" s="1153"/>
      <c r="KD62" s="1153"/>
      <c r="KE62" s="1153" t="str">
        <f>IF($AI62,IF(LARGE($AG$41:$AH$107,KE$40)=$AG62,$AC62,""),"")</f>
        <v/>
      </c>
      <c r="KF62" s="1153"/>
      <c r="KG62" s="1153"/>
      <c r="KH62" s="1153"/>
      <c r="KI62" s="1153" t="str">
        <f>IF($AI62,IF(LARGE($AG$41:$AH$107,KI$40)=$AG62,$AC62,""),"")</f>
        <v/>
      </c>
      <c r="KJ62" s="1153"/>
      <c r="KK62" s="1153"/>
      <c r="KL62" s="1153"/>
      <c r="KM62" s="1153" t="str">
        <f>IF($AI62,IF(LARGE($AG$41:$AH$107,KM$40)=$AG62,$AC62,""),"")</f>
        <v/>
      </c>
      <c r="KN62" s="1153"/>
      <c r="KO62" s="1153"/>
      <c r="KP62" s="1153"/>
      <c r="KQ62" s="1153" t="str">
        <f>IF($AI62,IF(LARGE($AG$41:$AH$107,KQ$40)=$AG62,$AC62,""),"")</f>
        <v/>
      </c>
      <c r="KR62" s="1153"/>
      <c r="KS62" s="1153"/>
      <c r="KT62" s="1153"/>
    </row>
    <row r="63" spans="8:8">
      <c r="C63" s="1153" t="str">
        <f>IF(F27="","",CONCATENATE(" ",C27,F27,H27))</f>
        <v> 🎯射击：手枪</v>
      </c>
      <c r="D63" s="1153"/>
      <c r="E63" s="1153"/>
      <c r="F63" s="1153"/>
      <c r="G63" s="1155" t="str">
        <f>IF(AND(L27=0,N27=0),"",IF(ISNONTEXT(D27),"",R27))</f>
        <v/>
      </c>
      <c r="H63" s="1155"/>
      <c r="I63" s="1153" t="str">
        <f>IF(G63=$G$40,C63,"")</f>
        <v/>
      </c>
      <c r="J63" s="1153"/>
      <c r="K63" s="1153"/>
      <c r="L63" s="1153"/>
      <c r="M63" s="1154">
        <f>IF(AND(NOT(N27=0),ISNONTEXT(D27)),1,0)</f>
        <v>0.0</v>
      </c>
      <c r="N63" s="1122"/>
      <c r="O63" s="1122"/>
      <c r="P63" s="1153" t="str">
        <f>IF(F27="","",CONCATENATE(" ",C27,F27,H27))</f>
        <v> 🎯射击：手枪</v>
      </c>
      <c r="Q63" s="1153"/>
      <c r="R63" s="1153"/>
      <c r="S63" s="1153"/>
      <c r="T63" s="1155" t="str">
        <f>IF(AND(L27=0,P27=0),"",IF(ISNONTEXT(D27),R27,""))</f>
        <v/>
      </c>
      <c r="U63" s="1155"/>
      <c r="V63" s="1153" t="str">
        <f>IF(T63=$T$40,P63,"")</f>
        <v/>
      </c>
      <c r="W63" s="1153"/>
      <c r="X63" s="1153"/>
      <c r="Y63" s="1153"/>
      <c r="AB63" s="1122"/>
      <c r="AC63" s="1153" t="str">
        <f>IF(F27="","",CONCATENATE(C27,F27,H27))</f>
        <v>🎯射击：手枪</v>
      </c>
      <c r="AD63" s="1153"/>
      <c r="AE63" s="1153"/>
      <c r="AF63" s="1153"/>
      <c r="AG63" s="1155">
        <f>R27</f>
        <v>20.0</v>
      </c>
      <c r="AH63" s="1155"/>
      <c r="AI63" s="1153" t="b">
        <f>IF(AND(OR(ISNUMBER(L27),ISNUMBER(N27),ISNUMBER(P27)),OR(L27&gt;0,N27&gt;0,P27&gt;0)),TRUE,FALSE)</f>
        <v>0</v>
      </c>
      <c r="AJ63" s="1153"/>
      <c r="AK63" s="1153"/>
      <c r="AL63" s="1153"/>
      <c r="AM63" s="1153" t="str">
        <f>IF($AI63,IF(LARGE($AG$41:$AH$107,AM$40)=$AG63,$AC63,""),"")</f>
        <v/>
      </c>
      <c r="AN63" s="1153"/>
      <c r="AO63" s="1153"/>
      <c r="AP63" s="1153"/>
      <c r="AQ63" s="1153" t="str">
        <f>IF($AI63,IF(LARGE($AG$41:$AH$107,AQ$40)=$AG63,$AC63,""),"")</f>
        <v/>
      </c>
      <c r="AR63" s="1153"/>
      <c r="AS63" s="1153"/>
      <c r="AT63" s="1153"/>
      <c r="AU63" s="1153" t="str">
        <f>IF($AI63,IF(LARGE($AG$41:$AH$107,AU$40)=$AG63,$AC63,""),"")</f>
        <v/>
      </c>
      <c r="AV63" s="1153"/>
      <c r="AW63" s="1153"/>
      <c r="AX63" s="1153"/>
      <c r="AY63" s="1153" t="str">
        <f>IF($AI63,IF(LARGE($AG$41:$AH$107,AY$40)=$AG63,$AC63,""),"")</f>
        <v/>
      </c>
      <c r="AZ63" s="1153"/>
      <c r="BA63" s="1153"/>
      <c r="BB63" s="1153"/>
      <c r="BC63" s="1153" t="str">
        <f>IF($AI63,IF(LARGE($AG$41:$AH$107,BC$40)=$AG63,$AC63,""),"")</f>
        <v/>
      </c>
      <c r="BD63" s="1153"/>
      <c r="BE63" s="1153"/>
      <c r="BF63" s="1153"/>
      <c r="BG63" s="1153" t="str">
        <f>IF($AI63,IF(LARGE($AG$41:$AH$107,BG$40)=$AG63,$AC63,""),"")</f>
        <v/>
      </c>
      <c r="BH63" s="1153"/>
      <c r="BI63" s="1153"/>
      <c r="BJ63" s="1153"/>
      <c r="BK63" s="1153" t="str">
        <f>IF($AI63,IF(LARGE($AG$41:$AH$107,BK$40)=$AG63,$AC63,""),"")</f>
        <v/>
      </c>
      <c r="BL63" s="1153"/>
      <c r="BM63" s="1153"/>
      <c r="BN63" s="1153"/>
      <c r="BO63" s="1153" t="str">
        <f>IF($AI63,IF(LARGE($AG$41:$AH$107,BO$40)=$AG63,$AC63,""),"")</f>
        <v/>
      </c>
      <c r="BP63" s="1153"/>
      <c r="BQ63" s="1153"/>
      <c r="BR63" s="1153"/>
      <c r="BS63" s="1153" t="str">
        <f>IF($AI63,IF(LARGE($AG$41:$AH$107,BS$40)=$AG63,$AC63,""),"")</f>
        <v/>
      </c>
      <c r="BT63" s="1153"/>
      <c r="BU63" s="1153"/>
      <c r="BV63" s="1153"/>
      <c r="BW63" s="1153" t="str">
        <f>IF($AI63,IF(LARGE($AG$41:$AH$107,BW$40)=$AG63,$AC63,""),"")</f>
        <v/>
      </c>
      <c r="BX63" s="1153"/>
      <c r="BY63" s="1153"/>
      <c r="BZ63" s="1153"/>
      <c r="CA63" s="1153" t="str">
        <f>IF($AI63,IF(LARGE($AG$41:$AH$107,CA$40)=$AG63,$AC63,""),"")</f>
        <v/>
      </c>
      <c r="CB63" s="1153"/>
      <c r="CC63" s="1153"/>
      <c r="CD63" s="1153"/>
      <c r="CE63" s="1153" t="str">
        <f>IF($AI63,IF(LARGE($AG$41:$AH$107,CE$40)=$AG63,$AC63,""),"")</f>
        <v/>
      </c>
      <c r="CF63" s="1153"/>
      <c r="CG63" s="1153"/>
      <c r="CH63" s="1153"/>
      <c r="CI63" s="1153" t="str">
        <f>IF($AI63,IF(LARGE($AG$41:$AH$107,CI$40)=$AG63,$AC63,""),"")</f>
        <v/>
      </c>
      <c r="CJ63" s="1153"/>
      <c r="CK63" s="1153"/>
      <c r="CL63" s="1153"/>
      <c r="CM63" s="1153" t="str">
        <f>IF($AI63,IF(LARGE($AG$41:$AH$107,CM$40)=$AG63,$AC63,""),"")</f>
        <v/>
      </c>
      <c r="CN63" s="1153"/>
      <c r="CO63" s="1153"/>
      <c r="CP63" s="1153"/>
      <c r="CQ63" s="1153" t="str">
        <f>IF($AI63,IF(LARGE($AG$41:$AH$107,CQ$40)=$AG63,$AC63,""),"")</f>
        <v/>
      </c>
      <c r="CR63" s="1153"/>
      <c r="CS63" s="1153"/>
      <c r="CT63" s="1153"/>
      <c r="CU63" s="1153" t="str">
        <f>IF($AI63,IF(LARGE($AG$41:$AH$107,CU$40)=$AG63,$AC63,""),"")</f>
        <v/>
      </c>
      <c r="CV63" s="1153"/>
      <c r="CW63" s="1153"/>
      <c r="CX63" s="1153"/>
      <c r="CY63" s="1153" t="str">
        <f>IF($AI63,IF(LARGE($AG$41:$AH$107,CY$40)=$AG63,$AC63,""),"")</f>
        <v/>
      </c>
      <c r="CZ63" s="1153"/>
      <c r="DA63" s="1153"/>
      <c r="DB63" s="1153"/>
      <c r="DC63" s="1153" t="str">
        <f>IF($AI63,IF(LARGE($AG$41:$AH$107,DC$40)=$AG63,$AC63,""),"")</f>
        <v/>
      </c>
      <c r="DD63" s="1153"/>
      <c r="DE63" s="1153"/>
      <c r="DF63" s="1153"/>
      <c r="DG63" s="1153" t="str">
        <f>IF($AI63,IF(LARGE($AG$41:$AH$107,DG$40)=$AG63,$AC63,""),"")</f>
        <v/>
      </c>
      <c r="DH63" s="1153"/>
      <c r="DI63" s="1153"/>
      <c r="DJ63" s="1153"/>
      <c r="DK63" s="1153" t="str">
        <f>IF($AI63,IF(LARGE($AG$41:$AH$107,DK$40)=$AG63,$AC63,""),"")</f>
        <v/>
      </c>
      <c r="DL63" s="1153"/>
      <c r="DM63" s="1153"/>
      <c r="DN63" s="1153"/>
      <c r="DO63" s="1153" t="str">
        <f>IF($AI63,IF(LARGE($AG$41:$AH$107,DO$40)=$AG63,$AC63,""),"")</f>
        <v/>
      </c>
      <c r="DP63" s="1153"/>
      <c r="DQ63" s="1153"/>
      <c r="DR63" s="1153"/>
      <c r="DS63" s="1153" t="str">
        <f>IF($AI63,IF(LARGE($AG$41:$AH$107,DS$40)=$AG63,$AC63,""),"")</f>
        <v/>
      </c>
      <c r="DT63" s="1153"/>
      <c r="DU63" s="1153"/>
      <c r="DV63" s="1153"/>
      <c r="DW63" s="1153" t="str">
        <f>IF($AI63,IF(LARGE($AG$41:$AH$107,DW$40)=$AG63,$AC63,""),"")</f>
        <v/>
      </c>
      <c r="DX63" s="1153"/>
      <c r="DY63" s="1153"/>
      <c r="DZ63" s="1153"/>
      <c r="EA63" s="1153" t="str">
        <f>IF($AI63,IF(LARGE($AG$41:$AH$107,EA$40)=$AG63,$AC63,""),"")</f>
        <v/>
      </c>
      <c r="EB63" s="1153"/>
      <c r="EC63" s="1153"/>
      <c r="ED63" s="1153"/>
      <c r="EE63" s="1153" t="str">
        <f>IF($AI63,IF(LARGE($AG$41:$AH$107,EE$40)=$AG63,$AC63,""),"")</f>
        <v/>
      </c>
      <c r="EF63" s="1153"/>
      <c r="EG63" s="1153"/>
      <c r="EH63" s="1153"/>
      <c r="EI63" s="1153" t="str">
        <f>IF($AI63,IF(LARGE($AG$41:$AH$107,EI$40)=$AG63,$AC63,""),"")</f>
        <v/>
      </c>
      <c r="EJ63" s="1153"/>
      <c r="EK63" s="1153"/>
      <c r="EL63" s="1153"/>
      <c r="EM63" s="1153" t="str">
        <f>IF($AI63,IF(LARGE($AG$41:$AH$107,EM$40)=$AG63,$AC63,""),"")</f>
        <v/>
      </c>
      <c r="EN63" s="1153"/>
      <c r="EO63" s="1153"/>
      <c r="EP63" s="1153"/>
      <c r="EQ63" s="1153" t="str">
        <f>IF($AI63,IF(LARGE($AG$41:$AH$107,EQ$40)=$AG63,$AC63,""),"")</f>
        <v/>
      </c>
      <c r="ER63" s="1153"/>
      <c r="ES63" s="1153"/>
      <c r="ET63" s="1153"/>
      <c r="EU63" s="1153" t="str">
        <f>IF($AI63,IF(LARGE($AG$41:$AH$107,EU$40)=$AG63,$AC63,""),"")</f>
        <v/>
      </c>
      <c r="EV63" s="1153"/>
      <c r="EW63" s="1153"/>
      <c r="EX63" s="1153"/>
      <c r="EY63" s="1153" t="str">
        <f>IF($AI63,IF(LARGE($AG$41:$AH$107,EY$40)=$AG63,$AC63,""),"")</f>
        <v/>
      </c>
      <c r="EZ63" s="1153"/>
      <c r="FA63" s="1153"/>
      <c r="FB63" s="1153"/>
      <c r="FC63" s="1153" t="str">
        <f>IF($AI63,IF(LARGE($AG$41:$AH$107,FC$40)=$AG63,$AC63,""),"")</f>
        <v/>
      </c>
      <c r="FD63" s="1153"/>
      <c r="FE63" s="1153"/>
      <c r="FF63" s="1153"/>
      <c r="FG63" s="1153" t="str">
        <f>IF($AI63,IF(LARGE($AG$41:$AH$107,FG$40)=$AG63,$AC63,""),"")</f>
        <v/>
      </c>
      <c r="FH63" s="1153"/>
      <c r="FI63" s="1153"/>
      <c r="FJ63" s="1153"/>
      <c r="FK63" s="1153" t="str">
        <f>IF($AI63,IF(LARGE($AG$41:$AH$107,FK$40)=$AG63,$AC63,""),"")</f>
        <v/>
      </c>
      <c r="FL63" s="1153"/>
      <c r="FM63" s="1153"/>
      <c r="FN63" s="1153"/>
      <c r="FO63" s="1153" t="str">
        <f>IF($AI63,IF(LARGE($AG$41:$AH$107,FO$40)=$AG63,$AC63,""),"")</f>
        <v/>
      </c>
      <c r="FP63" s="1153"/>
      <c r="FQ63" s="1153"/>
      <c r="FR63" s="1153"/>
      <c r="FS63" s="1153" t="str">
        <f>IF($AI63,IF(LARGE($AG$41:$AH$107,FS$40)=$AG63,$AC63,""),"")</f>
        <v/>
      </c>
      <c r="FT63" s="1153"/>
      <c r="FU63" s="1153"/>
      <c r="FV63" s="1153"/>
      <c r="FW63" s="1153" t="str">
        <f>IF($AI63,IF(LARGE($AG$41:$AH$107,FW$40)=$AG63,$AC63,""),"")</f>
        <v/>
      </c>
      <c r="FX63" s="1153"/>
      <c r="FY63" s="1153"/>
      <c r="FZ63" s="1153"/>
      <c r="GA63" s="1153" t="str">
        <f>IF($AI63,IF(LARGE($AG$41:$AH$107,GA$40)=$AG63,$AC63,""),"")</f>
        <v/>
      </c>
      <c r="GB63" s="1153"/>
      <c r="GC63" s="1153"/>
      <c r="GD63" s="1153"/>
      <c r="GE63" s="1153" t="str">
        <f>IF($AI63,IF(LARGE($AG$41:$AH$107,GE$40)=$AG63,$AC63,""),"")</f>
        <v/>
      </c>
      <c r="GF63" s="1153"/>
      <c r="GG63" s="1153"/>
      <c r="GH63" s="1153"/>
      <c r="GI63" s="1153" t="str">
        <f>IF($AI63,IF(LARGE($AG$41:$AH$107,GI$40)=$AG63,$AC63,""),"")</f>
        <v/>
      </c>
      <c r="GJ63" s="1153"/>
      <c r="GK63" s="1153"/>
      <c r="GL63" s="1153"/>
      <c r="GM63" s="1153" t="str">
        <f>IF($AI63,IF(LARGE($AG$41:$AH$107,GM$40)=$AG63,$AC63,""),"")</f>
        <v/>
      </c>
      <c r="GN63" s="1153"/>
      <c r="GO63" s="1153"/>
      <c r="GP63" s="1153"/>
      <c r="GQ63" s="1153" t="str">
        <f>IF($AI63,IF(LARGE($AG$41:$AH$107,GQ$40)=$AG63,$AC63,""),"")</f>
        <v/>
      </c>
      <c r="GR63" s="1153"/>
      <c r="GS63" s="1153"/>
      <c r="GT63" s="1153"/>
      <c r="GU63" s="1153" t="str">
        <f>IF($AI63,IF(LARGE($AG$41:$AH$107,GU$40)=$AG63,$AC63,""),"")</f>
        <v/>
      </c>
      <c r="GV63" s="1153"/>
      <c r="GW63" s="1153"/>
      <c r="GX63" s="1153"/>
      <c r="GY63" s="1153" t="str">
        <f>IF($AI63,IF(LARGE($AG$41:$AH$107,GY$40)=$AG63,$AC63,""),"")</f>
        <v/>
      </c>
      <c r="GZ63" s="1153"/>
      <c r="HA63" s="1153"/>
      <c r="HB63" s="1153"/>
      <c r="HC63" s="1153" t="str">
        <f>IF($AI63,IF(LARGE($AG$41:$AH$107,HC$40)=$AG63,$AC63,""),"")</f>
        <v/>
      </c>
      <c r="HD63" s="1153"/>
      <c r="HE63" s="1153"/>
      <c r="HF63" s="1153"/>
      <c r="HG63" s="1153" t="str">
        <f>IF($AI63,IF(LARGE($AG$41:$AH$107,HG$40)=$AG63,$AC63,""),"")</f>
        <v/>
      </c>
      <c r="HH63" s="1153"/>
      <c r="HI63" s="1153"/>
      <c r="HJ63" s="1153"/>
      <c r="HK63" s="1153" t="str">
        <f>IF($AI63,IF(LARGE($AG$41:$AH$107,HK$40)=$AG63,$AC63,""),"")</f>
        <v/>
      </c>
      <c r="HL63" s="1153"/>
      <c r="HM63" s="1153"/>
      <c r="HN63" s="1153"/>
      <c r="HO63" s="1153" t="str">
        <f>IF($AI63,IF(LARGE($AG$41:$AH$107,HO$40)=$AG63,$AC63,""),"")</f>
        <v/>
      </c>
      <c r="HP63" s="1153"/>
      <c r="HQ63" s="1153"/>
      <c r="HR63" s="1153"/>
      <c r="HS63" s="1153" t="str">
        <f>IF($AI63,IF(LARGE($AG$41:$AH$107,HS$40)=$AG63,$AC63,""),"")</f>
        <v/>
      </c>
      <c r="HT63" s="1153"/>
      <c r="HU63" s="1153"/>
      <c r="HV63" s="1153"/>
      <c r="HW63" s="1153" t="str">
        <f>IF($AI63,IF(LARGE($AG$41:$AH$107,HW$40)=$AG63,$AC63,""),"")</f>
        <v/>
      </c>
      <c r="HX63" s="1153"/>
      <c r="HY63" s="1153"/>
      <c r="HZ63" s="1153"/>
      <c r="IA63" s="1153" t="str">
        <f>IF($AI63,IF(LARGE($AG$41:$AH$107,IA$40)=$AG63,$AC63,""),"")</f>
        <v/>
      </c>
      <c r="IB63" s="1153"/>
      <c r="IC63" s="1153"/>
      <c r="ID63" s="1153"/>
      <c r="IE63" s="1153" t="str">
        <f>IF($AI63,IF(LARGE($AG$41:$AH$107,IE$40)=$AG63,$AC63,""),"")</f>
        <v/>
      </c>
      <c r="IF63" s="1153"/>
      <c r="IG63" s="1153"/>
      <c r="IH63" s="1153"/>
      <c r="II63" s="1153" t="str">
        <f>IF($AI63,IF(LARGE($AG$41:$AH$107,II$40)=$AG63,$AC63,""),"")</f>
        <v/>
      </c>
      <c r="IJ63" s="1153"/>
      <c r="IK63" s="1153"/>
      <c r="IL63" s="1153"/>
      <c r="IM63" s="1153" t="str">
        <f>IF($AI63,IF(LARGE($AG$41:$AH$107,IM$40)=$AG63,$AC63,""),"")</f>
        <v/>
      </c>
      <c r="IN63" s="1153"/>
      <c r="IO63" s="1153"/>
      <c r="IP63" s="1153"/>
      <c r="IQ63" s="1153" t="str">
        <f>IF($AI63,IF(LARGE($AG$41:$AH$107,IQ$40)=$AG63,$AC63,""),"")</f>
        <v/>
      </c>
      <c r="IR63" s="1153"/>
      <c r="IS63" s="1153"/>
      <c r="IT63" s="1153"/>
      <c r="IU63" s="1153" t="str">
        <f>IF($AI63,IF(LARGE($AG$41:$AH$107,IU$40)=$AG63,$AC63,""),"")</f>
        <v/>
      </c>
      <c r="IV63" s="1153"/>
      <c r="IW63" s="1153"/>
      <c r="IX63" s="1153"/>
      <c r="IY63" s="1153" t="str">
        <f>IF($AI63,IF(LARGE($AG$41:$AH$107,IY$40)=$AG63,$AC63,""),"")</f>
        <v/>
      </c>
      <c r="IZ63" s="1153"/>
      <c r="JA63" s="1153"/>
      <c r="JB63" s="1153"/>
      <c r="JC63" s="1153" t="str">
        <f>IF($AI63,IF(LARGE($AG$41:$AH$107,JC$40)=$AG63,$AC63,""),"")</f>
        <v/>
      </c>
      <c r="JD63" s="1153"/>
      <c r="JE63" s="1153"/>
      <c r="JF63" s="1153"/>
      <c r="JG63" s="1153" t="str">
        <f>IF($AI63,IF(LARGE($AG$41:$AH$107,JG$40)=$AG63,$AC63,""),"")</f>
        <v/>
      </c>
      <c r="JH63" s="1153"/>
      <c r="JI63" s="1153"/>
      <c r="JJ63" s="1153"/>
      <c r="JK63" s="1153" t="str">
        <f>IF($AI63,IF(LARGE($AG$41:$AH$107,JK$40)=$AG63,$AC63,""),"")</f>
        <v/>
      </c>
      <c r="JL63" s="1153"/>
      <c r="JM63" s="1153"/>
      <c r="JN63" s="1153"/>
      <c r="JO63" s="1153" t="str">
        <f>IF($AI63,IF(LARGE($AG$41:$AH$107,JO$40)=$AG63,$AC63,""),"")</f>
        <v/>
      </c>
      <c r="JP63" s="1153"/>
      <c r="JQ63" s="1153"/>
      <c r="JR63" s="1153"/>
      <c r="JS63" s="1153" t="str">
        <f>IF($AI63,IF(LARGE($AG$41:$AH$107,JS$40)=$AG63,$AC63,""),"")</f>
        <v/>
      </c>
      <c r="JT63" s="1153"/>
      <c r="JU63" s="1153"/>
      <c r="JV63" s="1153"/>
      <c r="JW63" s="1153" t="str">
        <f>IF($AI63,IF(LARGE($AG$41:$AH$107,JW$40)=$AG63,$AC63,""),"")</f>
        <v/>
      </c>
      <c r="JX63" s="1153"/>
      <c r="JY63" s="1153"/>
      <c r="JZ63" s="1153"/>
      <c r="KA63" s="1153" t="str">
        <f>IF($AI63,IF(LARGE($AG$41:$AH$107,KA$40)=$AG63,$AC63,""),"")</f>
        <v/>
      </c>
      <c r="KB63" s="1153"/>
      <c r="KC63" s="1153"/>
      <c r="KD63" s="1153"/>
      <c r="KE63" s="1153" t="str">
        <f>IF($AI63,IF(LARGE($AG$41:$AH$107,KE$40)=$AG63,$AC63,""),"")</f>
        <v/>
      </c>
      <c r="KF63" s="1153"/>
      <c r="KG63" s="1153"/>
      <c r="KH63" s="1153"/>
      <c r="KI63" s="1153" t="str">
        <f>IF($AI63,IF(LARGE($AG$41:$AH$107,KI$40)=$AG63,$AC63,""),"")</f>
        <v/>
      </c>
      <c r="KJ63" s="1153"/>
      <c r="KK63" s="1153"/>
      <c r="KL63" s="1153"/>
      <c r="KM63" s="1153" t="str">
        <f>IF($AI63,IF(LARGE($AG$41:$AH$107,KM$40)=$AG63,$AC63,""),"")</f>
        <v/>
      </c>
      <c r="KN63" s="1153"/>
      <c r="KO63" s="1153"/>
      <c r="KP63" s="1153"/>
      <c r="KQ63" s="1153" t="str">
        <f>IF($AI63,IF(LARGE($AG$41:$AH$107,KQ$40)=$AG63,$AC63,""),"")</f>
        <v/>
      </c>
      <c r="KR63" s="1153"/>
      <c r="KS63" s="1153"/>
      <c r="KT63" s="1153"/>
    </row>
    <row r="64" spans="8:8">
      <c r="C64" s="1153" t="str">
        <f>IF(F28="","",CONCATENATE(" ",C28,F28,H28))</f>
        <v> 🎯射击①</v>
      </c>
      <c r="D64" s="1153"/>
      <c r="E64" s="1153"/>
      <c r="F64" s="1153"/>
      <c r="G64" s="1155" t="str">
        <f>IF(AND(L28=0,N28=0),"",IF(ISNONTEXT(D28),"",R28))</f>
        <v/>
      </c>
      <c r="H64" s="1155"/>
      <c r="I64" s="1153" t="str">
        <f>IF(G64=$G$40,C64,"")</f>
        <v/>
      </c>
      <c r="J64" s="1153"/>
      <c r="K64" s="1153"/>
      <c r="L64" s="1153"/>
      <c r="M64" s="1154">
        <f>IF(AND(NOT(N28=0),ISNONTEXT(D28)),1,0)</f>
        <v>0.0</v>
      </c>
      <c r="N64" s="1122"/>
      <c r="O64" s="1122"/>
      <c r="P64" s="1153" t="str">
        <f>IF(F28="","",CONCATENATE(" ",C28,F28,H28))</f>
        <v> 🎯射击①</v>
      </c>
      <c r="Q64" s="1153"/>
      <c r="R64" s="1153"/>
      <c r="S64" s="1153"/>
      <c r="T64" s="1155" t="str">
        <f>IF(AND(L28=0,P28=0),"",IF(ISNONTEXT(D28),R28,""))</f>
        <v/>
      </c>
      <c r="U64" s="1155"/>
      <c r="V64" s="1153" t="str">
        <f>IF(T64=$T$40,P64,"")</f>
        <v/>
      </c>
      <c r="W64" s="1153"/>
      <c r="X64" s="1153"/>
      <c r="Y64" s="1153"/>
      <c r="AB64" s="1122"/>
      <c r="AC64" s="1153" t="str">
        <f>IF(F28="","",CONCATENATE(C28,F28,H28))</f>
        <v>🎯射击①</v>
      </c>
      <c r="AD64" s="1153"/>
      <c r="AE64" s="1153"/>
      <c r="AF64" s="1153"/>
      <c r="AG64" s="1155">
        <f>R28</f>
        <v>0.0</v>
      </c>
      <c r="AH64" s="1155"/>
      <c r="AI64" s="1153" t="b">
        <f>IF(AND(OR(ISNUMBER(L28),ISNUMBER(N28),ISNUMBER(P28)),OR(L28&gt;0,N28&gt;0,P28&gt;0)),TRUE,FALSE)</f>
        <v>0</v>
      </c>
      <c r="AJ64" s="1153"/>
      <c r="AK64" s="1153"/>
      <c r="AL64" s="1153"/>
      <c r="AM64" s="1153" t="str">
        <f>IF($AI64,IF(LARGE($AG$41:$AH$107,AM$40)=$AG64,$AC64,""),"")</f>
        <v/>
      </c>
      <c r="AN64" s="1153"/>
      <c r="AO64" s="1153"/>
      <c r="AP64" s="1153"/>
      <c r="AQ64" s="1153" t="str">
        <f>IF($AI64,IF(LARGE($AG$41:$AH$107,AQ$40)=$AG64,$AC64,""),"")</f>
        <v/>
      </c>
      <c r="AR64" s="1153"/>
      <c r="AS64" s="1153"/>
      <c r="AT64" s="1153"/>
      <c r="AU64" s="1153" t="str">
        <f>IF($AI64,IF(LARGE($AG$41:$AH$107,AU$40)=$AG64,$AC64,""),"")</f>
        <v/>
      </c>
      <c r="AV64" s="1153"/>
      <c r="AW64" s="1153"/>
      <c r="AX64" s="1153"/>
      <c r="AY64" s="1153" t="str">
        <f>IF($AI64,IF(LARGE($AG$41:$AH$107,AY$40)=$AG64,$AC64,""),"")</f>
        <v/>
      </c>
      <c r="AZ64" s="1153"/>
      <c r="BA64" s="1153"/>
      <c r="BB64" s="1153"/>
      <c r="BC64" s="1153" t="str">
        <f>IF($AI64,IF(LARGE($AG$41:$AH$107,BC$40)=$AG64,$AC64,""),"")</f>
        <v/>
      </c>
      <c r="BD64" s="1153"/>
      <c r="BE64" s="1153"/>
      <c r="BF64" s="1153"/>
      <c r="BG64" s="1153" t="str">
        <f>IF($AI64,IF(LARGE($AG$41:$AH$107,BG$40)=$AG64,$AC64,""),"")</f>
        <v/>
      </c>
      <c r="BH64" s="1153"/>
      <c r="BI64" s="1153"/>
      <c r="BJ64" s="1153"/>
      <c r="BK64" s="1153" t="str">
        <f>IF($AI64,IF(LARGE($AG$41:$AH$107,BK$40)=$AG64,$AC64,""),"")</f>
        <v/>
      </c>
      <c r="BL64" s="1153"/>
      <c r="BM64" s="1153"/>
      <c r="BN64" s="1153"/>
      <c r="BO64" s="1153" t="str">
        <f>IF($AI64,IF(LARGE($AG$41:$AH$107,BO$40)=$AG64,$AC64,""),"")</f>
        <v/>
      </c>
      <c r="BP64" s="1153"/>
      <c r="BQ64" s="1153"/>
      <c r="BR64" s="1153"/>
      <c r="BS64" s="1153" t="str">
        <f>IF($AI64,IF(LARGE($AG$41:$AH$107,BS$40)=$AG64,$AC64,""),"")</f>
        <v/>
      </c>
      <c r="BT64" s="1153"/>
      <c r="BU64" s="1153"/>
      <c r="BV64" s="1153"/>
      <c r="BW64" s="1153" t="str">
        <f>IF($AI64,IF(LARGE($AG$41:$AH$107,BW$40)=$AG64,$AC64,""),"")</f>
        <v/>
      </c>
      <c r="BX64" s="1153"/>
      <c r="BY64" s="1153"/>
      <c r="BZ64" s="1153"/>
      <c r="CA64" s="1153" t="str">
        <f>IF($AI64,IF(LARGE($AG$41:$AH$107,CA$40)=$AG64,$AC64,""),"")</f>
        <v/>
      </c>
      <c r="CB64" s="1153"/>
      <c r="CC64" s="1153"/>
      <c r="CD64" s="1153"/>
      <c r="CE64" s="1153" t="str">
        <f>IF($AI64,IF(LARGE($AG$41:$AH$107,CE$40)=$AG64,$AC64,""),"")</f>
        <v/>
      </c>
      <c r="CF64" s="1153"/>
      <c r="CG64" s="1153"/>
      <c r="CH64" s="1153"/>
      <c r="CI64" s="1153" t="str">
        <f>IF($AI64,IF(LARGE($AG$41:$AH$107,CI$40)=$AG64,$AC64,""),"")</f>
        <v/>
      </c>
      <c r="CJ64" s="1153"/>
      <c r="CK64" s="1153"/>
      <c r="CL64" s="1153"/>
      <c r="CM64" s="1153" t="str">
        <f>IF($AI64,IF(LARGE($AG$41:$AH$107,CM$40)=$AG64,$AC64,""),"")</f>
        <v/>
      </c>
      <c r="CN64" s="1153"/>
      <c r="CO64" s="1153"/>
      <c r="CP64" s="1153"/>
      <c r="CQ64" s="1153" t="str">
        <f>IF($AI64,IF(LARGE($AG$41:$AH$107,CQ$40)=$AG64,$AC64,""),"")</f>
        <v/>
      </c>
      <c r="CR64" s="1153"/>
      <c r="CS64" s="1153"/>
      <c r="CT64" s="1153"/>
      <c r="CU64" s="1153" t="str">
        <f>IF($AI64,IF(LARGE($AG$41:$AH$107,CU$40)=$AG64,$AC64,""),"")</f>
        <v/>
      </c>
      <c r="CV64" s="1153"/>
      <c r="CW64" s="1153"/>
      <c r="CX64" s="1153"/>
      <c r="CY64" s="1153" t="str">
        <f>IF($AI64,IF(LARGE($AG$41:$AH$107,CY$40)=$AG64,$AC64,""),"")</f>
        <v/>
      </c>
      <c r="CZ64" s="1153"/>
      <c r="DA64" s="1153"/>
      <c r="DB64" s="1153"/>
      <c r="DC64" s="1153" t="str">
        <f>IF($AI64,IF(LARGE($AG$41:$AH$107,DC$40)=$AG64,$AC64,""),"")</f>
        <v/>
      </c>
      <c r="DD64" s="1153"/>
      <c r="DE64" s="1153"/>
      <c r="DF64" s="1153"/>
      <c r="DG64" s="1153" t="str">
        <f>IF($AI64,IF(LARGE($AG$41:$AH$107,DG$40)=$AG64,$AC64,""),"")</f>
        <v/>
      </c>
      <c r="DH64" s="1153"/>
      <c r="DI64" s="1153"/>
      <c r="DJ64" s="1153"/>
      <c r="DK64" s="1153" t="str">
        <f>IF($AI64,IF(LARGE($AG$41:$AH$107,DK$40)=$AG64,$AC64,""),"")</f>
        <v/>
      </c>
      <c r="DL64" s="1153"/>
      <c r="DM64" s="1153"/>
      <c r="DN64" s="1153"/>
      <c r="DO64" s="1153" t="str">
        <f>IF($AI64,IF(LARGE($AG$41:$AH$107,DO$40)=$AG64,$AC64,""),"")</f>
        <v/>
      </c>
      <c r="DP64" s="1153"/>
      <c r="DQ64" s="1153"/>
      <c r="DR64" s="1153"/>
      <c r="DS64" s="1153" t="str">
        <f>IF($AI64,IF(LARGE($AG$41:$AH$107,DS$40)=$AG64,$AC64,""),"")</f>
        <v/>
      </c>
      <c r="DT64" s="1153"/>
      <c r="DU64" s="1153"/>
      <c r="DV64" s="1153"/>
      <c r="DW64" s="1153" t="str">
        <f>IF($AI64,IF(LARGE($AG$41:$AH$107,DW$40)=$AG64,$AC64,""),"")</f>
        <v/>
      </c>
      <c r="DX64" s="1153"/>
      <c r="DY64" s="1153"/>
      <c r="DZ64" s="1153"/>
      <c r="EA64" s="1153" t="str">
        <f>IF($AI64,IF(LARGE($AG$41:$AH$107,EA$40)=$AG64,$AC64,""),"")</f>
        <v/>
      </c>
      <c r="EB64" s="1153"/>
      <c r="EC64" s="1153"/>
      <c r="ED64" s="1153"/>
      <c r="EE64" s="1153" t="str">
        <f>IF($AI64,IF(LARGE($AG$41:$AH$107,EE$40)=$AG64,$AC64,""),"")</f>
        <v/>
      </c>
      <c r="EF64" s="1153"/>
      <c r="EG64" s="1153"/>
      <c r="EH64" s="1153"/>
      <c r="EI64" s="1153" t="str">
        <f>IF($AI64,IF(LARGE($AG$41:$AH$107,EI$40)=$AG64,$AC64,""),"")</f>
        <v/>
      </c>
      <c r="EJ64" s="1153"/>
      <c r="EK64" s="1153"/>
      <c r="EL64" s="1153"/>
      <c r="EM64" s="1153" t="str">
        <f>IF($AI64,IF(LARGE($AG$41:$AH$107,EM$40)=$AG64,$AC64,""),"")</f>
        <v/>
      </c>
      <c r="EN64" s="1153"/>
      <c r="EO64" s="1153"/>
      <c r="EP64" s="1153"/>
      <c r="EQ64" s="1153" t="str">
        <f>IF($AI64,IF(LARGE($AG$41:$AH$107,EQ$40)=$AG64,$AC64,""),"")</f>
        <v/>
      </c>
      <c r="ER64" s="1153"/>
      <c r="ES64" s="1153"/>
      <c r="ET64" s="1153"/>
      <c r="EU64" s="1153" t="str">
        <f>IF($AI64,IF(LARGE($AG$41:$AH$107,EU$40)=$AG64,$AC64,""),"")</f>
        <v/>
      </c>
      <c r="EV64" s="1153"/>
      <c r="EW64" s="1153"/>
      <c r="EX64" s="1153"/>
      <c r="EY64" s="1153" t="str">
        <f>IF($AI64,IF(LARGE($AG$41:$AH$107,EY$40)=$AG64,$AC64,""),"")</f>
        <v/>
      </c>
      <c r="EZ64" s="1153"/>
      <c r="FA64" s="1153"/>
      <c r="FB64" s="1153"/>
      <c r="FC64" s="1153" t="str">
        <f>IF($AI64,IF(LARGE($AG$41:$AH$107,FC$40)=$AG64,$AC64,""),"")</f>
        <v/>
      </c>
      <c r="FD64" s="1153"/>
      <c r="FE64" s="1153"/>
      <c r="FF64" s="1153"/>
      <c r="FG64" s="1153" t="str">
        <f>IF($AI64,IF(LARGE($AG$41:$AH$107,FG$40)=$AG64,$AC64,""),"")</f>
        <v/>
      </c>
      <c r="FH64" s="1153"/>
      <c r="FI64" s="1153"/>
      <c r="FJ64" s="1153"/>
      <c r="FK64" s="1153" t="str">
        <f>IF($AI64,IF(LARGE($AG$41:$AH$107,FK$40)=$AG64,$AC64,""),"")</f>
        <v/>
      </c>
      <c r="FL64" s="1153"/>
      <c r="FM64" s="1153"/>
      <c r="FN64" s="1153"/>
      <c r="FO64" s="1153" t="str">
        <f>IF($AI64,IF(LARGE($AG$41:$AH$107,FO$40)=$AG64,$AC64,""),"")</f>
        <v/>
      </c>
      <c r="FP64" s="1153"/>
      <c r="FQ64" s="1153"/>
      <c r="FR64" s="1153"/>
      <c r="FS64" s="1153" t="str">
        <f>IF($AI64,IF(LARGE($AG$41:$AH$107,FS$40)=$AG64,$AC64,""),"")</f>
        <v/>
      </c>
      <c r="FT64" s="1153"/>
      <c r="FU64" s="1153"/>
      <c r="FV64" s="1153"/>
      <c r="FW64" s="1153" t="str">
        <f>IF($AI64,IF(LARGE($AG$41:$AH$107,FW$40)=$AG64,$AC64,""),"")</f>
        <v/>
      </c>
      <c r="FX64" s="1153"/>
      <c r="FY64" s="1153"/>
      <c r="FZ64" s="1153"/>
      <c r="GA64" s="1153" t="str">
        <f>IF($AI64,IF(LARGE($AG$41:$AH$107,GA$40)=$AG64,$AC64,""),"")</f>
        <v/>
      </c>
      <c r="GB64" s="1153"/>
      <c r="GC64" s="1153"/>
      <c r="GD64" s="1153"/>
      <c r="GE64" s="1153" t="str">
        <f>IF($AI64,IF(LARGE($AG$41:$AH$107,GE$40)=$AG64,$AC64,""),"")</f>
        <v/>
      </c>
      <c r="GF64" s="1153"/>
      <c r="GG64" s="1153"/>
      <c r="GH64" s="1153"/>
      <c r="GI64" s="1153" t="str">
        <f>IF($AI64,IF(LARGE($AG$41:$AH$107,GI$40)=$AG64,$AC64,""),"")</f>
        <v/>
      </c>
      <c r="GJ64" s="1153"/>
      <c r="GK64" s="1153"/>
      <c r="GL64" s="1153"/>
      <c r="GM64" s="1153" t="str">
        <f>IF($AI64,IF(LARGE($AG$41:$AH$107,GM$40)=$AG64,$AC64,""),"")</f>
        <v/>
      </c>
      <c r="GN64" s="1153"/>
      <c r="GO64" s="1153"/>
      <c r="GP64" s="1153"/>
      <c r="GQ64" s="1153" t="str">
        <f>IF($AI64,IF(LARGE($AG$41:$AH$107,GQ$40)=$AG64,$AC64,""),"")</f>
        <v/>
      </c>
      <c r="GR64" s="1153"/>
      <c r="GS64" s="1153"/>
      <c r="GT64" s="1153"/>
      <c r="GU64" s="1153" t="str">
        <f>IF($AI64,IF(LARGE($AG$41:$AH$107,GU$40)=$AG64,$AC64,""),"")</f>
        <v/>
      </c>
      <c r="GV64" s="1153"/>
      <c r="GW64" s="1153"/>
      <c r="GX64" s="1153"/>
      <c r="GY64" s="1153" t="str">
        <f>IF($AI64,IF(LARGE($AG$41:$AH$107,GY$40)=$AG64,$AC64,""),"")</f>
        <v/>
      </c>
      <c r="GZ64" s="1153"/>
      <c r="HA64" s="1153"/>
      <c r="HB64" s="1153"/>
      <c r="HC64" s="1153" t="str">
        <f>IF($AI64,IF(LARGE($AG$41:$AH$107,HC$40)=$AG64,$AC64,""),"")</f>
        <v/>
      </c>
      <c r="HD64" s="1153"/>
      <c r="HE64" s="1153"/>
      <c r="HF64" s="1153"/>
      <c r="HG64" s="1153" t="str">
        <f>IF($AI64,IF(LARGE($AG$41:$AH$107,HG$40)=$AG64,$AC64,""),"")</f>
        <v/>
      </c>
      <c r="HH64" s="1153"/>
      <c r="HI64" s="1153"/>
      <c r="HJ64" s="1153"/>
      <c r="HK64" s="1153" t="str">
        <f>IF($AI64,IF(LARGE($AG$41:$AH$107,HK$40)=$AG64,$AC64,""),"")</f>
        <v/>
      </c>
      <c r="HL64" s="1153"/>
      <c r="HM64" s="1153"/>
      <c r="HN64" s="1153"/>
      <c r="HO64" s="1153" t="str">
        <f>IF($AI64,IF(LARGE($AG$41:$AH$107,HO$40)=$AG64,$AC64,""),"")</f>
        <v/>
      </c>
      <c r="HP64" s="1153"/>
      <c r="HQ64" s="1153"/>
      <c r="HR64" s="1153"/>
      <c r="HS64" s="1153" t="str">
        <f>IF($AI64,IF(LARGE($AG$41:$AH$107,HS$40)=$AG64,$AC64,""),"")</f>
        <v/>
      </c>
      <c r="HT64" s="1153"/>
      <c r="HU64" s="1153"/>
      <c r="HV64" s="1153"/>
      <c r="HW64" s="1153" t="str">
        <f>IF($AI64,IF(LARGE($AG$41:$AH$107,HW$40)=$AG64,$AC64,""),"")</f>
        <v/>
      </c>
      <c r="HX64" s="1153"/>
      <c r="HY64" s="1153"/>
      <c r="HZ64" s="1153"/>
      <c r="IA64" s="1153" t="str">
        <f>IF($AI64,IF(LARGE($AG$41:$AH$107,IA$40)=$AG64,$AC64,""),"")</f>
        <v/>
      </c>
      <c r="IB64" s="1153"/>
      <c r="IC64" s="1153"/>
      <c r="ID64" s="1153"/>
      <c r="IE64" s="1153" t="str">
        <f>IF($AI64,IF(LARGE($AG$41:$AH$107,IE$40)=$AG64,$AC64,""),"")</f>
        <v/>
      </c>
      <c r="IF64" s="1153"/>
      <c r="IG64" s="1153"/>
      <c r="IH64" s="1153"/>
      <c r="II64" s="1153" t="str">
        <f>IF($AI64,IF(LARGE($AG$41:$AH$107,II$40)=$AG64,$AC64,""),"")</f>
        <v/>
      </c>
      <c r="IJ64" s="1153"/>
      <c r="IK64" s="1153"/>
      <c r="IL64" s="1153"/>
      <c r="IM64" s="1153" t="str">
        <f>IF($AI64,IF(LARGE($AG$41:$AH$107,IM$40)=$AG64,$AC64,""),"")</f>
        <v/>
      </c>
      <c r="IN64" s="1153"/>
      <c r="IO64" s="1153"/>
      <c r="IP64" s="1153"/>
      <c r="IQ64" s="1153" t="str">
        <f>IF($AI64,IF(LARGE($AG$41:$AH$107,IQ$40)=$AG64,$AC64,""),"")</f>
        <v/>
      </c>
      <c r="IR64" s="1153"/>
      <c r="IS64" s="1153"/>
      <c r="IT64" s="1153"/>
      <c r="IU64" s="1153" t="str">
        <f>IF($AI64,IF(LARGE($AG$41:$AH$107,IU$40)=$AG64,$AC64,""),"")</f>
        <v/>
      </c>
      <c r="IV64" s="1153"/>
      <c r="IW64" s="1153"/>
      <c r="IX64" s="1153"/>
      <c r="IY64" s="1153" t="str">
        <f>IF($AI64,IF(LARGE($AG$41:$AH$107,IY$40)=$AG64,$AC64,""),"")</f>
        <v/>
      </c>
      <c r="IZ64" s="1153"/>
      <c r="JA64" s="1153"/>
      <c r="JB64" s="1153"/>
      <c r="JC64" s="1153" t="str">
        <f>IF($AI64,IF(LARGE($AG$41:$AH$107,JC$40)=$AG64,$AC64,""),"")</f>
        <v/>
      </c>
      <c r="JD64" s="1153"/>
      <c r="JE64" s="1153"/>
      <c r="JF64" s="1153"/>
      <c r="JG64" s="1153" t="str">
        <f>IF($AI64,IF(LARGE($AG$41:$AH$107,JG$40)=$AG64,$AC64,""),"")</f>
        <v/>
      </c>
      <c r="JH64" s="1153"/>
      <c r="JI64" s="1153"/>
      <c r="JJ64" s="1153"/>
      <c r="JK64" s="1153" t="str">
        <f>IF($AI64,IF(LARGE($AG$41:$AH$107,JK$40)=$AG64,$AC64,""),"")</f>
        <v/>
      </c>
      <c r="JL64" s="1153"/>
      <c r="JM64" s="1153"/>
      <c r="JN64" s="1153"/>
      <c r="JO64" s="1153" t="str">
        <f>IF($AI64,IF(LARGE($AG$41:$AH$107,JO$40)=$AG64,$AC64,""),"")</f>
        <v/>
      </c>
      <c r="JP64" s="1153"/>
      <c r="JQ64" s="1153"/>
      <c r="JR64" s="1153"/>
      <c r="JS64" s="1153" t="str">
        <f>IF($AI64,IF(LARGE($AG$41:$AH$107,JS$40)=$AG64,$AC64,""),"")</f>
        <v/>
      </c>
      <c r="JT64" s="1153"/>
      <c r="JU64" s="1153"/>
      <c r="JV64" s="1153"/>
      <c r="JW64" s="1153" t="str">
        <f>IF($AI64,IF(LARGE($AG$41:$AH$107,JW$40)=$AG64,$AC64,""),"")</f>
        <v/>
      </c>
      <c r="JX64" s="1153"/>
      <c r="JY64" s="1153"/>
      <c r="JZ64" s="1153"/>
      <c r="KA64" s="1153" t="str">
        <f>IF($AI64,IF(LARGE($AG$41:$AH$107,KA$40)=$AG64,$AC64,""),"")</f>
        <v/>
      </c>
      <c r="KB64" s="1153"/>
      <c r="KC64" s="1153"/>
      <c r="KD64" s="1153"/>
      <c r="KE64" s="1153" t="str">
        <f>IF($AI64,IF(LARGE($AG$41:$AH$107,KE$40)=$AG64,$AC64,""),"")</f>
        <v/>
      </c>
      <c r="KF64" s="1153"/>
      <c r="KG64" s="1153"/>
      <c r="KH64" s="1153"/>
      <c r="KI64" s="1153" t="str">
        <f>IF($AI64,IF(LARGE($AG$41:$AH$107,KI$40)=$AG64,$AC64,""),"")</f>
        <v/>
      </c>
      <c r="KJ64" s="1153"/>
      <c r="KK64" s="1153"/>
      <c r="KL64" s="1153"/>
      <c r="KM64" s="1153" t="str">
        <f>IF($AI64,IF(LARGE($AG$41:$AH$107,KM$40)=$AG64,$AC64,""),"")</f>
        <v/>
      </c>
      <c r="KN64" s="1153"/>
      <c r="KO64" s="1153"/>
      <c r="KP64" s="1153"/>
      <c r="KQ64" s="1153" t="str">
        <f>IF($AI64,IF(LARGE($AG$41:$AH$107,KQ$40)=$AG64,$AC64,""),"")</f>
        <v/>
      </c>
      <c r="KR64" s="1153"/>
      <c r="KS64" s="1153"/>
      <c r="KT64" s="1153"/>
    </row>
    <row r="65" spans="8:8">
      <c r="C65" s="1153" t="str">
        <f>IF(F29="","",CONCATENATE(" ",C29,F29,H29))</f>
        <v> 🎯射击②</v>
      </c>
      <c r="D65" s="1153"/>
      <c r="E65" s="1153"/>
      <c r="F65" s="1153"/>
      <c r="G65" s="1155" t="str">
        <f>IF(AND(L29=0,N29=0),"",IF(ISNONTEXT(D29),"",R29))</f>
        <v/>
      </c>
      <c r="H65" s="1155"/>
      <c r="I65" s="1153" t="str">
        <f>IF(G65=$G$40,C65,"")</f>
        <v/>
      </c>
      <c r="J65" s="1153"/>
      <c r="K65" s="1153"/>
      <c r="L65" s="1153"/>
      <c r="M65" s="1154">
        <f>IF(AND(NOT(N29=0),ISNONTEXT(D29)),1,0)</f>
        <v>0.0</v>
      </c>
      <c r="N65" s="1122"/>
      <c r="O65" s="1122"/>
      <c r="P65" s="1153" t="str">
        <f>IF(F29="","",CONCATENATE(" ",C29,F29,H29))</f>
        <v> 🎯射击②</v>
      </c>
      <c r="Q65" s="1153"/>
      <c r="R65" s="1153"/>
      <c r="S65" s="1153"/>
      <c r="T65" s="1155" t="str">
        <f>IF(AND(L29=0,P29=0),"",IF(ISNONTEXT(D29),R29,""))</f>
        <v/>
      </c>
      <c r="U65" s="1155"/>
      <c r="V65" s="1153" t="str">
        <f>IF(T65=$T$40,P65,"")</f>
        <v/>
      </c>
      <c r="W65" s="1153"/>
      <c r="X65" s="1153"/>
      <c r="Y65" s="1153"/>
      <c r="AB65" s="1122"/>
      <c r="AC65" s="1153" t="str">
        <f>IF(F29="","",CONCATENATE(C29,F29,H29))</f>
        <v>🎯射击②</v>
      </c>
      <c r="AD65" s="1153"/>
      <c r="AE65" s="1153"/>
      <c r="AF65" s="1153"/>
      <c r="AG65" s="1155">
        <f>R29</f>
        <v>0.0</v>
      </c>
      <c r="AH65" s="1155"/>
      <c r="AI65" s="1153" t="b">
        <f>IF(AND(OR(ISNUMBER(L29),ISNUMBER(N29),ISNUMBER(P29)),OR(L29&gt;0,N29&gt;0,P29&gt;0)),TRUE,FALSE)</f>
        <v>0</v>
      </c>
      <c r="AJ65" s="1153"/>
      <c r="AK65" s="1153"/>
      <c r="AL65" s="1153"/>
      <c r="AM65" s="1153" t="str">
        <f>IF($AI65,IF(LARGE($AG$41:$AH$107,AM$40)=$AG65,$AC65,""),"")</f>
        <v/>
      </c>
      <c r="AN65" s="1153"/>
      <c r="AO65" s="1153"/>
      <c r="AP65" s="1153"/>
      <c r="AQ65" s="1153" t="str">
        <f>IF($AI65,IF(LARGE($AG$41:$AH$107,AQ$40)=$AG65,$AC65,""),"")</f>
        <v/>
      </c>
      <c r="AR65" s="1153"/>
      <c r="AS65" s="1153"/>
      <c r="AT65" s="1153"/>
      <c r="AU65" s="1153" t="str">
        <f>IF($AI65,IF(LARGE($AG$41:$AH$107,AU$40)=$AG65,$AC65,""),"")</f>
        <v/>
      </c>
      <c r="AV65" s="1153"/>
      <c r="AW65" s="1153"/>
      <c r="AX65" s="1153"/>
      <c r="AY65" s="1153" t="str">
        <f>IF($AI65,IF(LARGE($AG$41:$AH$107,AY$40)=$AG65,$AC65,""),"")</f>
        <v/>
      </c>
      <c r="AZ65" s="1153"/>
      <c r="BA65" s="1153"/>
      <c r="BB65" s="1153"/>
      <c r="BC65" s="1153" t="str">
        <f>IF($AI65,IF(LARGE($AG$41:$AH$107,BC$40)=$AG65,$AC65,""),"")</f>
        <v/>
      </c>
      <c r="BD65" s="1153"/>
      <c r="BE65" s="1153"/>
      <c r="BF65" s="1153"/>
      <c r="BG65" s="1153" t="str">
        <f>IF($AI65,IF(LARGE($AG$41:$AH$107,BG$40)=$AG65,$AC65,""),"")</f>
        <v/>
      </c>
      <c r="BH65" s="1153"/>
      <c r="BI65" s="1153"/>
      <c r="BJ65" s="1153"/>
      <c r="BK65" s="1153" t="str">
        <f>IF($AI65,IF(LARGE($AG$41:$AH$107,BK$40)=$AG65,$AC65,""),"")</f>
        <v/>
      </c>
      <c r="BL65" s="1153"/>
      <c r="BM65" s="1153"/>
      <c r="BN65" s="1153"/>
      <c r="BO65" s="1153" t="str">
        <f>IF($AI65,IF(LARGE($AG$41:$AH$107,BO$40)=$AG65,$AC65,""),"")</f>
        <v/>
      </c>
      <c r="BP65" s="1153"/>
      <c r="BQ65" s="1153"/>
      <c r="BR65" s="1153"/>
      <c r="BS65" s="1153" t="str">
        <f>IF($AI65,IF(LARGE($AG$41:$AH$107,BS$40)=$AG65,$AC65,""),"")</f>
        <v/>
      </c>
      <c r="BT65" s="1153"/>
      <c r="BU65" s="1153"/>
      <c r="BV65" s="1153"/>
      <c r="BW65" s="1153" t="str">
        <f>IF($AI65,IF(LARGE($AG$41:$AH$107,BW$40)=$AG65,$AC65,""),"")</f>
        <v/>
      </c>
      <c r="BX65" s="1153"/>
      <c r="BY65" s="1153"/>
      <c r="BZ65" s="1153"/>
      <c r="CA65" s="1153" t="str">
        <f>IF($AI65,IF(LARGE($AG$41:$AH$107,CA$40)=$AG65,$AC65,""),"")</f>
        <v/>
      </c>
      <c r="CB65" s="1153"/>
      <c r="CC65" s="1153"/>
      <c r="CD65" s="1153"/>
      <c r="CE65" s="1153" t="str">
        <f>IF($AI65,IF(LARGE($AG$41:$AH$107,CE$40)=$AG65,$AC65,""),"")</f>
        <v/>
      </c>
      <c r="CF65" s="1153"/>
      <c r="CG65" s="1153"/>
      <c r="CH65" s="1153"/>
      <c r="CI65" s="1153" t="str">
        <f>IF($AI65,IF(LARGE($AG$41:$AH$107,CI$40)=$AG65,$AC65,""),"")</f>
        <v/>
      </c>
      <c r="CJ65" s="1153"/>
      <c r="CK65" s="1153"/>
      <c r="CL65" s="1153"/>
      <c r="CM65" s="1153" t="str">
        <f>IF($AI65,IF(LARGE($AG$41:$AH$107,CM$40)=$AG65,$AC65,""),"")</f>
        <v/>
      </c>
      <c r="CN65" s="1153"/>
      <c r="CO65" s="1153"/>
      <c r="CP65" s="1153"/>
      <c r="CQ65" s="1153" t="str">
        <f>IF($AI65,IF(LARGE($AG$41:$AH$107,CQ$40)=$AG65,$AC65,""),"")</f>
        <v/>
      </c>
      <c r="CR65" s="1153"/>
      <c r="CS65" s="1153"/>
      <c r="CT65" s="1153"/>
      <c r="CU65" s="1153" t="str">
        <f>IF($AI65,IF(LARGE($AG$41:$AH$107,CU$40)=$AG65,$AC65,""),"")</f>
        <v/>
      </c>
      <c r="CV65" s="1153"/>
      <c r="CW65" s="1153"/>
      <c r="CX65" s="1153"/>
      <c r="CY65" s="1153" t="str">
        <f>IF($AI65,IF(LARGE($AG$41:$AH$107,CY$40)=$AG65,$AC65,""),"")</f>
        <v/>
      </c>
      <c r="CZ65" s="1153"/>
      <c r="DA65" s="1153"/>
      <c r="DB65" s="1153"/>
      <c r="DC65" s="1153" t="str">
        <f>IF($AI65,IF(LARGE($AG$41:$AH$107,DC$40)=$AG65,$AC65,""),"")</f>
        <v/>
      </c>
      <c r="DD65" s="1153"/>
      <c r="DE65" s="1153"/>
      <c r="DF65" s="1153"/>
      <c r="DG65" s="1153" t="str">
        <f>IF($AI65,IF(LARGE($AG$41:$AH$107,DG$40)=$AG65,$AC65,""),"")</f>
        <v/>
      </c>
      <c r="DH65" s="1153"/>
      <c r="DI65" s="1153"/>
      <c r="DJ65" s="1153"/>
      <c r="DK65" s="1153" t="str">
        <f>IF($AI65,IF(LARGE($AG$41:$AH$107,DK$40)=$AG65,$AC65,""),"")</f>
        <v/>
      </c>
      <c r="DL65" s="1153"/>
      <c r="DM65" s="1153"/>
      <c r="DN65" s="1153"/>
      <c r="DO65" s="1153" t="str">
        <f>IF($AI65,IF(LARGE($AG$41:$AH$107,DO$40)=$AG65,$AC65,""),"")</f>
        <v/>
      </c>
      <c r="DP65" s="1153"/>
      <c r="DQ65" s="1153"/>
      <c r="DR65" s="1153"/>
      <c r="DS65" s="1153" t="str">
        <f>IF($AI65,IF(LARGE($AG$41:$AH$107,DS$40)=$AG65,$AC65,""),"")</f>
        <v/>
      </c>
      <c r="DT65" s="1153"/>
      <c r="DU65" s="1153"/>
      <c r="DV65" s="1153"/>
      <c r="DW65" s="1153" t="str">
        <f>IF($AI65,IF(LARGE($AG$41:$AH$107,DW$40)=$AG65,$AC65,""),"")</f>
        <v/>
      </c>
      <c r="DX65" s="1153"/>
      <c r="DY65" s="1153"/>
      <c r="DZ65" s="1153"/>
      <c r="EA65" s="1153" t="str">
        <f>IF($AI65,IF(LARGE($AG$41:$AH$107,EA$40)=$AG65,$AC65,""),"")</f>
        <v/>
      </c>
      <c r="EB65" s="1153"/>
      <c r="EC65" s="1153"/>
      <c r="ED65" s="1153"/>
      <c r="EE65" s="1153" t="str">
        <f>IF($AI65,IF(LARGE($AG$41:$AH$107,EE$40)=$AG65,$AC65,""),"")</f>
        <v/>
      </c>
      <c r="EF65" s="1153"/>
      <c r="EG65" s="1153"/>
      <c r="EH65" s="1153"/>
      <c r="EI65" s="1153" t="str">
        <f>IF($AI65,IF(LARGE($AG$41:$AH$107,EI$40)=$AG65,$AC65,""),"")</f>
        <v/>
      </c>
      <c r="EJ65" s="1153"/>
      <c r="EK65" s="1153"/>
      <c r="EL65" s="1153"/>
      <c r="EM65" s="1153" t="str">
        <f>IF($AI65,IF(LARGE($AG$41:$AH$107,EM$40)=$AG65,$AC65,""),"")</f>
        <v/>
      </c>
      <c r="EN65" s="1153"/>
      <c r="EO65" s="1153"/>
      <c r="EP65" s="1153"/>
      <c r="EQ65" s="1153" t="str">
        <f>IF($AI65,IF(LARGE($AG$41:$AH$107,EQ$40)=$AG65,$AC65,""),"")</f>
        <v/>
      </c>
      <c r="ER65" s="1153"/>
      <c r="ES65" s="1153"/>
      <c r="ET65" s="1153"/>
      <c r="EU65" s="1153" t="str">
        <f>IF($AI65,IF(LARGE($AG$41:$AH$107,EU$40)=$AG65,$AC65,""),"")</f>
        <v/>
      </c>
      <c r="EV65" s="1153"/>
      <c r="EW65" s="1153"/>
      <c r="EX65" s="1153"/>
      <c r="EY65" s="1153" t="str">
        <f>IF($AI65,IF(LARGE($AG$41:$AH$107,EY$40)=$AG65,$AC65,""),"")</f>
        <v/>
      </c>
      <c r="EZ65" s="1153"/>
      <c r="FA65" s="1153"/>
      <c r="FB65" s="1153"/>
      <c r="FC65" s="1153" t="str">
        <f>IF($AI65,IF(LARGE($AG$41:$AH$107,FC$40)=$AG65,$AC65,""),"")</f>
        <v/>
      </c>
      <c r="FD65" s="1153"/>
      <c r="FE65" s="1153"/>
      <c r="FF65" s="1153"/>
      <c r="FG65" s="1153" t="str">
        <f>IF($AI65,IF(LARGE($AG$41:$AH$107,FG$40)=$AG65,$AC65,""),"")</f>
        <v/>
      </c>
      <c r="FH65" s="1153"/>
      <c r="FI65" s="1153"/>
      <c r="FJ65" s="1153"/>
      <c r="FK65" s="1153" t="str">
        <f>IF($AI65,IF(LARGE($AG$41:$AH$107,FK$40)=$AG65,$AC65,""),"")</f>
        <v/>
      </c>
      <c r="FL65" s="1153"/>
      <c r="FM65" s="1153"/>
      <c r="FN65" s="1153"/>
      <c r="FO65" s="1153" t="str">
        <f>IF($AI65,IF(LARGE($AG$41:$AH$107,FO$40)=$AG65,$AC65,""),"")</f>
        <v/>
      </c>
      <c r="FP65" s="1153"/>
      <c r="FQ65" s="1153"/>
      <c r="FR65" s="1153"/>
      <c r="FS65" s="1153" t="str">
        <f>IF($AI65,IF(LARGE($AG$41:$AH$107,FS$40)=$AG65,$AC65,""),"")</f>
        <v/>
      </c>
      <c r="FT65" s="1153"/>
      <c r="FU65" s="1153"/>
      <c r="FV65" s="1153"/>
      <c r="FW65" s="1153" t="str">
        <f>IF($AI65,IF(LARGE($AG$41:$AH$107,FW$40)=$AG65,$AC65,""),"")</f>
        <v/>
      </c>
      <c r="FX65" s="1153"/>
      <c r="FY65" s="1153"/>
      <c r="FZ65" s="1153"/>
      <c r="GA65" s="1153" t="str">
        <f>IF($AI65,IF(LARGE($AG$41:$AH$107,GA$40)=$AG65,$AC65,""),"")</f>
        <v/>
      </c>
      <c r="GB65" s="1153"/>
      <c r="GC65" s="1153"/>
      <c r="GD65" s="1153"/>
      <c r="GE65" s="1153" t="str">
        <f>IF($AI65,IF(LARGE($AG$41:$AH$107,GE$40)=$AG65,$AC65,""),"")</f>
        <v/>
      </c>
      <c r="GF65" s="1153"/>
      <c r="GG65" s="1153"/>
      <c r="GH65" s="1153"/>
      <c r="GI65" s="1153" t="str">
        <f>IF($AI65,IF(LARGE($AG$41:$AH$107,GI$40)=$AG65,$AC65,""),"")</f>
        <v/>
      </c>
      <c r="GJ65" s="1153"/>
      <c r="GK65" s="1153"/>
      <c r="GL65" s="1153"/>
      <c r="GM65" s="1153" t="str">
        <f>IF($AI65,IF(LARGE($AG$41:$AH$107,GM$40)=$AG65,$AC65,""),"")</f>
        <v/>
      </c>
      <c r="GN65" s="1153"/>
      <c r="GO65" s="1153"/>
      <c r="GP65" s="1153"/>
      <c r="GQ65" s="1153" t="str">
        <f>IF($AI65,IF(LARGE($AG$41:$AH$107,GQ$40)=$AG65,$AC65,""),"")</f>
        <v/>
      </c>
      <c r="GR65" s="1153"/>
      <c r="GS65" s="1153"/>
      <c r="GT65" s="1153"/>
      <c r="GU65" s="1153" t="str">
        <f>IF($AI65,IF(LARGE($AG$41:$AH$107,GU$40)=$AG65,$AC65,""),"")</f>
        <v/>
      </c>
      <c r="GV65" s="1153"/>
      <c r="GW65" s="1153"/>
      <c r="GX65" s="1153"/>
      <c r="GY65" s="1153" t="str">
        <f>IF($AI65,IF(LARGE($AG$41:$AH$107,GY$40)=$AG65,$AC65,""),"")</f>
        <v/>
      </c>
      <c r="GZ65" s="1153"/>
      <c r="HA65" s="1153"/>
      <c r="HB65" s="1153"/>
      <c r="HC65" s="1153" t="str">
        <f>IF($AI65,IF(LARGE($AG$41:$AH$107,HC$40)=$AG65,$AC65,""),"")</f>
        <v/>
      </c>
      <c r="HD65" s="1153"/>
      <c r="HE65" s="1153"/>
      <c r="HF65" s="1153"/>
      <c r="HG65" s="1153" t="str">
        <f>IF($AI65,IF(LARGE($AG$41:$AH$107,HG$40)=$AG65,$AC65,""),"")</f>
        <v/>
      </c>
      <c r="HH65" s="1153"/>
      <c r="HI65" s="1153"/>
      <c r="HJ65" s="1153"/>
      <c r="HK65" s="1153" t="str">
        <f>IF($AI65,IF(LARGE($AG$41:$AH$107,HK$40)=$AG65,$AC65,""),"")</f>
        <v/>
      </c>
      <c r="HL65" s="1153"/>
      <c r="HM65" s="1153"/>
      <c r="HN65" s="1153"/>
      <c r="HO65" s="1153" t="str">
        <f>IF($AI65,IF(LARGE($AG$41:$AH$107,HO$40)=$AG65,$AC65,""),"")</f>
        <v/>
      </c>
      <c r="HP65" s="1153"/>
      <c r="HQ65" s="1153"/>
      <c r="HR65" s="1153"/>
      <c r="HS65" s="1153" t="str">
        <f>IF($AI65,IF(LARGE($AG$41:$AH$107,HS$40)=$AG65,$AC65,""),"")</f>
        <v/>
      </c>
      <c r="HT65" s="1153"/>
      <c r="HU65" s="1153"/>
      <c r="HV65" s="1153"/>
      <c r="HW65" s="1153" t="str">
        <f>IF($AI65,IF(LARGE($AG$41:$AH$107,HW$40)=$AG65,$AC65,""),"")</f>
        <v/>
      </c>
      <c r="HX65" s="1153"/>
      <c r="HY65" s="1153"/>
      <c r="HZ65" s="1153"/>
      <c r="IA65" s="1153" t="str">
        <f>IF($AI65,IF(LARGE($AG$41:$AH$107,IA$40)=$AG65,$AC65,""),"")</f>
        <v/>
      </c>
      <c r="IB65" s="1153"/>
      <c r="IC65" s="1153"/>
      <c r="ID65" s="1153"/>
      <c r="IE65" s="1153" t="str">
        <f>IF($AI65,IF(LARGE($AG$41:$AH$107,IE$40)=$AG65,$AC65,""),"")</f>
        <v/>
      </c>
      <c r="IF65" s="1153"/>
      <c r="IG65" s="1153"/>
      <c r="IH65" s="1153"/>
      <c r="II65" s="1153" t="str">
        <f>IF($AI65,IF(LARGE($AG$41:$AH$107,II$40)=$AG65,$AC65,""),"")</f>
        <v/>
      </c>
      <c r="IJ65" s="1153"/>
      <c r="IK65" s="1153"/>
      <c r="IL65" s="1153"/>
      <c r="IM65" s="1153" t="str">
        <f>IF($AI65,IF(LARGE($AG$41:$AH$107,IM$40)=$AG65,$AC65,""),"")</f>
        <v/>
      </c>
      <c r="IN65" s="1153"/>
      <c r="IO65" s="1153"/>
      <c r="IP65" s="1153"/>
      <c r="IQ65" s="1153" t="str">
        <f>IF($AI65,IF(LARGE($AG$41:$AH$107,IQ$40)=$AG65,$AC65,""),"")</f>
        <v/>
      </c>
      <c r="IR65" s="1153"/>
      <c r="IS65" s="1153"/>
      <c r="IT65" s="1153"/>
      <c r="IU65" s="1153" t="str">
        <f>IF($AI65,IF(LARGE($AG$41:$AH$107,IU$40)=$AG65,$AC65,""),"")</f>
        <v/>
      </c>
      <c r="IV65" s="1153"/>
      <c r="IW65" s="1153"/>
      <c r="IX65" s="1153"/>
      <c r="IY65" s="1153" t="str">
        <f>IF($AI65,IF(LARGE($AG$41:$AH$107,IY$40)=$AG65,$AC65,""),"")</f>
        <v/>
      </c>
      <c r="IZ65" s="1153"/>
      <c r="JA65" s="1153"/>
      <c r="JB65" s="1153"/>
      <c r="JC65" s="1153" t="str">
        <f>IF($AI65,IF(LARGE($AG$41:$AH$107,JC$40)=$AG65,$AC65,""),"")</f>
        <v/>
      </c>
      <c r="JD65" s="1153"/>
      <c r="JE65" s="1153"/>
      <c r="JF65" s="1153"/>
      <c r="JG65" s="1153" t="str">
        <f>IF($AI65,IF(LARGE($AG$41:$AH$107,JG$40)=$AG65,$AC65,""),"")</f>
        <v/>
      </c>
      <c r="JH65" s="1153"/>
      <c r="JI65" s="1153"/>
      <c r="JJ65" s="1153"/>
      <c r="JK65" s="1153" t="str">
        <f>IF($AI65,IF(LARGE($AG$41:$AH$107,JK$40)=$AG65,$AC65,""),"")</f>
        <v/>
      </c>
      <c r="JL65" s="1153"/>
      <c r="JM65" s="1153"/>
      <c r="JN65" s="1153"/>
      <c r="JO65" s="1153" t="str">
        <f>IF($AI65,IF(LARGE($AG$41:$AH$107,JO$40)=$AG65,$AC65,""),"")</f>
        <v/>
      </c>
      <c r="JP65" s="1153"/>
      <c r="JQ65" s="1153"/>
      <c r="JR65" s="1153"/>
      <c r="JS65" s="1153" t="str">
        <f>IF($AI65,IF(LARGE($AG$41:$AH$107,JS$40)=$AG65,$AC65,""),"")</f>
        <v/>
      </c>
      <c r="JT65" s="1153"/>
      <c r="JU65" s="1153"/>
      <c r="JV65" s="1153"/>
      <c r="JW65" s="1153" t="str">
        <f>IF($AI65,IF(LARGE($AG$41:$AH$107,JW$40)=$AG65,$AC65,""),"")</f>
        <v/>
      </c>
      <c r="JX65" s="1153"/>
      <c r="JY65" s="1153"/>
      <c r="JZ65" s="1153"/>
      <c r="KA65" s="1153" t="str">
        <f>IF($AI65,IF(LARGE($AG$41:$AH$107,KA$40)=$AG65,$AC65,""),"")</f>
        <v/>
      </c>
      <c r="KB65" s="1153"/>
      <c r="KC65" s="1153"/>
      <c r="KD65" s="1153"/>
      <c r="KE65" s="1153" t="str">
        <f>IF($AI65,IF(LARGE($AG$41:$AH$107,KE$40)=$AG65,$AC65,""),"")</f>
        <v/>
      </c>
      <c r="KF65" s="1153"/>
      <c r="KG65" s="1153"/>
      <c r="KH65" s="1153"/>
      <c r="KI65" s="1153" t="str">
        <f>IF($AI65,IF(LARGE($AG$41:$AH$107,KI$40)=$AG65,$AC65,""),"")</f>
        <v/>
      </c>
      <c r="KJ65" s="1153"/>
      <c r="KK65" s="1153"/>
      <c r="KL65" s="1153"/>
      <c r="KM65" s="1153" t="str">
        <f>IF($AI65,IF(LARGE($AG$41:$AH$107,KM$40)=$AG65,$AC65,""),"")</f>
        <v/>
      </c>
      <c r="KN65" s="1153"/>
      <c r="KO65" s="1153"/>
      <c r="KP65" s="1153"/>
      <c r="KQ65" s="1153" t="str">
        <f>IF($AI65,IF(LARGE($AG$41:$AH$107,KQ$40)=$AG65,$AC65,""),"")</f>
        <v/>
      </c>
      <c r="KR65" s="1153"/>
      <c r="KS65" s="1153"/>
      <c r="KT65" s="1153"/>
    </row>
    <row r="66" spans="8:8">
      <c r="C66" s="1153" t="str">
        <f>IF(F30="","",CONCATENATE(" ",C30,F30,H30))</f>
        <v> 🎯射击③</v>
      </c>
      <c r="D66" s="1153"/>
      <c r="E66" s="1153"/>
      <c r="F66" s="1153"/>
      <c r="G66" s="1155" t="str">
        <f>IF(AND(L30=0,N30=0),"",IF(ISNONTEXT(D30),"",R30))</f>
        <v/>
      </c>
      <c r="H66" s="1155"/>
      <c r="I66" s="1153" t="str">
        <f>IF(G66=$G$40,C66,"")</f>
        <v/>
      </c>
      <c r="J66" s="1153"/>
      <c r="K66" s="1153"/>
      <c r="L66" s="1153"/>
      <c r="M66" s="1154">
        <f>IF(AND(NOT(N30=0),ISNONTEXT(D30)),1,0)</f>
        <v>0.0</v>
      </c>
      <c r="N66" s="1122"/>
      <c r="O66" s="1122"/>
      <c r="P66" s="1153" t="str">
        <f>IF(F30="","",CONCATENATE(" ",C30,F30,H30))</f>
        <v> 🎯射击③</v>
      </c>
      <c r="Q66" s="1153"/>
      <c r="R66" s="1153"/>
      <c r="S66" s="1153"/>
      <c r="T66" s="1155" t="str">
        <f>IF(AND(L30=0,P30=0),"",IF(ISNONTEXT(D30),R30,""))</f>
        <v/>
      </c>
      <c r="U66" s="1155"/>
      <c r="V66" s="1153" t="str">
        <f>IF(T66=$T$40,P66,"")</f>
        <v/>
      </c>
      <c r="W66" s="1153"/>
      <c r="X66" s="1153"/>
      <c r="Y66" s="1153"/>
      <c r="AB66" s="1122"/>
      <c r="AC66" s="1153" t="str">
        <f>IF(F30="","",CONCATENATE(C30,F30,H30))</f>
        <v>🎯射击③</v>
      </c>
      <c r="AD66" s="1153"/>
      <c r="AE66" s="1153"/>
      <c r="AF66" s="1153"/>
      <c r="AG66" s="1155">
        <f>R30</f>
        <v>0.0</v>
      </c>
      <c r="AH66" s="1155"/>
      <c r="AI66" s="1153" t="b">
        <f>IF(AND(OR(ISNUMBER(L30),ISNUMBER(N30),ISNUMBER(P30)),OR(L30&gt;0,N30&gt;0,P30&gt;0)),TRUE,FALSE)</f>
        <v>0</v>
      </c>
      <c r="AJ66" s="1153"/>
      <c r="AK66" s="1153"/>
      <c r="AL66" s="1153"/>
      <c r="AM66" s="1153" t="str">
        <f>IF($AI66,IF(LARGE($AG$41:$AH$107,AM$40)=$AG66,$AC66,""),"")</f>
        <v/>
      </c>
      <c r="AN66" s="1153"/>
      <c r="AO66" s="1153"/>
      <c r="AP66" s="1153"/>
      <c r="AQ66" s="1153" t="str">
        <f>IF($AI66,IF(LARGE($AG$41:$AH$107,AQ$40)=$AG66,$AC66,""),"")</f>
        <v/>
      </c>
      <c r="AR66" s="1153"/>
      <c r="AS66" s="1153"/>
      <c r="AT66" s="1153"/>
      <c r="AU66" s="1153" t="str">
        <f>IF($AI66,IF(LARGE($AG$41:$AH$107,AU$40)=$AG66,$AC66,""),"")</f>
        <v/>
      </c>
      <c r="AV66" s="1153"/>
      <c r="AW66" s="1153"/>
      <c r="AX66" s="1153"/>
      <c r="AY66" s="1153" t="str">
        <f>IF($AI66,IF(LARGE($AG$41:$AH$107,AY$40)=$AG66,$AC66,""),"")</f>
        <v/>
      </c>
      <c r="AZ66" s="1153"/>
      <c r="BA66" s="1153"/>
      <c r="BB66" s="1153"/>
      <c r="BC66" s="1153" t="str">
        <f>IF($AI66,IF(LARGE($AG$41:$AH$107,BC$40)=$AG66,$AC66,""),"")</f>
        <v/>
      </c>
      <c r="BD66" s="1153"/>
      <c r="BE66" s="1153"/>
      <c r="BF66" s="1153"/>
      <c r="BG66" s="1153" t="str">
        <f>IF($AI66,IF(LARGE($AG$41:$AH$107,BG$40)=$AG66,$AC66,""),"")</f>
        <v/>
      </c>
      <c r="BH66" s="1153"/>
      <c r="BI66" s="1153"/>
      <c r="BJ66" s="1153"/>
      <c r="BK66" s="1153" t="str">
        <f>IF($AI66,IF(LARGE($AG$41:$AH$107,BK$40)=$AG66,$AC66,""),"")</f>
        <v/>
      </c>
      <c r="BL66" s="1153"/>
      <c r="BM66" s="1153"/>
      <c r="BN66" s="1153"/>
      <c r="BO66" s="1153" t="str">
        <f>IF($AI66,IF(LARGE($AG$41:$AH$107,BO$40)=$AG66,$AC66,""),"")</f>
        <v/>
      </c>
      <c r="BP66" s="1153"/>
      <c r="BQ66" s="1153"/>
      <c r="BR66" s="1153"/>
      <c r="BS66" s="1153" t="str">
        <f>IF($AI66,IF(LARGE($AG$41:$AH$107,BS$40)=$AG66,$AC66,""),"")</f>
        <v/>
      </c>
      <c r="BT66" s="1153"/>
      <c r="BU66" s="1153"/>
      <c r="BV66" s="1153"/>
      <c r="BW66" s="1153" t="str">
        <f>IF($AI66,IF(LARGE($AG$41:$AH$107,BW$40)=$AG66,$AC66,""),"")</f>
        <v/>
      </c>
      <c r="BX66" s="1153"/>
      <c r="BY66" s="1153"/>
      <c r="BZ66" s="1153"/>
      <c r="CA66" s="1153" t="str">
        <f>IF($AI66,IF(LARGE($AG$41:$AH$107,CA$40)=$AG66,$AC66,""),"")</f>
        <v/>
      </c>
      <c r="CB66" s="1153"/>
      <c r="CC66" s="1153"/>
      <c r="CD66" s="1153"/>
      <c r="CE66" s="1153" t="str">
        <f>IF($AI66,IF(LARGE($AG$41:$AH$107,CE$40)=$AG66,$AC66,""),"")</f>
        <v/>
      </c>
      <c r="CF66" s="1153"/>
      <c r="CG66" s="1153"/>
      <c r="CH66" s="1153"/>
      <c r="CI66" s="1153" t="str">
        <f>IF($AI66,IF(LARGE($AG$41:$AH$107,CI$40)=$AG66,$AC66,""),"")</f>
        <v/>
      </c>
      <c r="CJ66" s="1153"/>
      <c r="CK66" s="1153"/>
      <c r="CL66" s="1153"/>
      <c r="CM66" s="1153" t="str">
        <f>IF($AI66,IF(LARGE($AG$41:$AH$107,CM$40)=$AG66,$AC66,""),"")</f>
        <v/>
      </c>
      <c r="CN66" s="1153"/>
      <c r="CO66" s="1153"/>
      <c r="CP66" s="1153"/>
      <c r="CQ66" s="1153" t="str">
        <f>IF($AI66,IF(LARGE($AG$41:$AH$107,CQ$40)=$AG66,$AC66,""),"")</f>
        <v/>
      </c>
      <c r="CR66" s="1153"/>
      <c r="CS66" s="1153"/>
      <c r="CT66" s="1153"/>
      <c r="CU66" s="1153" t="str">
        <f>IF($AI66,IF(LARGE($AG$41:$AH$107,CU$40)=$AG66,$AC66,""),"")</f>
        <v/>
      </c>
      <c r="CV66" s="1153"/>
      <c r="CW66" s="1153"/>
      <c r="CX66" s="1153"/>
      <c r="CY66" s="1153" t="str">
        <f>IF($AI66,IF(LARGE($AG$41:$AH$107,CY$40)=$AG66,$AC66,""),"")</f>
        <v/>
      </c>
      <c r="CZ66" s="1153"/>
      <c r="DA66" s="1153"/>
      <c r="DB66" s="1153"/>
      <c r="DC66" s="1153" t="str">
        <f>IF($AI66,IF(LARGE($AG$41:$AH$107,DC$40)=$AG66,$AC66,""),"")</f>
        <v/>
      </c>
      <c r="DD66" s="1153"/>
      <c r="DE66" s="1153"/>
      <c r="DF66" s="1153"/>
      <c r="DG66" s="1153" t="str">
        <f>IF($AI66,IF(LARGE($AG$41:$AH$107,DG$40)=$AG66,$AC66,""),"")</f>
        <v/>
      </c>
      <c r="DH66" s="1153"/>
      <c r="DI66" s="1153"/>
      <c r="DJ66" s="1153"/>
      <c r="DK66" s="1153" t="str">
        <f>IF($AI66,IF(LARGE($AG$41:$AH$107,DK$40)=$AG66,$AC66,""),"")</f>
        <v/>
      </c>
      <c r="DL66" s="1153"/>
      <c r="DM66" s="1153"/>
      <c r="DN66" s="1153"/>
      <c r="DO66" s="1153" t="str">
        <f>IF($AI66,IF(LARGE($AG$41:$AH$107,DO$40)=$AG66,$AC66,""),"")</f>
        <v/>
      </c>
      <c r="DP66" s="1153"/>
      <c r="DQ66" s="1153"/>
      <c r="DR66" s="1153"/>
      <c r="DS66" s="1153" t="str">
        <f>IF($AI66,IF(LARGE($AG$41:$AH$107,DS$40)=$AG66,$AC66,""),"")</f>
        <v/>
      </c>
      <c r="DT66" s="1153"/>
      <c r="DU66" s="1153"/>
      <c r="DV66" s="1153"/>
      <c r="DW66" s="1153" t="str">
        <f>IF($AI66,IF(LARGE($AG$41:$AH$107,DW$40)=$AG66,$AC66,""),"")</f>
        <v/>
      </c>
      <c r="DX66" s="1153"/>
      <c r="DY66" s="1153"/>
      <c r="DZ66" s="1153"/>
      <c r="EA66" s="1153" t="str">
        <f>IF($AI66,IF(LARGE($AG$41:$AH$107,EA$40)=$AG66,$AC66,""),"")</f>
        <v/>
      </c>
      <c r="EB66" s="1153"/>
      <c r="EC66" s="1153"/>
      <c r="ED66" s="1153"/>
      <c r="EE66" s="1153" t="str">
        <f>IF($AI66,IF(LARGE($AG$41:$AH$107,EE$40)=$AG66,$AC66,""),"")</f>
        <v/>
      </c>
      <c r="EF66" s="1153"/>
      <c r="EG66" s="1153"/>
      <c r="EH66" s="1153"/>
      <c r="EI66" s="1153" t="str">
        <f>IF($AI66,IF(LARGE($AG$41:$AH$107,EI$40)=$AG66,$AC66,""),"")</f>
        <v/>
      </c>
      <c r="EJ66" s="1153"/>
      <c r="EK66" s="1153"/>
      <c r="EL66" s="1153"/>
      <c r="EM66" s="1153" t="str">
        <f>IF($AI66,IF(LARGE($AG$41:$AH$107,EM$40)=$AG66,$AC66,""),"")</f>
        <v/>
      </c>
      <c r="EN66" s="1153"/>
      <c r="EO66" s="1153"/>
      <c r="EP66" s="1153"/>
      <c r="EQ66" s="1153" t="str">
        <f>IF($AI66,IF(LARGE($AG$41:$AH$107,EQ$40)=$AG66,$AC66,""),"")</f>
        <v/>
      </c>
      <c r="ER66" s="1153"/>
      <c r="ES66" s="1153"/>
      <c r="ET66" s="1153"/>
      <c r="EU66" s="1153" t="str">
        <f>IF($AI66,IF(LARGE($AG$41:$AH$107,EU$40)=$AG66,$AC66,""),"")</f>
        <v/>
      </c>
      <c r="EV66" s="1153"/>
      <c r="EW66" s="1153"/>
      <c r="EX66" s="1153"/>
      <c r="EY66" s="1153" t="str">
        <f>IF($AI66,IF(LARGE($AG$41:$AH$107,EY$40)=$AG66,$AC66,""),"")</f>
        <v/>
      </c>
      <c r="EZ66" s="1153"/>
      <c r="FA66" s="1153"/>
      <c r="FB66" s="1153"/>
      <c r="FC66" s="1153" t="str">
        <f>IF($AI66,IF(LARGE($AG$41:$AH$107,FC$40)=$AG66,$AC66,""),"")</f>
        <v/>
      </c>
      <c r="FD66" s="1153"/>
      <c r="FE66" s="1153"/>
      <c r="FF66" s="1153"/>
      <c r="FG66" s="1153" t="str">
        <f>IF($AI66,IF(LARGE($AG$41:$AH$107,FG$40)=$AG66,$AC66,""),"")</f>
        <v/>
      </c>
      <c r="FH66" s="1153"/>
      <c r="FI66" s="1153"/>
      <c r="FJ66" s="1153"/>
      <c r="FK66" s="1153" t="str">
        <f>IF($AI66,IF(LARGE($AG$41:$AH$107,FK$40)=$AG66,$AC66,""),"")</f>
        <v/>
      </c>
      <c r="FL66" s="1153"/>
      <c r="FM66" s="1153"/>
      <c r="FN66" s="1153"/>
      <c r="FO66" s="1153" t="str">
        <f>IF($AI66,IF(LARGE($AG$41:$AH$107,FO$40)=$AG66,$AC66,""),"")</f>
        <v/>
      </c>
      <c r="FP66" s="1153"/>
      <c r="FQ66" s="1153"/>
      <c r="FR66" s="1153"/>
      <c r="FS66" s="1153" t="str">
        <f>IF($AI66,IF(LARGE($AG$41:$AH$107,FS$40)=$AG66,$AC66,""),"")</f>
        <v/>
      </c>
      <c r="FT66" s="1153"/>
      <c r="FU66" s="1153"/>
      <c r="FV66" s="1153"/>
      <c r="FW66" s="1153" t="str">
        <f>IF($AI66,IF(LARGE($AG$41:$AH$107,FW$40)=$AG66,$AC66,""),"")</f>
        <v/>
      </c>
      <c r="FX66" s="1153"/>
      <c r="FY66" s="1153"/>
      <c r="FZ66" s="1153"/>
      <c r="GA66" s="1153" t="str">
        <f>IF($AI66,IF(LARGE($AG$41:$AH$107,GA$40)=$AG66,$AC66,""),"")</f>
        <v/>
      </c>
      <c r="GB66" s="1153"/>
      <c r="GC66" s="1153"/>
      <c r="GD66" s="1153"/>
      <c r="GE66" s="1153" t="str">
        <f>IF($AI66,IF(LARGE($AG$41:$AH$107,GE$40)=$AG66,$AC66,""),"")</f>
        <v/>
      </c>
      <c r="GF66" s="1153"/>
      <c r="GG66" s="1153"/>
      <c r="GH66" s="1153"/>
      <c r="GI66" s="1153" t="str">
        <f>IF($AI66,IF(LARGE($AG$41:$AH$107,GI$40)=$AG66,$AC66,""),"")</f>
        <v/>
      </c>
      <c r="GJ66" s="1153"/>
      <c r="GK66" s="1153"/>
      <c r="GL66" s="1153"/>
      <c r="GM66" s="1153" t="str">
        <f>IF($AI66,IF(LARGE($AG$41:$AH$107,GM$40)=$AG66,$AC66,""),"")</f>
        <v/>
      </c>
      <c r="GN66" s="1153"/>
      <c r="GO66" s="1153"/>
      <c r="GP66" s="1153"/>
      <c r="GQ66" s="1153" t="str">
        <f>IF($AI66,IF(LARGE($AG$41:$AH$107,GQ$40)=$AG66,$AC66,""),"")</f>
        <v/>
      </c>
      <c r="GR66" s="1153"/>
      <c r="GS66" s="1153"/>
      <c r="GT66" s="1153"/>
      <c r="GU66" s="1153" t="str">
        <f>IF($AI66,IF(LARGE($AG$41:$AH$107,GU$40)=$AG66,$AC66,""),"")</f>
        <v/>
      </c>
      <c r="GV66" s="1153"/>
      <c r="GW66" s="1153"/>
      <c r="GX66" s="1153"/>
      <c r="GY66" s="1153" t="str">
        <f>IF($AI66,IF(LARGE($AG$41:$AH$107,GY$40)=$AG66,$AC66,""),"")</f>
        <v/>
      </c>
      <c r="GZ66" s="1153"/>
      <c r="HA66" s="1153"/>
      <c r="HB66" s="1153"/>
      <c r="HC66" s="1153" t="str">
        <f>IF($AI66,IF(LARGE($AG$41:$AH$107,HC$40)=$AG66,$AC66,""),"")</f>
        <v/>
      </c>
      <c r="HD66" s="1153"/>
      <c r="HE66" s="1153"/>
      <c r="HF66" s="1153"/>
      <c r="HG66" s="1153" t="str">
        <f>IF($AI66,IF(LARGE($AG$41:$AH$107,HG$40)=$AG66,$AC66,""),"")</f>
        <v/>
      </c>
      <c r="HH66" s="1153"/>
      <c r="HI66" s="1153"/>
      <c r="HJ66" s="1153"/>
      <c r="HK66" s="1153" t="str">
        <f>IF($AI66,IF(LARGE($AG$41:$AH$107,HK$40)=$AG66,$AC66,""),"")</f>
        <v/>
      </c>
      <c r="HL66" s="1153"/>
      <c r="HM66" s="1153"/>
      <c r="HN66" s="1153"/>
      <c r="HO66" s="1153" t="str">
        <f>IF($AI66,IF(LARGE($AG$41:$AH$107,HO$40)=$AG66,$AC66,""),"")</f>
        <v/>
      </c>
      <c r="HP66" s="1153"/>
      <c r="HQ66" s="1153"/>
      <c r="HR66" s="1153"/>
      <c r="HS66" s="1153" t="str">
        <f>IF($AI66,IF(LARGE($AG$41:$AH$107,HS$40)=$AG66,$AC66,""),"")</f>
        <v/>
      </c>
      <c r="HT66" s="1153"/>
      <c r="HU66" s="1153"/>
      <c r="HV66" s="1153"/>
      <c r="HW66" s="1153" t="str">
        <f>IF($AI66,IF(LARGE($AG$41:$AH$107,HW$40)=$AG66,$AC66,""),"")</f>
        <v/>
      </c>
      <c r="HX66" s="1153"/>
      <c r="HY66" s="1153"/>
      <c r="HZ66" s="1153"/>
      <c r="IA66" s="1153" t="str">
        <f>IF($AI66,IF(LARGE($AG$41:$AH$107,IA$40)=$AG66,$AC66,""),"")</f>
        <v/>
      </c>
      <c r="IB66" s="1153"/>
      <c r="IC66" s="1153"/>
      <c r="ID66" s="1153"/>
      <c r="IE66" s="1153" t="str">
        <f>IF($AI66,IF(LARGE($AG$41:$AH$107,IE$40)=$AG66,$AC66,""),"")</f>
        <v/>
      </c>
      <c r="IF66" s="1153"/>
      <c r="IG66" s="1153"/>
      <c r="IH66" s="1153"/>
      <c r="II66" s="1153" t="str">
        <f>IF($AI66,IF(LARGE($AG$41:$AH$107,II$40)=$AG66,$AC66,""),"")</f>
        <v/>
      </c>
      <c r="IJ66" s="1153"/>
      <c r="IK66" s="1153"/>
      <c r="IL66" s="1153"/>
      <c r="IM66" s="1153" t="str">
        <f>IF($AI66,IF(LARGE($AG$41:$AH$107,IM$40)=$AG66,$AC66,""),"")</f>
        <v/>
      </c>
      <c r="IN66" s="1153"/>
      <c r="IO66" s="1153"/>
      <c r="IP66" s="1153"/>
      <c r="IQ66" s="1153" t="str">
        <f>IF($AI66,IF(LARGE($AG$41:$AH$107,IQ$40)=$AG66,$AC66,""),"")</f>
        <v/>
      </c>
      <c r="IR66" s="1153"/>
      <c r="IS66" s="1153"/>
      <c r="IT66" s="1153"/>
      <c r="IU66" s="1153" t="str">
        <f>IF($AI66,IF(LARGE($AG$41:$AH$107,IU$40)=$AG66,$AC66,""),"")</f>
        <v/>
      </c>
      <c r="IV66" s="1153"/>
      <c r="IW66" s="1153"/>
      <c r="IX66" s="1153"/>
      <c r="IY66" s="1153" t="str">
        <f>IF($AI66,IF(LARGE($AG$41:$AH$107,IY$40)=$AG66,$AC66,""),"")</f>
        <v/>
      </c>
      <c r="IZ66" s="1153"/>
      <c r="JA66" s="1153"/>
      <c r="JB66" s="1153"/>
      <c r="JC66" s="1153" t="str">
        <f>IF($AI66,IF(LARGE($AG$41:$AH$107,JC$40)=$AG66,$AC66,""),"")</f>
        <v/>
      </c>
      <c r="JD66" s="1153"/>
      <c r="JE66" s="1153"/>
      <c r="JF66" s="1153"/>
      <c r="JG66" s="1153" t="str">
        <f>IF($AI66,IF(LARGE($AG$41:$AH$107,JG$40)=$AG66,$AC66,""),"")</f>
        <v/>
      </c>
      <c r="JH66" s="1153"/>
      <c r="JI66" s="1153"/>
      <c r="JJ66" s="1153"/>
      <c r="JK66" s="1153" t="str">
        <f>IF($AI66,IF(LARGE($AG$41:$AH$107,JK$40)=$AG66,$AC66,""),"")</f>
        <v/>
      </c>
      <c r="JL66" s="1153"/>
      <c r="JM66" s="1153"/>
      <c r="JN66" s="1153"/>
      <c r="JO66" s="1153" t="str">
        <f>IF($AI66,IF(LARGE($AG$41:$AH$107,JO$40)=$AG66,$AC66,""),"")</f>
        <v/>
      </c>
      <c r="JP66" s="1153"/>
      <c r="JQ66" s="1153"/>
      <c r="JR66" s="1153"/>
      <c r="JS66" s="1153" t="str">
        <f>IF($AI66,IF(LARGE($AG$41:$AH$107,JS$40)=$AG66,$AC66,""),"")</f>
        <v/>
      </c>
      <c r="JT66" s="1153"/>
      <c r="JU66" s="1153"/>
      <c r="JV66" s="1153"/>
      <c r="JW66" s="1153" t="str">
        <f>IF($AI66,IF(LARGE($AG$41:$AH$107,JW$40)=$AG66,$AC66,""),"")</f>
        <v/>
      </c>
      <c r="JX66" s="1153"/>
      <c r="JY66" s="1153"/>
      <c r="JZ66" s="1153"/>
      <c r="KA66" s="1153" t="str">
        <f>IF($AI66,IF(LARGE($AG$41:$AH$107,KA$40)=$AG66,$AC66,""),"")</f>
        <v/>
      </c>
      <c r="KB66" s="1153"/>
      <c r="KC66" s="1153"/>
      <c r="KD66" s="1153"/>
      <c r="KE66" s="1153" t="str">
        <f>IF($AI66,IF(LARGE($AG$41:$AH$107,KE$40)=$AG66,$AC66,""),"")</f>
        <v/>
      </c>
      <c r="KF66" s="1153"/>
      <c r="KG66" s="1153"/>
      <c r="KH66" s="1153"/>
      <c r="KI66" s="1153" t="str">
        <f>IF($AI66,IF(LARGE($AG$41:$AH$107,KI$40)=$AG66,$AC66,""),"")</f>
        <v/>
      </c>
      <c r="KJ66" s="1153"/>
      <c r="KK66" s="1153"/>
      <c r="KL66" s="1153"/>
      <c r="KM66" s="1153" t="str">
        <f>IF($AI66,IF(LARGE($AG$41:$AH$107,KM$40)=$AG66,$AC66,""),"")</f>
        <v/>
      </c>
      <c r="KN66" s="1153"/>
      <c r="KO66" s="1153"/>
      <c r="KP66" s="1153"/>
      <c r="KQ66" s="1153" t="str">
        <f>IF($AI66,IF(LARGE($AG$41:$AH$107,KQ$40)=$AG66,$AC66,""),"")</f>
        <v/>
      </c>
      <c r="KR66" s="1153"/>
      <c r="KS66" s="1153"/>
      <c r="KT66" s="1153"/>
    </row>
    <row r="67" spans="8:8">
      <c r="C67" s="1153" t="str">
        <f>IF(F31="","",CONCATENATE(" ",C31,F31,H31))</f>
        <v> 💉急救</v>
      </c>
      <c r="D67" s="1153"/>
      <c r="E67" s="1153"/>
      <c r="F67" s="1153"/>
      <c r="G67" s="1155" t="str">
        <f>IF(AND(L31=0,N31=0),"",IF(ISNONTEXT(D31),"",R31))</f>
        <v/>
      </c>
      <c r="H67" s="1155"/>
      <c r="I67" s="1153" t="str">
        <f>IF(G67=$G$40,C67,"")</f>
        <v/>
      </c>
      <c r="J67" s="1153"/>
      <c r="K67" s="1153"/>
      <c r="L67" s="1153"/>
      <c r="M67" s="1154">
        <f>IF(AND(NOT(N31=0),ISNONTEXT(D31)),1,0)</f>
        <v>0.0</v>
      </c>
      <c r="N67" s="1122"/>
      <c r="O67" s="1122"/>
      <c r="P67" s="1153" t="str">
        <f>IF(F31="","",CONCATENATE(" ",C31,F31,H31))</f>
        <v> 💉急救</v>
      </c>
      <c r="Q67" s="1153"/>
      <c r="R67" s="1153"/>
      <c r="S67" s="1153"/>
      <c r="T67" s="1155" t="str">
        <f>IF(AND(L31=0,P31=0),"",IF(ISNONTEXT(D31),R31,""))</f>
        <v/>
      </c>
      <c r="U67" s="1155"/>
      <c r="V67" s="1153" t="str">
        <f>IF(T67=$T$40,P67,"")</f>
        <v/>
      </c>
      <c r="W67" s="1153"/>
      <c r="X67" s="1153"/>
      <c r="Y67" s="1153"/>
      <c r="AB67" s="1122"/>
      <c r="AC67" s="1153" t="str">
        <f>IF(F31="","",CONCATENATE(C31,F31,H31))</f>
        <v>💉急救</v>
      </c>
      <c r="AD67" s="1153"/>
      <c r="AE67" s="1153"/>
      <c r="AF67" s="1153"/>
      <c r="AG67" s="1155">
        <f>R31</f>
        <v>30.0</v>
      </c>
      <c r="AH67" s="1155"/>
      <c r="AI67" s="1153" t="b">
        <f>IF(AND(OR(ISNUMBER(L31),ISNUMBER(N31),ISNUMBER(P31)),OR(L31&gt;0,N31&gt;0,P31&gt;0)),TRUE,FALSE)</f>
        <v>0</v>
      </c>
      <c r="AJ67" s="1153"/>
      <c r="AK67" s="1153"/>
      <c r="AL67" s="1153"/>
      <c r="AM67" s="1153" t="str">
        <f>IF($AI67,IF(LARGE($AG$41:$AH$107,AM$40)=$AG67,$AC67,""),"")</f>
        <v/>
      </c>
      <c r="AN67" s="1153"/>
      <c r="AO67" s="1153"/>
      <c r="AP67" s="1153"/>
      <c r="AQ67" s="1153" t="str">
        <f>IF($AI67,IF(LARGE($AG$41:$AH$107,AQ$40)=$AG67,$AC67,""),"")</f>
        <v/>
      </c>
      <c r="AR67" s="1153"/>
      <c r="AS67" s="1153"/>
      <c r="AT67" s="1153"/>
      <c r="AU67" s="1153" t="str">
        <f>IF($AI67,IF(LARGE($AG$41:$AH$107,AU$40)=$AG67,$AC67,""),"")</f>
        <v/>
      </c>
      <c r="AV67" s="1153"/>
      <c r="AW67" s="1153"/>
      <c r="AX67" s="1153"/>
      <c r="AY67" s="1153" t="str">
        <f>IF($AI67,IF(LARGE($AG$41:$AH$107,AY$40)=$AG67,$AC67,""),"")</f>
        <v/>
      </c>
      <c r="AZ67" s="1153"/>
      <c r="BA67" s="1153"/>
      <c r="BB67" s="1153"/>
      <c r="BC67" s="1153" t="str">
        <f>IF($AI67,IF(LARGE($AG$41:$AH$107,BC$40)=$AG67,$AC67,""),"")</f>
        <v/>
      </c>
      <c r="BD67" s="1153"/>
      <c r="BE67" s="1153"/>
      <c r="BF67" s="1153"/>
      <c r="BG67" s="1153" t="str">
        <f>IF($AI67,IF(LARGE($AG$41:$AH$107,BG$40)=$AG67,$AC67,""),"")</f>
        <v/>
      </c>
      <c r="BH67" s="1153"/>
      <c r="BI67" s="1153"/>
      <c r="BJ67" s="1153"/>
      <c r="BK67" s="1153" t="str">
        <f>IF($AI67,IF(LARGE($AG$41:$AH$107,BK$40)=$AG67,$AC67,""),"")</f>
        <v/>
      </c>
      <c r="BL67" s="1153"/>
      <c r="BM67" s="1153"/>
      <c r="BN67" s="1153"/>
      <c r="BO67" s="1153" t="str">
        <f>IF($AI67,IF(LARGE($AG$41:$AH$107,BO$40)=$AG67,$AC67,""),"")</f>
        <v/>
      </c>
      <c r="BP67" s="1153"/>
      <c r="BQ67" s="1153"/>
      <c r="BR67" s="1153"/>
      <c r="BS67" s="1153" t="str">
        <f>IF($AI67,IF(LARGE($AG$41:$AH$107,BS$40)=$AG67,$AC67,""),"")</f>
        <v/>
      </c>
      <c r="BT67" s="1153"/>
      <c r="BU67" s="1153"/>
      <c r="BV67" s="1153"/>
      <c r="BW67" s="1153" t="str">
        <f>IF($AI67,IF(LARGE($AG$41:$AH$107,BW$40)=$AG67,$AC67,""),"")</f>
        <v/>
      </c>
      <c r="BX67" s="1153"/>
      <c r="BY67" s="1153"/>
      <c r="BZ67" s="1153"/>
      <c r="CA67" s="1153" t="str">
        <f>IF($AI67,IF(LARGE($AG$41:$AH$107,CA$40)=$AG67,$AC67,""),"")</f>
        <v/>
      </c>
      <c r="CB67" s="1153"/>
      <c r="CC67" s="1153"/>
      <c r="CD67" s="1153"/>
      <c r="CE67" s="1153" t="str">
        <f>IF($AI67,IF(LARGE($AG$41:$AH$107,CE$40)=$AG67,$AC67,""),"")</f>
        <v/>
      </c>
      <c r="CF67" s="1153"/>
      <c r="CG67" s="1153"/>
      <c r="CH67" s="1153"/>
      <c r="CI67" s="1153" t="str">
        <f>IF($AI67,IF(LARGE($AG$41:$AH$107,CI$40)=$AG67,$AC67,""),"")</f>
        <v/>
      </c>
      <c r="CJ67" s="1153"/>
      <c r="CK67" s="1153"/>
      <c r="CL67" s="1153"/>
      <c r="CM67" s="1153" t="str">
        <f>IF($AI67,IF(LARGE($AG$41:$AH$107,CM$40)=$AG67,$AC67,""),"")</f>
        <v/>
      </c>
      <c r="CN67" s="1153"/>
      <c r="CO67" s="1153"/>
      <c r="CP67" s="1153"/>
      <c r="CQ67" s="1153" t="str">
        <f>IF($AI67,IF(LARGE($AG$41:$AH$107,CQ$40)=$AG67,$AC67,""),"")</f>
        <v/>
      </c>
      <c r="CR67" s="1153"/>
      <c r="CS67" s="1153"/>
      <c r="CT67" s="1153"/>
      <c r="CU67" s="1153" t="str">
        <f>IF($AI67,IF(LARGE($AG$41:$AH$107,CU$40)=$AG67,$AC67,""),"")</f>
        <v/>
      </c>
      <c r="CV67" s="1153"/>
      <c r="CW67" s="1153"/>
      <c r="CX67" s="1153"/>
      <c r="CY67" s="1153" t="str">
        <f>IF($AI67,IF(LARGE($AG$41:$AH$107,CY$40)=$AG67,$AC67,""),"")</f>
        <v/>
      </c>
      <c r="CZ67" s="1153"/>
      <c r="DA67" s="1153"/>
      <c r="DB67" s="1153"/>
      <c r="DC67" s="1153" t="str">
        <f>IF($AI67,IF(LARGE($AG$41:$AH$107,DC$40)=$AG67,$AC67,""),"")</f>
        <v/>
      </c>
      <c r="DD67" s="1153"/>
      <c r="DE67" s="1153"/>
      <c r="DF67" s="1153"/>
      <c r="DG67" s="1153" t="str">
        <f>IF($AI67,IF(LARGE($AG$41:$AH$107,DG$40)=$AG67,$AC67,""),"")</f>
        <v/>
      </c>
      <c r="DH67" s="1153"/>
      <c r="DI67" s="1153"/>
      <c r="DJ67" s="1153"/>
      <c r="DK67" s="1153" t="str">
        <f>IF($AI67,IF(LARGE($AG$41:$AH$107,DK$40)=$AG67,$AC67,""),"")</f>
        <v/>
      </c>
      <c r="DL67" s="1153"/>
      <c r="DM67" s="1153"/>
      <c r="DN67" s="1153"/>
      <c r="DO67" s="1153" t="str">
        <f>IF($AI67,IF(LARGE($AG$41:$AH$107,DO$40)=$AG67,$AC67,""),"")</f>
        <v/>
      </c>
      <c r="DP67" s="1153"/>
      <c r="DQ67" s="1153"/>
      <c r="DR67" s="1153"/>
      <c r="DS67" s="1153" t="str">
        <f>IF($AI67,IF(LARGE($AG$41:$AH$107,DS$40)=$AG67,$AC67,""),"")</f>
        <v/>
      </c>
      <c r="DT67" s="1153"/>
      <c r="DU67" s="1153"/>
      <c r="DV67" s="1153"/>
      <c r="DW67" s="1153" t="str">
        <f>IF($AI67,IF(LARGE($AG$41:$AH$107,DW$40)=$AG67,$AC67,""),"")</f>
        <v/>
      </c>
      <c r="DX67" s="1153"/>
      <c r="DY67" s="1153"/>
      <c r="DZ67" s="1153"/>
      <c r="EA67" s="1153" t="str">
        <f>IF($AI67,IF(LARGE($AG$41:$AH$107,EA$40)=$AG67,$AC67,""),"")</f>
        <v/>
      </c>
      <c r="EB67" s="1153"/>
      <c r="EC67" s="1153"/>
      <c r="ED67" s="1153"/>
      <c r="EE67" s="1153" t="str">
        <f>IF($AI67,IF(LARGE($AG$41:$AH$107,EE$40)=$AG67,$AC67,""),"")</f>
        <v/>
      </c>
      <c r="EF67" s="1153"/>
      <c r="EG67" s="1153"/>
      <c r="EH67" s="1153"/>
      <c r="EI67" s="1153" t="str">
        <f>IF($AI67,IF(LARGE($AG$41:$AH$107,EI$40)=$AG67,$AC67,""),"")</f>
        <v/>
      </c>
      <c r="EJ67" s="1153"/>
      <c r="EK67" s="1153"/>
      <c r="EL67" s="1153"/>
      <c r="EM67" s="1153" t="str">
        <f>IF($AI67,IF(LARGE($AG$41:$AH$107,EM$40)=$AG67,$AC67,""),"")</f>
        <v/>
      </c>
      <c r="EN67" s="1153"/>
      <c r="EO67" s="1153"/>
      <c r="EP67" s="1153"/>
      <c r="EQ67" s="1153" t="str">
        <f>IF($AI67,IF(LARGE($AG$41:$AH$107,EQ$40)=$AG67,$AC67,""),"")</f>
        <v/>
      </c>
      <c r="ER67" s="1153"/>
      <c r="ES67" s="1153"/>
      <c r="ET67" s="1153"/>
      <c r="EU67" s="1153" t="str">
        <f>IF($AI67,IF(LARGE($AG$41:$AH$107,EU$40)=$AG67,$AC67,""),"")</f>
        <v/>
      </c>
      <c r="EV67" s="1153"/>
      <c r="EW67" s="1153"/>
      <c r="EX67" s="1153"/>
      <c r="EY67" s="1153" t="str">
        <f>IF($AI67,IF(LARGE($AG$41:$AH$107,EY$40)=$AG67,$AC67,""),"")</f>
        <v/>
      </c>
      <c r="EZ67" s="1153"/>
      <c r="FA67" s="1153"/>
      <c r="FB67" s="1153"/>
      <c r="FC67" s="1153" t="str">
        <f>IF($AI67,IF(LARGE($AG$41:$AH$107,FC$40)=$AG67,$AC67,""),"")</f>
        <v/>
      </c>
      <c r="FD67" s="1153"/>
      <c r="FE67" s="1153"/>
      <c r="FF67" s="1153"/>
      <c r="FG67" s="1153" t="str">
        <f>IF($AI67,IF(LARGE($AG$41:$AH$107,FG$40)=$AG67,$AC67,""),"")</f>
        <v/>
      </c>
      <c r="FH67" s="1153"/>
      <c r="FI67" s="1153"/>
      <c r="FJ67" s="1153"/>
      <c r="FK67" s="1153" t="str">
        <f>IF($AI67,IF(LARGE($AG$41:$AH$107,FK$40)=$AG67,$AC67,""),"")</f>
        <v/>
      </c>
      <c r="FL67" s="1153"/>
      <c r="FM67" s="1153"/>
      <c r="FN67" s="1153"/>
      <c r="FO67" s="1153" t="str">
        <f>IF($AI67,IF(LARGE($AG$41:$AH$107,FO$40)=$AG67,$AC67,""),"")</f>
        <v/>
      </c>
      <c r="FP67" s="1153"/>
      <c r="FQ67" s="1153"/>
      <c r="FR67" s="1153"/>
      <c r="FS67" s="1153" t="str">
        <f>IF($AI67,IF(LARGE($AG$41:$AH$107,FS$40)=$AG67,$AC67,""),"")</f>
        <v/>
      </c>
      <c r="FT67" s="1153"/>
      <c r="FU67" s="1153"/>
      <c r="FV67" s="1153"/>
      <c r="FW67" s="1153" t="str">
        <f>IF($AI67,IF(LARGE($AG$41:$AH$107,FW$40)=$AG67,$AC67,""),"")</f>
        <v/>
      </c>
      <c r="FX67" s="1153"/>
      <c r="FY67" s="1153"/>
      <c r="FZ67" s="1153"/>
      <c r="GA67" s="1153" t="str">
        <f>IF($AI67,IF(LARGE($AG$41:$AH$107,GA$40)=$AG67,$AC67,""),"")</f>
        <v/>
      </c>
      <c r="GB67" s="1153"/>
      <c r="GC67" s="1153"/>
      <c r="GD67" s="1153"/>
      <c r="GE67" s="1153" t="str">
        <f>IF($AI67,IF(LARGE($AG$41:$AH$107,GE$40)=$AG67,$AC67,""),"")</f>
        <v/>
      </c>
      <c r="GF67" s="1153"/>
      <c r="GG67" s="1153"/>
      <c r="GH67" s="1153"/>
      <c r="GI67" s="1153" t="str">
        <f>IF($AI67,IF(LARGE($AG$41:$AH$107,GI$40)=$AG67,$AC67,""),"")</f>
        <v/>
      </c>
      <c r="GJ67" s="1153"/>
      <c r="GK67" s="1153"/>
      <c r="GL67" s="1153"/>
      <c r="GM67" s="1153" t="str">
        <f>IF($AI67,IF(LARGE($AG$41:$AH$107,GM$40)=$AG67,$AC67,""),"")</f>
        <v/>
      </c>
      <c r="GN67" s="1153"/>
      <c r="GO67" s="1153"/>
      <c r="GP67" s="1153"/>
      <c r="GQ67" s="1153" t="str">
        <f>IF($AI67,IF(LARGE($AG$41:$AH$107,GQ$40)=$AG67,$AC67,""),"")</f>
        <v/>
      </c>
      <c r="GR67" s="1153"/>
      <c r="GS67" s="1153"/>
      <c r="GT67" s="1153"/>
      <c r="GU67" s="1153" t="str">
        <f>IF($AI67,IF(LARGE($AG$41:$AH$107,GU$40)=$AG67,$AC67,""),"")</f>
        <v/>
      </c>
      <c r="GV67" s="1153"/>
      <c r="GW67" s="1153"/>
      <c r="GX67" s="1153"/>
      <c r="GY67" s="1153" t="str">
        <f>IF($AI67,IF(LARGE($AG$41:$AH$107,GY$40)=$AG67,$AC67,""),"")</f>
        <v/>
      </c>
      <c r="GZ67" s="1153"/>
      <c r="HA67" s="1153"/>
      <c r="HB67" s="1153"/>
      <c r="HC67" s="1153" t="str">
        <f>IF($AI67,IF(LARGE($AG$41:$AH$107,HC$40)=$AG67,$AC67,""),"")</f>
        <v/>
      </c>
      <c r="HD67" s="1153"/>
      <c r="HE67" s="1153"/>
      <c r="HF67" s="1153"/>
      <c r="HG67" s="1153" t="str">
        <f>IF($AI67,IF(LARGE($AG$41:$AH$107,HG$40)=$AG67,$AC67,""),"")</f>
        <v/>
      </c>
      <c r="HH67" s="1153"/>
      <c r="HI67" s="1153"/>
      <c r="HJ67" s="1153"/>
      <c r="HK67" s="1153" t="str">
        <f>IF($AI67,IF(LARGE($AG$41:$AH$107,HK$40)=$AG67,$AC67,""),"")</f>
        <v/>
      </c>
      <c r="HL67" s="1153"/>
      <c r="HM67" s="1153"/>
      <c r="HN67" s="1153"/>
      <c r="HO67" s="1153" t="str">
        <f>IF($AI67,IF(LARGE($AG$41:$AH$107,HO$40)=$AG67,$AC67,""),"")</f>
        <v/>
      </c>
      <c r="HP67" s="1153"/>
      <c r="HQ67" s="1153"/>
      <c r="HR67" s="1153"/>
      <c r="HS67" s="1153" t="str">
        <f>IF($AI67,IF(LARGE($AG$41:$AH$107,HS$40)=$AG67,$AC67,""),"")</f>
        <v/>
      </c>
      <c r="HT67" s="1153"/>
      <c r="HU67" s="1153"/>
      <c r="HV67" s="1153"/>
      <c r="HW67" s="1153" t="str">
        <f>IF($AI67,IF(LARGE($AG$41:$AH$107,HW$40)=$AG67,$AC67,""),"")</f>
        <v/>
      </c>
      <c r="HX67" s="1153"/>
      <c r="HY67" s="1153"/>
      <c r="HZ67" s="1153"/>
      <c r="IA67" s="1153" t="str">
        <f>IF($AI67,IF(LARGE($AG$41:$AH$107,IA$40)=$AG67,$AC67,""),"")</f>
        <v/>
      </c>
      <c r="IB67" s="1153"/>
      <c r="IC67" s="1153"/>
      <c r="ID67" s="1153"/>
      <c r="IE67" s="1153" t="str">
        <f>IF($AI67,IF(LARGE($AG$41:$AH$107,IE$40)=$AG67,$AC67,""),"")</f>
        <v/>
      </c>
      <c r="IF67" s="1153"/>
      <c r="IG67" s="1153"/>
      <c r="IH67" s="1153"/>
      <c r="II67" s="1153" t="str">
        <f>IF($AI67,IF(LARGE($AG$41:$AH$107,II$40)=$AG67,$AC67,""),"")</f>
        <v/>
      </c>
      <c r="IJ67" s="1153"/>
      <c r="IK67" s="1153"/>
      <c r="IL67" s="1153"/>
      <c r="IM67" s="1153" t="str">
        <f>IF($AI67,IF(LARGE($AG$41:$AH$107,IM$40)=$AG67,$AC67,""),"")</f>
        <v/>
      </c>
      <c r="IN67" s="1153"/>
      <c r="IO67" s="1153"/>
      <c r="IP67" s="1153"/>
      <c r="IQ67" s="1153" t="str">
        <f>IF($AI67,IF(LARGE($AG$41:$AH$107,IQ$40)=$AG67,$AC67,""),"")</f>
        <v/>
      </c>
      <c r="IR67" s="1153"/>
      <c r="IS67" s="1153"/>
      <c r="IT67" s="1153"/>
      <c r="IU67" s="1153" t="str">
        <f>IF($AI67,IF(LARGE($AG$41:$AH$107,IU$40)=$AG67,$AC67,""),"")</f>
        <v/>
      </c>
      <c r="IV67" s="1153"/>
      <c r="IW67" s="1153"/>
      <c r="IX67" s="1153"/>
      <c r="IY67" s="1153" t="str">
        <f>IF($AI67,IF(LARGE($AG$41:$AH$107,IY$40)=$AG67,$AC67,""),"")</f>
        <v/>
      </c>
      <c r="IZ67" s="1153"/>
      <c r="JA67" s="1153"/>
      <c r="JB67" s="1153"/>
      <c r="JC67" s="1153" t="str">
        <f>IF($AI67,IF(LARGE($AG$41:$AH$107,JC$40)=$AG67,$AC67,""),"")</f>
        <v/>
      </c>
      <c r="JD67" s="1153"/>
      <c r="JE67" s="1153"/>
      <c r="JF67" s="1153"/>
      <c r="JG67" s="1153" t="str">
        <f>IF($AI67,IF(LARGE($AG$41:$AH$107,JG$40)=$AG67,$AC67,""),"")</f>
        <v/>
      </c>
      <c r="JH67" s="1153"/>
      <c r="JI67" s="1153"/>
      <c r="JJ67" s="1153"/>
      <c r="JK67" s="1153" t="str">
        <f>IF($AI67,IF(LARGE($AG$41:$AH$107,JK$40)=$AG67,$AC67,""),"")</f>
        <v/>
      </c>
      <c r="JL67" s="1153"/>
      <c r="JM67" s="1153"/>
      <c r="JN67" s="1153"/>
      <c r="JO67" s="1153" t="str">
        <f>IF($AI67,IF(LARGE($AG$41:$AH$107,JO$40)=$AG67,$AC67,""),"")</f>
        <v/>
      </c>
      <c r="JP67" s="1153"/>
      <c r="JQ67" s="1153"/>
      <c r="JR67" s="1153"/>
      <c r="JS67" s="1153" t="str">
        <f>IF($AI67,IF(LARGE($AG$41:$AH$107,JS$40)=$AG67,$AC67,""),"")</f>
        <v/>
      </c>
      <c r="JT67" s="1153"/>
      <c r="JU67" s="1153"/>
      <c r="JV67" s="1153"/>
      <c r="JW67" s="1153" t="str">
        <f>IF($AI67,IF(LARGE($AG$41:$AH$107,JW$40)=$AG67,$AC67,""),"")</f>
        <v/>
      </c>
      <c r="JX67" s="1153"/>
      <c r="JY67" s="1153"/>
      <c r="JZ67" s="1153"/>
      <c r="KA67" s="1153" t="str">
        <f>IF($AI67,IF(LARGE($AG$41:$AH$107,KA$40)=$AG67,$AC67,""),"")</f>
        <v/>
      </c>
      <c r="KB67" s="1153"/>
      <c r="KC67" s="1153"/>
      <c r="KD67" s="1153"/>
      <c r="KE67" s="1153" t="str">
        <f>IF($AI67,IF(LARGE($AG$41:$AH$107,KE$40)=$AG67,$AC67,""),"")</f>
        <v/>
      </c>
      <c r="KF67" s="1153"/>
      <c r="KG67" s="1153"/>
      <c r="KH67" s="1153"/>
      <c r="KI67" s="1153" t="str">
        <f>IF($AI67,IF(LARGE($AG$41:$AH$107,KI$40)=$AG67,$AC67,""),"")</f>
        <v/>
      </c>
      <c r="KJ67" s="1153"/>
      <c r="KK67" s="1153"/>
      <c r="KL67" s="1153"/>
      <c r="KM67" s="1153" t="str">
        <f>IF($AI67,IF(LARGE($AG$41:$AH$107,KM$40)=$AG67,$AC67,""),"")</f>
        <v/>
      </c>
      <c r="KN67" s="1153"/>
      <c r="KO67" s="1153"/>
      <c r="KP67" s="1153"/>
      <c r="KQ67" s="1153" t="str">
        <f>IF($AI67,IF(LARGE($AG$41:$AH$107,KQ$40)=$AG67,$AC67,""),"")</f>
        <v/>
      </c>
      <c r="KR67" s="1153"/>
      <c r="KS67" s="1153"/>
      <c r="KT67" s="1153"/>
    </row>
    <row r="68" spans="8:8">
      <c r="C68" s="1153" t="str">
        <f>IF(F32="","",CONCATENATE(" ",C32,F32,H32))</f>
        <v> ⏳历史</v>
      </c>
      <c r="D68" s="1153"/>
      <c r="E68" s="1153"/>
      <c r="F68" s="1153"/>
      <c r="G68" s="1155" t="str">
        <f>IF(AND(L32=0,N32=0),"",IF(ISNONTEXT(D32),"",R32))</f>
        <v/>
      </c>
      <c r="H68" s="1155"/>
      <c r="I68" s="1153" t="str">
        <f>IF(G68=$G$40,C68,"")</f>
        <v/>
      </c>
      <c r="J68" s="1153"/>
      <c r="K68" s="1153"/>
      <c r="L68" s="1153"/>
      <c r="M68" s="1154">
        <f>IF(AND(NOT(N32=0),ISNONTEXT(D32)),1,0)</f>
        <v>0.0</v>
      </c>
      <c r="N68" s="1122"/>
      <c r="O68" s="1122"/>
      <c r="P68" s="1153" t="str">
        <f>IF(F32="","",CONCATENATE(" ",C32,F32,H32))</f>
        <v> ⏳历史</v>
      </c>
      <c r="Q68" s="1153"/>
      <c r="R68" s="1153"/>
      <c r="S68" s="1153"/>
      <c r="T68" s="1155" t="str">
        <f>IF(AND(L32=0,P32=0),"",IF(ISNONTEXT(D32),R32,""))</f>
        <v/>
      </c>
      <c r="U68" s="1155"/>
      <c r="V68" s="1153" t="str">
        <f>IF(T68=$T$40,P68,"")</f>
        <v/>
      </c>
      <c r="W68" s="1153"/>
      <c r="X68" s="1153"/>
      <c r="Y68" s="1153"/>
      <c r="AB68" s="1122"/>
      <c r="AC68" s="1153" t="str">
        <f>IF(F32="","",CONCATENATE(C32,F32,H32))</f>
        <v>⏳历史</v>
      </c>
      <c r="AD68" s="1153"/>
      <c r="AE68" s="1153"/>
      <c r="AF68" s="1153"/>
      <c r="AG68" s="1155">
        <f>R32</f>
        <v>5.0</v>
      </c>
      <c r="AH68" s="1155"/>
      <c r="AI68" s="1153" t="b">
        <f>IF(AND(OR(ISNUMBER(L32),ISNUMBER(N32),ISNUMBER(P32)),OR(L32&gt;0,N32&gt;0,P32&gt;0)),TRUE,FALSE)</f>
        <v>0</v>
      </c>
      <c r="AJ68" s="1153"/>
      <c r="AK68" s="1153"/>
      <c r="AL68" s="1153"/>
      <c r="AM68" s="1153" t="str">
        <f>IF($AI68,IF(LARGE($AG$41:$AH$107,AM$40)=$AG68,$AC68,""),"")</f>
        <v/>
      </c>
      <c r="AN68" s="1153"/>
      <c r="AO68" s="1153"/>
      <c r="AP68" s="1153"/>
      <c r="AQ68" s="1153" t="str">
        <f>IF($AI68,IF(LARGE($AG$41:$AH$107,AQ$40)=$AG68,$AC68,""),"")</f>
        <v/>
      </c>
      <c r="AR68" s="1153"/>
      <c r="AS68" s="1153"/>
      <c r="AT68" s="1153"/>
      <c r="AU68" s="1153" t="str">
        <f>IF($AI68,IF(LARGE($AG$41:$AH$107,AU$40)=$AG68,$AC68,""),"")</f>
        <v/>
      </c>
      <c r="AV68" s="1153"/>
      <c r="AW68" s="1153"/>
      <c r="AX68" s="1153"/>
      <c r="AY68" s="1153" t="str">
        <f>IF($AI68,IF(LARGE($AG$41:$AH$107,AY$40)=$AG68,$AC68,""),"")</f>
        <v/>
      </c>
      <c r="AZ68" s="1153"/>
      <c r="BA68" s="1153"/>
      <c r="BB68" s="1153"/>
      <c r="BC68" s="1153" t="str">
        <f>IF($AI68,IF(LARGE($AG$41:$AH$107,BC$40)=$AG68,$AC68,""),"")</f>
        <v/>
      </c>
      <c r="BD68" s="1153"/>
      <c r="BE68" s="1153"/>
      <c r="BF68" s="1153"/>
      <c r="BG68" s="1153" t="str">
        <f>IF($AI68,IF(LARGE($AG$41:$AH$107,BG$40)=$AG68,$AC68,""),"")</f>
        <v/>
      </c>
      <c r="BH68" s="1153"/>
      <c r="BI68" s="1153"/>
      <c r="BJ68" s="1153"/>
      <c r="BK68" s="1153" t="str">
        <f>IF($AI68,IF(LARGE($AG$41:$AH$107,BK$40)=$AG68,$AC68,""),"")</f>
        <v/>
      </c>
      <c r="BL68" s="1153"/>
      <c r="BM68" s="1153"/>
      <c r="BN68" s="1153"/>
      <c r="BO68" s="1153" t="str">
        <f>IF($AI68,IF(LARGE($AG$41:$AH$107,BO$40)=$AG68,$AC68,""),"")</f>
        <v/>
      </c>
      <c r="BP68" s="1153"/>
      <c r="BQ68" s="1153"/>
      <c r="BR68" s="1153"/>
      <c r="BS68" s="1153" t="str">
        <f>IF($AI68,IF(LARGE($AG$41:$AH$107,BS$40)=$AG68,$AC68,""),"")</f>
        <v/>
      </c>
      <c r="BT68" s="1153"/>
      <c r="BU68" s="1153"/>
      <c r="BV68" s="1153"/>
      <c r="BW68" s="1153" t="str">
        <f>IF($AI68,IF(LARGE($AG$41:$AH$107,BW$40)=$AG68,$AC68,""),"")</f>
        <v/>
      </c>
      <c r="BX68" s="1153"/>
      <c r="BY68" s="1153"/>
      <c r="BZ68" s="1153"/>
      <c r="CA68" s="1153" t="str">
        <f>IF($AI68,IF(LARGE($AG$41:$AH$107,CA$40)=$AG68,$AC68,""),"")</f>
        <v/>
      </c>
      <c r="CB68" s="1153"/>
      <c r="CC68" s="1153"/>
      <c r="CD68" s="1153"/>
      <c r="CE68" s="1153" t="str">
        <f>IF($AI68,IF(LARGE($AG$41:$AH$107,CE$40)=$AG68,$AC68,""),"")</f>
        <v/>
      </c>
      <c r="CF68" s="1153"/>
      <c r="CG68" s="1153"/>
      <c r="CH68" s="1153"/>
      <c r="CI68" s="1153" t="str">
        <f>IF($AI68,IF(LARGE($AG$41:$AH$107,CI$40)=$AG68,$AC68,""),"")</f>
        <v/>
      </c>
      <c r="CJ68" s="1153"/>
      <c r="CK68" s="1153"/>
      <c r="CL68" s="1153"/>
      <c r="CM68" s="1153" t="str">
        <f>IF($AI68,IF(LARGE($AG$41:$AH$107,CM$40)=$AG68,$AC68,""),"")</f>
        <v/>
      </c>
      <c r="CN68" s="1153"/>
      <c r="CO68" s="1153"/>
      <c r="CP68" s="1153"/>
      <c r="CQ68" s="1153" t="str">
        <f>IF($AI68,IF(LARGE($AG$41:$AH$107,CQ$40)=$AG68,$AC68,""),"")</f>
        <v/>
      </c>
      <c r="CR68" s="1153"/>
      <c r="CS68" s="1153"/>
      <c r="CT68" s="1153"/>
      <c r="CU68" s="1153" t="str">
        <f>IF($AI68,IF(LARGE($AG$41:$AH$107,CU$40)=$AG68,$AC68,""),"")</f>
        <v/>
      </c>
      <c r="CV68" s="1153"/>
      <c r="CW68" s="1153"/>
      <c r="CX68" s="1153"/>
      <c r="CY68" s="1153" t="str">
        <f>IF($AI68,IF(LARGE($AG$41:$AH$107,CY$40)=$AG68,$AC68,""),"")</f>
        <v/>
      </c>
      <c r="CZ68" s="1153"/>
      <c r="DA68" s="1153"/>
      <c r="DB68" s="1153"/>
      <c r="DC68" s="1153" t="str">
        <f>IF($AI68,IF(LARGE($AG$41:$AH$107,DC$40)=$AG68,$AC68,""),"")</f>
        <v/>
      </c>
      <c r="DD68" s="1153"/>
      <c r="DE68" s="1153"/>
      <c r="DF68" s="1153"/>
      <c r="DG68" s="1153" t="str">
        <f>IF($AI68,IF(LARGE($AG$41:$AH$107,DG$40)=$AG68,$AC68,""),"")</f>
        <v/>
      </c>
      <c r="DH68" s="1153"/>
      <c r="DI68" s="1153"/>
      <c r="DJ68" s="1153"/>
      <c r="DK68" s="1153" t="str">
        <f>IF($AI68,IF(LARGE($AG$41:$AH$107,DK$40)=$AG68,$AC68,""),"")</f>
        <v/>
      </c>
      <c r="DL68" s="1153"/>
      <c r="DM68" s="1153"/>
      <c r="DN68" s="1153"/>
      <c r="DO68" s="1153" t="str">
        <f>IF($AI68,IF(LARGE($AG$41:$AH$107,DO$40)=$AG68,$AC68,""),"")</f>
        <v/>
      </c>
      <c r="DP68" s="1153"/>
      <c r="DQ68" s="1153"/>
      <c r="DR68" s="1153"/>
      <c r="DS68" s="1153" t="str">
        <f>IF($AI68,IF(LARGE($AG$41:$AH$107,DS$40)=$AG68,$AC68,""),"")</f>
        <v/>
      </c>
      <c r="DT68" s="1153"/>
      <c r="DU68" s="1153"/>
      <c r="DV68" s="1153"/>
      <c r="DW68" s="1153" t="str">
        <f>IF($AI68,IF(LARGE($AG$41:$AH$107,DW$40)=$AG68,$AC68,""),"")</f>
        <v/>
      </c>
      <c r="DX68" s="1153"/>
      <c r="DY68" s="1153"/>
      <c r="DZ68" s="1153"/>
      <c r="EA68" s="1153" t="str">
        <f>IF($AI68,IF(LARGE($AG$41:$AH$107,EA$40)=$AG68,$AC68,""),"")</f>
        <v/>
      </c>
      <c r="EB68" s="1153"/>
      <c r="EC68" s="1153"/>
      <c r="ED68" s="1153"/>
      <c r="EE68" s="1153" t="str">
        <f>IF($AI68,IF(LARGE($AG$41:$AH$107,EE$40)=$AG68,$AC68,""),"")</f>
        <v/>
      </c>
      <c r="EF68" s="1153"/>
      <c r="EG68" s="1153"/>
      <c r="EH68" s="1153"/>
      <c r="EI68" s="1153" t="str">
        <f>IF($AI68,IF(LARGE($AG$41:$AH$107,EI$40)=$AG68,$AC68,""),"")</f>
        <v/>
      </c>
      <c r="EJ68" s="1153"/>
      <c r="EK68" s="1153"/>
      <c r="EL68" s="1153"/>
      <c r="EM68" s="1153" t="str">
        <f>IF($AI68,IF(LARGE($AG$41:$AH$107,EM$40)=$AG68,$AC68,""),"")</f>
        <v/>
      </c>
      <c r="EN68" s="1153"/>
      <c r="EO68" s="1153"/>
      <c r="EP68" s="1153"/>
      <c r="EQ68" s="1153" t="str">
        <f>IF($AI68,IF(LARGE($AG$41:$AH$107,EQ$40)=$AG68,$AC68,""),"")</f>
        <v/>
      </c>
      <c r="ER68" s="1153"/>
      <c r="ES68" s="1153"/>
      <c r="ET68" s="1153"/>
      <c r="EU68" s="1153" t="str">
        <f>IF($AI68,IF(LARGE($AG$41:$AH$107,EU$40)=$AG68,$AC68,""),"")</f>
        <v/>
      </c>
      <c r="EV68" s="1153"/>
      <c r="EW68" s="1153"/>
      <c r="EX68" s="1153"/>
      <c r="EY68" s="1153" t="str">
        <f>IF($AI68,IF(LARGE($AG$41:$AH$107,EY$40)=$AG68,$AC68,""),"")</f>
        <v/>
      </c>
      <c r="EZ68" s="1153"/>
      <c r="FA68" s="1153"/>
      <c r="FB68" s="1153"/>
      <c r="FC68" s="1153" t="str">
        <f>IF($AI68,IF(LARGE($AG$41:$AH$107,FC$40)=$AG68,$AC68,""),"")</f>
        <v/>
      </c>
      <c r="FD68" s="1153"/>
      <c r="FE68" s="1153"/>
      <c r="FF68" s="1153"/>
      <c r="FG68" s="1153" t="str">
        <f>IF($AI68,IF(LARGE($AG$41:$AH$107,FG$40)=$AG68,$AC68,""),"")</f>
        <v/>
      </c>
      <c r="FH68" s="1153"/>
      <c r="FI68" s="1153"/>
      <c r="FJ68" s="1153"/>
      <c r="FK68" s="1153" t="str">
        <f>IF($AI68,IF(LARGE($AG$41:$AH$107,FK$40)=$AG68,$AC68,""),"")</f>
        <v/>
      </c>
      <c r="FL68" s="1153"/>
      <c r="FM68" s="1153"/>
      <c r="FN68" s="1153"/>
      <c r="FO68" s="1153" t="str">
        <f>IF($AI68,IF(LARGE($AG$41:$AH$107,FO$40)=$AG68,$AC68,""),"")</f>
        <v/>
      </c>
      <c r="FP68" s="1153"/>
      <c r="FQ68" s="1153"/>
      <c r="FR68" s="1153"/>
      <c r="FS68" s="1153" t="str">
        <f>IF($AI68,IF(LARGE($AG$41:$AH$107,FS$40)=$AG68,$AC68,""),"")</f>
        <v/>
      </c>
      <c r="FT68" s="1153"/>
      <c r="FU68" s="1153"/>
      <c r="FV68" s="1153"/>
      <c r="FW68" s="1153" t="str">
        <f>IF($AI68,IF(LARGE($AG$41:$AH$107,FW$40)=$AG68,$AC68,""),"")</f>
        <v/>
      </c>
      <c r="FX68" s="1153"/>
      <c r="FY68" s="1153"/>
      <c r="FZ68" s="1153"/>
      <c r="GA68" s="1153" t="str">
        <f>IF($AI68,IF(LARGE($AG$41:$AH$107,GA$40)=$AG68,$AC68,""),"")</f>
        <v/>
      </c>
      <c r="GB68" s="1153"/>
      <c r="GC68" s="1153"/>
      <c r="GD68" s="1153"/>
      <c r="GE68" s="1153" t="str">
        <f>IF($AI68,IF(LARGE($AG$41:$AH$107,GE$40)=$AG68,$AC68,""),"")</f>
        <v/>
      </c>
      <c r="GF68" s="1153"/>
      <c r="GG68" s="1153"/>
      <c r="GH68" s="1153"/>
      <c r="GI68" s="1153" t="str">
        <f>IF($AI68,IF(LARGE($AG$41:$AH$107,GI$40)=$AG68,$AC68,""),"")</f>
        <v/>
      </c>
      <c r="GJ68" s="1153"/>
      <c r="GK68" s="1153"/>
      <c r="GL68" s="1153"/>
      <c r="GM68" s="1153" t="str">
        <f>IF($AI68,IF(LARGE($AG$41:$AH$107,GM$40)=$AG68,$AC68,""),"")</f>
        <v/>
      </c>
      <c r="GN68" s="1153"/>
      <c r="GO68" s="1153"/>
      <c r="GP68" s="1153"/>
      <c r="GQ68" s="1153" t="str">
        <f>IF($AI68,IF(LARGE($AG$41:$AH$107,GQ$40)=$AG68,$AC68,""),"")</f>
        <v/>
      </c>
      <c r="GR68" s="1153"/>
      <c r="GS68" s="1153"/>
      <c r="GT68" s="1153"/>
      <c r="GU68" s="1153" t="str">
        <f>IF($AI68,IF(LARGE($AG$41:$AH$107,GU$40)=$AG68,$AC68,""),"")</f>
        <v/>
      </c>
      <c r="GV68" s="1153"/>
      <c r="GW68" s="1153"/>
      <c r="GX68" s="1153"/>
      <c r="GY68" s="1153" t="str">
        <f>IF($AI68,IF(LARGE($AG$41:$AH$107,GY$40)=$AG68,$AC68,""),"")</f>
        <v/>
      </c>
      <c r="GZ68" s="1153"/>
      <c r="HA68" s="1153"/>
      <c r="HB68" s="1153"/>
      <c r="HC68" s="1153" t="str">
        <f>IF($AI68,IF(LARGE($AG$41:$AH$107,HC$40)=$AG68,$AC68,""),"")</f>
        <v/>
      </c>
      <c r="HD68" s="1153"/>
      <c r="HE68" s="1153"/>
      <c r="HF68" s="1153"/>
      <c r="HG68" s="1153" t="str">
        <f>IF($AI68,IF(LARGE($AG$41:$AH$107,HG$40)=$AG68,$AC68,""),"")</f>
        <v/>
      </c>
      <c r="HH68" s="1153"/>
      <c r="HI68" s="1153"/>
      <c r="HJ68" s="1153"/>
      <c r="HK68" s="1153" t="str">
        <f>IF($AI68,IF(LARGE($AG$41:$AH$107,HK$40)=$AG68,$AC68,""),"")</f>
        <v/>
      </c>
      <c r="HL68" s="1153"/>
      <c r="HM68" s="1153"/>
      <c r="HN68" s="1153"/>
      <c r="HO68" s="1153" t="str">
        <f>IF($AI68,IF(LARGE($AG$41:$AH$107,HO$40)=$AG68,$AC68,""),"")</f>
        <v/>
      </c>
      <c r="HP68" s="1153"/>
      <c r="HQ68" s="1153"/>
      <c r="HR68" s="1153"/>
      <c r="HS68" s="1153" t="str">
        <f>IF($AI68,IF(LARGE($AG$41:$AH$107,HS$40)=$AG68,$AC68,""),"")</f>
        <v/>
      </c>
      <c r="HT68" s="1153"/>
      <c r="HU68" s="1153"/>
      <c r="HV68" s="1153"/>
      <c r="HW68" s="1153" t="str">
        <f>IF($AI68,IF(LARGE($AG$41:$AH$107,HW$40)=$AG68,$AC68,""),"")</f>
        <v/>
      </c>
      <c r="HX68" s="1153"/>
      <c r="HY68" s="1153"/>
      <c r="HZ68" s="1153"/>
      <c r="IA68" s="1153" t="str">
        <f>IF($AI68,IF(LARGE($AG$41:$AH$107,IA$40)=$AG68,$AC68,""),"")</f>
        <v/>
      </c>
      <c r="IB68" s="1153"/>
      <c r="IC68" s="1153"/>
      <c r="ID68" s="1153"/>
      <c r="IE68" s="1153" t="str">
        <f>IF($AI68,IF(LARGE($AG$41:$AH$107,IE$40)=$AG68,$AC68,""),"")</f>
        <v/>
      </c>
      <c r="IF68" s="1153"/>
      <c r="IG68" s="1153"/>
      <c r="IH68" s="1153"/>
      <c r="II68" s="1153" t="str">
        <f>IF($AI68,IF(LARGE($AG$41:$AH$107,II$40)=$AG68,$AC68,""),"")</f>
        <v/>
      </c>
      <c r="IJ68" s="1153"/>
      <c r="IK68" s="1153"/>
      <c r="IL68" s="1153"/>
      <c r="IM68" s="1153" t="str">
        <f>IF($AI68,IF(LARGE($AG$41:$AH$107,IM$40)=$AG68,$AC68,""),"")</f>
        <v/>
      </c>
      <c r="IN68" s="1153"/>
      <c r="IO68" s="1153"/>
      <c r="IP68" s="1153"/>
      <c r="IQ68" s="1153" t="str">
        <f>IF($AI68,IF(LARGE($AG$41:$AH$107,IQ$40)=$AG68,$AC68,""),"")</f>
        <v/>
      </c>
      <c r="IR68" s="1153"/>
      <c r="IS68" s="1153"/>
      <c r="IT68" s="1153"/>
      <c r="IU68" s="1153" t="str">
        <f>IF($AI68,IF(LARGE($AG$41:$AH$107,IU$40)=$AG68,$AC68,""),"")</f>
        <v/>
      </c>
      <c r="IV68" s="1153"/>
      <c r="IW68" s="1153"/>
      <c r="IX68" s="1153"/>
      <c r="IY68" s="1153" t="str">
        <f>IF($AI68,IF(LARGE($AG$41:$AH$107,IY$40)=$AG68,$AC68,""),"")</f>
        <v/>
      </c>
      <c r="IZ68" s="1153"/>
      <c r="JA68" s="1153"/>
      <c r="JB68" s="1153"/>
      <c r="JC68" s="1153" t="str">
        <f>IF($AI68,IF(LARGE($AG$41:$AH$107,JC$40)=$AG68,$AC68,""),"")</f>
        <v/>
      </c>
      <c r="JD68" s="1153"/>
      <c r="JE68" s="1153"/>
      <c r="JF68" s="1153"/>
      <c r="JG68" s="1153" t="str">
        <f>IF($AI68,IF(LARGE($AG$41:$AH$107,JG$40)=$AG68,$AC68,""),"")</f>
        <v/>
      </c>
      <c r="JH68" s="1153"/>
      <c r="JI68" s="1153"/>
      <c r="JJ68" s="1153"/>
      <c r="JK68" s="1153" t="str">
        <f>IF($AI68,IF(LARGE($AG$41:$AH$107,JK$40)=$AG68,$AC68,""),"")</f>
        <v/>
      </c>
      <c r="JL68" s="1153"/>
      <c r="JM68" s="1153"/>
      <c r="JN68" s="1153"/>
      <c r="JO68" s="1153" t="str">
        <f>IF($AI68,IF(LARGE($AG$41:$AH$107,JO$40)=$AG68,$AC68,""),"")</f>
        <v/>
      </c>
      <c r="JP68" s="1153"/>
      <c r="JQ68" s="1153"/>
      <c r="JR68" s="1153"/>
      <c r="JS68" s="1153" t="str">
        <f>IF($AI68,IF(LARGE($AG$41:$AH$107,JS$40)=$AG68,$AC68,""),"")</f>
        <v/>
      </c>
      <c r="JT68" s="1153"/>
      <c r="JU68" s="1153"/>
      <c r="JV68" s="1153"/>
      <c r="JW68" s="1153" t="str">
        <f>IF($AI68,IF(LARGE($AG$41:$AH$107,JW$40)=$AG68,$AC68,""),"")</f>
        <v/>
      </c>
      <c r="JX68" s="1153"/>
      <c r="JY68" s="1153"/>
      <c r="JZ68" s="1153"/>
      <c r="KA68" s="1153" t="str">
        <f>IF($AI68,IF(LARGE($AG$41:$AH$107,KA$40)=$AG68,$AC68,""),"")</f>
        <v/>
      </c>
      <c r="KB68" s="1153"/>
      <c r="KC68" s="1153"/>
      <c r="KD68" s="1153"/>
      <c r="KE68" s="1153" t="str">
        <f>IF($AI68,IF(LARGE($AG$41:$AH$107,KE$40)=$AG68,$AC68,""),"")</f>
        <v/>
      </c>
      <c r="KF68" s="1153"/>
      <c r="KG68" s="1153"/>
      <c r="KH68" s="1153"/>
      <c r="KI68" s="1153" t="str">
        <f>IF($AI68,IF(LARGE($AG$41:$AH$107,KI$40)=$AG68,$AC68,""),"")</f>
        <v/>
      </c>
      <c r="KJ68" s="1153"/>
      <c r="KK68" s="1153"/>
      <c r="KL68" s="1153"/>
      <c r="KM68" s="1153" t="str">
        <f>IF($AI68,IF(LARGE($AG$41:$AH$107,KM$40)=$AG68,$AC68,""),"")</f>
        <v/>
      </c>
      <c r="KN68" s="1153"/>
      <c r="KO68" s="1153"/>
      <c r="KP68" s="1153"/>
      <c r="KQ68" s="1153" t="str">
        <f>IF($AI68,IF(LARGE($AG$41:$AH$107,KQ$40)=$AG68,$AC68,""),"")</f>
        <v/>
      </c>
      <c r="KR68" s="1153"/>
      <c r="KS68" s="1153"/>
      <c r="KT68" s="1153"/>
    </row>
    <row r="69" spans="8:8">
      <c r="C69" s="1153" t="str">
        <f>IF(F33="","",CONCATENATE(" ",C33,F33,H33))</f>
        <v> 😱恐吓</v>
      </c>
      <c r="D69" s="1153"/>
      <c r="E69" s="1153"/>
      <c r="F69" s="1153"/>
      <c r="G69" s="1155" t="str">
        <f>IF(AND(L33=0,N33=0),"",IF(ISNONTEXT(D33),"",R33))</f>
        <v/>
      </c>
      <c r="H69" s="1155"/>
      <c r="I69" s="1153" t="str">
        <f>IF(G69=$G$40,C69,"")</f>
        <v/>
      </c>
      <c r="J69" s="1153"/>
      <c r="K69" s="1153"/>
      <c r="L69" s="1153"/>
      <c r="M69" s="1154">
        <f>IF(AND(NOT(N33=0),ISNONTEXT(D33)),1,0)</f>
        <v>0.0</v>
      </c>
      <c r="N69" s="1122"/>
      <c r="O69" s="1122"/>
      <c r="P69" s="1153" t="str">
        <f>IF(F33="","",CONCATENATE(" ",C33,F33,H33))</f>
        <v> 😱恐吓</v>
      </c>
      <c r="Q69" s="1153"/>
      <c r="R69" s="1153"/>
      <c r="S69" s="1153"/>
      <c r="T69" s="1155" t="str">
        <f>IF(AND(L33=0,P33=0),"",IF(ISNONTEXT(D33),R33,""))</f>
        <v/>
      </c>
      <c r="U69" s="1155"/>
      <c r="V69" s="1153" t="str">
        <f>IF(T69=$T$40,P69,"")</f>
        <v/>
      </c>
      <c r="W69" s="1153"/>
      <c r="X69" s="1153"/>
      <c r="Y69" s="1153"/>
      <c r="AB69" s="1122"/>
      <c r="AC69" s="1153" t="str">
        <f>IF(F33="","",CONCATENATE(C33,F33,H33))</f>
        <v>😱恐吓</v>
      </c>
      <c r="AD69" s="1153"/>
      <c r="AE69" s="1153"/>
      <c r="AF69" s="1153"/>
      <c r="AG69" s="1155">
        <f>R33</f>
        <v>15.0</v>
      </c>
      <c r="AH69" s="1155"/>
      <c r="AI69" s="1153" t="b">
        <f>IF(AND(OR(ISNUMBER(L33),ISNUMBER(N33),ISNUMBER(P33)),OR(L33&gt;0,N33&gt;0,P33&gt;0)),TRUE,FALSE)</f>
        <v>0</v>
      </c>
      <c r="AJ69" s="1153"/>
      <c r="AK69" s="1153"/>
      <c r="AL69" s="1153"/>
      <c r="AM69" s="1153" t="str">
        <f>IF($AI69,IF(LARGE($AG$41:$AH$107,AM$40)=$AG69,$AC69,""),"")</f>
        <v/>
      </c>
      <c r="AN69" s="1153"/>
      <c r="AO69" s="1153"/>
      <c r="AP69" s="1153"/>
      <c r="AQ69" s="1153" t="str">
        <f>IF($AI69,IF(LARGE($AG$41:$AH$107,AQ$40)=$AG69,$AC69,""),"")</f>
        <v/>
      </c>
      <c r="AR69" s="1153"/>
      <c r="AS69" s="1153"/>
      <c r="AT69" s="1153"/>
      <c r="AU69" s="1153" t="str">
        <f>IF($AI69,IF(LARGE($AG$41:$AH$107,AU$40)=$AG69,$AC69,""),"")</f>
        <v/>
      </c>
      <c r="AV69" s="1153"/>
      <c r="AW69" s="1153"/>
      <c r="AX69" s="1153"/>
      <c r="AY69" s="1153" t="str">
        <f>IF($AI69,IF(LARGE($AG$41:$AH$107,AY$40)=$AG69,$AC69,""),"")</f>
        <v/>
      </c>
      <c r="AZ69" s="1153"/>
      <c r="BA69" s="1153"/>
      <c r="BB69" s="1153"/>
      <c r="BC69" s="1153" t="str">
        <f>IF($AI69,IF(LARGE($AG$41:$AH$107,BC$40)=$AG69,$AC69,""),"")</f>
        <v/>
      </c>
      <c r="BD69" s="1153"/>
      <c r="BE69" s="1153"/>
      <c r="BF69" s="1153"/>
      <c r="BG69" s="1153" t="str">
        <f>IF($AI69,IF(LARGE($AG$41:$AH$107,BG$40)=$AG69,$AC69,""),"")</f>
        <v/>
      </c>
      <c r="BH69" s="1153"/>
      <c r="BI69" s="1153"/>
      <c r="BJ69" s="1153"/>
      <c r="BK69" s="1153" t="str">
        <f>IF($AI69,IF(LARGE($AG$41:$AH$107,BK$40)=$AG69,$AC69,""),"")</f>
        <v/>
      </c>
      <c r="BL69" s="1153"/>
      <c r="BM69" s="1153"/>
      <c r="BN69" s="1153"/>
      <c r="BO69" s="1153" t="str">
        <f>IF($AI69,IF(LARGE($AG$41:$AH$107,BO$40)=$AG69,$AC69,""),"")</f>
        <v/>
      </c>
      <c r="BP69" s="1153"/>
      <c r="BQ69" s="1153"/>
      <c r="BR69" s="1153"/>
      <c r="BS69" s="1153" t="str">
        <f>IF($AI69,IF(LARGE($AG$41:$AH$107,BS$40)=$AG69,$AC69,""),"")</f>
        <v/>
      </c>
      <c r="BT69" s="1153"/>
      <c r="BU69" s="1153"/>
      <c r="BV69" s="1153"/>
      <c r="BW69" s="1153" t="str">
        <f>IF($AI69,IF(LARGE($AG$41:$AH$107,BW$40)=$AG69,$AC69,""),"")</f>
        <v/>
      </c>
      <c r="BX69" s="1153"/>
      <c r="BY69" s="1153"/>
      <c r="BZ69" s="1153"/>
      <c r="CA69" s="1153" t="str">
        <f>IF($AI69,IF(LARGE($AG$41:$AH$107,CA$40)=$AG69,$AC69,""),"")</f>
        <v/>
      </c>
      <c r="CB69" s="1153"/>
      <c r="CC69" s="1153"/>
      <c r="CD69" s="1153"/>
      <c r="CE69" s="1153" t="str">
        <f>IF($AI69,IF(LARGE($AG$41:$AH$107,CE$40)=$AG69,$AC69,""),"")</f>
        <v/>
      </c>
      <c r="CF69" s="1153"/>
      <c r="CG69" s="1153"/>
      <c r="CH69" s="1153"/>
      <c r="CI69" s="1153" t="str">
        <f>IF($AI69,IF(LARGE($AG$41:$AH$107,CI$40)=$AG69,$AC69,""),"")</f>
        <v/>
      </c>
      <c r="CJ69" s="1153"/>
      <c r="CK69" s="1153"/>
      <c r="CL69" s="1153"/>
      <c r="CM69" s="1153" t="str">
        <f>IF($AI69,IF(LARGE($AG$41:$AH$107,CM$40)=$AG69,$AC69,""),"")</f>
        <v/>
      </c>
      <c r="CN69" s="1153"/>
      <c r="CO69" s="1153"/>
      <c r="CP69" s="1153"/>
      <c r="CQ69" s="1153" t="str">
        <f>IF($AI69,IF(LARGE($AG$41:$AH$107,CQ$40)=$AG69,$AC69,""),"")</f>
        <v/>
      </c>
      <c r="CR69" s="1153"/>
      <c r="CS69" s="1153"/>
      <c r="CT69" s="1153"/>
      <c r="CU69" s="1153" t="str">
        <f>IF($AI69,IF(LARGE($AG$41:$AH$107,CU$40)=$AG69,$AC69,""),"")</f>
        <v/>
      </c>
      <c r="CV69" s="1153"/>
      <c r="CW69" s="1153"/>
      <c r="CX69" s="1153"/>
      <c r="CY69" s="1153" t="str">
        <f>IF($AI69,IF(LARGE($AG$41:$AH$107,CY$40)=$AG69,$AC69,""),"")</f>
        <v/>
      </c>
      <c r="CZ69" s="1153"/>
      <c r="DA69" s="1153"/>
      <c r="DB69" s="1153"/>
      <c r="DC69" s="1153" t="str">
        <f>IF($AI69,IF(LARGE($AG$41:$AH$107,DC$40)=$AG69,$AC69,""),"")</f>
        <v/>
      </c>
      <c r="DD69" s="1153"/>
      <c r="DE69" s="1153"/>
      <c r="DF69" s="1153"/>
      <c r="DG69" s="1153" t="str">
        <f>IF($AI69,IF(LARGE($AG$41:$AH$107,DG$40)=$AG69,$AC69,""),"")</f>
        <v/>
      </c>
      <c r="DH69" s="1153"/>
      <c r="DI69" s="1153"/>
      <c r="DJ69" s="1153"/>
      <c r="DK69" s="1153" t="str">
        <f>IF($AI69,IF(LARGE($AG$41:$AH$107,DK$40)=$AG69,$AC69,""),"")</f>
        <v/>
      </c>
      <c r="DL69" s="1153"/>
      <c r="DM69" s="1153"/>
      <c r="DN69" s="1153"/>
      <c r="DO69" s="1153" t="str">
        <f>IF($AI69,IF(LARGE($AG$41:$AH$107,DO$40)=$AG69,$AC69,""),"")</f>
        <v/>
      </c>
      <c r="DP69" s="1153"/>
      <c r="DQ69" s="1153"/>
      <c r="DR69" s="1153"/>
      <c r="DS69" s="1153" t="str">
        <f>IF($AI69,IF(LARGE($AG$41:$AH$107,DS$40)=$AG69,$AC69,""),"")</f>
        <v/>
      </c>
      <c r="DT69" s="1153"/>
      <c r="DU69" s="1153"/>
      <c r="DV69" s="1153"/>
      <c r="DW69" s="1153" t="str">
        <f>IF($AI69,IF(LARGE($AG$41:$AH$107,DW$40)=$AG69,$AC69,""),"")</f>
        <v/>
      </c>
      <c r="DX69" s="1153"/>
      <c r="DY69" s="1153"/>
      <c r="DZ69" s="1153"/>
      <c r="EA69" s="1153" t="str">
        <f>IF($AI69,IF(LARGE($AG$41:$AH$107,EA$40)=$AG69,$AC69,""),"")</f>
        <v/>
      </c>
      <c r="EB69" s="1153"/>
      <c r="EC69" s="1153"/>
      <c r="ED69" s="1153"/>
      <c r="EE69" s="1153" t="str">
        <f>IF($AI69,IF(LARGE($AG$41:$AH$107,EE$40)=$AG69,$AC69,""),"")</f>
        <v/>
      </c>
      <c r="EF69" s="1153"/>
      <c r="EG69" s="1153"/>
      <c r="EH69" s="1153"/>
      <c r="EI69" s="1153" t="str">
        <f>IF($AI69,IF(LARGE($AG$41:$AH$107,EI$40)=$AG69,$AC69,""),"")</f>
        <v/>
      </c>
      <c r="EJ69" s="1153"/>
      <c r="EK69" s="1153"/>
      <c r="EL69" s="1153"/>
      <c r="EM69" s="1153" t="str">
        <f>IF($AI69,IF(LARGE($AG$41:$AH$107,EM$40)=$AG69,$AC69,""),"")</f>
        <v/>
      </c>
      <c r="EN69" s="1153"/>
      <c r="EO69" s="1153"/>
      <c r="EP69" s="1153"/>
      <c r="EQ69" s="1153" t="str">
        <f>IF($AI69,IF(LARGE($AG$41:$AH$107,EQ$40)=$AG69,$AC69,""),"")</f>
        <v/>
      </c>
      <c r="ER69" s="1153"/>
      <c r="ES69" s="1153"/>
      <c r="ET69" s="1153"/>
      <c r="EU69" s="1153" t="str">
        <f>IF($AI69,IF(LARGE($AG$41:$AH$107,EU$40)=$AG69,$AC69,""),"")</f>
        <v/>
      </c>
      <c r="EV69" s="1153"/>
      <c r="EW69" s="1153"/>
      <c r="EX69" s="1153"/>
      <c r="EY69" s="1153" t="str">
        <f>IF($AI69,IF(LARGE($AG$41:$AH$107,EY$40)=$AG69,$AC69,""),"")</f>
        <v/>
      </c>
      <c r="EZ69" s="1153"/>
      <c r="FA69" s="1153"/>
      <c r="FB69" s="1153"/>
      <c r="FC69" s="1153" t="str">
        <f>IF($AI69,IF(LARGE($AG$41:$AH$107,FC$40)=$AG69,$AC69,""),"")</f>
        <v/>
      </c>
      <c r="FD69" s="1153"/>
      <c r="FE69" s="1153"/>
      <c r="FF69" s="1153"/>
      <c r="FG69" s="1153" t="str">
        <f>IF($AI69,IF(LARGE($AG$41:$AH$107,FG$40)=$AG69,$AC69,""),"")</f>
        <v/>
      </c>
      <c r="FH69" s="1153"/>
      <c r="FI69" s="1153"/>
      <c r="FJ69" s="1153"/>
      <c r="FK69" s="1153" t="str">
        <f>IF($AI69,IF(LARGE($AG$41:$AH$107,FK$40)=$AG69,$AC69,""),"")</f>
        <v/>
      </c>
      <c r="FL69" s="1153"/>
      <c r="FM69" s="1153"/>
      <c r="FN69" s="1153"/>
      <c r="FO69" s="1153" t="str">
        <f>IF($AI69,IF(LARGE($AG$41:$AH$107,FO$40)=$AG69,$AC69,""),"")</f>
        <v/>
      </c>
      <c r="FP69" s="1153"/>
      <c r="FQ69" s="1153"/>
      <c r="FR69" s="1153"/>
      <c r="FS69" s="1153" t="str">
        <f>IF($AI69,IF(LARGE($AG$41:$AH$107,FS$40)=$AG69,$AC69,""),"")</f>
        <v/>
      </c>
      <c r="FT69" s="1153"/>
      <c r="FU69" s="1153"/>
      <c r="FV69" s="1153"/>
      <c r="FW69" s="1153" t="str">
        <f>IF($AI69,IF(LARGE($AG$41:$AH$107,FW$40)=$AG69,$AC69,""),"")</f>
        <v/>
      </c>
      <c r="FX69" s="1153"/>
      <c r="FY69" s="1153"/>
      <c r="FZ69" s="1153"/>
      <c r="GA69" s="1153" t="str">
        <f>IF($AI69,IF(LARGE($AG$41:$AH$107,GA$40)=$AG69,$AC69,""),"")</f>
        <v/>
      </c>
      <c r="GB69" s="1153"/>
      <c r="GC69" s="1153"/>
      <c r="GD69" s="1153"/>
      <c r="GE69" s="1153" t="str">
        <f>IF($AI69,IF(LARGE($AG$41:$AH$107,GE$40)=$AG69,$AC69,""),"")</f>
        <v/>
      </c>
      <c r="GF69" s="1153"/>
      <c r="GG69" s="1153"/>
      <c r="GH69" s="1153"/>
      <c r="GI69" s="1153" t="str">
        <f>IF($AI69,IF(LARGE($AG$41:$AH$107,GI$40)=$AG69,$AC69,""),"")</f>
        <v/>
      </c>
      <c r="GJ69" s="1153"/>
      <c r="GK69" s="1153"/>
      <c r="GL69" s="1153"/>
      <c r="GM69" s="1153" t="str">
        <f>IF($AI69,IF(LARGE($AG$41:$AH$107,GM$40)=$AG69,$AC69,""),"")</f>
        <v/>
      </c>
      <c r="GN69" s="1153"/>
      <c r="GO69" s="1153"/>
      <c r="GP69" s="1153"/>
      <c r="GQ69" s="1153" t="str">
        <f>IF($AI69,IF(LARGE($AG$41:$AH$107,GQ$40)=$AG69,$AC69,""),"")</f>
        <v/>
      </c>
      <c r="GR69" s="1153"/>
      <c r="GS69" s="1153"/>
      <c r="GT69" s="1153"/>
      <c r="GU69" s="1153" t="str">
        <f>IF($AI69,IF(LARGE($AG$41:$AH$107,GU$40)=$AG69,$AC69,""),"")</f>
        <v/>
      </c>
      <c r="GV69" s="1153"/>
      <c r="GW69" s="1153"/>
      <c r="GX69" s="1153"/>
      <c r="GY69" s="1153" t="str">
        <f>IF($AI69,IF(LARGE($AG$41:$AH$107,GY$40)=$AG69,$AC69,""),"")</f>
        <v/>
      </c>
      <c r="GZ69" s="1153"/>
      <c r="HA69" s="1153"/>
      <c r="HB69" s="1153"/>
      <c r="HC69" s="1153" t="str">
        <f>IF($AI69,IF(LARGE($AG$41:$AH$107,HC$40)=$AG69,$AC69,""),"")</f>
        <v/>
      </c>
      <c r="HD69" s="1153"/>
      <c r="HE69" s="1153"/>
      <c r="HF69" s="1153"/>
      <c r="HG69" s="1153" t="str">
        <f>IF($AI69,IF(LARGE($AG$41:$AH$107,HG$40)=$AG69,$AC69,""),"")</f>
        <v/>
      </c>
      <c r="HH69" s="1153"/>
      <c r="HI69" s="1153"/>
      <c r="HJ69" s="1153"/>
      <c r="HK69" s="1153" t="str">
        <f>IF($AI69,IF(LARGE($AG$41:$AH$107,HK$40)=$AG69,$AC69,""),"")</f>
        <v/>
      </c>
      <c r="HL69" s="1153"/>
      <c r="HM69" s="1153"/>
      <c r="HN69" s="1153"/>
      <c r="HO69" s="1153" t="str">
        <f>IF($AI69,IF(LARGE($AG$41:$AH$107,HO$40)=$AG69,$AC69,""),"")</f>
        <v/>
      </c>
      <c r="HP69" s="1153"/>
      <c r="HQ69" s="1153"/>
      <c r="HR69" s="1153"/>
      <c r="HS69" s="1153" t="str">
        <f>IF($AI69,IF(LARGE($AG$41:$AH$107,HS$40)=$AG69,$AC69,""),"")</f>
        <v/>
      </c>
      <c r="HT69" s="1153"/>
      <c r="HU69" s="1153"/>
      <c r="HV69" s="1153"/>
      <c r="HW69" s="1153" t="str">
        <f>IF($AI69,IF(LARGE($AG$41:$AH$107,HW$40)=$AG69,$AC69,""),"")</f>
        <v/>
      </c>
      <c r="HX69" s="1153"/>
      <c r="HY69" s="1153"/>
      <c r="HZ69" s="1153"/>
      <c r="IA69" s="1153" t="str">
        <f>IF($AI69,IF(LARGE($AG$41:$AH$107,IA$40)=$AG69,$AC69,""),"")</f>
        <v/>
      </c>
      <c r="IB69" s="1153"/>
      <c r="IC69" s="1153"/>
      <c r="ID69" s="1153"/>
      <c r="IE69" s="1153" t="str">
        <f>IF($AI69,IF(LARGE($AG$41:$AH$107,IE$40)=$AG69,$AC69,""),"")</f>
        <v/>
      </c>
      <c r="IF69" s="1153"/>
      <c r="IG69" s="1153"/>
      <c r="IH69" s="1153"/>
      <c r="II69" s="1153" t="str">
        <f>IF($AI69,IF(LARGE($AG$41:$AH$107,II$40)=$AG69,$AC69,""),"")</f>
        <v/>
      </c>
      <c r="IJ69" s="1153"/>
      <c r="IK69" s="1153"/>
      <c r="IL69" s="1153"/>
      <c r="IM69" s="1153" t="str">
        <f>IF($AI69,IF(LARGE($AG$41:$AH$107,IM$40)=$AG69,$AC69,""),"")</f>
        <v/>
      </c>
      <c r="IN69" s="1153"/>
      <c r="IO69" s="1153"/>
      <c r="IP69" s="1153"/>
      <c r="IQ69" s="1153" t="str">
        <f>IF($AI69,IF(LARGE($AG$41:$AH$107,IQ$40)=$AG69,$AC69,""),"")</f>
        <v/>
      </c>
      <c r="IR69" s="1153"/>
      <c r="IS69" s="1153"/>
      <c r="IT69" s="1153"/>
      <c r="IU69" s="1153" t="str">
        <f>IF($AI69,IF(LARGE($AG$41:$AH$107,IU$40)=$AG69,$AC69,""),"")</f>
        <v/>
      </c>
      <c r="IV69" s="1153"/>
      <c r="IW69" s="1153"/>
      <c r="IX69" s="1153"/>
      <c r="IY69" s="1153" t="str">
        <f>IF($AI69,IF(LARGE($AG$41:$AH$107,IY$40)=$AG69,$AC69,""),"")</f>
        <v/>
      </c>
      <c r="IZ69" s="1153"/>
      <c r="JA69" s="1153"/>
      <c r="JB69" s="1153"/>
      <c r="JC69" s="1153" t="str">
        <f>IF($AI69,IF(LARGE($AG$41:$AH$107,JC$40)=$AG69,$AC69,""),"")</f>
        <v/>
      </c>
      <c r="JD69" s="1153"/>
      <c r="JE69" s="1153"/>
      <c r="JF69" s="1153"/>
      <c r="JG69" s="1153" t="str">
        <f>IF($AI69,IF(LARGE($AG$41:$AH$107,JG$40)=$AG69,$AC69,""),"")</f>
        <v/>
      </c>
      <c r="JH69" s="1153"/>
      <c r="JI69" s="1153"/>
      <c r="JJ69" s="1153"/>
      <c r="JK69" s="1153" t="str">
        <f>IF($AI69,IF(LARGE($AG$41:$AH$107,JK$40)=$AG69,$AC69,""),"")</f>
        <v/>
      </c>
      <c r="JL69" s="1153"/>
      <c r="JM69" s="1153"/>
      <c r="JN69" s="1153"/>
      <c r="JO69" s="1153" t="str">
        <f>IF($AI69,IF(LARGE($AG$41:$AH$107,JO$40)=$AG69,$AC69,""),"")</f>
        <v/>
      </c>
      <c r="JP69" s="1153"/>
      <c r="JQ69" s="1153"/>
      <c r="JR69" s="1153"/>
      <c r="JS69" s="1153" t="str">
        <f>IF($AI69,IF(LARGE($AG$41:$AH$107,JS$40)=$AG69,$AC69,""),"")</f>
        <v/>
      </c>
      <c r="JT69" s="1153"/>
      <c r="JU69" s="1153"/>
      <c r="JV69" s="1153"/>
      <c r="JW69" s="1153" t="str">
        <f>IF($AI69,IF(LARGE($AG$41:$AH$107,JW$40)=$AG69,$AC69,""),"")</f>
        <v/>
      </c>
      <c r="JX69" s="1153"/>
      <c r="JY69" s="1153"/>
      <c r="JZ69" s="1153"/>
      <c r="KA69" s="1153" t="str">
        <f>IF($AI69,IF(LARGE($AG$41:$AH$107,KA$40)=$AG69,$AC69,""),"")</f>
        <v/>
      </c>
      <c r="KB69" s="1153"/>
      <c r="KC69" s="1153"/>
      <c r="KD69" s="1153"/>
      <c r="KE69" s="1153" t="str">
        <f>IF($AI69,IF(LARGE($AG$41:$AH$107,KE$40)=$AG69,$AC69,""),"")</f>
        <v/>
      </c>
      <c r="KF69" s="1153"/>
      <c r="KG69" s="1153"/>
      <c r="KH69" s="1153"/>
      <c r="KI69" s="1153" t="str">
        <f>IF($AI69,IF(LARGE($AG$41:$AH$107,KI$40)=$AG69,$AC69,""),"")</f>
        <v/>
      </c>
      <c r="KJ69" s="1153"/>
      <c r="KK69" s="1153"/>
      <c r="KL69" s="1153"/>
      <c r="KM69" s="1153" t="str">
        <f>IF($AI69,IF(LARGE($AG$41:$AH$107,KM$40)=$AG69,$AC69,""),"")</f>
        <v/>
      </c>
      <c r="KN69" s="1153"/>
      <c r="KO69" s="1153"/>
      <c r="KP69" s="1153"/>
      <c r="KQ69" s="1153" t="str">
        <f>IF($AI69,IF(LARGE($AG$41:$AH$107,KQ$40)=$AG69,$AC69,""),"")</f>
        <v/>
      </c>
      <c r="KR69" s="1153"/>
      <c r="KS69" s="1153"/>
      <c r="KT69" s="1153"/>
    </row>
    <row r="70" spans="8:8">
      <c r="C70" s="1153" t="str">
        <f>IF(F34="","",CONCATENATE(" ",C34,F34,H34))</f>
        <v> 🐸跳跃</v>
      </c>
      <c r="D70" s="1153"/>
      <c r="E70" s="1153"/>
      <c r="F70" s="1153"/>
      <c r="G70" s="1155" t="str">
        <f>IF(AND(L34=0,N34=0),"",IF(ISNONTEXT(D34),"",R34))</f>
        <v/>
      </c>
      <c r="H70" s="1155"/>
      <c r="I70" s="1153" t="str">
        <f>IF(G70=$G$40,C70,"")</f>
        <v/>
      </c>
      <c r="J70" s="1153"/>
      <c r="K70" s="1153"/>
      <c r="L70" s="1153"/>
      <c r="M70" s="1154">
        <f>IF(AND(NOT(N34=0),ISNONTEXT(D34)),1,0)</f>
        <v>0.0</v>
      </c>
      <c r="N70" s="1122"/>
      <c r="O70" s="1122"/>
      <c r="P70" s="1153" t="str">
        <f>IF(F34="","",CONCATENATE(" ",C34,F34,H34))</f>
        <v> 🐸跳跃</v>
      </c>
      <c r="Q70" s="1153"/>
      <c r="R70" s="1153"/>
      <c r="S70" s="1153"/>
      <c r="T70" s="1155" t="str">
        <f>IF(AND(L34=0,P34=0),"",IF(ISNONTEXT(D34),R34,""))</f>
        <v/>
      </c>
      <c r="U70" s="1155"/>
      <c r="V70" s="1153" t="str">
        <f>IF(T70=$T$40,P70,"")</f>
        <v/>
      </c>
      <c r="W70" s="1153"/>
      <c r="X70" s="1153"/>
      <c r="Y70" s="1153"/>
      <c r="AB70" s="1122"/>
      <c r="AC70" s="1153" t="str">
        <f>IF(F34="","",CONCATENATE(C34,F34,H34))</f>
        <v>🐸跳跃</v>
      </c>
      <c r="AD70" s="1153"/>
      <c r="AE70" s="1153"/>
      <c r="AF70" s="1153"/>
      <c r="AG70" s="1155">
        <f>R34</f>
        <v>20.0</v>
      </c>
      <c r="AH70" s="1155"/>
      <c r="AI70" s="1153" t="b">
        <f>IF(AND(OR(ISNUMBER(L34),ISNUMBER(N34),ISNUMBER(P34)),OR(L34&gt;0,N34&gt;0,P34&gt;0)),TRUE,FALSE)</f>
        <v>0</v>
      </c>
      <c r="AJ70" s="1153"/>
      <c r="AK70" s="1153"/>
      <c r="AL70" s="1153"/>
      <c r="AM70" s="1153" t="str">
        <f>IF($AI70,IF(LARGE($AG$41:$AH$107,AM$40)=$AG70,$AC70,""),"")</f>
        <v/>
      </c>
      <c r="AN70" s="1153"/>
      <c r="AO70" s="1153"/>
      <c r="AP70" s="1153"/>
      <c r="AQ70" s="1153" t="str">
        <f>IF($AI70,IF(LARGE($AG$41:$AH$107,AQ$40)=$AG70,$AC70,""),"")</f>
        <v/>
      </c>
      <c r="AR70" s="1153"/>
      <c r="AS70" s="1153"/>
      <c r="AT70" s="1153"/>
      <c r="AU70" s="1153" t="str">
        <f>IF($AI70,IF(LARGE($AG$41:$AH$107,AU$40)=$AG70,$AC70,""),"")</f>
        <v/>
      </c>
      <c r="AV70" s="1153"/>
      <c r="AW70" s="1153"/>
      <c r="AX70" s="1153"/>
      <c r="AY70" s="1153" t="str">
        <f>IF($AI70,IF(LARGE($AG$41:$AH$107,AY$40)=$AG70,$AC70,""),"")</f>
        <v/>
      </c>
      <c r="AZ70" s="1153"/>
      <c r="BA70" s="1153"/>
      <c r="BB70" s="1153"/>
      <c r="BC70" s="1153" t="str">
        <f>IF($AI70,IF(LARGE($AG$41:$AH$107,BC$40)=$AG70,$AC70,""),"")</f>
        <v/>
      </c>
      <c r="BD70" s="1153"/>
      <c r="BE70" s="1153"/>
      <c r="BF70" s="1153"/>
      <c r="BG70" s="1153" t="str">
        <f>IF($AI70,IF(LARGE($AG$41:$AH$107,BG$40)=$AG70,$AC70,""),"")</f>
        <v/>
      </c>
      <c r="BH70" s="1153"/>
      <c r="BI70" s="1153"/>
      <c r="BJ70" s="1153"/>
      <c r="BK70" s="1153" t="str">
        <f>IF($AI70,IF(LARGE($AG$41:$AH$107,BK$40)=$AG70,$AC70,""),"")</f>
        <v/>
      </c>
      <c r="BL70" s="1153"/>
      <c r="BM70" s="1153"/>
      <c r="BN70" s="1153"/>
      <c r="BO70" s="1153" t="str">
        <f>IF($AI70,IF(LARGE($AG$41:$AH$107,BO$40)=$AG70,$AC70,""),"")</f>
        <v/>
      </c>
      <c r="BP70" s="1153"/>
      <c r="BQ70" s="1153"/>
      <c r="BR70" s="1153"/>
      <c r="BS70" s="1153" t="str">
        <f>IF($AI70,IF(LARGE($AG$41:$AH$107,BS$40)=$AG70,$AC70,""),"")</f>
        <v/>
      </c>
      <c r="BT70" s="1153"/>
      <c r="BU70" s="1153"/>
      <c r="BV70" s="1153"/>
      <c r="BW70" s="1153" t="str">
        <f>IF($AI70,IF(LARGE($AG$41:$AH$107,BW$40)=$AG70,$AC70,""),"")</f>
        <v/>
      </c>
      <c r="BX70" s="1153"/>
      <c r="BY70" s="1153"/>
      <c r="BZ70" s="1153"/>
      <c r="CA70" s="1153" t="str">
        <f>IF($AI70,IF(LARGE($AG$41:$AH$107,CA$40)=$AG70,$AC70,""),"")</f>
        <v/>
      </c>
      <c r="CB70" s="1153"/>
      <c r="CC70" s="1153"/>
      <c r="CD70" s="1153"/>
      <c r="CE70" s="1153" t="str">
        <f>IF($AI70,IF(LARGE($AG$41:$AH$107,CE$40)=$AG70,$AC70,""),"")</f>
        <v/>
      </c>
      <c r="CF70" s="1153"/>
      <c r="CG70" s="1153"/>
      <c r="CH70" s="1153"/>
      <c r="CI70" s="1153" t="str">
        <f>IF($AI70,IF(LARGE($AG$41:$AH$107,CI$40)=$AG70,$AC70,""),"")</f>
        <v/>
      </c>
      <c r="CJ70" s="1153"/>
      <c r="CK70" s="1153"/>
      <c r="CL70" s="1153"/>
      <c r="CM70" s="1153" t="str">
        <f>IF($AI70,IF(LARGE($AG$41:$AH$107,CM$40)=$AG70,$AC70,""),"")</f>
        <v/>
      </c>
      <c r="CN70" s="1153"/>
      <c r="CO70" s="1153"/>
      <c r="CP70" s="1153"/>
      <c r="CQ70" s="1153" t="str">
        <f>IF($AI70,IF(LARGE($AG$41:$AH$107,CQ$40)=$AG70,$AC70,""),"")</f>
        <v/>
      </c>
      <c r="CR70" s="1153"/>
      <c r="CS70" s="1153"/>
      <c r="CT70" s="1153"/>
      <c r="CU70" s="1153" t="str">
        <f>IF($AI70,IF(LARGE($AG$41:$AH$107,CU$40)=$AG70,$AC70,""),"")</f>
        <v/>
      </c>
      <c r="CV70" s="1153"/>
      <c r="CW70" s="1153"/>
      <c r="CX70" s="1153"/>
      <c r="CY70" s="1153" t="str">
        <f>IF($AI70,IF(LARGE($AG$41:$AH$107,CY$40)=$AG70,$AC70,""),"")</f>
        <v/>
      </c>
      <c r="CZ70" s="1153"/>
      <c r="DA70" s="1153"/>
      <c r="DB70" s="1153"/>
      <c r="DC70" s="1153" t="str">
        <f>IF($AI70,IF(LARGE($AG$41:$AH$107,DC$40)=$AG70,$AC70,""),"")</f>
        <v/>
      </c>
      <c r="DD70" s="1153"/>
      <c r="DE70" s="1153"/>
      <c r="DF70" s="1153"/>
      <c r="DG70" s="1153" t="str">
        <f>IF($AI70,IF(LARGE($AG$41:$AH$107,DG$40)=$AG70,$AC70,""),"")</f>
        <v/>
      </c>
      <c r="DH70" s="1153"/>
      <c r="DI70" s="1153"/>
      <c r="DJ70" s="1153"/>
      <c r="DK70" s="1153" t="str">
        <f>IF($AI70,IF(LARGE($AG$41:$AH$107,DK$40)=$AG70,$AC70,""),"")</f>
        <v/>
      </c>
      <c r="DL70" s="1153"/>
      <c r="DM70" s="1153"/>
      <c r="DN70" s="1153"/>
      <c r="DO70" s="1153" t="str">
        <f>IF($AI70,IF(LARGE($AG$41:$AH$107,DO$40)=$AG70,$AC70,""),"")</f>
        <v/>
      </c>
      <c r="DP70" s="1153"/>
      <c r="DQ70" s="1153"/>
      <c r="DR70" s="1153"/>
      <c r="DS70" s="1153" t="str">
        <f>IF($AI70,IF(LARGE($AG$41:$AH$107,DS$40)=$AG70,$AC70,""),"")</f>
        <v/>
      </c>
      <c r="DT70" s="1153"/>
      <c r="DU70" s="1153"/>
      <c r="DV70" s="1153"/>
      <c r="DW70" s="1153" t="str">
        <f>IF($AI70,IF(LARGE($AG$41:$AH$107,DW$40)=$AG70,$AC70,""),"")</f>
        <v/>
      </c>
      <c r="DX70" s="1153"/>
      <c r="DY70" s="1153"/>
      <c r="DZ70" s="1153"/>
      <c r="EA70" s="1153" t="str">
        <f>IF($AI70,IF(LARGE($AG$41:$AH$107,EA$40)=$AG70,$AC70,""),"")</f>
        <v/>
      </c>
      <c r="EB70" s="1153"/>
      <c r="EC70" s="1153"/>
      <c r="ED70" s="1153"/>
      <c r="EE70" s="1153" t="str">
        <f>IF($AI70,IF(LARGE($AG$41:$AH$107,EE$40)=$AG70,$AC70,""),"")</f>
        <v/>
      </c>
      <c r="EF70" s="1153"/>
      <c r="EG70" s="1153"/>
      <c r="EH70" s="1153"/>
      <c r="EI70" s="1153" t="str">
        <f>IF($AI70,IF(LARGE($AG$41:$AH$107,EI$40)=$AG70,$AC70,""),"")</f>
        <v/>
      </c>
      <c r="EJ70" s="1153"/>
      <c r="EK70" s="1153"/>
      <c r="EL70" s="1153"/>
      <c r="EM70" s="1153" t="str">
        <f>IF($AI70,IF(LARGE($AG$41:$AH$107,EM$40)=$AG70,$AC70,""),"")</f>
        <v/>
      </c>
      <c r="EN70" s="1153"/>
      <c r="EO70" s="1153"/>
      <c r="EP70" s="1153"/>
      <c r="EQ70" s="1153" t="str">
        <f>IF($AI70,IF(LARGE($AG$41:$AH$107,EQ$40)=$AG70,$AC70,""),"")</f>
        <v/>
      </c>
      <c r="ER70" s="1153"/>
      <c r="ES70" s="1153"/>
      <c r="ET70" s="1153"/>
      <c r="EU70" s="1153" t="str">
        <f>IF($AI70,IF(LARGE($AG$41:$AH$107,EU$40)=$AG70,$AC70,""),"")</f>
        <v/>
      </c>
      <c r="EV70" s="1153"/>
      <c r="EW70" s="1153"/>
      <c r="EX70" s="1153"/>
      <c r="EY70" s="1153" t="str">
        <f>IF($AI70,IF(LARGE($AG$41:$AH$107,EY$40)=$AG70,$AC70,""),"")</f>
        <v/>
      </c>
      <c r="EZ70" s="1153"/>
      <c r="FA70" s="1153"/>
      <c r="FB70" s="1153"/>
      <c r="FC70" s="1153" t="str">
        <f>IF($AI70,IF(LARGE($AG$41:$AH$107,FC$40)=$AG70,$AC70,""),"")</f>
        <v/>
      </c>
      <c r="FD70" s="1153"/>
      <c r="FE70" s="1153"/>
      <c r="FF70" s="1153"/>
      <c r="FG70" s="1153" t="str">
        <f>IF($AI70,IF(LARGE($AG$41:$AH$107,FG$40)=$AG70,$AC70,""),"")</f>
        <v/>
      </c>
      <c r="FH70" s="1153"/>
      <c r="FI70" s="1153"/>
      <c r="FJ70" s="1153"/>
      <c r="FK70" s="1153" t="str">
        <f>IF($AI70,IF(LARGE($AG$41:$AH$107,FK$40)=$AG70,$AC70,""),"")</f>
        <v/>
      </c>
      <c r="FL70" s="1153"/>
      <c r="FM70" s="1153"/>
      <c r="FN70" s="1153"/>
      <c r="FO70" s="1153" t="str">
        <f>IF($AI70,IF(LARGE($AG$41:$AH$107,FO$40)=$AG70,$AC70,""),"")</f>
        <v/>
      </c>
      <c r="FP70" s="1153"/>
      <c r="FQ70" s="1153"/>
      <c r="FR70" s="1153"/>
      <c r="FS70" s="1153" t="str">
        <f>IF($AI70,IF(LARGE($AG$41:$AH$107,FS$40)=$AG70,$AC70,""),"")</f>
        <v/>
      </c>
      <c r="FT70" s="1153"/>
      <c r="FU70" s="1153"/>
      <c r="FV70" s="1153"/>
      <c r="FW70" s="1153" t="str">
        <f>IF($AI70,IF(LARGE($AG$41:$AH$107,FW$40)=$AG70,$AC70,""),"")</f>
        <v/>
      </c>
      <c r="FX70" s="1153"/>
      <c r="FY70" s="1153"/>
      <c r="FZ70" s="1153"/>
      <c r="GA70" s="1153" t="str">
        <f>IF($AI70,IF(LARGE($AG$41:$AH$107,GA$40)=$AG70,$AC70,""),"")</f>
        <v/>
      </c>
      <c r="GB70" s="1153"/>
      <c r="GC70" s="1153"/>
      <c r="GD70" s="1153"/>
      <c r="GE70" s="1153" t="str">
        <f>IF($AI70,IF(LARGE($AG$41:$AH$107,GE$40)=$AG70,$AC70,""),"")</f>
        <v/>
      </c>
      <c r="GF70" s="1153"/>
      <c r="GG70" s="1153"/>
      <c r="GH70" s="1153"/>
      <c r="GI70" s="1153" t="str">
        <f>IF($AI70,IF(LARGE($AG$41:$AH$107,GI$40)=$AG70,$AC70,""),"")</f>
        <v/>
      </c>
      <c r="GJ70" s="1153"/>
      <c r="GK70" s="1153"/>
      <c r="GL70" s="1153"/>
      <c r="GM70" s="1153" t="str">
        <f>IF($AI70,IF(LARGE($AG$41:$AH$107,GM$40)=$AG70,$AC70,""),"")</f>
        <v/>
      </c>
      <c r="GN70" s="1153"/>
      <c r="GO70" s="1153"/>
      <c r="GP70" s="1153"/>
      <c r="GQ70" s="1153" t="str">
        <f>IF($AI70,IF(LARGE($AG$41:$AH$107,GQ$40)=$AG70,$AC70,""),"")</f>
        <v/>
      </c>
      <c r="GR70" s="1153"/>
      <c r="GS70" s="1153"/>
      <c r="GT70" s="1153"/>
      <c r="GU70" s="1153" t="str">
        <f>IF($AI70,IF(LARGE($AG$41:$AH$107,GU$40)=$AG70,$AC70,""),"")</f>
        <v/>
      </c>
      <c r="GV70" s="1153"/>
      <c r="GW70" s="1153"/>
      <c r="GX70" s="1153"/>
      <c r="GY70" s="1153" t="str">
        <f>IF($AI70,IF(LARGE($AG$41:$AH$107,GY$40)=$AG70,$AC70,""),"")</f>
        <v/>
      </c>
      <c r="GZ70" s="1153"/>
      <c r="HA70" s="1153"/>
      <c r="HB70" s="1153"/>
      <c r="HC70" s="1153" t="str">
        <f>IF($AI70,IF(LARGE($AG$41:$AH$107,HC$40)=$AG70,$AC70,""),"")</f>
        <v/>
      </c>
      <c r="HD70" s="1153"/>
      <c r="HE70" s="1153"/>
      <c r="HF70" s="1153"/>
      <c r="HG70" s="1153" t="str">
        <f>IF($AI70,IF(LARGE($AG$41:$AH$107,HG$40)=$AG70,$AC70,""),"")</f>
        <v/>
      </c>
      <c r="HH70" s="1153"/>
      <c r="HI70" s="1153"/>
      <c r="HJ70" s="1153"/>
      <c r="HK70" s="1153" t="str">
        <f>IF($AI70,IF(LARGE($AG$41:$AH$107,HK$40)=$AG70,$AC70,""),"")</f>
        <v/>
      </c>
      <c r="HL70" s="1153"/>
      <c r="HM70" s="1153"/>
      <c r="HN70" s="1153"/>
      <c r="HO70" s="1153" t="str">
        <f>IF($AI70,IF(LARGE($AG$41:$AH$107,HO$40)=$AG70,$AC70,""),"")</f>
        <v/>
      </c>
      <c r="HP70" s="1153"/>
      <c r="HQ70" s="1153"/>
      <c r="HR70" s="1153"/>
      <c r="HS70" s="1153" t="str">
        <f>IF($AI70,IF(LARGE($AG$41:$AH$107,HS$40)=$AG70,$AC70,""),"")</f>
        <v/>
      </c>
      <c r="HT70" s="1153"/>
      <c r="HU70" s="1153"/>
      <c r="HV70" s="1153"/>
      <c r="HW70" s="1153" t="str">
        <f>IF($AI70,IF(LARGE($AG$41:$AH$107,HW$40)=$AG70,$AC70,""),"")</f>
        <v/>
      </c>
      <c r="HX70" s="1153"/>
      <c r="HY70" s="1153"/>
      <c r="HZ70" s="1153"/>
      <c r="IA70" s="1153" t="str">
        <f>IF($AI70,IF(LARGE($AG$41:$AH$107,IA$40)=$AG70,$AC70,""),"")</f>
        <v/>
      </c>
      <c r="IB70" s="1153"/>
      <c r="IC70" s="1153"/>
      <c r="ID70" s="1153"/>
      <c r="IE70" s="1153" t="str">
        <f>IF($AI70,IF(LARGE($AG$41:$AH$107,IE$40)=$AG70,$AC70,""),"")</f>
        <v/>
      </c>
      <c r="IF70" s="1153"/>
      <c r="IG70" s="1153"/>
      <c r="IH70" s="1153"/>
      <c r="II70" s="1153" t="str">
        <f>IF($AI70,IF(LARGE($AG$41:$AH$107,II$40)=$AG70,$AC70,""),"")</f>
        <v/>
      </c>
      <c r="IJ70" s="1153"/>
      <c r="IK70" s="1153"/>
      <c r="IL70" s="1153"/>
      <c r="IM70" s="1153" t="str">
        <f>IF($AI70,IF(LARGE($AG$41:$AH$107,IM$40)=$AG70,$AC70,""),"")</f>
        <v/>
      </c>
      <c r="IN70" s="1153"/>
      <c r="IO70" s="1153"/>
      <c r="IP70" s="1153"/>
      <c r="IQ70" s="1153" t="str">
        <f>IF($AI70,IF(LARGE($AG$41:$AH$107,IQ$40)=$AG70,$AC70,""),"")</f>
        <v/>
      </c>
      <c r="IR70" s="1153"/>
      <c r="IS70" s="1153"/>
      <c r="IT70" s="1153"/>
      <c r="IU70" s="1153" t="str">
        <f>IF($AI70,IF(LARGE($AG$41:$AH$107,IU$40)=$AG70,$AC70,""),"")</f>
        <v/>
      </c>
      <c r="IV70" s="1153"/>
      <c r="IW70" s="1153"/>
      <c r="IX70" s="1153"/>
      <c r="IY70" s="1153" t="str">
        <f>IF($AI70,IF(LARGE($AG$41:$AH$107,IY$40)=$AG70,$AC70,""),"")</f>
        <v/>
      </c>
      <c r="IZ70" s="1153"/>
      <c r="JA70" s="1153"/>
      <c r="JB70" s="1153"/>
      <c r="JC70" s="1153" t="str">
        <f>IF($AI70,IF(LARGE($AG$41:$AH$107,JC$40)=$AG70,$AC70,""),"")</f>
        <v/>
      </c>
      <c r="JD70" s="1153"/>
      <c r="JE70" s="1153"/>
      <c r="JF70" s="1153"/>
      <c r="JG70" s="1153" t="str">
        <f>IF($AI70,IF(LARGE($AG$41:$AH$107,JG$40)=$AG70,$AC70,""),"")</f>
        <v/>
      </c>
      <c r="JH70" s="1153"/>
      <c r="JI70" s="1153"/>
      <c r="JJ70" s="1153"/>
      <c r="JK70" s="1153" t="str">
        <f>IF($AI70,IF(LARGE($AG$41:$AH$107,JK$40)=$AG70,$AC70,""),"")</f>
        <v/>
      </c>
      <c r="JL70" s="1153"/>
      <c r="JM70" s="1153"/>
      <c r="JN70" s="1153"/>
      <c r="JO70" s="1153" t="str">
        <f>IF($AI70,IF(LARGE($AG$41:$AH$107,JO$40)=$AG70,$AC70,""),"")</f>
        <v/>
      </c>
      <c r="JP70" s="1153"/>
      <c r="JQ70" s="1153"/>
      <c r="JR70" s="1153"/>
      <c r="JS70" s="1153" t="str">
        <f>IF($AI70,IF(LARGE($AG$41:$AH$107,JS$40)=$AG70,$AC70,""),"")</f>
        <v/>
      </c>
      <c r="JT70" s="1153"/>
      <c r="JU70" s="1153"/>
      <c r="JV70" s="1153"/>
      <c r="JW70" s="1153" t="str">
        <f>IF($AI70,IF(LARGE($AG$41:$AH$107,JW$40)=$AG70,$AC70,""),"")</f>
        <v/>
      </c>
      <c r="JX70" s="1153"/>
      <c r="JY70" s="1153"/>
      <c r="JZ70" s="1153"/>
      <c r="KA70" s="1153" t="str">
        <f>IF($AI70,IF(LARGE($AG$41:$AH$107,KA$40)=$AG70,$AC70,""),"")</f>
        <v/>
      </c>
      <c r="KB70" s="1153"/>
      <c r="KC70" s="1153"/>
      <c r="KD70" s="1153"/>
      <c r="KE70" s="1153" t="str">
        <f>IF($AI70,IF(LARGE($AG$41:$AH$107,KE$40)=$AG70,$AC70,""),"")</f>
        <v/>
      </c>
      <c r="KF70" s="1153"/>
      <c r="KG70" s="1153"/>
      <c r="KH70" s="1153"/>
      <c r="KI70" s="1153" t="str">
        <f>IF($AI70,IF(LARGE($AG$41:$AH$107,KI$40)=$AG70,$AC70,""),"")</f>
        <v/>
      </c>
      <c r="KJ70" s="1153"/>
      <c r="KK70" s="1153"/>
      <c r="KL70" s="1153"/>
      <c r="KM70" s="1153" t="str">
        <f>IF($AI70,IF(LARGE($AG$41:$AH$107,KM$40)=$AG70,$AC70,""),"")</f>
        <v/>
      </c>
      <c r="KN70" s="1153"/>
      <c r="KO70" s="1153"/>
      <c r="KP70" s="1153"/>
      <c r="KQ70" s="1153" t="str">
        <f>IF($AI70,IF(LARGE($AG$41:$AH$107,KQ$40)=$AG70,$AC70,""),"")</f>
        <v/>
      </c>
      <c r="KR70" s="1153"/>
      <c r="KS70" s="1153"/>
      <c r="KT70" s="1153"/>
    </row>
    <row r="71" spans="8:8">
      <c r="C71" s="1153" t="str">
        <f>IF(F35="","",CONCATENATE(" ",C35,F35,H35))</f>
        <v> 🔅外语①</v>
      </c>
      <c r="D71" s="1153"/>
      <c r="E71" s="1153"/>
      <c r="F71" s="1153"/>
      <c r="G71" s="1155" t="str">
        <f>IF(AND(L35=0,N35=0),"",IF(ISNONTEXT(D35),"",R35))</f>
        <v/>
      </c>
      <c r="H71" s="1155"/>
      <c r="I71" s="1153" t="str">
        <f>IF(G71=$G$40,C71,"")</f>
        <v/>
      </c>
      <c r="J71" s="1153"/>
      <c r="K71" s="1153"/>
      <c r="L71" s="1153"/>
      <c r="M71" s="1154">
        <f>IF(AND(NOT(N35=0),ISNONTEXT(D35)),1,0)</f>
        <v>0.0</v>
      </c>
      <c r="N71" s="1122"/>
      <c r="O71" s="1122"/>
      <c r="P71" s="1153" t="str">
        <f>IF(F35="","",CONCATENATE(" ",C35,F35,H35))</f>
        <v> 🔅外语①</v>
      </c>
      <c r="Q71" s="1153"/>
      <c r="R71" s="1153"/>
      <c r="S71" s="1153"/>
      <c r="T71" s="1155" t="str">
        <f>IF(AND(L35=0,P35=0),"",IF(ISNONTEXT(D35),R35,""))</f>
        <v/>
      </c>
      <c r="U71" s="1155"/>
      <c r="V71" s="1153" t="str">
        <f>IF(T71=$T$40,P71,"")</f>
        <v/>
      </c>
      <c r="W71" s="1153"/>
      <c r="X71" s="1153"/>
      <c r="Y71" s="1153"/>
      <c r="AB71" s="1122"/>
      <c r="AC71" s="1153" t="str">
        <f>IF(F35="","",CONCATENATE(C35,F35,H35))</f>
        <v>🔅外语①</v>
      </c>
      <c r="AD71" s="1153"/>
      <c r="AE71" s="1153"/>
      <c r="AF71" s="1153"/>
      <c r="AG71" s="1155">
        <f>R35</f>
        <v>1.0</v>
      </c>
      <c r="AH71" s="1155"/>
      <c r="AI71" s="1153" t="b">
        <f>IF(AND(OR(ISNUMBER(L35),ISNUMBER(N35),ISNUMBER(P35)),OR(L35&gt;0,N35&gt;0,P35&gt;0)),TRUE,FALSE)</f>
        <v>0</v>
      </c>
      <c r="AJ71" s="1153"/>
      <c r="AK71" s="1153"/>
      <c r="AL71" s="1153"/>
      <c r="AM71" s="1153" t="str">
        <f>IF($AI71,IF(LARGE($AG$41:$AH$107,AM$40)=$AG71,$AC71,""),"")</f>
        <v/>
      </c>
      <c r="AN71" s="1153"/>
      <c r="AO71" s="1153"/>
      <c r="AP71" s="1153"/>
      <c r="AQ71" s="1153" t="str">
        <f>IF($AI71,IF(LARGE($AG$41:$AH$107,AQ$40)=$AG71,$AC71,""),"")</f>
        <v/>
      </c>
      <c r="AR71" s="1153"/>
      <c r="AS71" s="1153"/>
      <c r="AT71" s="1153"/>
      <c r="AU71" s="1153" t="str">
        <f>IF($AI71,IF(LARGE($AG$41:$AH$107,AU$40)=$AG71,$AC71,""),"")</f>
        <v/>
      </c>
      <c r="AV71" s="1153"/>
      <c r="AW71" s="1153"/>
      <c r="AX71" s="1153"/>
      <c r="AY71" s="1153" t="str">
        <f>IF($AI71,IF(LARGE($AG$41:$AH$107,AY$40)=$AG71,$AC71,""),"")</f>
        <v/>
      </c>
      <c r="AZ71" s="1153"/>
      <c r="BA71" s="1153"/>
      <c r="BB71" s="1153"/>
      <c r="BC71" s="1153" t="str">
        <f>IF($AI71,IF(LARGE($AG$41:$AH$107,BC$40)=$AG71,$AC71,""),"")</f>
        <v/>
      </c>
      <c r="BD71" s="1153"/>
      <c r="BE71" s="1153"/>
      <c r="BF71" s="1153"/>
      <c r="BG71" s="1153" t="str">
        <f>IF($AI71,IF(LARGE($AG$41:$AH$107,BG$40)=$AG71,$AC71,""),"")</f>
        <v/>
      </c>
      <c r="BH71" s="1153"/>
      <c r="BI71" s="1153"/>
      <c r="BJ71" s="1153"/>
      <c r="BK71" s="1153" t="str">
        <f>IF($AI71,IF(LARGE($AG$41:$AH$107,BK$40)=$AG71,$AC71,""),"")</f>
        <v/>
      </c>
      <c r="BL71" s="1153"/>
      <c r="BM71" s="1153"/>
      <c r="BN71" s="1153"/>
      <c r="BO71" s="1153" t="str">
        <f>IF($AI71,IF(LARGE($AG$41:$AH$107,BO$40)=$AG71,$AC71,""),"")</f>
        <v/>
      </c>
      <c r="BP71" s="1153"/>
      <c r="BQ71" s="1153"/>
      <c r="BR71" s="1153"/>
      <c r="BS71" s="1153" t="str">
        <f>IF($AI71,IF(LARGE($AG$41:$AH$107,BS$40)=$AG71,$AC71,""),"")</f>
        <v/>
      </c>
      <c r="BT71" s="1153"/>
      <c r="BU71" s="1153"/>
      <c r="BV71" s="1153"/>
      <c r="BW71" s="1153" t="str">
        <f>IF($AI71,IF(LARGE($AG$41:$AH$107,BW$40)=$AG71,$AC71,""),"")</f>
        <v/>
      </c>
      <c r="BX71" s="1153"/>
      <c r="BY71" s="1153"/>
      <c r="BZ71" s="1153"/>
      <c r="CA71" s="1153" t="str">
        <f>IF($AI71,IF(LARGE($AG$41:$AH$107,CA$40)=$AG71,$AC71,""),"")</f>
        <v/>
      </c>
      <c r="CB71" s="1153"/>
      <c r="CC71" s="1153"/>
      <c r="CD71" s="1153"/>
      <c r="CE71" s="1153" t="str">
        <f>IF($AI71,IF(LARGE($AG$41:$AH$107,CE$40)=$AG71,$AC71,""),"")</f>
        <v/>
      </c>
      <c r="CF71" s="1153"/>
      <c r="CG71" s="1153"/>
      <c r="CH71" s="1153"/>
      <c r="CI71" s="1153" t="str">
        <f>IF($AI71,IF(LARGE($AG$41:$AH$107,CI$40)=$AG71,$AC71,""),"")</f>
        <v/>
      </c>
      <c r="CJ71" s="1153"/>
      <c r="CK71" s="1153"/>
      <c r="CL71" s="1153"/>
      <c r="CM71" s="1153" t="str">
        <f>IF($AI71,IF(LARGE($AG$41:$AH$107,CM$40)=$AG71,$AC71,""),"")</f>
        <v/>
      </c>
      <c r="CN71" s="1153"/>
      <c r="CO71" s="1153"/>
      <c r="CP71" s="1153"/>
      <c r="CQ71" s="1153" t="str">
        <f>IF($AI71,IF(LARGE($AG$41:$AH$107,CQ$40)=$AG71,$AC71,""),"")</f>
        <v/>
      </c>
      <c r="CR71" s="1153"/>
      <c r="CS71" s="1153"/>
      <c r="CT71" s="1153"/>
      <c r="CU71" s="1153" t="str">
        <f>IF($AI71,IF(LARGE($AG$41:$AH$107,CU$40)=$AG71,$AC71,""),"")</f>
        <v/>
      </c>
      <c r="CV71" s="1153"/>
      <c r="CW71" s="1153"/>
      <c r="CX71" s="1153"/>
      <c r="CY71" s="1153" t="str">
        <f>IF($AI71,IF(LARGE($AG$41:$AH$107,CY$40)=$AG71,$AC71,""),"")</f>
        <v/>
      </c>
      <c r="CZ71" s="1153"/>
      <c r="DA71" s="1153"/>
      <c r="DB71" s="1153"/>
      <c r="DC71" s="1153" t="str">
        <f>IF($AI71,IF(LARGE($AG$41:$AH$107,DC$40)=$AG71,$AC71,""),"")</f>
        <v/>
      </c>
      <c r="DD71" s="1153"/>
      <c r="DE71" s="1153"/>
      <c r="DF71" s="1153"/>
      <c r="DG71" s="1153" t="str">
        <f>IF($AI71,IF(LARGE($AG$41:$AH$107,DG$40)=$AG71,$AC71,""),"")</f>
        <v/>
      </c>
      <c r="DH71" s="1153"/>
      <c r="DI71" s="1153"/>
      <c r="DJ71" s="1153"/>
      <c r="DK71" s="1153" t="str">
        <f>IF($AI71,IF(LARGE($AG$41:$AH$107,DK$40)=$AG71,$AC71,""),"")</f>
        <v/>
      </c>
      <c r="DL71" s="1153"/>
      <c r="DM71" s="1153"/>
      <c r="DN71" s="1153"/>
      <c r="DO71" s="1153" t="str">
        <f>IF($AI71,IF(LARGE($AG$41:$AH$107,DO$40)=$AG71,$AC71,""),"")</f>
        <v/>
      </c>
      <c r="DP71" s="1153"/>
      <c r="DQ71" s="1153"/>
      <c r="DR71" s="1153"/>
      <c r="DS71" s="1153" t="str">
        <f>IF($AI71,IF(LARGE($AG$41:$AH$107,DS$40)=$AG71,$AC71,""),"")</f>
        <v/>
      </c>
      <c r="DT71" s="1153"/>
      <c r="DU71" s="1153"/>
      <c r="DV71" s="1153"/>
      <c r="DW71" s="1153" t="str">
        <f>IF($AI71,IF(LARGE($AG$41:$AH$107,DW$40)=$AG71,$AC71,""),"")</f>
        <v/>
      </c>
      <c r="DX71" s="1153"/>
      <c r="DY71" s="1153"/>
      <c r="DZ71" s="1153"/>
      <c r="EA71" s="1153" t="str">
        <f>IF($AI71,IF(LARGE($AG$41:$AH$107,EA$40)=$AG71,$AC71,""),"")</f>
        <v/>
      </c>
      <c r="EB71" s="1153"/>
      <c r="EC71" s="1153"/>
      <c r="ED71" s="1153"/>
      <c r="EE71" s="1153" t="str">
        <f>IF($AI71,IF(LARGE($AG$41:$AH$107,EE$40)=$AG71,$AC71,""),"")</f>
        <v/>
      </c>
      <c r="EF71" s="1153"/>
      <c r="EG71" s="1153"/>
      <c r="EH71" s="1153"/>
      <c r="EI71" s="1153" t="str">
        <f>IF($AI71,IF(LARGE($AG$41:$AH$107,EI$40)=$AG71,$AC71,""),"")</f>
        <v/>
      </c>
      <c r="EJ71" s="1153"/>
      <c r="EK71" s="1153"/>
      <c r="EL71" s="1153"/>
      <c r="EM71" s="1153" t="str">
        <f>IF($AI71,IF(LARGE($AG$41:$AH$107,EM$40)=$AG71,$AC71,""),"")</f>
        <v/>
      </c>
      <c r="EN71" s="1153"/>
      <c r="EO71" s="1153"/>
      <c r="EP71" s="1153"/>
      <c r="EQ71" s="1153" t="str">
        <f>IF($AI71,IF(LARGE($AG$41:$AH$107,EQ$40)=$AG71,$AC71,""),"")</f>
        <v/>
      </c>
      <c r="ER71" s="1153"/>
      <c r="ES71" s="1153"/>
      <c r="ET71" s="1153"/>
      <c r="EU71" s="1153" t="str">
        <f>IF($AI71,IF(LARGE($AG$41:$AH$107,EU$40)=$AG71,$AC71,""),"")</f>
        <v/>
      </c>
      <c r="EV71" s="1153"/>
      <c r="EW71" s="1153"/>
      <c r="EX71" s="1153"/>
      <c r="EY71" s="1153" t="str">
        <f>IF($AI71,IF(LARGE($AG$41:$AH$107,EY$40)=$AG71,$AC71,""),"")</f>
        <v/>
      </c>
      <c r="EZ71" s="1153"/>
      <c r="FA71" s="1153"/>
      <c r="FB71" s="1153"/>
      <c r="FC71" s="1153" t="str">
        <f>IF($AI71,IF(LARGE($AG$41:$AH$107,FC$40)=$AG71,$AC71,""),"")</f>
        <v/>
      </c>
      <c r="FD71" s="1153"/>
      <c r="FE71" s="1153"/>
      <c r="FF71" s="1153"/>
      <c r="FG71" s="1153" t="str">
        <f>IF($AI71,IF(LARGE($AG$41:$AH$107,FG$40)=$AG71,$AC71,""),"")</f>
        <v/>
      </c>
      <c r="FH71" s="1153"/>
      <c r="FI71" s="1153"/>
      <c r="FJ71" s="1153"/>
      <c r="FK71" s="1153" t="str">
        <f>IF($AI71,IF(LARGE($AG$41:$AH$107,FK$40)=$AG71,$AC71,""),"")</f>
        <v/>
      </c>
      <c r="FL71" s="1153"/>
      <c r="FM71" s="1153"/>
      <c r="FN71" s="1153"/>
      <c r="FO71" s="1153" t="str">
        <f>IF($AI71,IF(LARGE($AG$41:$AH$107,FO$40)=$AG71,$AC71,""),"")</f>
        <v/>
      </c>
      <c r="FP71" s="1153"/>
      <c r="FQ71" s="1153"/>
      <c r="FR71" s="1153"/>
      <c r="FS71" s="1153" t="str">
        <f>IF($AI71,IF(LARGE($AG$41:$AH$107,FS$40)=$AG71,$AC71,""),"")</f>
        <v/>
      </c>
      <c r="FT71" s="1153"/>
      <c r="FU71" s="1153"/>
      <c r="FV71" s="1153"/>
      <c r="FW71" s="1153" t="str">
        <f>IF($AI71,IF(LARGE($AG$41:$AH$107,FW$40)=$AG71,$AC71,""),"")</f>
        <v/>
      </c>
      <c r="FX71" s="1153"/>
      <c r="FY71" s="1153"/>
      <c r="FZ71" s="1153"/>
      <c r="GA71" s="1153" t="str">
        <f>IF($AI71,IF(LARGE($AG$41:$AH$107,GA$40)=$AG71,$AC71,""),"")</f>
        <v/>
      </c>
      <c r="GB71" s="1153"/>
      <c r="GC71" s="1153"/>
      <c r="GD71" s="1153"/>
      <c r="GE71" s="1153" t="str">
        <f>IF($AI71,IF(LARGE($AG$41:$AH$107,GE$40)=$AG71,$AC71,""),"")</f>
        <v/>
      </c>
      <c r="GF71" s="1153"/>
      <c r="GG71" s="1153"/>
      <c r="GH71" s="1153"/>
      <c r="GI71" s="1153" t="str">
        <f>IF($AI71,IF(LARGE($AG$41:$AH$107,GI$40)=$AG71,$AC71,""),"")</f>
        <v/>
      </c>
      <c r="GJ71" s="1153"/>
      <c r="GK71" s="1153"/>
      <c r="GL71" s="1153"/>
      <c r="GM71" s="1153" t="str">
        <f>IF($AI71,IF(LARGE($AG$41:$AH$107,GM$40)=$AG71,$AC71,""),"")</f>
        <v/>
      </c>
      <c r="GN71" s="1153"/>
      <c r="GO71" s="1153"/>
      <c r="GP71" s="1153"/>
      <c r="GQ71" s="1153" t="str">
        <f>IF($AI71,IF(LARGE($AG$41:$AH$107,GQ$40)=$AG71,$AC71,""),"")</f>
        <v/>
      </c>
      <c r="GR71" s="1153"/>
      <c r="GS71" s="1153"/>
      <c r="GT71" s="1153"/>
      <c r="GU71" s="1153" t="str">
        <f>IF($AI71,IF(LARGE($AG$41:$AH$107,GU$40)=$AG71,$AC71,""),"")</f>
        <v/>
      </c>
      <c r="GV71" s="1153"/>
      <c r="GW71" s="1153"/>
      <c r="GX71" s="1153"/>
      <c r="GY71" s="1153" t="str">
        <f>IF($AI71,IF(LARGE($AG$41:$AH$107,GY$40)=$AG71,$AC71,""),"")</f>
        <v/>
      </c>
      <c r="GZ71" s="1153"/>
      <c r="HA71" s="1153"/>
      <c r="HB71" s="1153"/>
      <c r="HC71" s="1153" t="str">
        <f>IF($AI71,IF(LARGE($AG$41:$AH$107,HC$40)=$AG71,$AC71,""),"")</f>
        <v/>
      </c>
      <c r="HD71" s="1153"/>
      <c r="HE71" s="1153"/>
      <c r="HF71" s="1153"/>
      <c r="HG71" s="1153" t="str">
        <f>IF($AI71,IF(LARGE($AG$41:$AH$107,HG$40)=$AG71,$AC71,""),"")</f>
        <v/>
      </c>
      <c r="HH71" s="1153"/>
      <c r="HI71" s="1153"/>
      <c r="HJ71" s="1153"/>
      <c r="HK71" s="1153" t="str">
        <f>IF($AI71,IF(LARGE($AG$41:$AH$107,HK$40)=$AG71,$AC71,""),"")</f>
        <v/>
      </c>
      <c r="HL71" s="1153"/>
      <c r="HM71" s="1153"/>
      <c r="HN71" s="1153"/>
      <c r="HO71" s="1153" t="str">
        <f>IF($AI71,IF(LARGE($AG$41:$AH$107,HO$40)=$AG71,$AC71,""),"")</f>
        <v/>
      </c>
      <c r="HP71" s="1153"/>
      <c r="HQ71" s="1153"/>
      <c r="HR71" s="1153"/>
      <c r="HS71" s="1153" t="str">
        <f>IF($AI71,IF(LARGE($AG$41:$AH$107,HS$40)=$AG71,$AC71,""),"")</f>
        <v/>
      </c>
      <c r="HT71" s="1153"/>
      <c r="HU71" s="1153"/>
      <c r="HV71" s="1153"/>
      <c r="HW71" s="1153" t="str">
        <f>IF($AI71,IF(LARGE($AG$41:$AH$107,HW$40)=$AG71,$AC71,""),"")</f>
        <v/>
      </c>
      <c r="HX71" s="1153"/>
      <c r="HY71" s="1153"/>
      <c r="HZ71" s="1153"/>
      <c r="IA71" s="1153" t="str">
        <f>IF($AI71,IF(LARGE($AG$41:$AH$107,IA$40)=$AG71,$AC71,""),"")</f>
        <v/>
      </c>
      <c r="IB71" s="1153"/>
      <c r="IC71" s="1153"/>
      <c r="ID71" s="1153"/>
      <c r="IE71" s="1153" t="str">
        <f>IF($AI71,IF(LARGE($AG$41:$AH$107,IE$40)=$AG71,$AC71,""),"")</f>
        <v/>
      </c>
      <c r="IF71" s="1153"/>
      <c r="IG71" s="1153"/>
      <c r="IH71" s="1153"/>
      <c r="II71" s="1153" t="str">
        <f>IF($AI71,IF(LARGE($AG$41:$AH$107,II$40)=$AG71,$AC71,""),"")</f>
        <v/>
      </c>
      <c r="IJ71" s="1153"/>
      <c r="IK71" s="1153"/>
      <c r="IL71" s="1153"/>
      <c r="IM71" s="1153" t="str">
        <f>IF($AI71,IF(LARGE($AG$41:$AH$107,IM$40)=$AG71,$AC71,""),"")</f>
        <v/>
      </c>
      <c r="IN71" s="1153"/>
      <c r="IO71" s="1153"/>
      <c r="IP71" s="1153"/>
      <c r="IQ71" s="1153" t="str">
        <f>IF($AI71,IF(LARGE($AG$41:$AH$107,IQ$40)=$AG71,$AC71,""),"")</f>
        <v/>
      </c>
      <c r="IR71" s="1153"/>
      <c r="IS71" s="1153"/>
      <c r="IT71" s="1153"/>
      <c r="IU71" s="1153" t="str">
        <f>IF($AI71,IF(LARGE($AG$41:$AH$107,IU$40)=$AG71,$AC71,""),"")</f>
        <v/>
      </c>
      <c r="IV71" s="1153"/>
      <c r="IW71" s="1153"/>
      <c r="IX71" s="1153"/>
      <c r="IY71" s="1153" t="str">
        <f>IF($AI71,IF(LARGE($AG$41:$AH$107,IY$40)=$AG71,$AC71,""),"")</f>
        <v/>
      </c>
      <c r="IZ71" s="1153"/>
      <c r="JA71" s="1153"/>
      <c r="JB71" s="1153"/>
      <c r="JC71" s="1153" t="str">
        <f>IF($AI71,IF(LARGE($AG$41:$AH$107,JC$40)=$AG71,$AC71,""),"")</f>
        <v/>
      </c>
      <c r="JD71" s="1153"/>
      <c r="JE71" s="1153"/>
      <c r="JF71" s="1153"/>
      <c r="JG71" s="1153" t="str">
        <f>IF($AI71,IF(LARGE($AG$41:$AH$107,JG$40)=$AG71,$AC71,""),"")</f>
        <v/>
      </c>
      <c r="JH71" s="1153"/>
      <c r="JI71" s="1153"/>
      <c r="JJ71" s="1153"/>
      <c r="JK71" s="1153" t="str">
        <f>IF($AI71,IF(LARGE($AG$41:$AH$107,JK$40)=$AG71,$AC71,""),"")</f>
        <v/>
      </c>
      <c r="JL71" s="1153"/>
      <c r="JM71" s="1153"/>
      <c r="JN71" s="1153"/>
      <c r="JO71" s="1153" t="str">
        <f>IF($AI71,IF(LARGE($AG$41:$AH$107,JO$40)=$AG71,$AC71,""),"")</f>
        <v/>
      </c>
      <c r="JP71" s="1153"/>
      <c r="JQ71" s="1153"/>
      <c r="JR71" s="1153"/>
      <c r="JS71" s="1153" t="str">
        <f>IF($AI71,IF(LARGE($AG$41:$AH$107,JS$40)=$AG71,$AC71,""),"")</f>
        <v/>
      </c>
      <c r="JT71" s="1153"/>
      <c r="JU71" s="1153"/>
      <c r="JV71" s="1153"/>
      <c r="JW71" s="1153" t="str">
        <f>IF($AI71,IF(LARGE($AG$41:$AH$107,JW$40)=$AG71,$AC71,""),"")</f>
        <v/>
      </c>
      <c r="JX71" s="1153"/>
      <c r="JY71" s="1153"/>
      <c r="JZ71" s="1153"/>
      <c r="KA71" s="1153" t="str">
        <f>IF($AI71,IF(LARGE($AG$41:$AH$107,KA$40)=$AG71,$AC71,""),"")</f>
        <v/>
      </c>
      <c r="KB71" s="1153"/>
      <c r="KC71" s="1153"/>
      <c r="KD71" s="1153"/>
      <c r="KE71" s="1153" t="str">
        <f>IF($AI71,IF(LARGE($AG$41:$AH$107,KE$40)=$AG71,$AC71,""),"")</f>
        <v/>
      </c>
      <c r="KF71" s="1153"/>
      <c r="KG71" s="1153"/>
      <c r="KH71" s="1153"/>
      <c r="KI71" s="1153" t="str">
        <f>IF($AI71,IF(LARGE($AG$41:$AH$107,KI$40)=$AG71,$AC71,""),"")</f>
        <v/>
      </c>
      <c r="KJ71" s="1153"/>
      <c r="KK71" s="1153"/>
      <c r="KL71" s="1153"/>
      <c r="KM71" s="1153" t="str">
        <f>IF($AI71,IF(LARGE($AG$41:$AH$107,KM$40)=$AG71,$AC71,""),"")</f>
        <v/>
      </c>
      <c r="KN71" s="1153"/>
      <c r="KO71" s="1153"/>
      <c r="KP71" s="1153"/>
      <c r="KQ71" s="1153" t="str">
        <f>IF($AI71,IF(LARGE($AG$41:$AH$107,KQ$40)=$AG71,$AC71,""),"")</f>
        <v/>
      </c>
      <c r="KR71" s="1153"/>
      <c r="KS71" s="1153"/>
      <c r="KT71" s="1153"/>
    </row>
    <row r="72" spans="8:8">
      <c r="C72" s="1153" t="str">
        <f>IF(F36="","",CONCATENATE(" ",C36,F36,H36))</f>
        <v> 🔅外语②</v>
      </c>
      <c r="D72" s="1153"/>
      <c r="E72" s="1153"/>
      <c r="F72" s="1153"/>
      <c r="G72" s="1155" t="str">
        <f>IF(AND(L36=0,N36=0),"",IF(ISNONTEXT(D36),"",R36))</f>
        <v/>
      </c>
      <c r="H72" s="1155"/>
      <c r="I72" s="1153" t="str">
        <f>IF(G72=$G$40,C72,"")</f>
        <v/>
      </c>
      <c r="J72" s="1153"/>
      <c r="K72" s="1153"/>
      <c r="L72" s="1153"/>
      <c r="M72" s="1154">
        <f>IF(AND(NOT(N36=0),ISNONTEXT(D36)),1,0)</f>
        <v>0.0</v>
      </c>
      <c r="N72" s="1122"/>
      <c r="O72" s="1122"/>
      <c r="P72" s="1153" t="str">
        <f>IF(F36="","",CONCATENATE(" ",C36,F36,H36))</f>
        <v> 🔅外语②</v>
      </c>
      <c r="Q72" s="1153"/>
      <c r="R72" s="1153"/>
      <c r="S72" s="1153"/>
      <c r="T72" s="1155" t="str">
        <f>IF(AND(L36=0,P36=0),"",IF(ISNONTEXT(D36),R36,""))</f>
        <v/>
      </c>
      <c r="U72" s="1155"/>
      <c r="V72" s="1153" t="str">
        <f>IF(T72=$T$40,P72,"")</f>
        <v/>
      </c>
      <c r="W72" s="1153"/>
      <c r="X72" s="1153"/>
      <c r="Y72" s="1153"/>
      <c r="AB72" s="1122"/>
      <c r="AC72" s="1153" t="str">
        <f>IF(F36="","",CONCATENATE(C36,F36,H36))</f>
        <v>🔅外语②</v>
      </c>
      <c r="AD72" s="1153"/>
      <c r="AE72" s="1153"/>
      <c r="AF72" s="1153"/>
      <c r="AG72" s="1155">
        <f>R36</f>
        <v>1.0</v>
      </c>
      <c r="AH72" s="1155"/>
      <c r="AI72" s="1153" t="b">
        <f>IF(AND(OR(ISNUMBER(L36),ISNUMBER(N36),ISNUMBER(P36)),OR(L36&gt;0,N36&gt;0,P36&gt;0)),TRUE,FALSE)</f>
        <v>0</v>
      </c>
      <c r="AJ72" s="1153"/>
      <c r="AK72" s="1153"/>
      <c r="AL72" s="1153"/>
      <c r="AM72" s="1153" t="str">
        <f>IF($AI72,IF(LARGE($AG$41:$AH$107,AM$40)=$AG72,$AC72,""),"")</f>
        <v/>
      </c>
      <c r="AN72" s="1153"/>
      <c r="AO72" s="1153"/>
      <c r="AP72" s="1153"/>
      <c r="AQ72" s="1153" t="str">
        <f>IF($AI72,IF(LARGE($AG$41:$AH$107,AQ$40)=$AG72,$AC72,""),"")</f>
        <v/>
      </c>
      <c r="AR72" s="1153"/>
      <c r="AS72" s="1153"/>
      <c r="AT72" s="1153"/>
      <c r="AU72" s="1153" t="str">
        <f>IF($AI72,IF(LARGE($AG$41:$AH$107,AU$40)=$AG72,$AC72,""),"")</f>
        <v/>
      </c>
      <c r="AV72" s="1153"/>
      <c r="AW72" s="1153"/>
      <c r="AX72" s="1153"/>
      <c r="AY72" s="1153" t="str">
        <f>IF($AI72,IF(LARGE($AG$41:$AH$107,AY$40)=$AG72,$AC72,""),"")</f>
        <v/>
      </c>
      <c r="AZ72" s="1153"/>
      <c r="BA72" s="1153"/>
      <c r="BB72" s="1153"/>
      <c r="BC72" s="1153" t="str">
        <f>IF($AI72,IF(LARGE($AG$41:$AH$107,BC$40)=$AG72,$AC72,""),"")</f>
        <v/>
      </c>
      <c r="BD72" s="1153"/>
      <c r="BE72" s="1153"/>
      <c r="BF72" s="1153"/>
      <c r="BG72" s="1153" t="str">
        <f>IF($AI72,IF(LARGE($AG$41:$AH$107,BG$40)=$AG72,$AC72,""),"")</f>
        <v/>
      </c>
      <c r="BH72" s="1153"/>
      <c r="BI72" s="1153"/>
      <c r="BJ72" s="1153"/>
      <c r="BK72" s="1153" t="str">
        <f>IF($AI72,IF(LARGE($AG$41:$AH$107,BK$40)=$AG72,$AC72,""),"")</f>
        <v/>
      </c>
      <c r="BL72" s="1153"/>
      <c r="BM72" s="1153"/>
      <c r="BN72" s="1153"/>
      <c r="BO72" s="1153" t="str">
        <f>IF($AI72,IF(LARGE($AG$41:$AH$107,BO$40)=$AG72,$AC72,""),"")</f>
        <v/>
      </c>
      <c r="BP72" s="1153"/>
      <c r="BQ72" s="1153"/>
      <c r="BR72" s="1153"/>
      <c r="BS72" s="1153" t="str">
        <f>IF($AI72,IF(LARGE($AG$41:$AH$107,BS$40)=$AG72,$AC72,""),"")</f>
        <v/>
      </c>
      <c r="BT72" s="1153"/>
      <c r="BU72" s="1153"/>
      <c r="BV72" s="1153"/>
      <c r="BW72" s="1153" t="str">
        <f>IF($AI72,IF(LARGE($AG$41:$AH$107,BW$40)=$AG72,$AC72,""),"")</f>
        <v/>
      </c>
      <c r="BX72" s="1153"/>
      <c r="BY72" s="1153"/>
      <c r="BZ72" s="1153"/>
      <c r="CA72" s="1153" t="str">
        <f>IF($AI72,IF(LARGE($AG$41:$AH$107,CA$40)=$AG72,$AC72,""),"")</f>
        <v/>
      </c>
      <c r="CB72" s="1153"/>
      <c r="CC72" s="1153"/>
      <c r="CD72" s="1153"/>
      <c r="CE72" s="1153" t="str">
        <f>IF($AI72,IF(LARGE($AG$41:$AH$107,CE$40)=$AG72,$AC72,""),"")</f>
        <v/>
      </c>
      <c r="CF72" s="1153"/>
      <c r="CG72" s="1153"/>
      <c r="CH72" s="1153"/>
      <c r="CI72" s="1153" t="str">
        <f>IF($AI72,IF(LARGE($AG$41:$AH$107,CI$40)=$AG72,$AC72,""),"")</f>
        <v/>
      </c>
      <c r="CJ72" s="1153"/>
      <c r="CK72" s="1153"/>
      <c r="CL72" s="1153"/>
      <c r="CM72" s="1153" t="str">
        <f>IF($AI72,IF(LARGE($AG$41:$AH$107,CM$40)=$AG72,$AC72,""),"")</f>
        <v/>
      </c>
      <c r="CN72" s="1153"/>
      <c r="CO72" s="1153"/>
      <c r="CP72" s="1153"/>
      <c r="CQ72" s="1153" t="str">
        <f>IF($AI72,IF(LARGE($AG$41:$AH$107,CQ$40)=$AG72,$AC72,""),"")</f>
        <v/>
      </c>
      <c r="CR72" s="1153"/>
      <c r="CS72" s="1153"/>
      <c r="CT72" s="1153"/>
      <c r="CU72" s="1153" t="str">
        <f>IF($AI72,IF(LARGE($AG$41:$AH$107,CU$40)=$AG72,$AC72,""),"")</f>
        <v/>
      </c>
      <c r="CV72" s="1153"/>
      <c r="CW72" s="1153"/>
      <c r="CX72" s="1153"/>
      <c r="CY72" s="1153" t="str">
        <f>IF($AI72,IF(LARGE($AG$41:$AH$107,CY$40)=$AG72,$AC72,""),"")</f>
        <v/>
      </c>
      <c r="CZ72" s="1153"/>
      <c r="DA72" s="1153"/>
      <c r="DB72" s="1153"/>
      <c r="DC72" s="1153" t="str">
        <f>IF($AI72,IF(LARGE($AG$41:$AH$107,DC$40)=$AG72,$AC72,""),"")</f>
        <v/>
      </c>
      <c r="DD72" s="1153"/>
      <c r="DE72" s="1153"/>
      <c r="DF72" s="1153"/>
      <c r="DG72" s="1153" t="str">
        <f>IF($AI72,IF(LARGE($AG$41:$AH$107,DG$40)=$AG72,$AC72,""),"")</f>
        <v/>
      </c>
      <c r="DH72" s="1153"/>
      <c r="DI72" s="1153"/>
      <c r="DJ72" s="1153"/>
      <c r="DK72" s="1153" t="str">
        <f>IF($AI72,IF(LARGE($AG$41:$AH$107,DK$40)=$AG72,$AC72,""),"")</f>
        <v/>
      </c>
      <c r="DL72" s="1153"/>
      <c r="DM72" s="1153"/>
      <c r="DN72" s="1153"/>
      <c r="DO72" s="1153" t="str">
        <f>IF($AI72,IF(LARGE($AG$41:$AH$107,DO$40)=$AG72,$AC72,""),"")</f>
        <v/>
      </c>
      <c r="DP72" s="1153"/>
      <c r="DQ72" s="1153"/>
      <c r="DR72" s="1153"/>
      <c r="DS72" s="1153" t="str">
        <f>IF($AI72,IF(LARGE($AG$41:$AH$107,DS$40)=$AG72,$AC72,""),"")</f>
        <v/>
      </c>
      <c r="DT72" s="1153"/>
      <c r="DU72" s="1153"/>
      <c r="DV72" s="1153"/>
      <c r="DW72" s="1153" t="str">
        <f>IF($AI72,IF(LARGE($AG$41:$AH$107,DW$40)=$AG72,$AC72,""),"")</f>
        <v/>
      </c>
      <c r="DX72" s="1153"/>
      <c r="DY72" s="1153"/>
      <c r="DZ72" s="1153"/>
      <c r="EA72" s="1153" t="str">
        <f>IF($AI72,IF(LARGE($AG$41:$AH$107,EA$40)=$AG72,$AC72,""),"")</f>
        <v/>
      </c>
      <c r="EB72" s="1153"/>
      <c r="EC72" s="1153"/>
      <c r="ED72" s="1153"/>
      <c r="EE72" s="1153" t="str">
        <f>IF($AI72,IF(LARGE($AG$41:$AH$107,EE$40)=$AG72,$AC72,""),"")</f>
        <v/>
      </c>
      <c r="EF72" s="1153"/>
      <c r="EG72" s="1153"/>
      <c r="EH72" s="1153"/>
      <c r="EI72" s="1153" t="str">
        <f>IF($AI72,IF(LARGE($AG$41:$AH$107,EI$40)=$AG72,$AC72,""),"")</f>
        <v/>
      </c>
      <c r="EJ72" s="1153"/>
      <c r="EK72" s="1153"/>
      <c r="EL72" s="1153"/>
      <c r="EM72" s="1153" t="str">
        <f>IF($AI72,IF(LARGE($AG$41:$AH$107,EM$40)=$AG72,$AC72,""),"")</f>
        <v/>
      </c>
      <c r="EN72" s="1153"/>
      <c r="EO72" s="1153"/>
      <c r="EP72" s="1153"/>
      <c r="EQ72" s="1153" t="str">
        <f>IF($AI72,IF(LARGE($AG$41:$AH$107,EQ$40)=$AG72,$AC72,""),"")</f>
        <v/>
      </c>
      <c r="ER72" s="1153"/>
      <c r="ES72" s="1153"/>
      <c r="ET72" s="1153"/>
      <c r="EU72" s="1153" t="str">
        <f>IF($AI72,IF(LARGE($AG$41:$AH$107,EU$40)=$AG72,$AC72,""),"")</f>
        <v/>
      </c>
      <c r="EV72" s="1153"/>
      <c r="EW72" s="1153"/>
      <c r="EX72" s="1153"/>
      <c r="EY72" s="1153" t="str">
        <f>IF($AI72,IF(LARGE($AG$41:$AH$107,EY$40)=$AG72,$AC72,""),"")</f>
        <v/>
      </c>
      <c r="EZ72" s="1153"/>
      <c r="FA72" s="1153"/>
      <c r="FB72" s="1153"/>
      <c r="FC72" s="1153" t="str">
        <f>IF($AI72,IF(LARGE($AG$41:$AH$107,FC$40)=$AG72,$AC72,""),"")</f>
        <v/>
      </c>
      <c r="FD72" s="1153"/>
      <c r="FE72" s="1153"/>
      <c r="FF72" s="1153"/>
      <c r="FG72" s="1153" t="str">
        <f>IF($AI72,IF(LARGE($AG$41:$AH$107,FG$40)=$AG72,$AC72,""),"")</f>
        <v/>
      </c>
      <c r="FH72" s="1153"/>
      <c r="FI72" s="1153"/>
      <c r="FJ72" s="1153"/>
      <c r="FK72" s="1153" t="str">
        <f>IF($AI72,IF(LARGE($AG$41:$AH$107,FK$40)=$AG72,$AC72,""),"")</f>
        <v/>
      </c>
      <c r="FL72" s="1153"/>
      <c r="FM72" s="1153"/>
      <c r="FN72" s="1153"/>
      <c r="FO72" s="1153" t="str">
        <f>IF($AI72,IF(LARGE($AG$41:$AH$107,FO$40)=$AG72,$AC72,""),"")</f>
        <v/>
      </c>
      <c r="FP72" s="1153"/>
      <c r="FQ72" s="1153"/>
      <c r="FR72" s="1153"/>
      <c r="FS72" s="1153" t="str">
        <f>IF($AI72,IF(LARGE($AG$41:$AH$107,FS$40)=$AG72,$AC72,""),"")</f>
        <v/>
      </c>
      <c r="FT72" s="1153"/>
      <c r="FU72" s="1153"/>
      <c r="FV72" s="1153"/>
      <c r="FW72" s="1153" t="str">
        <f>IF($AI72,IF(LARGE($AG$41:$AH$107,FW$40)=$AG72,$AC72,""),"")</f>
        <v/>
      </c>
      <c r="FX72" s="1153"/>
      <c r="FY72" s="1153"/>
      <c r="FZ72" s="1153"/>
      <c r="GA72" s="1153" t="str">
        <f>IF($AI72,IF(LARGE($AG$41:$AH$107,GA$40)=$AG72,$AC72,""),"")</f>
        <v/>
      </c>
      <c r="GB72" s="1153"/>
      <c r="GC72" s="1153"/>
      <c r="GD72" s="1153"/>
      <c r="GE72" s="1153" t="str">
        <f>IF($AI72,IF(LARGE($AG$41:$AH$107,GE$40)=$AG72,$AC72,""),"")</f>
        <v/>
      </c>
      <c r="GF72" s="1153"/>
      <c r="GG72" s="1153"/>
      <c r="GH72" s="1153"/>
      <c r="GI72" s="1153" t="str">
        <f>IF($AI72,IF(LARGE($AG$41:$AH$107,GI$40)=$AG72,$AC72,""),"")</f>
        <v/>
      </c>
      <c r="GJ72" s="1153"/>
      <c r="GK72" s="1153"/>
      <c r="GL72" s="1153"/>
      <c r="GM72" s="1153" t="str">
        <f>IF($AI72,IF(LARGE($AG$41:$AH$107,GM$40)=$AG72,$AC72,""),"")</f>
        <v/>
      </c>
      <c r="GN72" s="1153"/>
      <c r="GO72" s="1153"/>
      <c r="GP72" s="1153"/>
      <c r="GQ72" s="1153" t="str">
        <f>IF($AI72,IF(LARGE($AG$41:$AH$107,GQ$40)=$AG72,$AC72,""),"")</f>
        <v/>
      </c>
      <c r="GR72" s="1153"/>
      <c r="GS72" s="1153"/>
      <c r="GT72" s="1153"/>
      <c r="GU72" s="1153" t="str">
        <f>IF($AI72,IF(LARGE($AG$41:$AH$107,GU$40)=$AG72,$AC72,""),"")</f>
        <v/>
      </c>
      <c r="GV72" s="1153"/>
      <c r="GW72" s="1153"/>
      <c r="GX72" s="1153"/>
      <c r="GY72" s="1153" t="str">
        <f>IF($AI72,IF(LARGE($AG$41:$AH$107,GY$40)=$AG72,$AC72,""),"")</f>
        <v/>
      </c>
      <c r="GZ72" s="1153"/>
      <c r="HA72" s="1153"/>
      <c r="HB72" s="1153"/>
      <c r="HC72" s="1153" t="str">
        <f>IF($AI72,IF(LARGE($AG$41:$AH$107,HC$40)=$AG72,$AC72,""),"")</f>
        <v/>
      </c>
      <c r="HD72" s="1153"/>
      <c r="HE72" s="1153"/>
      <c r="HF72" s="1153"/>
      <c r="HG72" s="1153" t="str">
        <f>IF($AI72,IF(LARGE($AG$41:$AH$107,HG$40)=$AG72,$AC72,""),"")</f>
        <v/>
      </c>
      <c r="HH72" s="1153"/>
      <c r="HI72" s="1153"/>
      <c r="HJ72" s="1153"/>
      <c r="HK72" s="1153" t="str">
        <f>IF($AI72,IF(LARGE($AG$41:$AH$107,HK$40)=$AG72,$AC72,""),"")</f>
        <v/>
      </c>
      <c r="HL72" s="1153"/>
      <c r="HM72" s="1153"/>
      <c r="HN72" s="1153"/>
      <c r="HO72" s="1153" t="str">
        <f>IF($AI72,IF(LARGE($AG$41:$AH$107,HO$40)=$AG72,$AC72,""),"")</f>
        <v/>
      </c>
      <c r="HP72" s="1153"/>
      <c r="HQ72" s="1153"/>
      <c r="HR72" s="1153"/>
      <c r="HS72" s="1153" t="str">
        <f>IF($AI72,IF(LARGE($AG$41:$AH$107,HS$40)=$AG72,$AC72,""),"")</f>
        <v/>
      </c>
      <c r="HT72" s="1153"/>
      <c r="HU72" s="1153"/>
      <c r="HV72" s="1153"/>
      <c r="HW72" s="1153" t="str">
        <f>IF($AI72,IF(LARGE($AG$41:$AH$107,HW$40)=$AG72,$AC72,""),"")</f>
        <v/>
      </c>
      <c r="HX72" s="1153"/>
      <c r="HY72" s="1153"/>
      <c r="HZ72" s="1153"/>
      <c r="IA72" s="1153" t="str">
        <f>IF($AI72,IF(LARGE($AG$41:$AH$107,IA$40)=$AG72,$AC72,""),"")</f>
        <v/>
      </c>
      <c r="IB72" s="1153"/>
      <c r="IC72" s="1153"/>
      <c r="ID72" s="1153"/>
      <c r="IE72" s="1153" t="str">
        <f>IF($AI72,IF(LARGE($AG$41:$AH$107,IE$40)=$AG72,$AC72,""),"")</f>
        <v/>
      </c>
      <c r="IF72" s="1153"/>
      <c r="IG72" s="1153"/>
      <c r="IH72" s="1153"/>
      <c r="II72" s="1153" t="str">
        <f>IF($AI72,IF(LARGE($AG$41:$AH$107,II$40)=$AG72,$AC72,""),"")</f>
        <v/>
      </c>
      <c r="IJ72" s="1153"/>
      <c r="IK72" s="1153"/>
      <c r="IL72" s="1153"/>
      <c r="IM72" s="1153" t="str">
        <f>IF($AI72,IF(LARGE($AG$41:$AH$107,IM$40)=$AG72,$AC72,""),"")</f>
        <v/>
      </c>
      <c r="IN72" s="1153"/>
      <c r="IO72" s="1153"/>
      <c r="IP72" s="1153"/>
      <c r="IQ72" s="1153" t="str">
        <f>IF($AI72,IF(LARGE($AG$41:$AH$107,IQ$40)=$AG72,$AC72,""),"")</f>
        <v/>
      </c>
      <c r="IR72" s="1153"/>
      <c r="IS72" s="1153"/>
      <c r="IT72" s="1153"/>
      <c r="IU72" s="1153" t="str">
        <f>IF($AI72,IF(LARGE($AG$41:$AH$107,IU$40)=$AG72,$AC72,""),"")</f>
        <v/>
      </c>
      <c r="IV72" s="1153"/>
      <c r="IW72" s="1153"/>
      <c r="IX72" s="1153"/>
      <c r="IY72" s="1153" t="str">
        <f>IF($AI72,IF(LARGE($AG$41:$AH$107,IY$40)=$AG72,$AC72,""),"")</f>
        <v/>
      </c>
      <c r="IZ72" s="1153"/>
      <c r="JA72" s="1153"/>
      <c r="JB72" s="1153"/>
      <c r="JC72" s="1153" t="str">
        <f>IF($AI72,IF(LARGE($AG$41:$AH$107,JC$40)=$AG72,$AC72,""),"")</f>
        <v/>
      </c>
      <c r="JD72" s="1153"/>
      <c r="JE72" s="1153"/>
      <c r="JF72" s="1153"/>
      <c r="JG72" s="1153" t="str">
        <f>IF($AI72,IF(LARGE($AG$41:$AH$107,JG$40)=$AG72,$AC72,""),"")</f>
        <v/>
      </c>
      <c r="JH72" s="1153"/>
      <c r="JI72" s="1153"/>
      <c r="JJ72" s="1153"/>
      <c r="JK72" s="1153" t="str">
        <f>IF($AI72,IF(LARGE($AG$41:$AH$107,JK$40)=$AG72,$AC72,""),"")</f>
        <v/>
      </c>
      <c r="JL72" s="1153"/>
      <c r="JM72" s="1153"/>
      <c r="JN72" s="1153"/>
      <c r="JO72" s="1153" t="str">
        <f>IF($AI72,IF(LARGE($AG$41:$AH$107,JO$40)=$AG72,$AC72,""),"")</f>
        <v/>
      </c>
      <c r="JP72" s="1153"/>
      <c r="JQ72" s="1153"/>
      <c r="JR72" s="1153"/>
      <c r="JS72" s="1153" t="str">
        <f>IF($AI72,IF(LARGE($AG$41:$AH$107,JS$40)=$AG72,$AC72,""),"")</f>
        <v/>
      </c>
      <c r="JT72" s="1153"/>
      <c r="JU72" s="1153"/>
      <c r="JV72" s="1153"/>
      <c r="JW72" s="1153" t="str">
        <f>IF($AI72,IF(LARGE($AG$41:$AH$107,JW$40)=$AG72,$AC72,""),"")</f>
        <v/>
      </c>
      <c r="JX72" s="1153"/>
      <c r="JY72" s="1153"/>
      <c r="JZ72" s="1153"/>
      <c r="KA72" s="1153" t="str">
        <f>IF($AI72,IF(LARGE($AG$41:$AH$107,KA$40)=$AG72,$AC72,""),"")</f>
        <v/>
      </c>
      <c r="KB72" s="1153"/>
      <c r="KC72" s="1153"/>
      <c r="KD72" s="1153"/>
      <c r="KE72" s="1153" t="str">
        <f>IF($AI72,IF(LARGE($AG$41:$AH$107,KE$40)=$AG72,$AC72,""),"")</f>
        <v/>
      </c>
      <c r="KF72" s="1153"/>
      <c r="KG72" s="1153"/>
      <c r="KH72" s="1153"/>
      <c r="KI72" s="1153" t="str">
        <f>IF($AI72,IF(LARGE($AG$41:$AH$107,KI$40)=$AG72,$AC72,""),"")</f>
        <v/>
      </c>
      <c r="KJ72" s="1153"/>
      <c r="KK72" s="1153"/>
      <c r="KL72" s="1153"/>
      <c r="KM72" s="1153" t="str">
        <f>IF($AI72,IF(LARGE($AG$41:$AH$107,KM$40)=$AG72,$AC72,""),"")</f>
        <v/>
      </c>
      <c r="KN72" s="1153"/>
      <c r="KO72" s="1153"/>
      <c r="KP72" s="1153"/>
      <c r="KQ72" s="1153" t="str">
        <f>IF($AI72,IF(LARGE($AG$41:$AH$107,KQ$40)=$AG72,$AC72,""),"")</f>
        <v/>
      </c>
      <c r="KR72" s="1153"/>
      <c r="KS72" s="1153"/>
      <c r="KT72" s="1153"/>
    </row>
    <row r="73" spans="8:8">
      <c r="C73" s="1153" t="str">
        <f>IF(F37="","",CONCATENATE(" ",C37,F37,H37))</f>
        <v> 🔅外语③</v>
      </c>
      <c r="D73" s="1153"/>
      <c r="E73" s="1153"/>
      <c r="F73" s="1153"/>
      <c r="G73" s="1155" t="str">
        <f>IF(AND(L37=0,N37=0),"",IF(ISNONTEXT(D37),"",R37))</f>
        <v/>
      </c>
      <c r="H73" s="1155"/>
      <c r="I73" s="1153" t="str">
        <f>IF(G73=$G$40,C73,"")</f>
        <v/>
      </c>
      <c r="J73" s="1153"/>
      <c r="K73" s="1153"/>
      <c r="L73" s="1153"/>
      <c r="M73" s="1154">
        <f>IF(AND(NOT(N37=0),ISNONTEXT(D37)),1,0)</f>
        <v>0.0</v>
      </c>
      <c r="N73" s="1122"/>
      <c r="O73" s="1122"/>
      <c r="P73" s="1153" t="str">
        <f>IF(F37="","",CONCATENATE(" ",C37,F37,H37))</f>
        <v> 🔅外语③</v>
      </c>
      <c r="Q73" s="1153"/>
      <c r="R73" s="1153"/>
      <c r="S73" s="1153"/>
      <c r="T73" s="1155" t="str">
        <f>IF(AND(L37=0,P37=0),"",IF(ISNONTEXT(D37),R37,""))</f>
        <v/>
      </c>
      <c r="U73" s="1155"/>
      <c r="V73" s="1153" t="str">
        <f>IF(T73=$T$40,P73,"")</f>
        <v/>
      </c>
      <c r="W73" s="1153"/>
      <c r="X73" s="1153"/>
      <c r="Y73" s="1153"/>
      <c r="AB73" s="1122"/>
      <c r="AC73" s="1153" t="str">
        <f>IF(F37="","",CONCATENATE(C37,F37,H37))</f>
        <v>🔅外语③</v>
      </c>
      <c r="AD73" s="1153"/>
      <c r="AE73" s="1153"/>
      <c r="AF73" s="1153"/>
      <c r="AG73" s="1155">
        <f>R37</f>
        <v>1.0</v>
      </c>
      <c r="AH73" s="1155"/>
      <c r="AI73" s="1153" t="b">
        <f>IF(AND(OR(ISNUMBER(L37),ISNUMBER(N37),ISNUMBER(P37)),OR(L37&gt;0,N37&gt;0,P37&gt;0)),TRUE,FALSE)</f>
        <v>0</v>
      </c>
      <c r="AJ73" s="1153"/>
      <c r="AK73" s="1153"/>
      <c r="AL73" s="1153"/>
      <c r="AM73" s="1153" t="str">
        <f>IF($AI73,IF(LARGE($AG$41:$AH$107,AM$40)=$AG73,$AC73,""),"")</f>
        <v/>
      </c>
      <c r="AN73" s="1153"/>
      <c r="AO73" s="1153"/>
      <c r="AP73" s="1153"/>
      <c r="AQ73" s="1153" t="str">
        <f>IF($AI73,IF(LARGE($AG$41:$AH$107,AQ$40)=$AG73,$AC73,""),"")</f>
        <v/>
      </c>
      <c r="AR73" s="1153"/>
      <c r="AS73" s="1153"/>
      <c r="AT73" s="1153"/>
      <c r="AU73" s="1153" t="str">
        <f>IF($AI73,IF(LARGE($AG$41:$AH$107,AU$40)=$AG73,$AC73,""),"")</f>
        <v/>
      </c>
      <c r="AV73" s="1153"/>
      <c r="AW73" s="1153"/>
      <c r="AX73" s="1153"/>
      <c r="AY73" s="1153" t="str">
        <f>IF($AI73,IF(LARGE($AG$41:$AH$107,AY$40)=$AG73,$AC73,""),"")</f>
        <v/>
      </c>
      <c r="AZ73" s="1153"/>
      <c r="BA73" s="1153"/>
      <c r="BB73" s="1153"/>
      <c r="BC73" s="1153" t="str">
        <f>IF($AI73,IF(LARGE($AG$41:$AH$107,BC$40)=$AG73,$AC73,""),"")</f>
        <v/>
      </c>
      <c r="BD73" s="1153"/>
      <c r="BE73" s="1153"/>
      <c r="BF73" s="1153"/>
      <c r="BG73" s="1153" t="str">
        <f>IF($AI73,IF(LARGE($AG$41:$AH$107,BG$40)=$AG73,$AC73,""),"")</f>
        <v/>
      </c>
      <c r="BH73" s="1153"/>
      <c r="BI73" s="1153"/>
      <c r="BJ73" s="1153"/>
      <c r="BK73" s="1153" t="str">
        <f>IF($AI73,IF(LARGE($AG$41:$AH$107,BK$40)=$AG73,$AC73,""),"")</f>
        <v/>
      </c>
      <c r="BL73" s="1153"/>
      <c r="BM73" s="1153"/>
      <c r="BN73" s="1153"/>
      <c r="BO73" s="1153" t="str">
        <f>IF($AI73,IF(LARGE($AG$41:$AH$107,BO$40)=$AG73,$AC73,""),"")</f>
        <v/>
      </c>
      <c r="BP73" s="1153"/>
      <c r="BQ73" s="1153"/>
      <c r="BR73" s="1153"/>
      <c r="BS73" s="1153" t="str">
        <f>IF($AI73,IF(LARGE($AG$41:$AH$107,BS$40)=$AG73,$AC73,""),"")</f>
        <v/>
      </c>
      <c r="BT73" s="1153"/>
      <c r="BU73" s="1153"/>
      <c r="BV73" s="1153"/>
      <c r="BW73" s="1153" t="str">
        <f>IF($AI73,IF(LARGE($AG$41:$AH$107,BW$40)=$AG73,$AC73,""),"")</f>
        <v/>
      </c>
      <c r="BX73" s="1153"/>
      <c r="BY73" s="1153"/>
      <c r="BZ73" s="1153"/>
      <c r="CA73" s="1153" t="str">
        <f>IF($AI73,IF(LARGE($AG$41:$AH$107,CA$40)=$AG73,$AC73,""),"")</f>
        <v/>
      </c>
      <c r="CB73" s="1153"/>
      <c r="CC73" s="1153"/>
      <c r="CD73" s="1153"/>
      <c r="CE73" s="1153" t="str">
        <f>IF($AI73,IF(LARGE($AG$41:$AH$107,CE$40)=$AG73,$AC73,""),"")</f>
        <v/>
      </c>
      <c r="CF73" s="1153"/>
      <c r="CG73" s="1153"/>
      <c r="CH73" s="1153"/>
      <c r="CI73" s="1153" t="str">
        <f>IF($AI73,IF(LARGE($AG$41:$AH$107,CI$40)=$AG73,$AC73,""),"")</f>
        <v/>
      </c>
      <c r="CJ73" s="1153"/>
      <c r="CK73" s="1153"/>
      <c r="CL73" s="1153"/>
      <c r="CM73" s="1153" t="str">
        <f>IF($AI73,IF(LARGE($AG$41:$AH$107,CM$40)=$AG73,$AC73,""),"")</f>
        <v/>
      </c>
      <c r="CN73" s="1153"/>
      <c r="CO73" s="1153"/>
      <c r="CP73" s="1153"/>
      <c r="CQ73" s="1153" t="str">
        <f>IF($AI73,IF(LARGE($AG$41:$AH$107,CQ$40)=$AG73,$AC73,""),"")</f>
        <v/>
      </c>
      <c r="CR73" s="1153"/>
      <c r="CS73" s="1153"/>
      <c r="CT73" s="1153"/>
      <c r="CU73" s="1153" t="str">
        <f>IF($AI73,IF(LARGE($AG$41:$AH$107,CU$40)=$AG73,$AC73,""),"")</f>
        <v/>
      </c>
      <c r="CV73" s="1153"/>
      <c r="CW73" s="1153"/>
      <c r="CX73" s="1153"/>
      <c r="CY73" s="1153" t="str">
        <f>IF($AI73,IF(LARGE($AG$41:$AH$107,CY$40)=$AG73,$AC73,""),"")</f>
        <v/>
      </c>
      <c r="CZ73" s="1153"/>
      <c r="DA73" s="1153"/>
      <c r="DB73" s="1153"/>
      <c r="DC73" s="1153" t="str">
        <f>IF($AI73,IF(LARGE($AG$41:$AH$107,DC$40)=$AG73,$AC73,""),"")</f>
        <v/>
      </c>
      <c r="DD73" s="1153"/>
      <c r="DE73" s="1153"/>
      <c r="DF73" s="1153"/>
      <c r="DG73" s="1153" t="str">
        <f>IF($AI73,IF(LARGE($AG$41:$AH$107,DG$40)=$AG73,$AC73,""),"")</f>
        <v/>
      </c>
      <c r="DH73" s="1153"/>
      <c r="DI73" s="1153"/>
      <c r="DJ73" s="1153"/>
      <c r="DK73" s="1153" t="str">
        <f>IF($AI73,IF(LARGE($AG$41:$AH$107,DK$40)=$AG73,$AC73,""),"")</f>
        <v/>
      </c>
      <c r="DL73" s="1153"/>
      <c r="DM73" s="1153"/>
      <c r="DN73" s="1153"/>
      <c r="DO73" s="1153" t="str">
        <f>IF($AI73,IF(LARGE($AG$41:$AH$107,DO$40)=$AG73,$AC73,""),"")</f>
        <v/>
      </c>
      <c r="DP73" s="1153"/>
      <c r="DQ73" s="1153"/>
      <c r="DR73" s="1153"/>
      <c r="DS73" s="1153" t="str">
        <f>IF($AI73,IF(LARGE($AG$41:$AH$107,DS$40)=$AG73,$AC73,""),"")</f>
        <v/>
      </c>
      <c r="DT73" s="1153"/>
      <c r="DU73" s="1153"/>
      <c r="DV73" s="1153"/>
      <c r="DW73" s="1153" t="str">
        <f>IF($AI73,IF(LARGE($AG$41:$AH$107,DW$40)=$AG73,$AC73,""),"")</f>
        <v/>
      </c>
      <c r="DX73" s="1153"/>
      <c r="DY73" s="1153"/>
      <c r="DZ73" s="1153"/>
      <c r="EA73" s="1153" t="str">
        <f>IF($AI73,IF(LARGE($AG$41:$AH$107,EA$40)=$AG73,$AC73,""),"")</f>
        <v/>
      </c>
      <c r="EB73" s="1153"/>
      <c r="EC73" s="1153"/>
      <c r="ED73" s="1153"/>
      <c r="EE73" s="1153" t="str">
        <f>IF($AI73,IF(LARGE($AG$41:$AH$107,EE$40)=$AG73,$AC73,""),"")</f>
        <v/>
      </c>
      <c r="EF73" s="1153"/>
      <c r="EG73" s="1153"/>
      <c r="EH73" s="1153"/>
      <c r="EI73" s="1153" t="str">
        <f>IF($AI73,IF(LARGE($AG$41:$AH$107,EI$40)=$AG73,$AC73,""),"")</f>
        <v/>
      </c>
      <c r="EJ73" s="1153"/>
      <c r="EK73" s="1153"/>
      <c r="EL73" s="1153"/>
      <c r="EM73" s="1153" t="str">
        <f>IF($AI73,IF(LARGE($AG$41:$AH$107,EM$40)=$AG73,$AC73,""),"")</f>
        <v/>
      </c>
      <c r="EN73" s="1153"/>
      <c r="EO73" s="1153"/>
      <c r="EP73" s="1153"/>
      <c r="EQ73" s="1153" t="str">
        <f>IF($AI73,IF(LARGE($AG$41:$AH$107,EQ$40)=$AG73,$AC73,""),"")</f>
        <v/>
      </c>
      <c r="ER73" s="1153"/>
      <c r="ES73" s="1153"/>
      <c r="ET73" s="1153"/>
      <c r="EU73" s="1153" t="str">
        <f>IF($AI73,IF(LARGE($AG$41:$AH$107,EU$40)=$AG73,$AC73,""),"")</f>
        <v/>
      </c>
      <c r="EV73" s="1153"/>
      <c r="EW73" s="1153"/>
      <c r="EX73" s="1153"/>
      <c r="EY73" s="1153" t="str">
        <f>IF($AI73,IF(LARGE($AG$41:$AH$107,EY$40)=$AG73,$AC73,""),"")</f>
        <v/>
      </c>
      <c r="EZ73" s="1153"/>
      <c r="FA73" s="1153"/>
      <c r="FB73" s="1153"/>
      <c r="FC73" s="1153" t="str">
        <f>IF($AI73,IF(LARGE($AG$41:$AH$107,FC$40)=$AG73,$AC73,""),"")</f>
        <v/>
      </c>
      <c r="FD73" s="1153"/>
      <c r="FE73" s="1153"/>
      <c r="FF73" s="1153"/>
      <c r="FG73" s="1153" t="str">
        <f>IF($AI73,IF(LARGE($AG$41:$AH$107,FG$40)=$AG73,$AC73,""),"")</f>
        <v/>
      </c>
      <c r="FH73" s="1153"/>
      <c r="FI73" s="1153"/>
      <c r="FJ73" s="1153"/>
      <c r="FK73" s="1153" t="str">
        <f>IF($AI73,IF(LARGE($AG$41:$AH$107,FK$40)=$AG73,$AC73,""),"")</f>
        <v/>
      </c>
      <c r="FL73" s="1153"/>
      <c r="FM73" s="1153"/>
      <c r="FN73" s="1153"/>
      <c r="FO73" s="1153" t="str">
        <f>IF($AI73,IF(LARGE($AG$41:$AH$107,FO$40)=$AG73,$AC73,""),"")</f>
        <v/>
      </c>
      <c r="FP73" s="1153"/>
      <c r="FQ73" s="1153"/>
      <c r="FR73" s="1153"/>
      <c r="FS73" s="1153" t="str">
        <f>IF($AI73,IF(LARGE($AG$41:$AH$107,FS$40)=$AG73,$AC73,""),"")</f>
        <v/>
      </c>
      <c r="FT73" s="1153"/>
      <c r="FU73" s="1153"/>
      <c r="FV73" s="1153"/>
      <c r="FW73" s="1153" t="str">
        <f>IF($AI73,IF(LARGE($AG$41:$AH$107,FW$40)=$AG73,$AC73,""),"")</f>
        <v/>
      </c>
      <c r="FX73" s="1153"/>
      <c r="FY73" s="1153"/>
      <c r="FZ73" s="1153"/>
      <c r="GA73" s="1153" t="str">
        <f>IF($AI73,IF(LARGE($AG$41:$AH$107,GA$40)=$AG73,$AC73,""),"")</f>
        <v/>
      </c>
      <c r="GB73" s="1153"/>
      <c r="GC73" s="1153"/>
      <c r="GD73" s="1153"/>
      <c r="GE73" s="1153" t="str">
        <f>IF($AI73,IF(LARGE($AG$41:$AH$107,GE$40)=$AG73,$AC73,""),"")</f>
        <v/>
      </c>
      <c r="GF73" s="1153"/>
      <c r="GG73" s="1153"/>
      <c r="GH73" s="1153"/>
      <c r="GI73" s="1153" t="str">
        <f>IF($AI73,IF(LARGE($AG$41:$AH$107,GI$40)=$AG73,$AC73,""),"")</f>
        <v/>
      </c>
      <c r="GJ73" s="1153"/>
      <c r="GK73" s="1153"/>
      <c r="GL73" s="1153"/>
      <c r="GM73" s="1153" t="str">
        <f>IF($AI73,IF(LARGE($AG$41:$AH$107,GM$40)=$AG73,$AC73,""),"")</f>
        <v/>
      </c>
      <c r="GN73" s="1153"/>
      <c r="GO73" s="1153"/>
      <c r="GP73" s="1153"/>
      <c r="GQ73" s="1153" t="str">
        <f>IF($AI73,IF(LARGE($AG$41:$AH$107,GQ$40)=$AG73,$AC73,""),"")</f>
        <v/>
      </c>
      <c r="GR73" s="1153"/>
      <c r="GS73" s="1153"/>
      <c r="GT73" s="1153"/>
      <c r="GU73" s="1153" t="str">
        <f>IF($AI73,IF(LARGE($AG$41:$AH$107,GU$40)=$AG73,$AC73,""),"")</f>
        <v/>
      </c>
      <c r="GV73" s="1153"/>
      <c r="GW73" s="1153"/>
      <c r="GX73" s="1153"/>
      <c r="GY73" s="1153" t="str">
        <f>IF($AI73,IF(LARGE($AG$41:$AH$107,GY$40)=$AG73,$AC73,""),"")</f>
        <v/>
      </c>
      <c r="GZ73" s="1153"/>
      <c r="HA73" s="1153"/>
      <c r="HB73" s="1153"/>
      <c r="HC73" s="1153" t="str">
        <f>IF($AI73,IF(LARGE($AG$41:$AH$107,HC$40)=$AG73,$AC73,""),"")</f>
        <v/>
      </c>
      <c r="HD73" s="1153"/>
      <c r="HE73" s="1153"/>
      <c r="HF73" s="1153"/>
      <c r="HG73" s="1153" t="str">
        <f>IF($AI73,IF(LARGE($AG$41:$AH$107,HG$40)=$AG73,$AC73,""),"")</f>
        <v/>
      </c>
      <c r="HH73" s="1153"/>
      <c r="HI73" s="1153"/>
      <c r="HJ73" s="1153"/>
      <c r="HK73" s="1153" t="str">
        <f>IF($AI73,IF(LARGE($AG$41:$AH$107,HK$40)=$AG73,$AC73,""),"")</f>
        <v/>
      </c>
      <c r="HL73" s="1153"/>
      <c r="HM73" s="1153"/>
      <c r="HN73" s="1153"/>
      <c r="HO73" s="1153" t="str">
        <f>IF($AI73,IF(LARGE($AG$41:$AH$107,HO$40)=$AG73,$AC73,""),"")</f>
        <v/>
      </c>
      <c r="HP73" s="1153"/>
      <c r="HQ73" s="1153"/>
      <c r="HR73" s="1153"/>
      <c r="HS73" s="1153" t="str">
        <f>IF($AI73,IF(LARGE($AG$41:$AH$107,HS$40)=$AG73,$AC73,""),"")</f>
        <v/>
      </c>
      <c r="HT73" s="1153"/>
      <c r="HU73" s="1153"/>
      <c r="HV73" s="1153"/>
      <c r="HW73" s="1153" t="str">
        <f>IF($AI73,IF(LARGE($AG$41:$AH$107,HW$40)=$AG73,$AC73,""),"")</f>
        <v/>
      </c>
      <c r="HX73" s="1153"/>
      <c r="HY73" s="1153"/>
      <c r="HZ73" s="1153"/>
      <c r="IA73" s="1153" t="str">
        <f>IF($AI73,IF(LARGE($AG$41:$AH$107,IA$40)=$AG73,$AC73,""),"")</f>
        <v/>
      </c>
      <c r="IB73" s="1153"/>
      <c r="IC73" s="1153"/>
      <c r="ID73" s="1153"/>
      <c r="IE73" s="1153" t="str">
        <f>IF($AI73,IF(LARGE($AG$41:$AH$107,IE$40)=$AG73,$AC73,""),"")</f>
        <v/>
      </c>
      <c r="IF73" s="1153"/>
      <c r="IG73" s="1153"/>
      <c r="IH73" s="1153"/>
      <c r="II73" s="1153" t="str">
        <f>IF($AI73,IF(LARGE($AG$41:$AH$107,II$40)=$AG73,$AC73,""),"")</f>
        <v/>
      </c>
      <c r="IJ73" s="1153"/>
      <c r="IK73" s="1153"/>
      <c r="IL73" s="1153"/>
      <c r="IM73" s="1153" t="str">
        <f>IF($AI73,IF(LARGE($AG$41:$AH$107,IM$40)=$AG73,$AC73,""),"")</f>
        <v/>
      </c>
      <c r="IN73" s="1153"/>
      <c r="IO73" s="1153"/>
      <c r="IP73" s="1153"/>
      <c r="IQ73" s="1153" t="str">
        <f>IF($AI73,IF(LARGE($AG$41:$AH$107,IQ$40)=$AG73,$AC73,""),"")</f>
        <v/>
      </c>
      <c r="IR73" s="1153"/>
      <c r="IS73" s="1153"/>
      <c r="IT73" s="1153"/>
      <c r="IU73" s="1153" t="str">
        <f>IF($AI73,IF(LARGE($AG$41:$AH$107,IU$40)=$AG73,$AC73,""),"")</f>
        <v/>
      </c>
      <c r="IV73" s="1153"/>
      <c r="IW73" s="1153"/>
      <c r="IX73" s="1153"/>
      <c r="IY73" s="1153" t="str">
        <f>IF($AI73,IF(LARGE($AG$41:$AH$107,IY$40)=$AG73,$AC73,""),"")</f>
        <v/>
      </c>
      <c r="IZ73" s="1153"/>
      <c r="JA73" s="1153"/>
      <c r="JB73" s="1153"/>
      <c r="JC73" s="1153" t="str">
        <f>IF($AI73,IF(LARGE($AG$41:$AH$107,JC$40)=$AG73,$AC73,""),"")</f>
        <v/>
      </c>
      <c r="JD73" s="1153"/>
      <c r="JE73" s="1153"/>
      <c r="JF73" s="1153"/>
      <c r="JG73" s="1153" t="str">
        <f>IF($AI73,IF(LARGE($AG$41:$AH$107,JG$40)=$AG73,$AC73,""),"")</f>
        <v/>
      </c>
      <c r="JH73" s="1153"/>
      <c r="JI73" s="1153"/>
      <c r="JJ73" s="1153"/>
      <c r="JK73" s="1153" t="str">
        <f>IF($AI73,IF(LARGE($AG$41:$AH$107,JK$40)=$AG73,$AC73,""),"")</f>
        <v/>
      </c>
      <c r="JL73" s="1153"/>
      <c r="JM73" s="1153"/>
      <c r="JN73" s="1153"/>
      <c r="JO73" s="1153" t="str">
        <f>IF($AI73,IF(LARGE($AG$41:$AH$107,JO$40)=$AG73,$AC73,""),"")</f>
        <v/>
      </c>
      <c r="JP73" s="1153"/>
      <c r="JQ73" s="1153"/>
      <c r="JR73" s="1153"/>
      <c r="JS73" s="1153" t="str">
        <f>IF($AI73,IF(LARGE($AG$41:$AH$107,JS$40)=$AG73,$AC73,""),"")</f>
        <v/>
      </c>
      <c r="JT73" s="1153"/>
      <c r="JU73" s="1153"/>
      <c r="JV73" s="1153"/>
      <c r="JW73" s="1153" t="str">
        <f>IF($AI73,IF(LARGE($AG$41:$AH$107,JW$40)=$AG73,$AC73,""),"")</f>
        <v/>
      </c>
      <c r="JX73" s="1153"/>
      <c r="JY73" s="1153"/>
      <c r="JZ73" s="1153"/>
      <c r="KA73" s="1153" t="str">
        <f>IF($AI73,IF(LARGE($AG$41:$AH$107,KA$40)=$AG73,$AC73,""),"")</f>
        <v/>
      </c>
      <c r="KB73" s="1153"/>
      <c r="KC73" s="1153"/>
      <c r="KD73" s="1153"/>
      <c r="KE73" s="1153" t="str">
        <f>IF($AI73,IF(LARGE($AG$41:$AH$107,KE$40)=$AG73,$AC73,""),"")</f>
        <v/>
      </c>
      <c r="KF73" s="1153"/>
      <c r="KG73" s="1153"/>
      <c r="KH73" s="1153"/>
      <c r="KI73" s="1153" t="str">
        <f>IF($AI73,IF(LARGE($AG$41:$AH$107,KI$40)=$AG73,$AC73,""),"")</f>
        <v/>
      </c>
      <c r="KJ73" s="1153"/>
      <c r="KK73" s="1153"/>
      <c r="KL73" s="1153"/>
      <c r="KM73" s="1153" t="str">
        <f>IF($AI73,IF(LARGE($AG$41:$AH$107,KM$40)=$AG73,$AC73,""),"")</f>
        <v/>
      </c>
      <c r="KN73" s="1153"/>
      <c r="KO73" s="1153"/>
      <c r="KP73" s="1153"/>
      <c r="KQ73" s="1153" t="str">
        <f>IF($AI73,IF(LARGE($AG$41:$AH$107,KQ$40)=$AG73,$AC73,""),"")</f>
        <v/>
      </c>
      <c r="KR73" s="1153"/>
      <c r="KS73" s="1153"/>
      <c r="KT73" s="1153"/>
    </row>
    <row r="74" spans="8:8">
      <c r="C74" s="1153" t="str">
        <f>IF(F38="","",CONCATENATE(" ",C38,F38,H38))</f>
        <v> 🗣️母语</v>
      </c>
      <c r="D74" s="1153"/>
      <c r="E74" s="1153"/>
      <c r="F74" s="1153"/>
      <c r="G74" s="1155" t="str">
        <f>IF(AND(L38=0,N38=0),"",IF(ISNONTEXT(D38),"",R38))</f>
        <v/>
      </c>
      <c r="H74" s="1155"/>
      <c r="I74" s="1153" t="str">
        <f>IF(AND(G74=$G$40,N38&gt;0),C74,"")</f>
        <v/>
      </c>
      <c r="J74" s="1153"/>
      <c r="K74" s="1153"/>
      <c r="L74" s="1153"/>
      <c r="M74" s="1154">
        <f>IF(AND(NOT(N38=0),ISNONTEXT(D38)),1,0)</f>
        <v>0.0</v>
      </c>
      <c r="N74" s="1122"/>
      <c r="O74" s="1122"/>
      <c r="P74" s="1153" t="str">
        <f>IF(F38="","",CONCATENATE(" ",C38,F38,H38))</f>
        <v> 🗣️母语</v>
      </c>
      <c r="Q74" s="1153"/>
      <c r="R74" s="1153"/>
      <c r="S74" s="1153"/>
      <c r="T74" s="1155" t="str">
        <f>IF(AND(L38=0,P38=0),"",IF(ISNONTEXT(D38),R38,""))</f>
        <v/>
      </c>
      <c r="U74" s="1155"/>
      <c r="V74" s="1153" t="str">
        <f>IF(AND(T74=$T$40,P38&gt;0,NOT(N38&gt;0)),P74,"")</f>
        <v/>
      </c>
      <c r="W74" s="1153"/>
      <c r="X74" s="1153"/>
      <c r="Y74" s="1153"/>
      <c r="AB74" s="1122"/>
      <c r="AC74" s="1153" t="str">
        <f>IF(F38="","",CONCATENATE(C38,F38,H38))</f>
        <v>🗣️母语</v>
      </c>
      <c r="AD74" s="1153"/>
      <c r="AE74" s="1153"/>
      <c r="AF74" s="1153"/>
      <c r="AG74" s="1155">
        <f>R38</f>
        <v>0.0</v>
      </c>
      <c r="AH74" s="1155"/>
      <c r="AI74" s="1153" t="b">
        <f>IF(AND(OR(ISNUMBER(L38),ISNUMBER(N38),ISNUMBER(P38)),OR(L38&gt;0,N38&gt;0,P38&gt;0)),TRUE,FALSE)</f>
        <v>0</v>
      </c>
      <c r="AJ74" s="1153"/>
      <c r="AK74" s="1153"/>
      <c r="AL74" s="1153"/>
      <c r="AM74" s="1153" t="str">
        <f>IF($AI74,IF(LARGE($AG$41:$AH$107,AM$40)=$AG74,$AC74,""),"")</f>
        <v/>
      </c>
      <c r="AN74" s="1153"/>
      <c r="AO74" s="1153"/>
      <c r="AP74" s="1153"/>
      <c r="AQ74" s="1153" t="str">
        <f>IF($AI74,IF(LARGE($AG$41:$AH$107,AQ$40)=$AG74,$AC74,""),"")</f>
        <v/>
      </c>
      <c r="AR74" s="1153"/>
      <c r="AS74" s="1153"/>
      <c r="AT74" s="1153"/>
      <c r="AU74" s="1153" t="str">
        <f>IF($AI74,IF(LARGE($AG$41:$AH$107,AU$40)=$AG74,$AC74,""),"")</f>
        <v/>
      </c>
      <c r="AV74" s="1153"/>
      <c r="AW74" s="1153"/>
      <c r="AX74" s="1153"/>
      <c r="AY74" s="1153" t="str">
        <f>IF($AI74,IF(LARGE($AG$41:$AH$107,AY$40)=$AG74,$AC74,""),"")</f>
        <v/>
      </c>
      <c r="AZ74" s="1153"/>
      <c r="BA74" s="1153"/>
      <c r="BB74" s="1153"/>
      <c r="BC74" s="1153" t="str">
        <f>IF($AI74,IF(LARGE($AG$41:$AH$107,BC$40)=$AG74,$AC74,""),"")</f>
        <v/>
      </c>
      <c r="BD74" s="1153"/>
      <c r="BE74" s="1153"/>
      <c r="BF74" s="1153"/>
      <c r="BG74" s="1153" t="str">
        <f>IF($AI74,IF(LARGE($AG$41:$AH$107,BG$40)=$AG74,$AC74,""),"")</f>
        <v/>
      </c>
      <c r="BH74" s="1153"/>
      <c r="BI74" s="1153"/>
      <c r="BJ74" s="1153"/>
      <c r="BK74" s="1153" t="str">
        <f>IF($AI74,IF(LARGE($AG$41:$AH$107,BK$40)=$AG74,$AC74,""),"")</f>
        <v/>
      </c>
      <c r="BL74" s="1153"/>
      <c r="BM74" s="1153"/>
      <c r="BN74" s="1153"/>
      <c r="BO74" s="1153" t="str">
        <f>IF($AI74,IF(LARGE($AG$41:$AH$107,BO$40)=$AG74,$AC74,""),"")</f>
        <v/>
      </c>
      <c r="BP74" s="1153"/>
      <c r="BQ74" s="1153"/>
      <c r="BR74" s="1153"/>
      <c r="BS74" s="1153" t="str">
        <f>IF($AI74,IF(LARGE($AG$41:$AH$107,BS$40)=$AG74,$AC74,""),"")</f>
        <v/>
      </c>
      <c r="BT74" s="1153"/>
      <c r="BU74" s="1153"/>
      <c r="BV74" s="1153"/>
      <c r="BW74" s="1153" t="str">
        <f>IF($AI74,IF(LARGE($AG$41:$AH$107,BW$40)=$AG74,$AC74,""),"")</f>
        <v/>
      </c>
      <c r="BX74" s="1153"/>
      <c r="BY74" s="1153"/>
      <c r="BZ74" s="1153"/>
      <c r="CA74" s="1153" t="str">
        <f>IF($AI74,IF(LARGE($AG$41:$AH$107,CA$40)=$AG74,$AC74,""),"")</f>
        <v/>
      </c>
      <c r="CB74" s="1153"/>
      <c r="CC74" s="1153"/>
      <c r="CD74" s="1153"/>
      <c r="CE74" s="1153" t="str">
        <f>IF($AI74,IF(LARGE($AG$41:$AH$107,CE$40)=$AG74,$AC74,""),"")</f>
        <v/>
      </c>
      <c r="CF74" s="1153"/>
      <c r="CG74" s="1153"/>
      <c r="CH74" s="1153"/>
      <c r="CI74" s="1153" t="str">
        <f>IF($AI74,IF(LARGE($AG$41:$AH$107,CI$40)=$AG74,$AC74,""),"")</f>
        <v/>
      </c>
      <c r="CJ74" s="1153"/>
      <c r="CK74" s="1153"/>
      <c r="CL74" s="1153"/>
      <c r="CM74" s="1153" t="str">
        <f>IF($AI74,IF(LARGE($AG$41:$AH$107,CM$40)=$AG74,$AC74,""),"")</f>
        <v/>
      </c>
      <c r="CN74" s="1153"/>
      <c r="CO74" s="1153"/>
      <c r="CP74" s="1153"/>
      <c r="CQ74" s="1153" t="str">
        <f>IF($AI74,IF(LARGE($AG$41:$AH$107,CQ$40)=$AG74,$AC74,""),"")</f>
        <v/>
      </c>
      <c r="CR74" s="1153"/>
      <c r="CS74" s="1153"/>
      <c r="CT74" s="1153"/>
      <c r="CU74" s="1153" t="str">
        <f>IF($AI74,IF(LARGE($AG$41:$AH$107,CU$40)=$AG74,$AC74,""),"")</f>
        <v/>
      </c>
      <c r="CV74" s="1153"/>
      <c r="CW74" s="1153"/>
      <c r="CX74" s="1153"/>
      <c r="CY74" s="1153" t="str">
        <f>IF($AI74,IF(LARGE($AG$41:$AH$107,CY$40)=$AG74,$AC74,""),"")</f>
        <v/>
      </c>
      <c r="CZ74" s="1153"/>
      <c r="DA74" s="1153"/>
      <c r="DB74" s="1153"/>
      <c r="DC74" s="1153" t="str">
        <f>IF($AI74,IF(LARGE($AG$41:$AH$107,DC$40)=$AG74,$AC74,""),"")</f>
        <v/>
      </c>
      <c r="DD74" s="1153"/>
      <c r="DE74" s="1153"/>
      <c r="DF74" s="1153"/>
      <c r="DG74" s="1153" t="str">
        <f>IF($AI74,IF(LARGE($AG$41:$AH$107,DG$40)=$AG74,$AC74,""),"")</f>
        <v/>
      </c>
      <c r="DH74" s="1153"/>
      <c r="DI74" s="1153"/>
      <c r="DJ74" s="1153"/>
      <c r="DK74" s="1153" t="str">
        <f>IF($AI74,IF(LARGE($AG$41:$AH$107,DK$40)=$AG74,$AC74,""),"")</f>
        <v/>
      </c>
      <c r="DL74" s="1153"/>
      <c r="DM74" s="1153"/>
      <c r="DN74" s="1153"/>
      <c r="DO74" s="1153" t="str">
        <f>IF($AI74,IF(LARGE($AG$41:$AH$107,DO$40)=$AG74,$AC74,""),"")</f>
        <v/>
      </c>
      <c r="DP74" s="1153"/>
      <c r="DQ74" s="1153"/>
      <c r="DR74" s="1153"/>
      <c r="DS74" s="1153" t="str">
        <f>IF($AI74,IF(LARGE($AG$41:$AH$107,DS$40)=$AG74,$AC74,""),"")</f>
        <v/>
      </c>
      <c r="DT74" s="1153"/>
      <c r="DU74" s="1153"/>
      <c r="DV74" s="1153"/>
      <c r="DW74" s="1153" t="str">
        <f>IF($AI74,IF(LARGE($AG$41:$AH$107,DW$40)=$AG74,$AC74,""),"")</f>
        <v/>
      </c>
      <c r="DX74" s="1153"/>
      <c r="DY74" s="1153"/>
      <c r="DZ74" s="1153"/>
      <c r="EA74" s="1153" t="str">
        <f>IF($AI74,IF(LARGE($AG$41:$AH$107,EA$40)=$AG74,$AC74,""),"")</f>
        <v/>
      </c>
      <c r="EB74" s="1153"/>
      <c r="EC74" s="1153"/>
      <c r="ED74" s="1153"/>
      <c r="EE74" s="1153" t="str">
        <f>IF($AI74,IF(LARGE($AG$41:$AH$107,EE$40)=$AG74,$AC74,""),"")</f>
        <v/>
      </c>
      <c r="EF74" s="1153"/>
      <c r="EG74" s="1153"/>
      <c r="EH74" s="1153"/>
      <c r="EI74" s="1153" t="str">
        <f>IF($AI74,IF(LARGE($AG$41:$AH$107,EI$40)=$AG74,$AC74,""),"")</f>
        <v/>
      </c>
      <c r="EJ74" s="1153"/>
      <c r="EK74" s="1153"/>
      <c r="EL74" s="1153"/>
      <c r="EM74" s="1153" t="str">
        <f>IF($AI74,IF(LARGE($AG$41:$AH$107,EM$40)=$AG74,$AC74,""),"")</f>
        <v/>
      </c>
      <c r="EN74" s="1153"/>
      <c r="EO74" s="1153"/>
      <c r="EP74" s="1153"/>
      <c r="EQ74" s="1153" t="str">
        <f>IF($AI74,IF(LARGE($AG$41:$AH$107,EQ$40)=$AG74,$AC74,""),"")</f>
        <v/>
      </c>
      <c r="ER74" s="1153"/>
      <c r="ES74" s="1153"/>
      <c r="ET74" s="1153"/>
      <c r="EU74" s="1153" t="str">
        <f>IF($AI74,IF(LARGE($AG$41:$AH$107,EU$40)=$AG74,$AC74,""),"")</f>
        <v/>
      </c>
      <c r="EV74" s="1153"/>
      <c r="EW74" s="1153"/>
      <c r="EX74" s="1153"/>
      <c r="EY74" s="1153" t="str">
        <f>IF($AI74,IF(LARGE($AG$41:$AH$107,EY$40)=$AG74,$AC74,""),"")</f>
        <v/>
      </c>
      <c r="EZ74" s="1153"/>
      <c r="FA74" s="1153"/>
      <c r="FB74" s="1153"/>
      <c r="FC74" s="1153" t="str">
        <f>IF($AI74,IF(LARGE($AG$41:$AH$107,FC$40)=$AG74,$AC74,""),"")</f>
        <v/>
      </c>
      <c r="FD74" s="1153"/>
      <c r="FE74" s="1153"/>
      <c r="FF74" s="1153"/>
      <c r="FG74" s="1153" t="str">
        <f>IF($AI74,IF(LARGE($AG$41:$AH$107,FG$40)=$AG74,$AC74,""),"")</f>
        <v/>
      </c>
      <c r="FH74" s="1153"/>
      <c r="FI74" s="1153"/>
      <c r="FJ74" s="1153"/>
      <c r="FK74" s="1153" t="str">
        <f>IF($AI74,IF(LARGE($AG$41:$AH$107,FK$40)=$AG74,$AC74,""),"")</f>
        <v/>
      </c>
      <c r="FL74" s="1153"/>
      <c r="FM74" s="1153"/>
      <c r="FN74" s="1153"/>
      <c r="FO74" s="1153" t="str">
        <f>IF($AI74,IF(LARGE($AG$41:$AH$107,FO$40)=$AG74,$AC74,""),"")</f>
        <v/>
      </c>
      <c r="FP74" s="1153"/>
      <c r="FQ74" s="1153"/>
      <c r="FR74" s="1153"/>
      <c r="FS74" s="1153" t="str">
        <f>IF($AI74,IF(LARGE($AG$41:$AH$107,FS$40)=$AG74,$AC74,""),"")</f>
        <v/>
      </c>
      <c r="FT74" s="1153"/>
      <c r="FU74" s="1153"/>
      <c r="FV74" s="1153"/>
      <c r="FW74" s="1153" t="str">
        <f>IF($AI74,IF(LARGE($AG$41:$AH$107,FW$40)=$AG74,$AC74,""),"")</f>
        <v/>
      </c>
      <c r="FX74" s="1153"/>
      <c r="FY74" s="1153"/>
      <c r="FZ74" s="1153"/>
      <c r="GA74" s="1153" t="str">
        <f>IF($AI74,IF(LARGE($AG$41:$AH$107,GA$40)=$AG74,$AC74,""),"")</f>
        <v/>
      </c>
      <c r="GB74" s="1153"/>
      <c r="GC74" s="1153"/>
      <c r="GD74" s="1153"/>
      <c r="GE74" s="1153" t="str">
        <f>IF($AI74,IF(LARGE($AG$41:$AH$107,GE$40)=$AG74,$AC74,""),"")</f>
        <v/>
      </c>
      <c r="GF74" s="1153"/>
      <c r="GG74" s="1153"/>
      <c r="GH74" s="1153"/>
      <c r="GI74" s="1153" t="str">
        <f>IF($AI74,IF(LARGE($AG$41:$AH$107,GI$40)=$AG74,$AC74,""),"")</f>
        <v/>
      </c>
      <c r="GJ74" s="1153"/>
      <c r="GK74" s="1153"/>
      <c r="GL74" s="1153"/>
      <c r="GM74" s="1153" t="str">
        <f>IF($AI74,IF(LARGE($AG$41:$AH$107,GM$40)=$AG74,$AC74,""),"")</f>
        <v/>
      </c>
      <c r="GN74" s="1153"/>
      <c r="GO74" s="1153"/>
      <c r="GP74" s="1153"/>
      <c r="GQ74" s="1153" t="str">
        <f>IF($AI74,IF(LARGE($AG$41:$AH$107,GQ$40)=$AG74,$AC74,""),"")</f>
        <v/>
      </c>
      <c r="GR74" s="1153"/>
      <c r="GS74" s="1153"/>
      <c r="GT74" s="1153"/>
      <c r="GU74" s="1153" t="str">
        <f>IF($AI74,IF(LARGE($AG$41:$AH$107,GU$40)=$AG74,$AC74,""),"")</f>
        <v/>
      </c>
      <c r="GV74" s="1153"/>
      <c r="GW74" s="1153"/>
      <c r="GX74" s="1153"/>
      <c r="GY74" s="1153" t="str">
        <f>IF($AI74,IF(LARGE($AG$41:$AH$107,GY$40)=$AG74,$AC74,""),"")</f>
        <v/>
      </c>
      <c r="GZ74" s="1153"/>
      <c r="HA74" s="1153"/>
      <c r="HB74" s="1153"/>
      <c r="HC74" s="1153" t="str">
        <f>IF($AI74,IF(LARGE($AG$41:$AH$107,HC$40)=$AG74,$AC74,""),"")</f>
        <v/>
      </c>
      <c r="HD74" s="1153"/>
      <c r="HE74" s="1153"/>
      <c r="HF74" s="1153"/>
      <c r="HG74" s="1153" t="str">
        <f>IF($AI74,IF(LARGE($AG$41:$AH$107,HG$40)=$AG74,$AC74,""),"")</f>
        <v/>
      </c>
      <c r="HH74" s="1153"/>
      <c r="HI74" s="1153"/>
      <c r="HJ74" s="1153"/>
      <c r="HK74" s="1153" t="str">
        <f>IF($AI74,IF(LARGE($AG$41:$AH$107,HK$40)=$AG74,$AC74,""),"")</f>
        <v/>
      </c>
      <c r="HL74" s="1153"/>
      <c r="HM74" s="1153"/>
      <c r="HN74" s="1153"/>
      <c r="HO74" s="1153" t="str">
        <f>IF($AI74,IF(LARGE($AG$41:$AH$107,HO$40)=$AG74,$AC74,""),"")</f>
        <v/>
      </c>
      <c r="HP74" s="1153"/>
      <c r="HQ74" s="1153"/>
      <c r="HR74" s="1153"/>
      <c r="HS74" s="1153" t="str">
        <f>IF($AI74,IF(LARGE($AG$41:$AH$107,HS$40)=$AG74,$AC74,""),"")</f>
        <v/>
      </c>
      <c r="HT74" s="1153"/>
      <c r="HU74" s="1153"/>
      <c r="HV74" s="1153"/>
      <c r="HW74" s="1153" t="str">
        <f>IF($AI74,IF(LARGE($AG$41:$AH$107,HW$40)=$AG74,$AC74,""),"")</f>
        <v/>
      </c>
      <c r="HX74" s="1153"/>
      <c r="HY74" s="1153"/>
      <c r="HZ74" s="1153"/>
      <c r="IA74" s="1153" t="str">
        <f>IF($AI74,IF(LARGE($AG$41:$AH$107,IA$40)=$AG74,$AC74,""),"")</f>
        <v/>
      </c>
      <c r="IB74" s="1153"/>
      <c r="IC74" s="1153"/>
      <c r="ID74" s="1153"/>
      <c r="IE74" s="1153" t="str">
        <f>IF($AI74,IF(LARGE($AG$41:$AH$107,IE$40)=$AG74,$AC74,""),"")</f>
        <v/>
      </c>
      <c r="IF74" s="1153"/>
      <c r="IG74" s="1153"/>
      <c r="IH74" s="1153"/>
      <c r="II74" s="1153" t="str">
        <f>IF($AI74,IF(LARGE($AG$41:$AH$107,II$40)=$AG74,$AC74,""),"")</f>
        <v/>
      </c>
      <c r="IJ74" s="1153"/>
      <c r="IK74" s="1153"/>
      <c r="IL74" s="1153"/>
      <c r="IM74" s="1153" t="str">
        <f>IF($AI74,IF(LARGE($AG$41:$AH$107,IM$40)=$AG74,$AC74,""),"")</f>
        <v/>
      </c>
      <c r="IN74" s="1153"/>
      <c r="IO74" s="1153"/>
      <c r="IP74" s="1153"/>
      <c r="IQ74" s="1153" t="str">
        <f>IF($AI74,IF(LARGE($AG$41:$AH$107,IQ$40)=$AG74,$AC74,""),"")</f>
        <v/>
      </c>
      <c r="IR74" s="1153"/>
      <c r="IS74" s="1153"/>
      <c r="IT74" s="1153"/>
      <c r="IU74" s="1153" t="str">
        <f>IF($AI74,IF(LARGE($AG$41:$AH$107,IU$40)=$AG74,$AC74,""),"")</f>
        <v/>
      </c>
      <c r="IV74" s="1153"/>
      <c r="IW74" s="1153"/>
      <c r="IX74" s="1153"/>
      <c r="IY74" s="1153" t="str">
        <f>IF($AI74,IF(LARGE($AG$41:$AH$107,IY$40)=$AG74,$AC74,""),"")</f>
        <v/>
      </c>
      <c r="IZ74" s="1153"/>
      <c r="JA74" s="1153"/>
      <c r="JB74" s="1153"/>
      <c r="JC74" s="1153" t="str">
        <f>IF($AI74,IF(LARGE($AG$41:$AH$107,JC$40)=$AG74,$AC74,""),"")</f>
        <v/>
      </c>
      <c r="JD74" s="1153"/>
      <c r="JE74" s="1153"/>
      <c r="JF74" s="1153"/>
      <c r="JG74" s="1153" t="str">
        <f>IF($AI74,IF(LARGE($AG$41:$AH$107,JG$40)=$AG74,$AC74,""),"")</f>
        <v/>
      </c>
      <c r="JH74" s="1153"/>
      <c r="JI74" s="1153"/>
      <c r="JJ74" s="1153"/>
      <c r="JK74" s="1153" t="str">
        <f>IF($AI74,IF(LARGE($AG$41:$AH$107,JK$40)=$AG74,$AC74,""),"")</f>
        <v/>
      </c>
      <c r="JL74" s="1153"/>
      <c r="JM74" s="1153"/>
      <c r="JN74" s="1153"/>
      <c r="JO74" s="1153" t="str">
        <f>IF($AI74,IF(LARGE($AG$41:$AH$107,JO$40)=$AG74,$AC74,""),"")</f>
        <v/>
      </c>
      <c r="JP74" s="1153"/>
      <c r="JQ74" s="1153"/>
      <c r="JR74" s="1153"/>
      <c r="JS74" s="1153" t="str">
        <f>IF($AI74,IF(LARGE($AG$41:$AH$107,JS$40)=$AG74,$AC74,""),"")</f>
        <v/>
      </c>
      <c r="JT74" s="1153"/>
      <c r="JU74" s="1153"/>
      <c r="JV74" s="1153"/>
      <c r="JW74" s="1153" t="str">
        <f>IF($AI74,IF(LARGE($AG$41:$AH$107,JW$40)=$AG74,$AC74,""),"")</f>
        <v/>
      </c>
      <c r="JX74" s="1153"/>
      <c r="JY74" s="1153"/>
      <c r="JZ74" s="1153"/>
      <c r="KA74" s="1153" t="str">
        <f>IF($AI74,IF(LARGE($AG$41:$AH$107,KA$40)=$AG74,$AC74,""),"")</f>
        <v/>
      </c>
      <c r="KB74" s="1153"/>
      <c r="KC74" s="1153"/>
      <c r="KD74" s="1153"/>
      <c r="KE74" s="1153" t="str">
        <f>IF($AI74,IF(LARGE($AG$41:$AH$107,KE$40)=$AG74,$AC74,""),"")</f>
        <v/>
      </c>
      <c r="KF74" s="1153"/>
      <c r="KG74" s="1153"/>
      <c r="KH74" s="1153"/>
      <c r="KI74" s="1153" t="str">
        <f>IF($AI74,IF(LARGE($AG$41:$AH$107,KI$40)=$AG74,$AC74,""),"")</f>
        <v/>
      </c>
      <c r="KJ74" s="1153"/>
      <c r="KK74" s="1153"/>
      <c r="KL74" s="1153"/>
      <c r="KM74" s="1153" t="str">
        <f>IF($AI74,IF(LARGE($AG$41:$AH$107,KM$40)=$AG74,$AC74,""),"")</f>
        <v/>
      </c>
      <c r="KN74" s="1153"/>
      <c r="KO74" s="1153"/>
      <c r="KP74" s="1153"/>
      <c r="KQ74" s="1153" t="str">
        <f>IF($AI74,IF(LARGE($AG$41:$AH$107,KQ$40)=$AG74,$AC74,""),"")</f>
        <v/>
      </c>
      <c r="KR74" s="1153"/>
      <c r="KS74" s="1153"/>
      <c r="KT74" s="1153"/>
    </row>
    <row r="75" spans="8:8">
      <c r="C75" s="1153" t="str">
        <f>IF(Z5="","",CONCATENATE(" ",AR5,Z5,AB5))</f>
        <v> ⚖️法律</v>
      </c>
      <c r="D75" s="1153"/>
      <c r="E75" s="1153"/>
      <c r="F75" s="1153"/>
      <c r="G75" s="1155" t="str">
        <f>IF(AND(AF5=0,AH5=0),"",IF(ISNONTEXT(X5),"",AL5))</f>
        <v/>
      </c>
      <c r="H75" s="1155"/>
      <c r="I75" s="1153" t="str">
        <f>IF(G75=$G$40,C75,"")</f>
        <v/>
      </c>
      <c r="J75" s="1153"/>
      <c r="K75" s="1153"/>
      <c r="L75" s="1153"/>
      <c r="M75" s="1154">
        <f>IF(AND(NOT(AH5=0),ISNONTEXT(X5)),1,0)</f>
        <v>0.0</v>
      </c>
      <c r="N75" s="1122"/>
      <c r="O75" s="1122"/>
      <c r="P75" s="1153" t="str">
        <f>IF(Z5="","",CONCATENATE(" ",AR5,Z5,AB5))</f>
        <v> ⚖️法律</v>
      </c>
      <c r="Q75" s="1153"/>
      <c r="R75" s="1153"/>
      <c r="S75" s="1153"/>
      <c r="T75" s="1155" t="str">
        <f>IF(AND(AF5=0,AJ5=0),"",IF(ISNONTEXT(X5),AL5,""))</f>
        <v/>
      </c>
      <c r="U75" s="1155"/>
      <c r="V75" s="1153" t="str">
        <f>IF(T75=$T$40,P75,"")</f>
        <v/>
      </c>
      <c r="W75" s="1153"/>
      <c r="X75" s="1153"/>
      <c r="Y75" s="1153"/>
      <c r="AB75" s="1122"/>
      <c r="AC75" s="1153" t="str">
        <f>IF(Z5="","",CONCATENATE(AR5,Z5,AB5))</f>
        <v>⚖️法律</v>
      </c>
      <c r="AD75" s="1153"/>
      <c r="AE75" s="1153"/>
      <c r="AF75" s="1153"/>
      <c r="AG75" s="1155">
        <f>AL5</f>
        <v>5.0</v>
      </c>
      <c r="AH75" s="1155"/>
      <c r="AI75" s="1153" t="b">
        <f>IF(AND(OR(ISNUMBER(AF5),ISNUMBER(AH5),ISNUMBER(AJ5)),OR(AF5&gt;0,AH5&gt;0,AJ5&gt;0)),TRUE,FALSE)</f>
        <v>0</v>
      </c>
      <c r="AJ75" s="1153"/>
      <c r="AK75" s="1153"/>
      <c r="AL75" s="1153"/>
      <c r="AM75" s="1153" t="str">
        <f>IF($AI75,IF(LARGE($AG$41:$AH$107,AM$40)=$AG75,$AC75,""),"")</f>
        <v/>
      </c>
      <c r="AN75" s="1153"/>
      <c r="AO75" s="1153"/>
      <c r="AP75" s="1153"/>
      <c r="AQ75" s="1153" t="str">
        <f>IF($AI75,IF(LARGE($AG$41:$AH$107,AQ$40)=$AG75,$AC75,""),"")</f>
        <v/>
      </c>
      <c r="AR75" s="1153"/>
      <c r="AS75" s="1153"/>
      <c r="AT75" s="1153"/>
      <c r="AU75" s="1153" t="str">
        <f>IF($AI75,IF(LARGE($AG$41:$AH$107,AU$40)=$AG75,$AC75,""),"")</f>
        <v/>
      </c>
      <c r="AV75" s="1153"/>
      <c r="AW75" s="1153"/>
      <c r="AX75" s="1153"/>
      <c r="AY75" s="1153" t="str">
        <f>IF($AI75,IF(LARGE($AG$41:$AH$107,AY$40)=$AG75,$AC75,""),"")</f>
        <v/>
      </c>
      <c r="AZ75" s="1153"/>
      <c r="BA75" s="1153"/>
      <c r="BB75" s="1153"/>
      <c r="BC75" s="1153" t="str">
        <f>IF($AI75,IF(LARGE($AG$41:$AH$107,BC$40)=$AG75,$AC75,""),"")</f>
        <v/>
      </c>
      <c r="BD75" s="1153"/>
      <c r="BE75" s="1153"/>
      <c r="BF75" s="1153"/>
      <c r="BG75" s="1153" t="str">
        <f>IF($AI75,IF(LARGE($AG$41:$AH$107,BG$40)=$AG75,$AC75,""),"")</f>
        <v/>
      </c>
      <c r="BH75" s="1153"/>
      <c r="BI75" s="1153"/>
      <c r="BJ75" s="1153"/>
      <c r="BK75" s="1153" t="str">
        <f>IF($AI75,IF(LARGE($AG$41:$AH$107,BK$40)=$AG75,$AC75,""),"")</f>
        <v/>
      </c>
      <c r="BL75" s="1153"/>
      <c r="BM75" s="1153"/>
      <c r="BN75" s="1153"/>
      <c r="BO75" s="1153" t="str">
        <f>IF($AI75,IF(LARGE($AG$41:$AH$107,BO$40)=$AG75,$AC75,""),"")</f>
        <v/>
      </c>
      <c r="BP75" s="1153"/>
      <c r="BQ75" s="1153"/>
      <c r="BR75" s="1153"/>
      <c r="BS75" s="1153" t="str">
        <f>IF($AI75,IF(LARGE($AG$41:$AH$107,BS$40)=$AG75,$AC75,""),"")</f>
        <v/>
      </c>
      <c r="BT75" s="1153"/>
      <c r="BU75" s="1153"/>
      <c r="BV75" s="1153"/>
      <c r="BW75" s="1153" t="str">
        <f>IF($AI75,IF(LARGE($AG$41:$AH$107,BW$40)=$AG75,$AC75,""),"")</f>
        <v/>
      </c>
      <c r="BX75" s="1153"/>
      <c r="BY75" s="1153"/>
      <c r="BZ75" s="1153"/>
      <c r="CA75" s="1153" t="str">
        <f>IF($AI75,IF(LARGE($AG$41:$AH$107,CA$40)=$AG75,$AC75,""),"")</f>
        <v/>
      </c>
      <c r="CB75" s="1153"/>
      <c r="CC75" s="1153"/>
      <c r="CD75" s="1153"/>
      <c r="CE75" s="1153" t="str">
        <f>IF($AI75,IF(LARGE($AG$41:$AH$107,CE$40)=$AG75,$AC75,""),"")</f>
        <v/>
      </c>
      <c r="CF75" s="1153"/>
      <c r="CG75" s="1153"/>
      <c r="CH75" s="1153"/>
      <c r="CI75" s="1153" t="str">
        <f>IF($AI75,IF(LARGE($AG$41:$AH$107,CI$40)=$AG75,$AC75,""),"")</f>
        <v/>
      </c>
      <c r="CJ75" s="1153"/>
      <c r="CK75" s="1153"/>
      <c r="CL75" s="1153"/>
      <c r="CM75" s="1153" t="str">
        <f>IF($AI75,IF(LARGE($AG$41:$AH$107,CM$40)=$AG75,$AC75,""),"")</f>
        <v/>
      </c>
      <c r="CN75" s="1153"/>
      <c r="CO75" s="1153"/>
      <c r="CP75" s="1153"/>
      <c r="CQ75" s="1153" t="str">
        <f>IF($AI75,IF(LARGE($AG$41:$AH$107,CQ$40)=$AG75,$AC75,""),"")</f>
        <v/>
      </c>
      <c r="CR75" s="1153"/>
      <c r="CS75" s="1153"/>
      <c r="CT75" s="1153"/>
      <c r="CU75" s="1153" t="str">
        <f>IF($AI75,IF(LARGE($AG$41:$AH$107,CU$40)=$AG75,$AC75,""),"")</f>
        <v/>
      </c>
      <c r="CV75" s="1153"/>
      <c r="CW75" s="1153"/>
      <c r="CX75" s="1153"/>
      <c r="CY75" s="1153" t="str">
        <f>IF($AI75,IF(LARGE($AG$41:$AH$107,CY$40)=$AG75,$AC75,""),"")</f>
        <v/>
      </c>
      <c r="CZ75" s="1153"/>
      <c r="DA75" s="1153"/>
      <c r="DB75" s="1153"/>
      <c r="DC75" s="1153" t="str">
        <f>IF($AI75,IF(LARGE($AG$41:$AH$107,DC$40)=$AG75,$AC75,""),"")</f>
        <v/>
      </c>
      <c r="DD75" s="1153"/>
      <c r="DE75" s="1153"/>
      <c r="DF75" s="1153"/>
      <c r="DG75" s="1153" t="str">
        <f>IF($AI75,IF(LARGE($AG$41:$AH$107,DG$40)=$AG75,$AC75,""),"")</f>
        <v/>
      </c>
      <c r="DH75" s="1153"/>
      <c r="DI75" s="1153"/>
      <c r="DJ75" s="1153"/>
      <c r="DK75" s="1153" t="str">
        <f>IF($AI75,IF(LARGE($AG$41:$AH$107,DK$40)=$AG75,$AC75,""),"")</f>
        <v/>
      </c>
      <c r="DL75" s="1153"/>
      <c r="DM75" s="1153"/>
      <c r="DN75" s="1153"/>
      <c r="DO75" s="1153" t="str">
        <f>IF($AI75,IF(LARGE($AG$41:$AH$107,DO$40)=$AG75,$AC75,""),"")</f>
        <v/>
      </c>
      <c r="DP75" s="1153"/>
      <c r="DQ75" s="1153"/>
      <c r="DR75" s="1153"/>
      <c r="DS75" s="1153" t="str">
        <f>IF($AI75,IF(LARGE($AG$41:$AH$107,DS$40)=$AG75,$AC75,""),"")</f>
        <v/>
      </c>
      <c r="DT75" s="1153"/>
      <c r="DU75" s="1153"/>
      <c r="DV75" s="1153"/>
      <c r="DW75" s="1153" t="str">
        <f>IF($AI75,IF(LARGE($AG$41:$AH$107,DW$40)=$AG75,$AC75,""),"")</f>
        <v/>
      </c>
      <c r="DX75" s="1153"/>
      <c r="DY75" s="1153"/>
      <c r="DZ75" s="1153"/>
      <c r="EA75" s="1153" t="str">
        <f>IF($AI75,IF(LARGE($AG$41:$AH$107,EA$40)=$AG75,$AC75,""),"")</f>
        <v/>
      </c>
      <c r="EB75" s="1153"/>
      <c r="EC75" s="1153"/>
      <c r="ED75" s="1153"/>
      <c r="EE75" s="1153" t="str">
        <f>IF($AI75,IF(LARGE($AG$41:$AH$107,EE$40)=$AG75,$AC75,""),"")</f>
        <v/>
      </c>
      <c r="EF75" s="1153"/>
      <c r="EG75" s="1153"/>
      <c r="EH75" s="1153"/>
      <c r="EI75" s="1153" t="str">
        <f>IF($AI75,IF(LARGE($AG$41:$AH$107,EI$40)=$AG75,$AC75,""),"")</f>
        <v/>
      </c>
      <c r="EJ75" s="1153"/>
      <c r="EK75" s="1153"/>
      <c r="EL75" s="1153"/>
      <c r="EM75" s="1153" t="str">
        <f>IF($AI75,IF(LARGE($AG$41:$AH$107,EM$40)=$AG75,$AC75,""),"")</f>
        <v/>
      </c>
      <c r="EN75" s="1153"/>
      <c r="EO75" s="1153"/>
      <c r="EP75" s="1153"/>
      <c r="EQ75" s="1153" t="str">
        <f>IF($AI75,IF(LARGE($AG$41:$AH$107,EQ$40)=$AG75,$AC75,""),"")</f>
        <v/>
      </c>
      <c r="ER75" s="1153"/>
      <c r="ES75" s="1153"/>
      <c r="ET75" s="1153"/>
      <c r="EU75" s="1153" t="str">
        <f>IF($AI75,IF(LARGE($AG$41:$AH$107,EU$40)=$AG75,$AC75,""),"")</f>
        <v/>
      </c>
      <c r="EV75" s="1153"/>
      <c r="EW75" s="1153"/>
      <c r="EX75" s="1153"/>
      <c r="EY75" s="1153" t="str">
        <f>IF($AI75,IF(LARGE($AG$41:$AH$107,EY$40)=$AG75,$AC75,""),"")</f>
        <v/>
      </c>
      <c r="EZ75" s="1153"/>
      <c r="FA75" s="1153"/>
      <c r="FB75" s="1153"/>
      <c r="FC75" s="1153" t="str">
        <f>IF($AI75,IF(LARGE($AG$41:$AH$107,FC$40)=$AG75,$AC75,""),"")</f>
        <v/>
      </c>
      <c r="FD75" s="1153"/>
      <c r="FE75" s="1153"/>
      <c r="FF75" s="1153"/>
      <c r="FG75" s="1153" t="str">
        <f>IF($AI75,IF(LARGE($AG$41:$AH$107,FG$40)=$AG75,$AC75,""),"")</f>
        <v/>
      </c>
      <c r="FH75" s="1153"/>
      <c r="FI75" s="1153"/>
      <c r="FJ75" s="1153"/>
      <c r="FK75" s="1153" t="str">
        <f>IF($AI75,IF(LARGE($AG$41:$AH$107,FK$40)=$AG75,$AC75,""),"")</f>
        <v/>
      </c>
      <c r="FL75" s="1153"/>
      <c r="FM75" s="1153"/>
      <c r="FN75" s="1153"/>
      <c r="FO75" s="1153" t="str">
        <f>IF($AI75,IF(LARGE($AG$41:$AH$107,FO$40)=$AG75,$AC75,""),"")</f>
        <v/>
      </c>
      <c r="FP75" s="1153"/>
      <c r="FQ75" s="1153"/>
      <c r="FR75" s="1153"/>
      <c r="FS75" s="1153" t="str">
        <f>IF($AI75,IF(LARGE($AG$41:$AH$107,FS$40)=$AG75,$AC75,""),"")</f>
        <v/>
      </c>
      <c r="FT75" s="1153"/>
      <c r="FU75" s="1153"/>
      <c r="FV75" s="1153"/>
      <c r="FW75" s="1153" t="str">
        <f>IF($AI75,IF(LARGE($AG$41:$AH$107,FW$40)=$AG75,$AC75,""),"")</f>
        <v/>
      </c>
      <c r="FX75" s="1153"/>
      <c r="FY75" s="1153"/>
      <c r="FZ75" s="1153"/>
      <c r="GA75" s="1153" t="str">
        <f>IF($AI75,IF(LARGE($AG$41:$AH$107,GA$40)=$AG75,$AC75,""),"")</f>
        <v/>
      </c>
      <c r="GB75" s="1153"/>
      <c r="GC75" s="1153"/>
      <c r="GD75" s="1153"/>
      <c r="GE75" s="1153" t="str">
        <f>IF($AI75,IF(LARGE($AG$41:$AH$107,GE$40)=$AG75,$AC75,""),"")</f>
        <v/>
      </c>
      <c r="GF75" s="1153"/>
      <c r="GG75" s="1153"/>
      <c r="GH75" s="1153"/>
      <c r="GI75" s="1153" t="str">
        <f>IF($AI75,IF(LARGE($AG$41:$AH$107,GI$40)=$AG75,$AC75,""),"")</f>
        <v/>
      </c>
      <c r="GJ75" s="1153"/>
      <c r="GK75" s="1153"/>
      <c r="GL75" s="1153"/>
      <c r="GM75" s="1153" t="str">
        <f>IF($AI75,IF(LARGE($AG$41:$AH$107,GM$40)=$AG75,$AC75,""),"")</f>
        <v/>
      </c>
      <c r="GN75" s="1153"/>
      <c r="GO75" s="1153"/>
      <c r="GP75" s="1153"/>
      <c r="GQ75" s="1153" t="str">
        <f>IF($AI75,IF(LARGE($AG$41:$AH$107,GQ$40)=$AG75,$AC75,""),"")</f>
        <v/>
      </c>
      <c r="GR75" s="1153"/>
      <c r="GS75" s="1153"/>
      <c r="GT75" s="1153"/>
      <c r="GU75" s="1153" t="str">
        <f>IF($AI75,IF(LARGE($AG$41:$AH$107,GU$40)=$AG75,$AC75,""),"")</f>
        <v/>
      </c>
      <c r="GV75" s="1153"/>
      <c r="GW75" s="1153"/>
      <c r="GX75" s="1153"/>
      <c r="GY75" s="1153" t="str">
        <f>IF($AI75,IF(LARGE($AG$41:$AH$107,GY$40)=$AG75,$AC75,""),"")</f>
        <v/>
      </c>
      <c r="GZ75" s="1153"/>
      <c r="HA75" s="1153"/>
      <c r="HB75" s="1153"/>
      <c r="HC75" s="1153" t="str">
        <f>IF($AI75,IF(LARGE($AG$41:$AH$107,HC$40)=$AG75,$AC75,""),"")</f>
        <v/>
      </c>
      <c r="HD75" s="1153"/>
      <c r="HE75" s="1153"/>
      <c r="HF75" s="1153"/>
      <c r="HG75" s="1153" t="str">
        <f>IF($AI75,IF(LARGE($AG$41:$AH$107,HG$40)=$AG75,$AC75,""),"")</f>
        <v/>
      </c>
      <c r="HH75" s="1153"/>
      <c r="HI75" s="1153"/>
      <c r="HJ75" s="1153"/>
      <c r="HK75" s="1153" t="str">
        <f>IF($AI75,IF(LARGE($AG$41:$AH$107,HK$40)=$AG75,$AC75,""),"")</f>
        <v/>
      </c>
      <c r="HL75" s="1153"/>
      <c r="HM75" s="1153"/>
      <c r="HN75" s="1153"/>
      <c r="HO75" s="1153" t="str">
        <f>IF($AI75,IF(LARGE($AG$41:$AH$107,HO$40)=$AG75,$AC75,""),"")</f>
        <v/>
      </c>
      <c r="HP75" s="1153"/>
      <c r="HQ75" s="1153"/>
      <c r="HR75" s="1153"/>
      <c r="HS75" s="1153" t="str">
        <f>IF($AI75,IF(LARGE($AG$41:$AH$107,HS$40)=$AG75,$AC75,""),"")</f>
        <v/>
      </c>
      <c r="HT75" s="1153"/>
      <c r="HU75" s="1153"/>
      <c r="HV75" s="1153"/>
      <c r="HW75" s="1153" t="str">
        <f>IF($AI75,IF(LARGE($AG$41:$AH$107,HW$40)=$AG75,$AC75,""),"")</f>
        <v/>
      </c>
      <c r="HX75" s="1153"/>
      <c r="HY75" s="1153"/>
      <c r="HZ75" s="1153"/>
      <c r="IA75" s="1153" t="str">
        <f>IF($AI75,IF(LARGE($AG$41:$AH$107,IA$40)=$AG75,$AC75,""),"")</f>
        <v/>
      </c>
      <c r="IB75" s="1153"/>
      <c r="IC75" s="1153"/>
      <c r="ID75" s="1153"/>
      <c r="IE75" s="1153" t="str">
        <f>IF($AI75,IF(LARGE($AG$41:$AH$107,IE$40)=$AG75,$AC75,""),"")</f>
        <v/>
      </c>
      <c r="IF75" s="1153"/>
      <c r="IG75" s="1153"/>
      <c r="IH75" s="1153"/>
      <c r="II75" s="1153" t="str">
        <f>IF($AI75,IF(LARGE($AG$41:$AH$107,II$40)=$AG75,$AC75,""),"")</f>
        <v/>
      </c>
      <c r="IJ75" s="1153"/>
      <c r="IK75" s="1153"/>
      <c r="IL75" s="1153"/>
      <c r="IM75" s="1153" t="str">
        <f>IF($AI75,IF(LARGE($AG$41:$AH$107,IM$40)=$AG75,$AC75,""),"")</f>
        <v/>
      </c>
      <c r="IN75" s="1153"/>
      <c r="IO75" s="1153"/>
      <c r="IP75" s="1153"/>
      <c r="IQ75" s="1153" t="str">
        <f>IF($AI75,IF(LARGE($AG$41:$AH$107,IQ$40)=$AG75,$AC75,""),"")</f>
        <v/>
      </c>
      <c r="IR75" s="1153"/>
      <c r="IS75" s="1153"/>
      <c r="IT75" s="1153"/>
      <c r="IU75" s="1153" t="str">
        <f>IF($AI75,IF(LARGE($AG$41:$AH$107,IU$40)=$AG75,$AC75,""),"")</f>
        <v/>
      </c>
      <c r="IV75" s="1153"/>
      <c r="IW75" s="1153"/>
      <c r="IX75" s="1153"/>
      <c r="IY75" s="1153" t="str">
        <f>IF($AI75,IF(LARGE($AG$41:$AH$107,IY$40)=$AG75,$AC75,""),"")</f>
        <v/>
      </c>
      <c r="IZ75" s="1153"/>
      <c r="JA75" s="1153"/>
      <c r="JB75" s="1153"/>
      <c r="JC75" s="1153" t="str">
        <f>IF($AI75,IF(LARGE($AG$41:$AH$107,JC$40)=$AG75,$AC75,""),"")</f>
        <v/>
      </c>
      <c r="JD75" s="1153"/>
      <c r="JE75" s="1153"/>
      <c r="JF75" s="1153"/>
      <c r="JG75" s="1153" t="str">
        <f>IF($AI75,IF(LARGE($AG$41:$AH$107,JG$40)=$AG75,$AC75,""),"")</f>
        <v/>
      </c>
      <c r="JH75" s="1153"/>
      <c r="JI75" s="1153"/>
      <c r="JJ75" s="1153"/>
      <c r="JK75" s="1153" t="str">
        <f>IF($AI75,IF(LARGE($AG$41:$AH$107,JK$40)=$AG75,$AC75,""),"")</f>
        <v/>
      </c>
      <c r="JL75" s="1153"/>
      <c r="JM75" s="1153"/>
      <c r="JN75" s="1153"/>
      <c r="JO75" s="1153" t="str">
        <f>IF($AI75,IF(LARGE($AG$41:$AH$107,JO$40)=$AG75,$AC75,""),"")</f>
        <v/>
      </c>
      <c r="JP75" s="1153"/>
      <c r="JQ75" s="1153"/>
      <c r="JR75" s="1153"/>
      <c r="JS75" s="1153" t="str">
        <f>IF($AI75,IF(LARGE($AG$41:$AH$107,JS$40)=$AG75,$AC75,""),"")</f>
        <v/>
      </c>
      <c r="JT75" s="1153"/>
      <c r="JU75" s="1153"/>
      <c r="JV75" s="1153"/>
      <c r="JW75" s="1153" t="str">
        <f>IF($AI75,IF(LARGE($AG$41:$AH$107,JW$40)=$AG75,$AC75,""),"")</f>
        <v/>
      </c>
      <c r="JX75" s="1153"/>
      <c r="JY75" s="1153"/>
      <c r="JZ75" s="1153"/>
      <c r="KA75" s="1153" t="str">
        <f>IF($AI75,IF(LARGE($AG$41:$AH$107,KA$40)=$AG75,$AC75,""),"")</f>
        <v/>
      </c>
      <c r="KB75" s="1153"/>
      <c r="KC75" s="1153"/>
      <c r="KD75" s="1153"/>
      <c r="KE75" s="1153" t="str">
        <f>IF($AI75,IF(LARGE($AG$41:$AH$107,KE$40)=$AG75,$AC75,""),"")</f>
        <v/>
      </c>
      <c r="KF75" s="1153"/>
      <c r="KG75" s="1153"/>
      <c r="KH75" s="1153"/>
      <c r="KI75" s="1153" t="str">
        <f>IF($AI75,IF(LARGE($AG$41:$AH$107,KI$40)=$AG75,$AC75,""),"")</f>
        <v/>
      </c>
      <c r="KJ75" s="1153"/>
      <c r="KK75" s="1153"/>
      <c r="KL75" s="1153"/>
      <c r="KM75" s="1153" t="str">
        <f>IF($AI75,IF(LARGE($AG$41:$AH$107,KM$40)=$AG75,$AC75,""),"")</f>
        <v/>
      </c>
      <c r="KN75" s="1153"/>
      <c r="KO75" s="1153"/>
      <c r="KP75" s="1153"/>
      <c r="KQ75" s="1153" t="str">
        <f>IF($AI75,IF(LARGE($AG$41:$AH$107,KQ$40)=$AG75,$AC75,""),"")</f>
        <v/>
      </c>
      <c r="KR75" s="1153"/>
      <c r="KS75" s="1153"/>
      <c r="KT75" s="1153"/>
    </row>
    <row r="76" spans="8:8">
      <c r="C76" s="1153" t="str">
        <f>IF(Z6="","",CONCATENATE(" ",AR6,Z6,AB6))</f>
        <v> 📚图书馆使用</v>
      </c>
      <c r="D76" s="1153"/>
      <c r="E76" s="1153"/>
      <c r="F76" s="1153"/>
      <c r="G76" s="1155" t="str">
        <f>IF(AND(AF6=0,AH6=0),"",IF(ISNONTEXT(X6),"",AL6))</f>
        <v/>
      </c>
      <c r="H76" s="1155"/>
      <c r="I76" s="1153" t="str">
        <f>IF(G76=$G$40,C76,"")</f>
        <v/>
      </c>
      <c r="J76" s="1153"/>
      <c r="K76" s="1153"/>
      <c r="L76" s="1153"/>
      <c r="M76" s="1154">
        <f>IF(AND(NOT(AH6=0),ISNONTEXT(X6)),1,0)</f>
        <v>0.0</v>
      </c>
      <c r="N76" s="1122"/>
      <c r="O76" s="1122"/>
      <c r="P76" s="1153" t="str">
        <f>IF(Z6="","",CONCATENATE(" ",AR6,Z6,AB6))</f>
        <v> 📚图书馆使用</v>
      </c>
      <c r="Q76" s="1153"/>
      <c r="R76" s="1153"/>
      <c r="S76" s="1153"/>
      <c r="T76" s="1155" t="str">
        <f>IF(AND(AF6=0,AJ6=0),"",IF(ISNONTEXT(X6),AL6,""))</f>
        <v/>
      </c>
      <c r="U76" s="1155"/>
      <c r="V76" s="1153" t="str">
        <f>IF(T76=$T$40,P76,"")</f>
        <v/>
      </c>
      <c r="W76" s="1153"/>
      <c r="X76" s="1153"/>
      <c r="Y76" s="1153"/>
      <c r="AB76" s="1122"/>
      <c r="AC76" s="1153" t="str">
        <f>IF(Z6="","",CONCATENATE(AR6,Z6,AB6))</f>
        <v>📚图书馆使用</v>
      </c>
      <c r="AD76" s="1153"/>
      <c r="AE76" s="1153"/>
      <c r="AF76" s="1153"/>
      <c r="AG76" s="1155">
        <f>AL6</f>
        <v>20.0</v>
      </c>
      <c r="AH76" s="1155"/>
      <c r="AI76" s="1153" t="b">
        <f>IF(AND(OR(ISNUMBER(AF6),ISNUMBER(AH6),ISNUMBER(AJ6)),OR(AF6&gt;0,AH6&gt;0,AJ6&gt;0)),TRUE,FALSE)</f>
        <v>0</v>
      </c>
      <c r="AJ76" s="1153"/>
      <c r="AK76" s="1153"/>
      <c r="AL76" s="1153"/>
      <c r="AM76" s="1153" t="str">
        <f>IF($AI76,IF(LARGE($AG$41:$AH$107,AM$40)=$AG76,$AC76,""),"")</f>
        <v/>
      </c>
      <c r="AN76" s="1153"/>
      <c r="AO76" s="1153"/>
      <c r="AP76" s="1153"/>
      <c r="AQ76" s="1153" t="str">
        <f>IF($AI76,IF(LARGE($AG$41:$AH$107,AQ$40)=$AG76,$AC76,""),"")</f>
        <v/>
      </c>
      <c r="AR76" s="1153"/>
      <c r="AS76" s="1153"/>
      <c r="AT76" s="1153"/>
      <c r="AU76" s="1153" t="str">
        <f>IF($AI76,IF(LARGE($AG$41:$AH$107,AU$40)=$AG76,$AC76,""),"")</f>
        <v/>
      </c>
      <c r="AV76" s="1153"/>
      <c r="AW76" s="1153"/>
      <c r="AX76" s="1153"/>
      <c r="AY76" s="1153" t="str">
        <f>IF($AI76,IF(LARGE($AG$41:$AH$107,AY$40)=$AG76,$AC76,""),"")</f>
        <v/>
      </c>
      <c r="AZ76" s="1153"/>
      <c r="BA76" s="1153"/>
      <c r="BB76" s="1153"/>
      <c r="BC76" s="1153" t="str">
        <f>IF($AI76,IF(LARGE($AG$41:$AH$107,BC$40)=$AG76,$AC76,""),"")</f>
        <v/>
      </c>
      <c r="BD76" s="1153"/>
      <c r="BE76" s="1153"/>
      <c r="BF76" s="1153"/>
      <c r="BG76" s="1153" t="str">
        <f>IF($AI76,IF(LARGE($AG$41:$AH$107,BG$40)=$AG76,$AC76,""),"")</f>
        <v/>
      </c>
      <c r="BH76" s="1153"/>
      <c r="BI76" s="1153"/>
      <c r="BJ76" s="1153"/>
      <c r="BK76" s="1153" t="str">
        <f>IF($AI76,IF(LARGE($AG$41:$AH$107,BK$40)=$AG76,$AC76,""),"")</f>
        <v/>
      </c>
      <c r="BL76" s="1153"/>
      <c r="BM76" s="1153"/>
      <c r="BN76" s="1153"/>
      <c r="BO76" s="1153" t="str">
        <f>IF($AI76,IF(LARGE($AG$41:$AH$107,BO$40)=$AG76,$AC76,""),"")</f>
        <v/>
      </c>
      <c r="BP76" s="1153"/>
      <c r="BQ76" s="1153"/>
      <c r="BR76" s="1153"/>
      <c r="BS76" s="1153" t="str">
        <f>IF($AI76,IF(LARGE($AG$41:$AH$107,BS$40)=$AG76,$AC76,""),"")</f>
        <v/>
      </c>
      <c r="BT76" s="1153"/>
      <c r="BU76" s="1153"/>
      <c r="BV76" s="1153"/>
      <c r="BW76" s="1153" t="str">
        <f>IF($AI76,IF(LARGE($AG$41:$AH$107,BW$40)=$AG76,$AC76,""),"")</f>
        <v/>
      </c>
      <c r="BX76" s="1153"/>
      <c r="BY76" s="1153"/>
      <c r="BZ76" s="1153"/>
      <c r="CA76" s="1153" t="str">
        <f>IF($AI76,IF(LARGE($AG$41:$AH$107,CA$40)=$AG76,$AC76,""),"")</f>
        <v/>
      </c>
      <c r="CB76" s="1153"/>
      <c r="CC76" s="1153"/>
      <c r="CD76" s="1153"/>
      <c r="CE76" s="1153" t="str">
        <f>IF($AI76,IF(LARGE($AG$41:$AH$107,CE$40)=$AG76,$AC76,""),"")</f>
        <v/>
      </c>
      <c r="CF76" s="1153"/>
      <c r="CG76" s="1153"/>
      <c r="CH76" s="1153"/>
      <c r="CI76" s="1153" t="str">
        <f>IF($AI76,IF(LARGE($AG$41:$AH$107,CI$40)=$AG76,$AC76,""),"")</f>
        <v/>
      </c>
      <c r="CJ76" s="1153"/>
      <c r="CK76" s="1153"/>
      <c r="CL76" s="1153"/>
      <c r="CM76" s="1153" t="str">
        <f>IF($AI76,IF(LARGE($AG$41:$AH$107,CM$40)=$AG76,$AC76,""),"")</f>
        <v/>
      </c>
      <c r="CN76" s="1153"/>
      <c r="CO76" s="1153"/>
      <c r="CP76" s="1153"/>
      <c r="CQ76" s="1153" t="str">
        <f>IF($AI76,IF(LARGE($AG$41:$AH$107,CQ$40)=$AG76,$AC76,""),"")</f>
        <v/>
      </c>
      <c r="CR76" s="1153"/>
      <c r="CS76" s="1153"/>
      <c r="CT76" s="1153"/>
      <c r="CU76" s="1153" t="str">
        <f>IF($AI76,IF(LARGE($AG$41:$AH$107,CU$40)=$AG76,$AC76,""),"")</f>
        <v/>
      </c>
      <c r="CV76" s="1153"/>
      <c r="CW76" s="1153"/>
      <c r="CX76" s="1153"/>
      <c r="CY76" s="1153" t="str">
        <f>IF($AI76,IF(LARGE($AG$41:$AH$107,CY$40)=$AG76,$AC76,""),"")</f>
        <v/>
      </c>
      <c r="CZ76" s="1153"/>
      <c r="DA76" s="1153"/>
      <c r="DB76" s="1153"/>
      <c r="DC76" s="1153" t="str">
        <f>IF($AI76,IF(LARGE($AG$41:$AH$107,DC$40)=$AG76,$AC76,""),"")</f>
        <v/>
      </c>
      <c r="DD76" s="1153"/>
      <c r="DE76" s="1153"/>
      <c r="DF76" s="1153"/>
      <c r="DG76" s="1153" t="str">
        <f>IF($AI76,IF(LARGE($AG$41:$AH$107,DG$40)=$AG76,$AC76,""),"")</f>
        <v/>
      </c>
      <c r="DH76" s="1153"/>
      <c r="DI76" s="1153"/>
      <c r="DJ76" s="1153"/>
      <c r="DK76" s="1153" t="str">
        <f>IF($AI76,IF(LARGE($AG$41:$AH$107,DK$40)=$AG76,$AC76,""),"")</f>
        <v/>
      </c>
      <c r="DL76" s="1153"/>
      <c r="DM76" s="1153"/>
      <c r="DN76" s="1153"/>
      <c r="DO76" s="1153" t="str">
        <f>IF($AI76,IF(LARGE($AG$41:$AH$107,DO$40)=$AG76,$AC76,""),"")</f>
        <v/>
      </c>
      <c r="DP76" s="1153"/>
      <c r="DQ76" s="1153"/>
      <c r="DR76" s="1153"/>
      <c r="DS76" s="1153" t="str">
        <f>IF($AI76,IF(LARGE($AG$41:$AH$107,DS$40)=$AG76,$AC76,""),"")</f>
        <v/>
      </c>
      <c r="DT76" s="1153"/>
      <c r="DU76" s="1153"/>
      <c r="DV76" s="1153"/>
      <c r="DW76" s="1153" t="str">
        <f>IF($AI76,IF(LARGE($AG$41:$AH$107,DW$40)=$AG76,$AC76,""),"")</f>
        <v/>
      </c>
      <c r="DX76" s="1153"/>
      <c r="DY76" s="1153"/>
      <c r="DZ76" s="1153"/>
      <c r="EA76" s="1153" t="str">
        <f>IF($AI76,IF(LARGE($AG$41:$AH$107,EA$40)=$AG76,$AC76,""),"")</f>
        <v/>
      </c>
      <c r="EB76" s="1153"/>
      <c r="EC76" s="1153"/>
      <c r="ED76" s="1153"/>
      <c r="EE76" s="1153" t="str">
        <f>IF($AI76,IF(LARGE($AG$41:$AH$107,EE$40)=$AG76,$AC76,""),"")</f>
        <v/>
      </c>
      <c r="EF76" s="1153"/>
      <c r="EG76" s="1153"/>
      <c r="EH76" s="1153"/>
      <c r="EI76" s="1153" t="str">
        <f>IF($AI76,IF(LARGE($AG$41:$AH$107,EI$40)=$AG76,$AC76,""),"")</f>
        <v/>
      </c>
      <c r="EJ76" s="1153"/>
      <c r="EK76" s="1153"/>
      <c r="EL76" s="1153"/>
      <c r="EM76" s="1153" t="str">
        <f>IF($AI76,IF(LARGE($AG$41:$AH$107,EM$40)=$AG76,$AC76,""),"")</f>
        <v/>
      </c>
      <c r="EN76" s="1153"/>
      <c r="EO76" s="1153"/>
      <c r="EP76" s="1153"/>
      <c r="EQ76" s="1153" t="str">
        <f>IF($AI76,IF(LARGE($AG$41:$AH$107,EQ$40)=$AG76,$AC76,""),"")</f>
        <v/>
      </c>
      <c r="ER76" s="1153"/>
      <c r="ES76" s="1153"/>
      <c r="ET76" s="1153"/>
      <c r="EU76" s="1153" t="str">
        <f>IF($AI76,IF(LARGE($AG$41:$AH$107,EU$40)=$AG76,$AC76,""),"")</f>
        <v/>
      </c>
      <c r="EV76" s="1153"/>
      <c r="EW76" s="1153"/>
      <c r="EX76" s="1153"/>
      <c r="EY76" s="1153" t="str">
        <f>IF($AI76,IF(LARGE($AG$41:$AH$107,EY$40)=$AG76,$AC76,""),"")</f>
        <v/>
      </c>
      <c r="EZ76" s="1153"/>
      <c r="FA76" s="1153"/>
      <c r="FB76" s="1153"/>
      <c r="FC76" s="1153" t="str">
        <f>IF($AI76,IF(LARGE($AG$41:$AH$107,FC$40)=$AG76,$AC76,""),"")</f>
        <v/>
      </c>
      <c r="FD76" s="1153"/>
      <c r="FE76" s="1153"/>
      <c r="FF76" s="1153"/>
      <c r="FG76" s="1153" t="str">
        <f>IF($AI76,IF(LARGE($AG$41:$AH$107,FG$40)=$AG76,$AC76,""),"")</f>
        <v/>
      </c>
      <c r="FH76" s="1153"/>
      <c r="FI76" s="1153"/>
      <c r="FJ76" s="1153"/>
      <c r="FK76" s="1153" t="str">
        <f>IF($AI76,IF(LARGE($AG$41:$AH$107,FK$40)=$AG76,$AC76,""),"")</f>
        <v/>
      </c>
      <c r="FL76" s="1153"/>
      <c r="FM76" s="1153"/>
      <c r="FN76" s="1153"/>
      <c r="FO76" s="1153" t="str">
        <f>IF($AI76,IF(LARGE($AG$41:$AH$107,FO$40)=$AG76,$AC76,""),"")</f>
        <v/>
      </c>
      <c r="FP76" s="1153"/>
      <c r="FQ76" s="1153"/>
      <c r="FR76" s="1153"/>
      <c r="FS76" s="1153" t="str">
        <f>IF($AI76,IF(LARGE($AG$41:$AH$107,FS$40)=$AG76,$AC76,""),"")</f>
        <v/>
      </c>
      <c r="FT76" s="1153"/>
      <c r="FU76" s="1153"/>
      <c r="FV76" s="1153"/>
      <c r="FW76" s="1153" t="str">
        <f>IF($AI76,IF(LARGE($AG$41:$AH$107,FW$40)=$AG76,$AC76,""),"")</f>
        <v/>
      </c>
      <c r="FX76" s="1153"/>
      <c r="FY76" s="1153"/>
      <c r="FZ76" s="1153"/>
      <c r="GA76" s="1153" t="str">
        <f>IF($AI76,IF(LARGE($AG$41:$AH$107,GA$40)=$AG76,$AC76,""),"")</f>
        <v/>
      </c>
      <c r="GB76" s="1153"/>
      <c r="GC76" s="1153"/>
      <c r="GD76" s="1153"/>
      <c r="GE76" s="1153" t="str">
        <f>IF($AI76,IF(LARGE($AG$41:$AH$107,GE$40)=$AG76,$AC76,""),"")</f>
        <v/>
      </c>
      <c r="GF76" s="1153"/>
      <c r="GG76" s="1153"/>
      <c r="GH76" s="1153"/>
      <c r="GI76" s="1153" t="str">
        <f>IF($AI76,IF(LARGE($AG$41:$AH$107,GI$40)=$AG76,$AC76,""),"")</f>
        <v/>
      </c>
      <c r="GJ76" s="1153"/>
      <c r="GK76" s="1153"/>
      <c r="GL76" s="1153"/>
      <c r="GM76" s="1153" t="str">
        <f>IF($AI76,IF(LARGE($AG$41:$AH$107,GM$40)=$AG76,$AC76,""),"")</f>
        <v/>
      </c>
      <c r="GN76" s="1153"/>
      <c r="GO76" s="1153"/>
      <c r="GP76" s="1153"/>
      <c r="GQ76" s="1153" t="str">
        <f>IF($AI76,IF(LARGE($AG$41:$AH$107,GQ$40)=$AG76,$AC76,""),"")</f>
        <v/>
      </c>
      <c r="GR76" s="1153"/>
      <c r="GS76" s="1153"/>
      <c r="GT76" s="1153"/>
      <c r="GU76" s="1153" t="str">
        <f>IF($AI76,IF(LARGE($AG$41:$AH$107,GU$40)=$AG76,$AC76,""),"")</f>
        <v/>
      </c>
      <c r="GV76" s="1153"/>
      <c r="GW76" s="1153"/>
      <c r="GX76" s="1153"/>
      <c r="GY76" s="1153" t="str">
        <f>IF($AI76,IF(LARGE($AG$41:$AH$107,GY$40)=$AG76,$AC76,""),"")</f>
        <v/>
      </c>
      <c r="GZ76" s="1153"/>
      <c r="HA76" s="1153"/>
      <c r="HB76" s="1153"/>
      <c r="HC76" s="1153" t="str">
        <f>IF($AI76,IF(LARGE($AG$41:$AH$107,HC$40)=$AG76,$AC76,""),"")</f>
        <v/>
      </c>
      <c r="HD76" s="1153"/>
      <c r="HE76" s="1153"/>
      <c r="HF76" s="1153"/>
      <c r="HG76" s="1153" t="str">
        <f>IF($AI76,IF(LARGE($AG$41:$AH$107,HG$40)=$AG76,$AC76,""),"")</f>
        <v/>
      </c>
      <c r="HH76" s="1153"/>
      <c r="HI76" s="1153"/>
      <c r="HJ76" s="1153"/>
      <c r="HK76" s="1153" t="str">
        <f>IF($AI76,IF(LARGE($AG$41:$AH$107,HK$40)=$AG76,$AC76,""),"")</f>
        <v/>
      </c>
      <c r="HL76" s="1153"/>
      <c r="HM76" s="1153"/>
      <c r="HN76" s="1153"/>
      <c r="HO76" s="1153" t="str">
        <f>IF($AI76,IF(LARGE($AG$41:$AH$107,HO$40)=$AG76,$AC76,""),"")</f>
        <v/>
      </c>
      <c r="HP76" s="1153"/>
      <c r="HQ76" s="1153"/>
      <c r="HR76" s="1153"/>
      <c r="HS76" s="1153" t="str">
        <f>IF($AI76,IF(LARGE($AG$41:$AH$107,HS$40)=$AG76,$AC76,""),"")</f>
        <v/>
      </c>
      <c r="HT76" s="1153"/>
      <c r="HU76" s="1153"/>
      <c r="HV76" s="1153"/>
      <c r="HW76" s="1153" t="str">
        <f>IF($AI76,IF(LARGE($AG$41:$AH$107,HW$40)=$AG76,$AC76,""),"")</f>
        <v/>
      </c>
      <c r="HX76" s="1153"/>
      <c r="HY76" s="1153"/>
      <c r="HZ76" s="1153"/>
      <c r="IA76" s="1153" t="str">
        <f>IF($AI76,IF(LARGE($AG$41:$AH$107,IA$40)=$AG76,$AC76,""),"")</f>
        <v/>
      </c>
      <c r="IB76" s="1153"/>
      <c r="IC76" s="1153"/>
      <c r="ID76" s="1153"/>
      <c r="IE76" s="1153" t="str">
        <f>IF($AI76,IF(LARGE($AG$41:$AH$107,IE$40)=$AG76,$AC76,""),"")</f>
        <v/>
      </c>
      <c r="IF76" s="1153"/>
      <c r="IG76" s="1153"/>
      <c r="IH76" s="1153"/>
      <c r="II76" s="1153" t="str">
        <f>IF($AI76,IF(LARGE($AG$41:$AH$107,II$40)=$AG76,$AC76,""),"")</f>
        <v/>
      </c>
      <c r="IJ76" s="1153"/>
      <c r="IK76" s="1153"/>
      <c r="IL76" s="1153"/>
      <c r="IM76" s="1153" t="str">
        <f>IF($AI76,IF(LARGE($AG$41:$AH$107,IM$40)=$AG76,$AC76,""),"")</f>
        <v/>
      </c>
      <c r="IN76" s="1153"/>
      <c r="IO76" s="1153"/>
      <c r="IP76" s="1153"/>
      <c r="IQ76" s="1153" t="str">
        <f>IF($AI76,IF(LARGE($AG$41:$AH$107,IQ$40)=$AG76,$AC76,""),"")</f>
        <v/>
      </c>
      <c r="IR76" s="1153"/>
      <c r="IS76" s="1153"/>
      <c r="IT76" s="1153"/>
      <c r="IU76" s="1153" t="str">
        <f>IF($AI76,IF(LARGE($AG$41:$AH$107,IU$40)=$AG76,$AC76,""),"")</f>
        <v/>
      </c>
      <c r="IV76" s="1153"/>
      <c r="IW76" s="1153"/>
      <c r="IX76" s="1153"/>
      <c r="IY76" s="1153" t="str">
        <f>IF($AI76,IF(LARGE($AG$41:$AH$107,IY$40)=$AG76,$AC76,""),"")</f>
        <v/>
      </c>
      <c r="IZ76" s="1153"/>
      <c r="JA76" s="1153"/>
      <c r="JB76" s="1153"/>
      <c r="JC76" s="1153" t="str">
        <f>IF($AI76,IF(LARGE($AG$41:$AH$107,JC$40)=$AG76,$AC76,""),"")</f>
        <v/>
      </c>
      <c r="JD76" s="1153"/>
      <c r="JE76" s="1153"/>
      <c r="JF76" s="1153"/>
      <c r="JG76" s="1153" t="str">
        <f>IF($AI76,IF(LARGE($AG$41:$AH$107,JG$40)=$AG76,$AC76,""),"")</f>
        <v/>
      </c>
      <c r="JH76" s="1153"/>
      <c r="JI76" s="1153"/>
      <c r="JJ76" s="1153"/>
      <c r="JK76" s="1153" t="str">
        <f>IF($AI76,IF(LARGE($AG$41:$AH$107,JK$40)=$AG76,$AC76,""),"")</f>
        <v/>
      </c>
      <c r="JL76" s="1153"/>
      <c r="JM76" s="1153"/>
      <c r="JN76" s="1153"/>
      <c r="JO76" s="1153" t="str">
        <f>IF($AI76,IF(LARGE($AG$41:$AH$107,JO$40)=$AG76,$AC76,""),"")</f>
        <v/>
      </c>
      <c r="JP76" s="1153"/>
      <c r="JQ76" s="1153"/>
      <c r="JR76" s="1153"/>
      <c r="JS76" s="1153" t="str">
        <f>IF($AI76,IF(LARGE($AG$41:$AH$107,JS$40)=$AG76,$AC76,""),"")</f>
        <v/>
      </c>
      <c r="JT76" s="1153"/>
      <c r="JU76" s="1153"/>
      <c r="JV76" s="1153"/>
      <c r="JW76" s="1153" t="str">
        <f>IF($AI76,IF(LARGE($AG$41:$AH$107,JW$40)=$AG76,$AC76,""),"")</f>
        <v/>
      </c>
      <c r="JX76" s="1153"/>
      <c r="JY76" s="1153"/>
      <c r="JZ76" s="1153"/>
      <c r="KA76" s="1153" t="str">
        <f>IF($AI76,IF(LARGE($AG$41:$AH$107,KA$40)=$AG76,$AC76,""),"")</f>
        <v/>
      </c>
      <c r="KB76" s="1153"/>
      <c r="KC76" s="1153"/>
      <c r="KD76" s="1153"/>
      <c r="KE76" s="1153" t="str">
        <f>IF($AI76,IF(LARGE($AG$41:$AH$107,KE$40)=$AG76,$AC76,""),"")</f>
        <v/>
      </c>
      <c r="KF76" s="1153"/>
      <c r="KG76" s="1153"/>
      <c r="KH76" s="1153"/>
      <c r="KI76" s="1153" t="str">
        <f>IF($AI76,IF(LARGE($AG$41:$AH$107,KI$40)=$AG76,$AC76,""),"")</f>
        <v/>
      </c>
      <c r="KJ76" s="1153"/>
      <c r="KK76" s="1153"/>
      <c r="KL76" s="1153"/>
      <c r="KM76" s="1153" t="str">
        <f>IF($AI76,IF(LARGE($AG$41:$AH$107,KM$40)=$AG76,$AC76,""),"")</f>
        <v/>
      </c>
      <c r="KN76" s="1153"/>
      <c r="KO76" s="1153"/>
      <c r="KP76" s="1153"/>
      <c r="KQ76" s="1153" t="str">
        <f>IF($AI76,IF(LARGE($AG$41:$AH$107,KQ$40)=$AG76,$AC76,""),"")</f>
        <v/>
      </c>
      <c r="KR76" s="1153"/>
      <c r="KS76" s="1153"/>
      <c r="KT76" s="1153"/>
    </row>
    <row r="77" spans="8:8">
      <c r="C77" s="1153" t="str">
        <f>IF(Z7="","",CONCATENATE(" ",AR7,Z7,AB7))</f>
        <v> 👂聆听</v>
      </c>
      <c r="D77" s="1153"/>
      <c r="E77" s="1153"/>
      <c r="F77" s="1153"/>
      <c r="G77" s="1155" t="str">
        <f>IF(AND(AF7=0,AH7=0),"",IF(ISNONTEXT(X7),"",AL7))</f>
        <v/>
      </c>
      <c r="H77" s="1155"/>
      <c r="I77" s="1153" t="str">
        <f>IF(G77=$G$40,C77,"")</f>
        <v/>
      </c>
      <c r="J77" s="1153"/>
      <c r="K77" s="1153"/>
      <c r="L77" s="1153"/>
      <c r="M77" s="1154">
        <f>IF(AND(NOT(AH7=0),ISNONTEXT(X7)),1,0)</f>
        <v>0.0</v>
      </c>
      <c r="N77" s="1122"/>
      <c r="O77" s="1122"/>
      <c r="P77" s="1153" t="str">
        <f>IF(Z7="","",CONCATENATE(" ",AR7,Z7,AB7))</f>
        <v> 👂聆听</v>
      </c>
      <c r="Q77" s="1153"/>
      <c r="R77" s="1153"/>
      <c r="S77" s="1153"/>
      <c r="T77" s="1155" t="str">
        <f>IF(AND(AF7=0,AJ7=0),"",IF(ISNONTEXT(X7),AL7,""))</f>
        <v/>
      </c>
      <c r="U77" s="1155"/>
      <c r="V77" s="1153" t="str">
        <f>IF(T77=$T$40,P77,"")</f>
        <v/>
      </c>
      <c r="W77" s="1153"/>
      <c r="X77" s="1153"/>
      <c r="Y77" s="1153"/>
      <c r="AB77" s="1122"/>
      <c r="AC77" s="1153" t="str">
        <f>IF(Z7="","",CONCATENATE(AR7,Z7,AB7))</f>
        <v>👂聆听</v>
      </c>
      <c r="AD77" s="1153"/>
      <c r="AE77" s="1153"/>
      <c r="AF77" s="1153"/>
      <c r="AG77" s="1155">
        <f>AL7</f>
        <v>20.0</v>
      </c>
      <c r="AH77" s="1155"/>
      <c r="AI77" s="1153" t="b">
        <f>IF(AND(OR(ISNUMBER(AF7),ISNUMBER(AH7),ISNUMBER(AJ7)),OR(AF7&gt;0,AH7&gt;0,AJ7&gt;0)),TRUE,FALSE)</f>
        <v>0</v>
      </c>
      <c r="AJ77" s="1153"/>
      <c r="AK77" s="1153"/>
      <c r="AL77" s="1153"/>
      <c r="AM77" s="1153" t="str">
        <f>IF($AI77,IF(LARGE($AG$41:$AH$107,AM$40)=$AG77,$AC77,""),"")</f>
        <v/>
      </c>
      <c r="AN77" s="1153"/>
      <c r="AO77" s="1153"/>
      <c r="AP77" s="1153"/>
      <c r="AQ77" s="1153" t="str">
        <f>IF($AI77,IF(LARGE($AG$41:$AH$107,AQ$40)=$AG77,$AC77,""),"")</f>
        <v/>
      </c>
      <c r="AR77" s="1153"/>
      <c r="AS77" s="1153"/>
      <c r="AT77" s="1153"/>
      <c r="AU77" s="1153" t="str">
        <f>IF($AI77,IF(LARGE($AG$41:$AH$107,AU$40)=$AG77,$AC77,""),"")</f>
        <v/>
      </c>
      <c r="AV77" s="1153"/>
      <c r="AW77" s="1153"/>
      <c r="AX77" s="1153"/>
      <c r="AY77" s="1153" t="str">
        <f>IF($AI77,IF(LARGE($AG$41:$AH$107,AY$40)=$AG77,$AC77,""),"")</f>
        <v/>
      </c>
      <c r="AZ77" s="1153"/>
      <c r="BA77" s="1153"/>
      <c r="BB77" s="1153"/>
      <c r="BC77" s="1153" t="str">
        <f>IF($AI77,IF(LARGE($AG$41:$AH$107,BC$40)=$AG77,$AC77,""),"")</f>
        <v/>
      </c>
      <c r="BD77" s="1153"/>
      <c r="BE77" s="1153"/>
      <c r="BF77" s="1153"/>
      <c r="BG77" s="1153" t="str">
        <f>IF($AI77,IF(LARGE($AG$41:$AH$107,BG$40)=$AG77,$AC77,""),"")</f>
        <v/>
      </c>
      <c r="BH77" s="1153"/>
      <c r="BI77" s="1153"/>
      <c r="BJ77" s="1153"/>
      <c r="BK77" s="1153" t="str">
        <f>IF($AI77,IF(LARGE($AG$41:$AH$107,BK$40)=$AG77,$AC77,""),"")</f>
        <v/>
      </c>
      <c r="BL77" s="1153"/>
      <c r="BM77" s="1153"/>
      <c r="BN77" s="1153"/>
      <c r="BO77" s="1153" t="str">
        <f>IF($AI77,IF(LARGE($AG$41:$AH$107,BO$40)=$AG77,$AC77,""),"")</f>
        <v/>
      </c>
      <c r="BP77" s="1153"/>
      <c r="BQ77" s="1153"/>
      <c r="BR77" s="1153"/>
      <c r="BS77" s="1153" t="str">
        <f>IF($AI77,IF(LARGE($AG$41:$AH$107,BS$40)=$AG77,$AC77,""),"")</f>
        <v/>
      </c>
      <c r="BT77" s="1153"/>
      <c r="BU77" s="1153"/>
      <c r="BV77" s="1153"/>
      <c r="BW77" s="1153" t="str">
        <f>IF($AI77,IF(LARGE($AG$41:$AH$107,BW$40)=$AG77,$AC77,""),"")</f>
        <v/>
      </c>
      <c r="BX77" s="1153"/>
      <c r="BY77" s="1153"/>
      <c r="BZ77" s="1153"/>
      <c r="CA77" s="1153" t="str">
        <f>IF($AI77,IF(LARGE($AG$41:$AH$107,CA$40)=$AG77,$AC77,""),"")</f>
        <v/>
      </c>
      <c r="CB77" s="1153"/>
      <c r="CC77" s="1153"/>
      <c r="CD77" s="1153"/>
      <c r="CE77" s="1153" t="str">
        <f>IF($AI77,IF(LARGE($AG$41:$AH$107,CE$40)=$AG77,$AC77,""),"")</f>
        <v/>
      </c>
      <c r="CF77" s="1153"/>
      <c r="CG77" s="1153"/>
      <c r="CH77" s="1153"/>
      <c r="CI77" s="1153" t="str">
        <f>IF($AI77,IF(LARGE($AG$41:$AH$107,CI$40)=$AG77,$AC77,""),"")</f>
        <v/>
      </c>
      <c r="CJ77" s="1153"/>
      <c r="CK77" s="1153"/>
      <c r="CL77" s="1153"/>
      <c r="CM77" s="1153" t="str">
        <f>IF($AI77,IF(LARGE($AG$41:$AH$107,CM$40)=$AG77,$AC77,""),"")</f>
        <v/>
      </c>
      <c r="CN77" s="1153"/>
      <c r="CO77" s="1153"/>
      <c r="CP77" s="1153"/>
      <c r="CQ77" s="1153" t="str">
        <f>IF($AI77,IF(LARGE($AG$41:$AH$107,CQ$40)=$AG77,$AC77,""),"")</f>
        <v/>
      </c>
      <c r="CR77" s="1153"/>
      <c r="CS77" s="1153"/>
      <c r="CT77" s="1153"/>
      <c r="CU77" s="1153" t="str">
        <f>IF($AI77,IF(LARGE($AG$41:$AH$107,CU$40)=$AG77,$AC77,""),"")</f>
        <v/>
      </c>
      <c r="CV77" s="1153"/>
      <c r="CW77" s="1153"/>
      <c r="CX77" s="1153"/>
      <c r="CY77" s="1153" t="str">
        <f>IF($AI77,IF(LARGE($AG$41:$AH$107,CY$40)=$AG77,$AC77,""),"")</f>
        <v/>
      </c>
      <c r="CZ77" s="1153"/>
      <c r="DA77" s="1153"/>
      <c r="DB77" s="1153"/>
      <c r="DC77" s="1153" t="str">
        <f>IF($AI77,IF(LARGE($AG$41:$AH$107,DC$40)=$AG77,$AC77,""),"")</f>
        <v/>
      </c>
      <c r="DD77" s="1153"/>
      <c r="DE77" s="1153"/>
      <c r="DF77" s="1153"/>
      <c r="DG77" s="1153" t="str">
        <f>IF($AI77,IF(LARGE($AG$41:$AH$107,DG$40)=$AG77,$AC77,""),"")</f>
        <v/>
      </c>
      <c r="DH77" s="1153"/>
      <c r="DI77" s="1153"/>
      <c r="DJ77" s="1153"/>
      <c r="DK77" s="1153" t="str">
        <f>IF($AI77,IF(LARGE($AG$41:$AH$107,DK$40)=$AG77,$AC77,""),"")</f>
        <v/>
      </c>
      <c r="DL77" s="1153"/>
      <c r="DM77" s="1153"/>
      <c r="DN77" s="1153"/>
      <c r="DO77" s="1153" t="str">
        <f>IF($AI77,IF(LARGE($AG$41:$AH$107,DO$40)=$AG77,$AC77,""),"")</f>
        <v/>
      </c>
      <c r="DP77" s="1153"/>
      <c r="DQ77" s="1153"/>
      <c r="DR77" s="1153"/>
      <c r="DS77" s="1153" t="str">
        <f>IF($AI77,IF(LARGE($AG$41:$AH$107,DS$40)=$AG77,$AC77,""),"")</f>
        <v/>
      </c>
      <c r="DT77" s="1153"/>
      <c r="DU77" s="1153"/>
      <c r="DV77" s="1153"/>
      <c r="DW77" s="1153" t="str">
        <f>IF($AI77,IF(LARGE($AG$41:$AH$107,DW$40)=$AG77,$AC77,""),"")</f>
        <v/>
      </c>
      <c r="DX77" s="1153"/>
      <c r="DY77" s="1153"/>
      <c r="DZ77" s="1153"/>
      <c r="EA77" s="1153" t="str">
        <f>IF($AI77,IF(LARGE($AG$41:$AH$107,EA$40)=$AG77,$AC77,""),"")</f>
        <v/>
      </c>
      <c r="EB77" s="1153"/>
      <c r="EC77" s="1153"/>
      <c r="ED77" s="1153"/>
      <c r="EE77" s="1153" t="str">
        <f>IF($AI77,IF(LARGE($AG$41:$AH$107,EE$40)=$AG77,$AC77,""),"")</f>
        <v/>
      </c>
      <c r="EF77" s="1153"/>
      <c r="EG77" s="1153"/>
      <c r="EH77" s="1153"/>
      <c r="EI77" s="1153" t="str">
        <f>IF($AI77,IF(LARGE($AG$41:$AH$107,EI$40)=$AG77,$AC77,""),"")</f>
        <v/>
      </c>
      <c r="EJ77" s="1153"/>
      <c r="EK77" s="1153"/>
      <c r="EL77" s="1153"/>
      <c r="EM77" s="1153" t="str">
        <f>IF($AI77,IF(LARGE($AG$41:$AH$107,EM$40)=$AG77,$AC77,""),"")</f>
        <v/>
      </c>
      <c r="EN77" s="1153"/>
      <c r="EO77" s="1153"/>
      <c r="EP77" s="1153"/>
      <c r="EQ77" s="1153" t="str">
        <f>IF($AI77,IF(LARGE($AG$41:$AH$107,EQ$40)=$AG77,$AC77,""),"")</f>
        <v/>
      </c>
      <c r="ER77" s="1153"/>
      <c r="ES77" s="1153"/>
      <c r="ET77" s="1153"/>
      <c r="EU77" s="1153" t="str">
        <f>IF($AI77,IF(LARGE($AG$41:$AH$107,EU$40)=$AG77,$AC77,""),"")</f>
        <v/>
      </c>
      <c r="EV77" s="1153"/>
      <c r="EW77" s="1153"/>
      <c r="EX77" s="1153"/>
      <c r="EY77" s="1153" t="str">
        <f>IF($AI77,IF(LARGE($AG$41:$AH$107,EY$40)=$AG77,$AC77,""),"")</f>
        <v/>
      </c>
      <c r="EZ77" s="1153"/>
      <c r="FA77" s="1153"/>
      <c r="FB77" s="1153"/>
      <c r="FC77" s="1153" t="str">
        <f>IF($AI77,IF(LARGE($AG$41:$AH$107,FC$40)=$AG77,$AC77,""),"")</f>
        <v/>
      </c>
      <c r="FD77" s="1153"/>
      <c r="FE77" s="1153"/>
      <c r="FF77" s="1153"/>
      <c r="FG77" s="1153" t="str">
        <f>IF($AI77,IF(LARGE($AG$41:$AH$107,FG$40)=$AG77,$AC77,""),"")</f>
        <v/>
      </c>
      <c r="FH77" s="1153"/>
      <c r="FI77" s="1153"/>
      <c r="FJ77" s="1153"/>
      <c r="FK77" s="1153" t="str">
        <f>IF($AI77,IF(LARGE($AG$41:$AH$107,FK$40)=$AG77,$AC77,""),"")</f>
        <v/>
      </c>
      <c r="FL77" s="1153"/>
      <c r="FM77" s="1153"/>
      <c r="FN77" s="1153"/>
      <c r="FO77" s="1153" t="str">
        <f>IF($AI77,IF(LARGE($AG$41:$AH$107,FO$40)=$AG77,$AC77,""),"")</f>
        <v/>
      </c>
      <c r="FP77" s="1153"/>
      <c r="FQ77" s="1153"/>
      <c r="FR77" s="1153"/>
      <c r="FS77" s="1153" t="str">
        <f>IF($AI77,IF(LARGE($AG$41:$AH$107,FS$40)=$AG77,$AC77,""),"")</f>
        <v/>
      </c>
      <c r="FT77" s="1153"/>
      <c r="FU77" s="1153"/>
      <c r="FV77" s="1153"/>
      <c r="FW77" s="1153" t="str">
        <f>IF($AI77,IF(LARGE($AG$41:$AH$107,FW$40)=$AG77,$AC77,""),"")</f>
        <v/>
      </c>
      <c r="FX77" s="1153"/>
      <c r="FY77" s="1153"/>
      <c r="FZ77" s="1153"/>
      <c r="GA77" s="1153" t="str">
        <f>IF($AI77,IF(LARGE($AG$41:$AH$107,GA$40)=$AG77,$AC77,""),"")</f>
        <v/>
      </c>
      <c r="GB77" s="1153"/>
      <c r="GC77" s="1153"/>
      <c r="GD77" s="1153"/>
      <c r="GE77" s="1153" t="str">
        <f>IF($AI77,IF(LARGE($AG$41:$AH$107,GE$40)=$AG77,$AC77,""),"")</f>
        <v/>
      </c>
      <c r="GF77" s="1153"/>
      <c r="GG77" s="1153"/>
      <c r="GH77" s="1153"/>
      <c r="GI77" s="1153" t="str">
        <f>IF($AI77,IF(LARGE($AG$41:$AH$107,GI$40)=$AG77,$AC77,""),"")</f>
        <v/>
      </c>
      <c r="GJ77" s="1153"/>
      <c r="GK77" s="1153"/>
      <c r="GL77" s="1153"/>
      <c r="GM77" s="1153" t="str">
        <f>IF($AI77,IF(LARGE($AG$41:$AH$107,GM$40)=$AG77,$AC77,""),"")</f>
        <v/>
      </c>
      <c r="GN77" s="1153"/>
      <c r="GO77" s="1153"/>
      <c r="GP77" s="1153"/>
      <c r="GQ77" s="1153" t="str">
        <f>IF($AI77,IF(LARGE($AG$41:$AH$107,GQ$40)=$AG77,$AC77,""),"")</f>
        <v/>
      </c>
      <c r="GR77" s="1153"/>
      <c r="GS77" s="1153"/>
      <c r="GT77" s="1153"/>
      <c r="GU77" s="1153" t="str">
        <f>IF($AI77,IF(LARGE($AG$41:$AH$107,GU$40)=$AG77,$AC77,""),"")</f>
        <v/>
      </c>
      <c r="GV77" s="1153"/>
      <c r="GW77" s="1153"/>
      <c r="GX77" s="1153"/>
      <c r="GY77" s="1153" t="str">
        <f>IF($AI77,IF(LARGE($AG$41:$AH$107,GY$40)=$AG77,$AC77,""),"")</f>
        <v/>
      </c>
      <c r="GZ77" s="1153"/>
      <c r="HA77" s="1153"/>
      <c r="HB77" s="1153"/>
      <c r="HC77" s="1153" t="str">
        <f>IF($AI77,IF(LARGE($AG$41:$AH$107,HC$40)=$AG77,$AC77,""),"")</f>
        <v/>
      </c>
      <c r="HD77" s="1153"/>
      <c r="HE77" s="1153"/>
      <c r="HF77" s="1153"/>
      <c r="HG77" s="1153" t="str">
        <f>IF($AI77,IF(LARGE($AG$41:$AH$107,HG$40)=$AG77,$AC77,""),"")</f>
        <v/>
      </c>
      <c r="HH77" s="1153"/>
      <c r="HI77" s="1153"/>
      <c r="HJ77" s="1153"/>
      <c r="HK77" s="1153" t="str">
        <f>IF($AI77,IF(LARGE($AG$41:$AH$107,HK$40)=$AG77,$AC77,""),"")</f>
        <v/>
      </c>
      <c r="HL77" s="1153"/>
      <c r="HM77" s="1153"/>
      <c r="HN77" s="1153"/>
      <c r="HO77" s="1153" t="str">
        <f>IF($AI77,IF(LARGE($AG$41:$AH$107,HO$40)=$AG77,$AC77,""),"")</f>
        <v/>
      </c>
      <c r="HP77" s="1153"/>
      <c r="HQ77" s="1153"/>
      <c r="HR77" s="1153"/>
      <c r="HS77" s="1153" t="str">
        <f>IF($AI77,IF(LARGE($AG$41:$AH$107,HS$40)=$AG77,$AC77,""),"")</f>
        <v/>
      </c>
      <c r="HT77" s="1153"/>
      <c r="HU77" s="1153"/>
      <c r="HV77" s="1153"/>
      <c r="HW77" s="1153" t="str">
        <f>IF($AI77,IF(LARGE($AG$41:$AH$107,HW$40)=$AG77,$AC77,""),"")</f>
        <v/>
      </c>
      <c r="HX77" s="1153"/>
      <c r="HY77" s="1153"/>
      <c r="HZ77" s="1153"/>
      <c r="IA77" s="1153" t="str">
        <f>IF($AI77,IF(LARGE($AG$41:$AH$107,IA$40)=$AG77,$AC77,""),"")</f>
        <v/>
      </c>
      <c r="IB77" s="1153"/>
      <c r="IC77" s="1153"/>
      <c r="ID77" s="1153"/>
      <c r="IE77" s="1153" t="str">
        <f>IF($AI77,IF(LARGE($AG$41:$AH$107,IE$40)=$AG77,$AC77,""),"")</f>
        <v/>
      </c>
      <c r="IF77" s="1153"/>
      <c r="IG77" s="1153"/>
      <c r="IH77" s="1153"/>
      <c r="II77" s="1153" t="str">
        <f>IF($AI77,IF(LARGE($AG$41:$AH$107,II$40)=$AG77,$AC77,""),"")</f>
        <v/>
      </c>
      <c r="IJ77" s="1153"/>
      <c r="IK77" s="1153"/>
      <c r="IL77" s="1153"/>
      <c r="IM77" s="1153" t="str">
        <f>IF($AI77,IF(LARGE($AG$41:$AH$107,IM$40)=$AG77,$AC77,""),"")</f>
        <v/>
      </c>
      <c r="IN77" s="1153"/>
      <c r="IO77" s="1153"/>
      <c r="IP77" s="1153"/>
      <c r="IQ77" s="1153" t="str">
        <f>IF($AI77,IF(LARGE($AG$41:$AH$107,IQ$40)=$AG77,$AC77,""),"")</f>
        <v/>
      </c>
      <c r="IR77" s="1153"/>
      <c r="IS77" s="1153"/>
      <c r="IT77" s="1153"/>
      <c r="IU77" s="1153" t="str">
        <f>IF($AI77,IF(LARGE($AG$41:$AH$107,IU$40)=$AG77,$AC77,""),"")</f>
        <v/>
      </c>
      <c r="IV77" s="1153"/>
      <c r="IW77" s="1153"/>
      <c r="IX77" s="1153"/>
      <c r="IY77" s="1153" t="str">
        <f>IF($AI77,IF(LARGE($AG$41:$AH$107,IY$40)=$AG77,$AC77,""),"")</f>
        <v/>
      </c>
      <c r="IZ77" s="1153"/>
      <c r="JA77" s="1153"/>
      <c r="JB77" s="1153"/>
      <c r="JC77" s="1153" t="str">
        <f>IF($AI77,IF(LARGE($AG$41:$AH$107,JC$40)=$AG77,$AC77,""),"")</f>
        <v/>
      </c>
      <c r="JD77" s="1153"/>
      <c r="JE77" s="1153"/>
      <c r="JF77" s="1153"/>
      <c r="JG77" s="1153" t="str">
        <f>IF($AI77,IF(LARGE($AG$41:$AH$107,JG$40)=$AG77,$AC77,""),"")</f>
        <v/>
      </c>
      <c r="JH77" s="1153"/>
      <c r="JI77" s="1153"/>
      <c r="JJ77" s="1153"/>
      <c r="JK77" s="1153" t="str">
        <f>IF($AI77,IF(LARGE($AG$41:$AH$107,JK$40)=$AG77,$AC77,""),"")</f>
        <v/>
      </c>
      <c r="JL77" s="1153"/>
      <c r="JM77" s="1153"/>
      <c r="JN77" s="1153"/>
      <c r="JO77" s="1153" t="str">
        <f>IF($AI77,IF(LARGE($AG$41:$AH$107,JO$40)=$AG77,$AC77,""),"")</f>
        <v/>
      </c>
      <c r="JP77" s="1153"/>
      <c r="JQ77" s="1153"/>
      <c r="JR77" s="1153"/>
      <c r="JS77" s="1153" t="str">
        <f>IF($AI77,IF(LARGE($AG$41:$AH$107,JS$40)=$AG77,$AC77,""),"")</f>
        <v/>
      </c>
      <c r="JT77" s="1153"/>
      <c r="JU77" s="1153"/>
      <c r="JV77" s="1153"/>
      <c r="JW77" s="1153" t="str">
        <f>IF($AI77,IF(LARGE($AG$41:$AH$107,JW$40)=$AG77,$AC77,""),"")</f>
        <v/>
      </c>
      <c r="JX77" s="1153"/>
      <c r="JY77" s="1153"/>
      <c r="JZ77" s="1153"/>
      <c r="KA77" s="1153" t="str">
        <f>IF($AI77,IF(LARGE($AG$41:$AH$107,KA$40)=$AG77,$AC77,""),"")</f>
        <v/>
      </c>
      <c r="KB77" s="1153"/>
      <c r="KC77" s="1153"/>
      <c r="KD77" s="1153"/>
      <c r="KE77" s="1153" t="str">
        <f>IF($AI77,IF(LARGE($AG$41:$AH$107,KE$40)=$AG77,$AC77,""),"")</f>
        <v/>
      </c>
      <c r="KF77" s="1153"/>
      <c r="KG77" s="1153"/>
      <c r="KH77" s="1153"/>
      <c r="KI77" s="1153" t="str">
        <f>IF($AI77,IF(LARGE($AG$41:$AH$107,KI$40)=$AG77,$AC77,""),"")</f>
        <v/>
      </c>
      <c r="KJ77" s="1153"/>
      <c r="KK77" s="1153"/>
      <c r="KL77" s="1153"/>
      <c r="KM77" s="1153" t="str">
        <f>IF($AI77,IF(LARGE($AG$41:$AH$107,KM$40)=$AG77,$AC77,""),"")</f>
        <v/>
      </c>
      <c r="KN77" s="1153"/>
      <c r="KO77" s="1153"/>
      <c r="KP77" s="1153"/>
      <c r="KQ77" s="1153" t="str">
        <f>IF($AI77,IF(LARGE($AG$41:$AH$107,KQ$40)=$AG77,$AC77,""),"")</f>
        <v/>
      </c>
      <c r="KR77" s="1153"/>
      <c r="KS77" s="1153"/>
      <c r="KT77" s="1153"/>
    </row>
    <row r="78" spans="8:8">
      <c r="C78" s="1153" t="str">
        <f>IF(Z8="","",CONCATENATE(" ",AR8,Z8,AB8))</f>
        <v> 🔒锁匠</v>
      </c>
      <c r="D78" s="1153"/>
      <c r="E78" s="1153"/>
      <c r="F78" s="1153"/>
      <c r="G78" s="1155" t="str">
        <f>IF(AND(AF8=0,AH8=0),"",IF(ISNONTEXT(X8),"",AL8))</f>
        <v/>
      </c>
      <c r="H78" s="1155"/>
      <c r="I78" s="1153" t="str">
        <f>IF(G78=$G$40,C78,"")</f>
        <v/>
      </c>
      <c r="J78" s="1153"/>
      <c r="K78" s="1153"/>
      <c r="L78" s="1153"/>
      <c r="M78" s="1154">
        <f>IF(AND(NOT(AH8=0),ISNONTEXT(X8)),1,0)</f>
        <v>0.0</v>
      </c>
      <c r="N78" s="1122"/>
      <c r="O78" s="1122"/>
      <c r="P78" s="1153" t="str">
        <f>IF(Z8="","",CONCATENATE(" ",AR8,Z8,AB8))</f>
        <v> 🔒锁匠</v>
      </c>
      <c r="Q78" s="1153"/>
      <c r="R78" s="1153"/>
      <c r="S78" s="1153"/>
      <c r="T78" s="1155" t="str">
        <f>IF(AND(AF8=0,AJ8=0),"",IF(ISNONTEXT(X8),AL8,""))</f>
        <v/>
      </c>
      <c r="U78" s="1155"/>
      <c r="V78" s="1153" t="str">
        <f>IF(T78=$T$40,P78,"")</f>
        <v/>
      </c>
      <c r="W78" s="1153"/>
      <c r="X78" s="1153"/>
      <c r="Y78" s="1153"/>
      <c r="AB78" s="1122"/>
      <c r="AC78" s="1153" t="str">
        <f>IF(Z8="","",CONCATENATE(AR8,Z8,AB8))</f>
        <v>🔒锁匠</v>
      </c>
      <c r="AD78" s="1153"/>
      <c r="AE78" s="1153"/>
      <c r="AF78" s="1153"/>
      <c r="AG78" s="1155">
        <f>AL8</f>
        <v>1.0</v>
      </c>
      <c r="AH78" s="1155"/>
      <c r="AI78" s="1153" t="b">
        <f>IF(AND(OR(ISNUMBER(AF8),ISNUMBER(AH8),ISNUMBER(AJ8)),OR(AF8&gt;0,AH8&gt;0,AJ8&gt;0)),TRUE,FALSE)</f>
        <v>0</v>
      </c>
      <c r="AJ78" s="1153"/>
      <c r="AK78" s="1153"/>
      <c r="AL78" s="1153"/>
      <c r="AM78" s="1153" t="str">
        <f>IF($AI78,IF(LARGE($AG$41:$AH$107,AM$40)=$AG78,$AC78,""),"")</f>
        <v/>
      </c>
      <c r="AN78" s="1153"/>
      <c r="AO78" s="1153"/>
      <c r="AP78" s="1153"/>
      <c r="AQ78" s="1153" t="str">
        <f>IF($AI78,IF(LARGE($AG$41:$AH$107,AQ$40)=$AG78,$AC78,""),"")</f>
        <v/>
      </c>
      <c r="AR78" s="1153"/>
      <c r="AS78" s="1153"/>
      <c r="AT78" s="1153"/>
      <c r="AU78" s="1153" t="str">
        <f>IF($AI78,IF(LARGE($AG$41:$AH$107,AU$40)=$AG78,$AC78,""),"")</f>
        <v/>
      </c>
      <c r="AV78" s="1153"/>
      <c r="AW78" s="1153"/>
      <c r="AX78" s="1153"/>
      <c r="AY78" s="1153" t="str">
        <f>IF($AI78,IF(LARGE($AG$41:$AH$107,AY$40)=$AG78,$AC78,""),"")</f>
        <v/>
      </c>
      <c r="AZ78" s="1153"/>
      <c r="BA78" s="1153"/>
      <c r="BB78" s="1153"/>
      <c r="BC78" s="1153" t="str">
        <f>IF($AI78,IF(LARGE($AG$41:$AH$107,BC$40)=$AG78,$AC78,""),"")</f>
        <v/>
      </c>
      <c r="BD78" s="1153"/>
      <c r="BE78" s="1153"/>
      <c r="BF78" s="1153"/>
      <c r="BG78" s="1153" t="str">
        <f>IF($AI78,IF(LARGE($AG$41:$AH$107,BG$40)=$AG78,$AC78,""),"")</f>
        <v/>
      </c>
      <c r="BH78" s="1153"/>
      <c r="BI78" s="1153"/>
      <c r="BJ78" s="1153"/>
      <c r="BK78" s="1153" t="str">
        <f>IF($AI78,IF(LARGE($AG$41:$AH$107,BK$40)=$AG78,$AC78,""),"")</f>
        <v/>
      </c>
      <c r="BL78" s="1153"/>
      <c r="BM78" s="1153"/>
      <c r="BN78" s="1153"/>
      <c r="BO78" s="1153" t="str">
        <f>IF($AI78,IF(LARGE($AG$41:$AH$107,BO$40)=$AG78,$AC78,""),"")</f>
        <v/>
      </c>
      <c r="BP78" s="1153"/>
      <c r="BQ78" s="1153"/>
      <c r="BR78" s="1153"/>
      <c r="BS78" s="1153" t="str">
        <f>IF($AI78,IF(LARGE($AG$41:$AH$107,BS$40)=$AG78,$AC78,""),"")</f>
        <v/>
      </c>
      <c r="BT78" s="1153"/>
      <c r="BU78" s="1153"/>
      <c r="BV78" s="1153"/>
      <c r="BW78" s="1153" t="str">
        <f>IF($AI78,IF(LARGE($AG$41:$AH$107,BW$40)=$AG78,$AC78,""),"")</f>
        <v/>
      </c>
      <c r="BX78" s="1153"/>
      <c r="BY78" s="1153"/>
      <c r="BZ78" s="1153"/>
      <c r="CA78" s="1153" t="str">
        <f>IF($AI78,IF(LARGE($AG$41:$AH$107,CA$40)=$AG78,$AC78,""),"")</f>
        <v/>
      </c>
      <c r="CB78" s="1153"/>
      <c r="CC78" s="1153"/>
      <c r="CD78" s="1153"/>
      <c r="CE78" s="1153" t="str">
        <f>IF($AI78,IF(LARGE($AG$41:$AH$107,CE$40)=$AG78,$AC78,""),"")</f>
        <v/>
      </c>
      <c r="CF78" s="1153"/>
      <c r="CG78" s="1153"/>
      <c r="CH78" s="1153"/>
      <c r="CI78" s="1153" t="str">
        <f>IF($AI78,IF(LARGE($AG$41:$AH$107,CI$40)=$AG78,$AC78,""),"")</f>
        <v/>
      </c>
      <c r="CJ78" s="1153"/>
      <c r="CK78" s="1153"/>
      <c r="CL78" s="1153"/>
      <c r="CM78" s="1153" t="str">
        <f>IF($AI78,IF(LARGE($AG$41:$AH$107,CM$40)=$AG78,$AC78,""),"")</f>
        <v/>
      </c>
      <c r="CN78" s="1153"/>
      <c r="CO78" s="1153"/>
      <c r="CP78" s="1153"/>
      <c r="CQ78" s="1153" t="str">
        <f>IF($AI78,IF(LARGE($AG$41:$AH$107,CQ$40)=$AG78,$AC78,""),"")</f>
        <v/>
      </c>
      <c r="CR78" s="1153"/>
      <c r="CS78" s="1153"/>
      <c r="CT78" s="1153"/>
      <c r="CU78" s="1153" t="str">
        <f>IF($AI78,IF(LARGE($AG$41:$AH$107,CU$40)=$AG78,$AC78,""),"")</f>
        <v/>
      </c>
      <c r="CV78" s="1153"/>
      <c r="CW78" s="1153"/>
      <c r="CX78" s="1153"/>
      <c r="CY78" s="1153" t="str">
        <f>IF($AI78,IF(LARGE($AG$41:$AH$107,CY$40)=$AG78,$AC78,""),"")</f>
        <v/>
      </c>
      <c r="CZ78" s="1153"/>
      <c r="DA78" s="1153"/>
      <c r="DB78" s="1153"/>
      <c r="DC78" s="1153" t="str">
        <f>IF($AI78,IF(LARGE($AG$41:$AH$107,DC$40)=$AG78,$AC78,""),"")</f>
        <v/>
      </c>
      <c r="DD78" s="1153"/>
      <c r="DE78" s="1153"/>
      <c r="DF78" s="1153"/>
      <c r="DG78" s="1153" t="str">
        <f>IF($AI78,IF(LARGE($AG$41:$AH$107,DG$40)=$AG78,$AC78,""),"")</f>
        <v/>
      </c>
      <c r="DH78" s="1153"/>
      <c r="DI78" s="1153"/>
      <c r="DJ78" s="1153"/>
      <c r="DK78" s="1153" t="str">
        <f>IF($AI78,IF(LARGE($AG$41:$AH$107,DK$40)=$AG78,$AC78,""),"")</f>
        <v/>
      </c>
      <c r="DL78" s="1153"/>
      <c r="DM78" s="1153"/>
      <c r="DN78" s="1153"/>
      <c r="DO78" s="1153" t="str">
        <f>IF($AI78,IF(LARGE($AG$41:$AH$107,DO$40)=$AG78,$AC78,""),"")</f>
        <v/>
      </c>
      <c r="DP78" s="1153"/>
      <c r="DQ78" s="1153"/>
      <c r="DR78" s="1153"/>
      <c r="DS78" s="1153" t="str">
        <f>IF($AI78,IF(LARGE($AG$41:$AH$107,DS$40)=$AG78,$AC78,""),"")</f>
        <v/>
      </c>
      <c r="DT78" s="1153"/>
      <c r="DU78" s="1153"/>
      <c r="DV78" s="1153"/>
      <c r="DW78" s="1153" t="str">
        <f>IF($AI78,IF(LARGE($AG$41:$AH$107,DW$40)=$AG78,$AC78,""),"")</f>
        <v/>
      </c>
      <c r="DX78" s="1153"/>
      <c r="DY78" s="1153"/>
      <c r="DZ78" s="1153"/>
      <c r="EA78" s="1153" t="str">
        <f>IF($AI78,IF(LARGE($AG$41:$AH$107,EA$40)=$AG78,$AC78,""),"")</f>
        <v/>
      </c>
      <c r="EB78" s="1153"/>
      <c r="EC78" s="1153"/>
      <c r="ED78" s="1153"/>
      <c r="EE78" s="1153" t="str">
        <f>IF($AI78,IF(LARGE($AG$41:$AH$107,EE$40)=$AG78,$AC78,""),"")</f>
        <v/>
      </c>
      <c r="EF78" s="1153"/>
      <c r="EG78" s="1153"/>
      <c r="EH78" s="1153"/>
      <c r="EI78" s="1153" t="str">
        <f>IF($AI78,IF(LARGE($AG$41:$AH$107,EI$40)=$AG78,$AC78,""),"")</f>
        <v/>
      </c>
      <c r="EJ78" s="1153"/>
      <c r="EK78" s="1153"/>
      <c r="EL78" s="1153"/>
      <c r="EM78" s="1153" t="str">
        <f>IF($AI78,IF(LARGE($AG$41:$AH$107,EM$40)=$AG78,$AC78,""),"")</f>
        <v/>
      </c>
      <c r="EN78" s="1153"/>
      <c r="EO78" s="1153"/>
      <c r="EP78" s="1153"/>
      <c r="EQ78" s="1153" t="str">
        <f>IF($AI78,IF(LARGE($AG$41:$AH$107,EQ$40)=$AG78,$AC78,""),"")</f>
        <v/>
      </c>
      <c r="ER78" s="1153"/>
      <c r="ES78" s="1153"/>
      <c r="ET78" s="1153"/>
      <c r="EU78" s="1153" t="str">
        <f>IF($AI78,IF(LARGE($AG$41:$AH$107,EU$40)=$AG78,$AC78,""),"")</f>
        <v/>
      </c>
      <c r="EV78" s="1153"/>
      <c r="EW78" s="1153"/>
      <c r="EX78" s="1153"/>
      <c r="EY78" s="1153" t="str">
        <f>IF($AI78,IF(LARGE($AG$41:$AH$107,EY$40)=$AG78,$AC78,""),"")</f>
        <v/>
      </c>
      <c r="EZ78" s="1153"/>
      <c r="FA78" s="1153"/>
      <c r="FB78" s="1153"/>
      <c r="FC78" s="1153" t="str">
        <f>IF($AI78,IF(LARGE($AG$41:$AH$107,FC$40)=$AG78,$AC78,""),"")</f>
        <v/>
      </c>
      <c r="FD78" s="1153"/>
      <c r="FE78" s="1153"/>
      <c r="FF78" s="1153"/>
      <c r="FG78" s="1153" t="str">
        <f>IF($AI78,IF(LARGE($AG$41:$AH$107,FG$40)=$AG78,$AC78,""),"")</f>
        <v/>
      </c>
      <c r="FH78" s="1153"/>
      <c r="FI78" s="1153"/>
      <c r="FJ78" s="1153"/>
      <c r="FK78" s="1153" t="str">
        <f>IF($AI78,IF(LARGE($AG$41:$AH$107,FK$40)=$AG78,$AC78,""),"")</f>
        <v/>
      </c>
      <c r="FL78" s="1153"/>
      <c r="FM78" s="1153"/>
      <c r="FN78" s="1153"/>
      <c r="FO78" s="1153" t="str">
        <f>IF($AI78,IF(LARGE($AG$41:$AH$107,FO$40)=$AG78,$AC78,""),"")</f>
        <v/>
      </c>
      <c r="FP78" s="1153"/>
      <c r="FQ78" s="1153"/>
      <c r="FR78" s="1153"/>
      <c r="FS78" s="1153" t="str">
        <f>IF($AI78,IF(LARGE($AG$41:$AH$107,FS$40)=$AG78,$AC78,""),"")</f>
        <v/>
      </c>
      <c r="FT78" s="1153"/>
      <c r="FU78" s="1153"/>
      <c r="FV78" s="1153"/>
      <c r="FW78" s="1153" t="str">
        <f>IF($AI78,IF(LARGE($AG$41:$AH$107,FW$40)=$AG78,$AC78,""),"")</f>
        <v/>
      </c>
      <c r="FX78" s="1153"/>
      <c r="FY78" s="1153"/>
      <c r="FZ78" s="1153"/>
      <c r="GA78" s="1153" t="str">
        <f>IF($AI78,IF(LARGE($AG$41:$AH$107,GA$40)=$AG78,$AC78,""),"")</f>
        <v/>
      </c>
      <c r="GB78" s="1153"/>
      <c r="GC78" s="1153"/>
      <c r="GD78" s="1153"/>
      <c r="GE78" s="1153" t="str">
        <f>IF($AI78,IF(LARGE($AG$41:$AH$107,GE$40)=$AG78,$AC78,""),"")</f>
        <v/>
      </c>
      <c r="GF78" s="1153"/>
      <c r="GG78" s="1153"/>
      <c r="GH78" s="1153"/>
      <c r="GI78" s="1153" t="str">
        <f>IF($AI78,IF(LARGE($AG$41:$AH$107,GI$40)=$AG78,$AC78,""),"")</f>
        <v/>
      </c>
      <c r="GJ78" s="1153"/>
      <c r="GK78" s="1153"/>
      <c r="GL78" s="1153"/>
      <c r="GM78" s="1153" t="str">
        <f>IF($AI78,IF(LARGE($AG$41:$AH$107,GM$40)=$AG78,$AC78,""),"")</f>
        <v/>
      </c>
      <c r="GN78" s="1153"/>
      <c r="GO78" s="1153"/>
      <c r="GP78" s="1153"/>
      <c r="GQ78" s="1153" t="str">
        <f>IF($AI78,IF(LARGE($AG$41:$AH$107,GQ$40)=$AG78,$AC78,""),"")</f>
        <v/>
      </c>
      <c r="GR78" s="1153"/>
      <c r="GS78" s="1153"/>
      <c r="GT78" s="1153"/>
      <c r="GU78" s="1153" t="str">
        <f>IF($AI78,IF(LARGE($AG$41:$AH$107,GU$40)=$AG78,$AC78,""),"")</f>
        <v/>
      </c>
      <c r="GV78" s="1153"/>
      <c r="GW78" s="1153"/>
      <c r="GX78" s="1153"/>
      <c r="GY78" s="1153" t="str">
        <f>IF($AI78,IF(LARGE($AG$41:$AH$107,GY$40)=$AG78,$AC78,""),"")</f>
        <v/>
      </c>
      <c r="GZ78" s="1153"/>
      <c r="HA78" s="1153"/>
      <c r="HB78" s="1153"/>
      <c r="HC78" s="1153" t="str">
        <f>IF($AI78,IF(LARGE($AG$41:$AH$107,HC$40)=$AG78,$AC78,""),"")</f>
        <v/>
      </c>
      <c r="HD78" s="1153"/>
      <c r="HE78" s="1153"/>
      <c r="HF78" s="1153"/>
      <c r="HG78" s="1153" t="str">
        <f>IF($AI78,IF(LARGE($AG$41:$AH$107,HG$40)=$AG78,$AC78,""),"")</f>
        <v/>
      </c>
      <c r="HH78" s="1153"/>
      <c r="HI78" s="1153"/>
      <c r="HJ78" s="1153"/>
      <c r="HK78" s="1153" t="str">
        <f>IF($AI78,IF(LARGE($AG$41:$AH$107,HK$40)=$AG78,$AC78,""),"")</f>
        <v/>
      </c>
      <c r="HL78" s="1153"/>
      <c r="HM78" s="1153"/>
      <c r="HN78" s="1153"/>
      <c r="HO78" s="1153" t="str">
        <f>IF($AI78,IF(LARGE($AG$41:$AH$107,HO$40)=$AG78,$AC78,""),"")</f>
        <v/>
      </c>
      <c r="HP78" s="1153"/>
      <c r="HQ78" s="1153"/>
      <c r="HR78" s="1153"/>
      <c r="HS78" s="1153" t="str">
        <f>IF($AI78,IF(LARGE($AG$41:$AH$107,HS$40)=$AG78,$AC78,""),"")</f>
        <v/>
      </c>
      <c r="HT78" s="1153"/>
      <c r="HU78" s="1153"/>
      <c r="HV78" s="1153"/>
      <c r="HW78" s="1153" t="str">
        <f>IF($AI78,IF(LARGE($AG$41:$AH$107,HW$40)=$AG78,$AC78,""),"")</f>
        <v/>
      </c>
      <c r="HX78" s="1153"/>
      <c r="HY78" s="1153"/>
      <c r="HZ78" s="1153"/>
      <c r="IA78" s="1153" t="str">
        <f>IF($AI78,IF(LARGE($AG$41:$AH$107,IA$40)=$AG78,$AC78,""),"")</f>
        <v/>
      </c>
      <c r="IB78" s="1153"/>
      <c r="IC78" s="1153"/>
      <c r="ID78" s="1153"/>
      <c r="IE78" s="1153" t="str">
        <f>IF($AI78,IF(LARGE($AG$41:$AH$107,IE$40)=$AG78,$AC78,""),"")</f>
        <v/>
      </c>
      <c r="IF78" s="1153"/>
      <c r="IG78" s="1153"/>
      <c r="IH78" s="1153"/>
      <c r="II78" s="1153" t="str">
        <f>IF($AI78,IF(LARGE($AG$41:$AH$107,II$40)=$AG78,$AC78,""),"")</f>
        <v/>
      </c>
      <c r="IJ78" s="1153"/>
      <c r="IK78" s="1153"/>
      <c r="IL78" s="1153"/>
      <c r="IM78" s="1153" t="str">
        <f>IF($AI78,IF(LARGE($AG$41:$AH$107,IM$40)=$AG78,$AC78,""),"")</f>
        <v/>
      </c>
      <c r="IN78" s="1153"/>
      <c r="IO78" s="1153"/>
      <c r="IP78" s="1153"/>
      <c r="IQ78" s="1153" t="str">
        <f>IF($AI78,IF(LARGE($AG$41:$AH$107,IQ$40)=$AG78,$AC78,""),"")</f>
        <v/>
      </c>
      <c r="IR78" s="1153"/>
      <c r="IS78" s="1153"/>
      <c r="IT78" s="1153"/>
      <c r="IU78" s="1153" t="str">
        <f>IF($AI78,IF(LARGE($AG$41:$AH$107,IU$40)=$AG78,$AC78,""),"")</f>
        <v/>
      </c>
      <c r="IV78" s="1153"/>
      <c r="IW78" s="1153"/>
      <c r="IX78" s="1153"/>
      <c r="IY78" s="1153" t="str">
        <f>IF($AI78,IF(LARGE($AG$41:$AH$107,IY$40)=$AG78,$AC78,""),"")</f>
        <v/>
      </c>
      <c r="IZ78" s="1153"/>
      <c r="JA78" s="1153"/>
      <c r="JB78" s="1153"/>
      <c r="JC78" s="1153" t="str">
        <f>IF($AI78,IF(LARGE($AG$41:$AH$107,JC$40)=$AG78,$AC78,""),"")</f>
        <v/>
      </c>
      <c r="JD78" s="1153"/>
      <c r="JE78" s="1153"/>
      <c r="JF78" s="1153"/>
      <c r="JG78" s="1153" t="str">
        <f>IF($AI78,IF(LARGE($AG$41:$AH$107,JG$40)=$AG78,$AC78,""),"")</f>
        <v/>
      </c>
      <c r="JH78" s="1153"/>
      <c r="JI78" s="1153"/>
      <c r="JJ78" s="1153"/>
      <c r="JK78" s="1153" t="str">
        <f>IF($AI78,IF(LARGE($AG$41:$AH$107,JK$40)=$AG78,$AC78,""),"")</f>
        <v/>
      </c>
      <c r="JL78" s="1153"/>
      <c r="JM78" s="1153"/>
      <c r="JN78" s="1153"/>
      <c r="JO78" s="1153" t="str">
        <f>IF($AI78,IF(LARGE($AG$41:$AH$107,JO$40)=$AG78,$AC78,""),"")</f>
        <v/>
      </c>
      <c r="JP78" s="1153"/>
      <c r="JQ78" s="1153"/>
      <c r="JR78" s="1153"/>
      <c r="JS78" s="1153" t="str">
        <f>IF($AI78,IF(LARGE($AG$41:$AH$107,JS$40)=$AG78,$AC78,""),"")</f>
        <v/>
      </c>
      <c r="JT78" s="1153"/>
      <c r="JU78" s="1153"/>
      <c r="JV78" s="1153"/>
      <c r="JW78" s="1153" t="str">
        <f>IF($AI78,IF(LARGE($AG$41:$AH$107,JW$40)=$AG78,$AC78,""),"")</f>
        <v/>
      </c>
      <c r="JX78" s="1153"/>
      <c r="JY78" s="1153"/>
      <c r="JZ78" s="1153"/>
      <c r="KA78" s="1153" t="str">
        <f>IF($AI78,IF(LARGE($AG$41:$AH$107,KA$40)=$AG78,$AC78,""),"")</f>
        <v/>
      </c>
      <c r="KB78" s="1153"/>
      <c r="KC78" s="1153"/>
      <c r="KD78" s="1153"/>
      <c r="KE78" s="1153" t="str">
        <f>IF($AI78,IF(LARGE($AG$41:$AH$107,KE$40)=$AG78,$AC78,""),"")</f>
        <v/>
      </c>
      <c r="KF78" s="1153"/>
      <c r="KG78" s="1153"/>
      <c r="KH78" s="1153"/>
      <c r="KI78" s="1153" t="str">
        <f>IF($AI78,IF(LARGE($AG$41:$AH$107,KI$40)=$AG78,$AC78,""),"")</f>
        <v/>
      </c>
      <c r="KJ78" s="1153"/>
      <c r="KK78" s="1153"/>
      <c r="KL78" s="1153"/>
      <c r="KM78" s="1153" t="str">
        <f>IF($AI78,IF(LARGE($AG$41:$AH$107,KM$40)=$AG78,$AC78,""),"")</f>
        <v/>
      </c>
      <c r="KN78" s="1153"/>
      <c r="KO78" s="1153"/>
      <c r="KP78" s="1153"/>
      <c r="KQ78" s="1153" t="str">
        <f>IF($AI78,IF(LARGE($AG$41:$AH$107,KQ$40)=$AG78,$AC78,""),"")</f>
        <v/>
      </c>
      <c r="KR78" s="1153"/>
      <c r="KS78" s="1153"/>
      <c r="KT78" s="1153"/>
    </row>
    <row r="79" spans="8:8">
      <c r="C79" s="1153" t="str">
        <f>IF(Z9="","",CONCATENATE(" ",AR9,Z9,AB9))</f>
        <v> 🛠️机械维修</v>
      </c>
      <c r="D79" s="1153"/>
      <c r="E79" s="1153"/>
      <c r="F79" s="1153"/>
      <c r="G79" s="1155" t="str">
        <f>IF(AND(AF9=0,AH9=0),"",IF(ISNONTEXT(X9),"",AL9))</f>
        <v/>
      </c>
      <c r="H79" s="1155"/>
      <c r="I79" s="1153" t="str">
        <f>IF(G79=$G$40,C79,"")</f>
        <v/>
      </c>
      <c r="J79" s="1153"/>
      <c r="K79" s="1153"/>
      <c r="L79" s="1153"/>
      <c r="M79" s="1154">
        <f>IF(AND(NOT(AH9=0),ISNONTEXT(X9)),1,0)</f>
        <v>0.0</v>
      </c>
      <c r="N79" s="1122"/>
      <c r="O79" s="1122"/>
      <c r="P79" s="1153" t="str">
        <f>IF(Z9="","",CONCATENATE(" ",AR9,Z9,AB9))</f>
        <v> 🛠️机械维修</v>
      </c>
      <c r="Q79" s="1153"/>
      <c r="R79" s="1153"/>
      <c r="S79" s="1153"/>
      <c r="T79" s="1155" t="str">
        <f>IF(AND(AF9=0,AJ9=0),"",IF(ISNONTEXT(X9),AL9,""))</f>
        <v/>
      </c>
      <c r="U79" s="1155"/>
      <c r="V79" s="1153" t="str">
        <f>IF(T79=$T$40,P79,"")</f>
        <v/>
      </c>
      <c r="W79" s="1153"/>
      <c r="X79" s="1153"/>
      <c r="Y79" s="1153"/>
      <c r="AB79" s="1122"/>
      <c r="AC79" s="1153" t="str">
        <f>IF(Z9="","",CONCATENATE(AR9,Z9,AB9))</f>
        <v>🛠️机械维修</v>
      </c>
      <c r="AD79" s="1153"/>
      <c r="AE79" s="1153"/>
      <c r="AF79" s="1153"/>
      <c r="AG79" s="1155">
        <f>AL9</f>
        <v>10.0</v>
      </c>
      <c r="AH79" s="1155"/>
      <c r="AI79" s="1153" t="b">
        <f>IF(AND(OR(ISNUMBER(AF9),ISNUMBER(AH9),ISNUMBER(AJ9)),OR(AF9&gt;0,AH9&gt;0,AJ9&gt;0)),TRUE,FALSE)</f>
        <v>0</v>
      </c>
      <c r="AJ79" s="1153"/>
      <c r="AK79" s="1153"/>
      <c r="AL79" s="1153"/>
      <c r="AM79" s="1153" t="str">
        <f>IF($AI79,IF(LARGE($AG$41:$AH$107,AM$40)=$AG79,$AC79,""),"")</f>
        <v/>
      </c>
      <c r="AN79" s="1153"/>
      <c r="AO79" s="1153"/>
      <c r="AP79" s="1153"/>
      <c r="AQ79" s="1153" t="str">
        <f>IF($AI79,IF(LARGE($AG$41:$AH$107,AQ$40)=$AG79,$AC79,""),"")</f>
        <v/>
      </c>
      <c r="AR79" s="1153"/>
      <c r="AS79" s="1153"/>
      <c r="AT79" s="1153"/>
      <c r="AU79" s="1153" t="str">
        <f>IF($AI79,IF(LARGE($AG$41:$AH$107,AU$40)=$AG79,$AC79,""),"")</f>
        <v/>
      </c>
      <c r="AV79" s="1153"/>
      <c r="AW79" s="1153"/>
      <c r="AX79" s="1153"/>
      <c r="AY79" s="1153" t="str">
        <f>IF($AI79,IF(LARGE($AG$41:$AH$107,AY$40)=$AG79,$AC79,""),"")</f>
        <v/>
      </c>
      <c r="AZ79" s="1153"/>
      <c r="BA79" s="1153"/>
      <c r="BB79" s="1153"/>
      <c r="BC79" s="1153" t="str">
        <f>IF($AI79,IF(LARGE($AG$41:$AH$107,BC$40)=$AG79,$AC79,""),"")</f>
        <v/>
      </c>
      <c r="BD79" s="1153"/>
      <c r="BE79" s="1153"/>
      <c r="BF79" s="1153"/>
      <c r="BG79" s="1153" t="str">
        <f>IF($AI79,IF(LARGE($AG$41:$AH$107,BG$40)=$AG79,$AC79,""),"")</f>
        <v/>
      </c>
      <c r="BH79" s="1153"/>
      <c r="BI79" s="1153"/>
      <c r="BJ79" s="1153"/>
      <c r="BK79" s="1153" t="str">
        <f>IF($AI79,IF(LARGE($AG$41:$AH$107,BK$40)=$AG79,$AC79,""),"")</f>
        <v/>
      </c>
      <c r="BL79" s="1153"/>
      <c r="BM79" s="1153"/>
      <c r="BN79" s="1153"/>
      <c r="BO79" s="1153" t="str">
        <f>IF($AI79,IF(LARGE($AG$41:$AH$107,BO$40)=$AG79,$AC79,""),"")</f>
        <v/>
      </c>
      <c r="BP79" s="1153"/>
      <c r="BQ79" s="1153"/>
      <c r="BR79" s="1153"/>
      <c r="BS79" s="1153" t="str">
        <f>IF($AI79,IF(LARGE($AG$41:$AH$107,BS$40)=$AG79,$AC79,""),"")</f>
        <v/>
      </c>
      <c r="BT79" s="1153"/>
      <c r="BU79" s="1153"/>
      <c r="BV79" s="1153"/>
      <c r="BW79" s="1153" t="str">
        <f>IF($AI79,IF(LARGE($AG$41:$AH$107,BW$40)=$AG79,$AC79,""),"")</f>
        <v/>
      </c>
      <c r="BX79" s="1153"/>
      <c r="BY79" s="1153"/>
      <c r="BZ79" s="1153"/>
      <c r="CA79" s="1153" t="str">
        <f>IF($AI79,IF(LARGE($AG$41:$AH$107,CA$40)=$AG79,$AC79,""),"")</f>
        <v/>
      </c>
      <c r="CB79" s="1153"/>
      <c r="CC79" s="1153"/>
      <c r="CD79" s="1153"/>
      <c r="CE79" s="1153" t="str">
        <f>IF($AI79,IF(LARGE($AG$41:$AH$107,CE$40)=$AG79,$AC79,""),"")</f>
        <v/>
      </c>
      <c r="CF79" s="1153"/>
      <c r="CG79" s="1153"/>
      <c r="CH79" s="1153"/>
      <c r="CI79" s="1153" t="str">
        <f>IF($AI79,IF(LARGE($AG$41:$AH$107,CI$40)=$AG79,$AC79,""),"")</f>
        <v/>
      </c>
      <c r="CJ79" s="1153"/>
      <c r="CK79" s="1153"/>
      <c r="CL79" s="1153"/>
      <c r="CM79" s="1153" t="str">
        <f>IF($AI79,IF(LARGE($AG$41:$AH$107,CM$40)=$AG79,$AC79,""),"")</f>
        <v/>
      </c>
      <c r="CN79" s="1153"/>
      <c r="CO79" s="1153"/>
      <c r="CP79" s="1153"/>
      <c r="CQ79" s="1153" t="str">
        <f>IF($AI79,IF(LARGE($AG$41:$AH$107,CQ$40)=$AG79,$AC79,""),"")</f>
        <v/>
      </c>
      <c r="CR79" s="1153"/>
      <c r="CS79" s="1153"/>
      <c r="CT79" s="1153"/>
      <c r="CU79" s="1153" t="str">
        <f>IF($AI79,IF(LARGE($AG$41:$AH$107,CU$40)=$AG79,$AC79,""),"")</f>
        <v/>
      </c>
      <c r="CV79" s="1153"/>
      <c r="CW79" s="1153"/>
      <c r="CX79" s="1153"/>
      <c r="CY79" s="1153" t="str">
        <f>IF($AI79,IF(LARGE($AG$41:$AH$107,CY$40)=$AG79,$AC79,""),"")</f>
        <v/>
      </c>
      <c r="CZ79" s="1153"/>
      <c r="DA79" s="1153"/>
      <c r="DB79" s="1153"/>
      <c r="DC79" s="1153" t="str">
        <f>IF($AI79,IF(LARGE($AG$41:$AH$107,DC$40)=$AG79,$AC79,""),"")</f>
        <v/>
      </c>
      <c r="DD79" s="1153"/>
      <c r="DE79" s="1153"/>
      <c r="DF79" s="1153"/>
      <c r="DG79" s="1153" t="str">
        <f>IF($AI79,IF(LARGE($AG$41:$AH$107,DG$40)=$AG79,$AC79,""),"")</f>
        <v/>
      </c>
      <c r="DH79" s="1153"/>
      <c r="DI79" s="1153"/>
      <c r="DJ79" s="1153"/>
      <c r="DK79" s="1153" t="str">
        <f>IF($AI79,IF(LARGE($AG$41:$AH$107,DK$40)=$AG79,$AC79,""),"")</f>
        <v/>
      </c>
      <c r="DL79" s="1153"/>
      <c r="DM79" s="1153"/>
      <c r="DN79" s="1153"/>
      <c r="DO79" s="1153" t="str">
        <f>IF($AI79,IF(LARGE($AG$41:$AH$107,DO$40)=$AG79,$AC79,""),"")</f>
        <v/>
      </c>
      <c r="DP79" s="1153"/>
      <c r="DQ79" s="1153"/>
      <c r="DR79" s="1153"/>
      <c r="DS79" s="1153" t="str">
        <f>IF($AI79,IF(LARGE($AG$41:$AH$107,DS$40)=$AG79,$AC79,""),"")</f>
        <v/>
      </c>
      <c r="DT79" s="1153"/>
      <c r="DU79" s="1153"/>
      <c r="DV79" s="1153"/>
      <c r="DW79" s="1153" t="str">
        <f>IF($AI79,IF(LARGE($AG$41:$AH$107,DW$40)=$AG79,$AC79,""),"")</f>
        <v/>
      </c>
      <c r="DX79" s="1153"/>
      <c r="DY79" s="1153"/>
      <c r="DZ79" s="1153"/>
      <c r="EA79" s="1153" t="str">
        <f>IF($AI79,IF(LARGE($AG$41:$AH$107,EA$40)=$AG79,$AC79,""),"")</f>
        <v/>
      </c>
      <c r="EB79" s="1153"/>
      <c r="EC79" s="1153"/>
      <c r="ED79" s="1153"/>
      <c r="EE79" s="1153" t="str">
        <f>IF($AI79,IF(LARGE($AG$41:$AH$107,EE$40)=$AG79,$AC79,""),"")</f>
        <v/>
      </c>
      <c r="EF79" s="1153"/>
      <c r="EG79" s="1153"/>
      <c r="EH79" s="1153"/>
      <c r="EI79" s="1153" t="str">
        <f>IF($AI79,IF(LARGE($AG$41:$AH$107,EI$40)=$AG79,$AC79,""),"")</f>
        <v/>
      </c>
      <c r="EJ79" s="1153"/>
      <c r="EK79" s="1153"/>
      <c r="EL79" s="1153"/>
      <c r="EM79" s="1153" t="str">
        <f>IF($AI79,IF(LARGE($AG$41:$AH$107,EM$40)=$AG79,$AC79,""),"")</f>
        <v/>
      </c>
      <c r="EN79" s="1153"/>
      <c r="EO79" s="1153"/>
      <c r="EP79" s="1153"/>
      <c r="EQ79" s="1153" t="str">
        <f>IF($AI79,IF(LARGE($AG$41:$AH$107,EQ$40)=$AG79,$AC79,""),"")</f>
        <v/>
      </c>
      <c r="ER79" s="1153"/>
      <c r="ES79" s="1153"/>
      <c r="ET79" s="1153"/>
      <c r="EU79" s="1153" t="str">
        <f>IF($AI79,IF(LARGE($AG$41:$AH$107,EU$40)=$AG79,$AC79,""),"")</f>
        <v/>
      </c>
      <c r="EV79" s="1153"/>
      <c r="EW79" s="1153"/>
      <c r="EX79" s="1153"/>
      <c r="EY79" s="1153" t="str">
        <f>IF($AI79,IF(LARGE($AG$41:$AH$107,EY$40)=$AG79,$AC79,""),"")</f>
        <v/>
      </c>
      <c r="EZ79" s="1153"/>
      <c r="FA79" s="1153"/>
      <c r="FB79" s="1153"/>
      <c r="FC79" s="1153" t="str">
        <f>IF($AI79,IF(LARGE($AG$41:$AH$107,FC$40)=$AG79,$AC79,""),"")</f>
        <v/>
      </c>
      <c r="FD79" s="1153"/>
      <c r="FE79" s="1153"/>
      <c r="FF79" s="1153"/>
      <c r="FG79" s="1153" t="str">
        <f>IF($AI79,IF(LARGE($AG$41:$AH$107,FG$40)=$AG79,$AC79,""),"")</f>
        <v/>
      </c>
      <c r="FH79" s="1153"/>
      <c r="FI79" s="1153"/>
      <c r="FJ79" s="1153"/>
      <c r="FK79" s="1153" t="str">
        <f>IF($AI79,IF(LARGE($AG$41:$AH$107,FK$40)=$AG79,$AC79,""),"")</f>
        <v/>
      </c>
      <c r="FL79" s="1153"/>
      <c r="FM79" s="1153"/>
      <c r="FN79" s="1153"/>
      <c r="FO79" s="1153" t="str">
        <f>IF($AI79,IF(LARGE($AG$41:$AH$107,FO$40)=$AG79,$AC79,""),"")</f>
        <v/>
      </c>
      <c r="FP79" s="1153"/>
      <c r="FQ79" s="1153"/>
      <c r="FR79" s="1153"/>
      <c r="FS79" s="1153" t="str">
        <f>IF($AI79,IF(LARGE($AG$41:$AH$107,FS$40)=$AG79,$AC79,""),"")</f>
        <v/>
      </c>
      <c r="FT79" s="1153"/>
      <c r="FU79" s="1153"/>
      <c r="FV79" s="1153"/>
      <c r="FW79" s="1153" t="str">
        <f>IF($AI79,IF(LARGE($AG$41:$AH$107,FW$40)=$AG79,$AC79,""),"")</f>
        <v/>
      </c>
      <c r="FX79" s="1153"/>
      <c r="FY79" s="1153"/>
      <c r="FZ79" s="1153"/>
      <c r="GA79" s="1153" t="str">
        <f>IF($AI79,IF(LARGE($AG$41:$AH$107,GA$40)=$AG79,$AC79,""),"")</f>
        <v/>
      </c>
      <c r="GB79" s="1153"/>
      <c r="GC79" s="1153"/>
      <c r="GD79" s="1153"/>
      <c r="GE79" s="1153" t="str">
        <f>IF($AI79,IF(LARGE($AG$41:$AH$107,GE$40)=$AG79,$AC79,""),"")</f>
        <v/>
      </c>
      <c r="GF79" s="1153"/>
      <c r="GG79" s="1153"/>
      <c r="GH79" s="1153"/>
      <c r="GI79" s="1153" t="str">
        <f>IF($AI79,IF(LARGE($AG$41:$AH$107,GI$40)=$AG79,$AC79,""),"")</f>
        <v/>
      </c>
      <c r="GJ79" s="1153"/>
      <c r="GK79" s="1153"/>
      <c r="GL79" s="1153"/>
      <c r="GM79" s="1153" t="str">
        <f>IF($AI79,IF(LARGE($AG$41:$AH$107,GM$40)=$AG79,$AC79,""),"")</f>
        <v/>
      </c>
      <c r="GN79" s="1153"/>
      <c r="GO79" s="1153"/>
      <c r="GP79" s="1153"/>
      <c r="GQ79" s="1153" t="str">
        <f>IF($AI79,IF(LARGE($AG$41:$AH$107,GQ$40)=$AG79,$AC79,""),"")</f>
        <v/>
      </c>
      <c r="GR79" s="1153"/>
      <c r="GS79" s="1153"/>
      <c r="GT79" s="1153"/>
      <c r="GU79" s="1153" t="str">
        <f>IF($AI79,IF(LARGE($AG$41:$AH$107,GU$40)=$AG79,$AC79,""),"")</f>
        <v/>
      </c>
      <c r="GV79" s="1153"/>
      <c r="GW79" s="1153"/>
      <c r="GX79" s="1153"/>
      <c r="GY79" s="1153" t="str">
        <f>IF($AI79,IF(LARGE($AG$41:$AH$107,GY$40)=$AG79,$AC79,""),"")</f>
        <v/>
      </c>
      <c r="GZ79" s="1153"/>
      <c r="HA79" s="1153"/>
      <c r="HB79" s="1153"/>
      <c r="HC79" s="1153" t="str">
        <f>IF($AI79,IF(LARGE($AG$41:$AH$107,HC$40)=$AG79,$AC79,""),"")</f>
        <v/>
      </c>
      <c r="HD79" s="1153"/>
      <c r="HE79" s="1153"/>
      <c r="HF79" s="1153"/>
      <c r="HG79" s="1153" t="str">
        <f>IF($AI79,IF(LARGE($AG$41:$AH$107,HG$40)=$AG79,$AC79,""),"")</f>
        <v/>
      </c>
      <c r="HH79" s="1153"/>
      <c r="HI79" s="1153"/>
      <c r="HJ79" s="1153"/>
      <c r="HK79" s="1153" t="str">
        <f>IF($AI79,IF(LARGE($AG$41:$AH$107,HK$40)=$AG79,$AC79,""),"")</f>
        <v/>
      </c>
      <c r="HL79" s="1153"/>
      <c r="HM79" s="1153"/>
      <c r="HN79" s="1153"/>
      <c r="HO79" s="1153" t="str">
        <f>IF($AI79,IF(LARGE($AG$41:$AH$107,HO$40)=$AG79,$AC79,""),"")</f>
        <v/>
      </c>
      <c r="HP79" s="1153"/>
      <c r="HQ79" s="1153"/>
      <c r="HR79" s="1153"/>
      <c r="HS79" s="1153" t="str">
        <f>IF($AI79,IF(LARGE($AG$41:$AH$107,HS$40)=$AG79,$AC79,""),"")</f>
        <v/>
      </c>
      <c r="HT79" s="1153"/>
      <c r="HU79" s="1153"/>
      <c r="HV79" s="1153"/>
      <c r="HW79" s="1153" t="str">
        <f>IF($AI79,IF(LARGE($AG$41:$AH$107,HW$40)=$AG79,$AC79,""),"")</f>
        <v/>
      </c>
      <c r="HX79" s="1153"/>
      <c r="HY79" s="1153"/>
      <c r="HZ79" s="1153"/>
      <c r="IA79" s="1153" t="str">
        <f>IF($AI79,IF(LARGE($AG$41:$AH$107,IA$40)=$AG79,$AC79,""),"")</f>
        <v/>
      </c>
      <c r="IB79" s="1153"/>
      <c r="IC79" s="1153"/>
      <c r="ID79" s="1153"/>
      <c r="IE79" s="1153" t="str">
        <f>IF($AI79,IF(LARGE($AG$41:$AH$107,IE$40)=$AG79,$AC79,""),"")</f>
        <v/>
      </c>
      <c r="IF79" s="1153"/>
      <c r="IG79" s="1153"/>
      <c r="IH79" s="1153"/>
      <c r="II79" s="1153" t="str">
        <f>IF($AI79,IF(LARGE($AG$41:$AH$107,II$40)=$AG79,$AC79,""),"")</f>
        <v/>
      </c>
      <c r="IJ79" s="1153"/>
      <c r="IK79" s="1153"/>
      <c r="IL79" s="1153"/>
      <c r="IM79" s="1153" t="str">
        <f>IF($AI79,IF(LARGE($AG$41:$AH$107,IM$40)=$AG79,$AC79,""),"")</f>
        <v/>
      </c>
      <c r="IN79" s="1153"/>
      <c r="IO79" s="1153"/>
      <c r="IP79" s="1153"/>
      <c r="IQ79" s="1153" t="str">
        <f>IF($AI79,IF(LARGE($AG$41:$AH$107,IQ$40)=$AG79,$AC79,""),"")</f>
        <v/>
      </c>
      <c r="IR79" s="1153"/>
      <c r="IS79" s="1153"/>
      <c r="IT79" s="1153"/>
      <c r="IU79" s="1153" t="str">
        <f>IF($AI79,IF(LARGE($AG$41:$AH$107,IU$40)=$AG79,$AC79,""),"")</f>
        <v/>
      </c>
      <c r="IV79" s="1153"/>
      <c r="IW79" s="1153"/>
      <c r="IX79" s="1153"/>
      <c r="IY79" s="1153" t="str">
        <f>IF($AI79,IF(LARGE($AG$41:$AH$107,IY$40)=$AG79,$AC79,""),"")</f>
        <v/>
      </c>
      <c r="IZ79" s="1153"/>
      <c r="JA79" s="1153"/>
      <c r="JB79" s="1153"/>
      <c r="JC79" s="1153" t="str">
        <f>IF($AI79,IF(LARGE($AG$41:$AH$107,JC$40)=$AG79,$AC79,""),"")</f>
        <v/>
      </c>
      <c r="JD79" s="1153"/>
      <c r="JE79" s="1153"/>
      <c r="JF79" s="1153"/>
      <c r="JG79" s="1153" t="str">
        <f>IF($AI79,IF(LARGE($AG$41:$AH$107,JG$40)=$AG79,$AC79,""),"")</f>
        <v/>
      </c>
      <c r="JH79" s="1153"/>
      <c r="JI79" s="1153"/>
      <c r="JJ79" s="1153"/>
      <c r="JK79" s="1153" t="str">
        <f>IF($AI79,IF(LARGE($AG$41:$AH$107,JK$40)=$AG79,$AC79,""),"")</f>
        <v/>
      </c>
      <c r="JL79" s="1153"/>
      <c r="JM79" s="1153"/>
      <c r="JN79" s="1153"/>
      <c r="JO79" s="1153" t="str">
        <f>IF($AI79,IF(LARGE($AG$41:$AH$107,JO$40)=$AG79,$AC79,""),"")</f>
        <v/>
      </c>
      <c r="JP79" s="1153"/>
      <c r="JQ79" s="1153"/>
      <c r="JR79" s="1153"/>
      <c r="JS79" s="1153" t="str">
        <f>IF($AI79,IF(LARGE($AG$41:$AH$107,JS$40)=$AG79,$AC79,""),"")</f>
        <v/>
      </c>
      <c r="JT79" s="1153"/>
      <c r="JU79" s="1153"/>
      <c r="JV79" s="1153"/>
      <c r="JW79" s="1153" t="str">
        <f>IF($AI79,IF(LARGE($AG$41:$AH$107,JW$40)=$AG79,$AC79,""),"")</f>
        <v/>
      </c>
      <c r="JX79" s="1153"/>
      <c r="JY79" s="1153"/>
      <c r="JZ79" s="1153"/>
      <c r="KA79" s="1153" t="str">
        <f>IF($AI79,IF(LARGE($AG$41:$AH$107,KA$40)=$AG79,$AC79,""),"")</f>
        <v/>
      </c>
      <c r="KB79" s="1153"/>
      <c r="KC79" s="1153"/>
      <c r="KD79" s="1153"/>
      <c r="KE79" s="1153" t="str">
        <f>IF($AI79,IF(LARGE($AG$41:$AH$107,KE$40)=$AG79,$AC79,""),"")</f>
        <v/>
      </c>
      <c r="KF79" s="1153"/>
      <c r="KG79" s="1153"/>
      <c r="KH79" s="1153"/>
      <c r="KI79" s="1153" t="str">
        <f>IF($AI79,IF(LARGE($AG$41:$AH$107,KI$40)=$AG79,$AC79,""),"")</f>
        <v/>
      </c>
      <c r="KJ79" s="1153"/>
      <c r="KK79" s="1153"/>
      <c r="KL79" s="1153"/>
      <c r="KM79" s="1153" t="str">
        <f>IF($AI79,IF(LARGE($AG$41:$AH$107,KM$40)=$AG79,$AC79,""),"")</f>
        <v/>
      </c>
      <c r="KN79" s="1153"/>
      <c r="KO79" s="1153"/>
      <c r="KP79" s="1153"/>
      <c r="KQ79" s="1153" t="str">
        <f>IF($AI79,IF(LARGE($AG$41:$AH$107,KQ$40)=$AG79,$AC79,""),"")</f>
        <v/>
      </c>
      <c r="KR79" s="1153"/>
      <c r="KS79" s="1153"/>
      <c r="KT79" s="1153"/>
    </row>
    <row r="80" spans="8:8">
      <c r="C80" s="1153" t="str">
        <f>IF(Z10="","",CONCATENATE(" ",AR10,Z10,AB10))</f>
        <v> 💊医学</v>
      </c>
      <c r="D80" s="1153"/>
      <c r="E80" s="1153"/>
      <c r="F80" s="1153"/>
      <c r="G80" s="1155" t="str">
        <f>IF(AND(AF10=0,AH10=0),"",IF(ISNONTEXT(X10),"",AL10))</f>
        <v/>
      </c>
      <c r="H80" s="1155"/>
      <c r="I80" s="1153" t="str">
        <f>IF(G80=$G$40,C80,"")</f>
        <v/>
      </c>
      <c r="J80" s="1153"/>
      <c r="K80" s="1153"/>
      <c r="L80" s="1153"/>
      <c r="M80" s="1154">
        <f>IF(AND(NOT(AH10=0),ISNONTEXT(X10)),1,0)</f>
        <v>0.0</v>
      </c>
      <c r="N80" s="1122"/>
      <c r="O80" s="1122"/>
      <c r="P80" s="1153" t="str">
        <f>IF(Z10="","",CONCATENATE(" ",AR10,Z10,AB10))</f>
        <v> 💊医学</v>
      </c>
      <c r="Q80" s="1153"/>
      <c r="R80" s="1153"/>
      <c r="S80" s="1153"/>
      <c r="T80" s="1155" t="str">
        <f>IF(AND(AF10=0,AJ10=0),"",IF(ISNONTEXT(X10),AL10,""))</f>
        <v/>
      </c>
      <c r="U80" s="1155"/>
      <c r="V80" s="1153" t="str">
        <f>IF(T80=$T$40,P80,"")</f>
        <v/>
      </c>
      <c r="W80" s="1153"/>
      <c r="X80" s="1153"/>
      <c r="Y80" s="1153"/>
      <c r="AB80" s="1122"/>
      <c r="AC80" s="1153" t="str">
        <f>IF(Z10="","",CONCATENATE(AR10,Z10,AB10))</f>
        <v>💊医学</v>
      </c>
      <c r="AD80" s="1153"/>
      <c r="AE80" s="1153"/>
      <c r="AF80" s="1153"/>
      <c r="AG80" s="1155">
        <f>AL10</f>
        <v>1.0</v>
      </c>
      <c r="AH80" s="1155"/>
      <c r="AI80" s="1153" t="b">
        <f>IF(AND(OR(ISNUMBER(AF10),ISNUMBER(AH10),ISNUMBER(AJ10)),OR(AF10&gt;0,AH10&gt;0,AJ10&gt;0)),TRUE,FALSE)</f>
        <v>0</v>
      </c>
      <c r="AJ80" s="1153"/>
      <c r="AK80" s="1153"/>
      <c r="AL80" s="1153"/>
      <c r="AM80" s="1153" t="str">
        <f>IF($AI80,IF(LARGE($AG$41:$AH$107,AM$40)=$AG80,$AC80,""),"")</f>
        <v/>
      </c>
      <c r="AN80" s="1153"/>
      <c r="AO80" s="1153"/>
      <c r="AP80" s="1153"/>
      <c r="AQ80" s="1153" t="str">
        <f>IF($AI80,IF(LARGE($AG$41:$AH$107,AQ$40)=$AG80,$AC80,""),"")</f>
        <v/>
      </c>
      <c r="AR80" s="1153"/>
      <c r="AS80" s="1153"/>
      <c r="AT80" s="1153"/>
      <c r="AU80" s="1153" t="str">
        <f>IF($AI80,IF(LARGE($AG$41:$AH$107,AU$40)=$AG80,$AC80,""),"")</f>
        <v/>
      </c>
      <c r="AV80" s="1153"/>
      <c r="AW80" s="1153"/>
      <c r="AX80" s="1153"/>
      <c r="AY80" s="1153" t="str">
        <f>IF($AI80,IF(LARGE($AG$41:$AH$107,AY$40)=$AG80,$AC80,""),"")</f>
        <v/>
      </c>
      <c r="AZ80" s="1153"/>
      <c r="BA80" s="1153"/>
      <c r="BB80" s="1153"/>
      <c r="BC80" s="1153" t="str">
        <f>IF($AI80,IF(LARGE($AG$41:$AH$107,BC$40)=$AG80,$AC80,""),"")</f>
        <v/>
      </c>
      <c r="BD80" s="1153"/>
      <c r="BE80" s="1153"/>
      <c r="BF80" s="1153"/>
      <c r="BG80" s="1153" t="str">
        <f>IF($AI80,IF(LARGE($AG$41:$AH$107,BG$40)=$AG80,$AC80,""),"")</f>
        <v/>
      </c>
      <c r="BH80" s="1153"/>
      <c r="BI80" s="1153"/>
      <c r="BJ80" s="1153"/>
      <c r="BK80" s="1153" t="str">
        <f>IF($AI80,IF(LARGE($AG$41:$AH$107,BK$40)=$AG80,$AC80,""),"")</f>
        <v/>
      </c>
      <c r="BL80" s="1153"/>
      <c r="BM80" s="1153"/>
      <c r="BN80" s="1153"/>
      <c r="BO80" s="1153" t="str">
        <f>IF($AI80,IF(LARGE($AG$41:$AH$107,BO$40)=$AG80,$AC80,""),"")</f>
        <v/>
      </c>
      <c r="BP80" s="1153"/>
      <c r="BQ80" s="1153"/>
      <c r="BR80" s="1153"/>
      <c r="BS80" s="1153" t="str">
        <f>IF($AI80,IF(LARGE($AG$41:$AH$107,BS$40)=$AG80,$AC80,""),"")</f>
        <v/>
      </c>
      <c r="BT80" s="1153"/>
      <c r="BU80" s="1153"/>
      <c r="BV80" s="1153"/>
      <c r="BW80" s="1153" t="str">
        <f>IF($AI80,IF(LARGE($AG$41:$AH$107,BW$40)=$AG80,$AC80,""),"")</f>
        <v/>
      </c>
      <c r="BX80" s="1153"/>
      <c r="BY80" s="1153"/>
      <c r="BZ80" s="1153"/>
      <c r="CA80" s="1153" t="str">
        <f>IF($AI80,IF(LARGE($AG$41:$AH$107,CA$40)=$AG80,$AC80,""),"")</f>
        <v/>
      </c>
      <c r="CB80" s="1153"/>
      <c r="CC80" s="1153"/>
      <c r="CD80" s="1153"/>
      <c r="CE80" s="1153" t="str">
        <f>IF($AI80,IF(LARGE($AG$41:$AH$107,CE$40)=$AG80,$AC80,""),"")</f>
        <v/>
      </c>
      <c r="CF80" s="1153"/>
      <c r="CG80" s="1153"/>
      <c r="CH80" s="1153"/>
      <c r="CI80" s="1153" t="str">
        <f>IF($AI80,IF(LARGE($AG$41:$AH$107,CI$40)=$AG80,$AC80,""),"")</f>
        <v/>
      </c>
      <c r="CJ80" s="1153"/>
      <c r="CK80" s="1153"/>
      <c r="CL80" s="1153"/>
      <c r="CM80" s="1153" t="str">
        <f>IF($AI80,IF(LARGE($AG$41:$AH$107,CM$40)=$AG80,$AC80,""),"")</f>
        <v/>
      </c>
      <c r="CN80" s="1153"/>
      <c r="CO80" s="1153"/>
      <c r="CP80" s="1153"/>
      <c r="CQ80" s="1153" t="str">
        <f>IF($AI80,IF(LARGE($AG$41:$AH$107,CQ$40)=$AG80,$AC80,""),"")</f>
        <v/>
      </c>
      <c r="CR80" s="1153"/>
      <c r="CS80" s="1153"/>
      <c r="CT80" s="1153"/>
      <c r="CU80" s="1153" t="str">
        <f>IF($AI80,IF(LARGE($AG$41:$AH$107,CU$40)=$AG80,$AC80,""),"")</f>
        <v/>
      </c>
      <c r="CV80" s="1153"/>
      <c r="CW80" s="1153"/>
      <c r="CX80" s="1153"/>
      <c r="CY80" s="1153" t="str">
        <f>IF($AI80,IF(LARGE($AG$41:$AH$107,CY$40)=$AG80,$AC80,""),"")</f>
        <v/>
      </c>
      <c r="CZ80" s="1153"/>
      <c r="DA80" s="1153"/>
      <c r="DB80" s="1153"/>
      <c r="DC80" s="1153" t="str">
        <f>IF($AI80,IF(LARGE($AG$41:$AH$107,DC$40)=$AG80,$AC80,""),"")</f>
        <v/>
      </c>
      <c r="DD80" s="1153"/>
      <c r="DE80" s="1153"/>
      <c r="DF80" s="1153"/>
      <c r="DG80" s="1153" t="str">
        <f>IF($AI80,IF(LARGE($AG$41:$AH$107,DG$40)=$AG80,$AC80,""),"")</f>
        <v/>
      </c>
      <c r="DH80" s="1153"/>
      <c r="DI80" s="1153"/>
      <c r="DJ80" s="1153"/>
      <c r="DK80" s="1153" t="str">
        <f>IF($AI80,IF(LARGE($AG$41:$AH$107,DK$40)=$AG80,$AC80,""),"")</f>
        <v/>
      </c>
      <c r="DL80" s="1153"/>
      <c r="DM80" s="1153"/>
      <c r="DN80" s="1153"/>
      <c r="DO80" s="1153" t="str">
        <f>IF($AI80,IF(LARGE($AG$41:$AH$107,DO$40)=$AG80,$AC80,""),"")</f>
        <v/>
      </c>
      <c r="DP80" s="1153"/>
      <c r="DQ80" s="1153"/>
      <c r="DR80" s="1153"/>
      <c r="DS80" s="1153" t="str">
        <f>IF($AI80,IF(LARGE($AG$41:$AH$107,DS$40)=$AG80,$AC80,""),"")</f>
        <v/>
      </c>
      <c r="DT80" s="1153"/>
      <c r="DU80" s="1153"/>
      <c r="DV80" s="1153"/>
      <c r="DW80" s="1153" t="str">
        <f>IF($AI80,IF(LARGE($AG$41:$AH$107,DW$40)=$AG80,$AC80,""),"")</f>
        <v/>
      </c>
      <c r="DX80" s="1153"/>
      <c r="DY80" s="1153"/>
      <c r="DZ80" s="1153"/>
      <c r="EA80" s="1153" t="str">
        <f>IF($AI80,IF(LARGE($AG$41:$AH$107,EA$40)=$AG80,$AC80,""),"")</f>
        <v/>
      </c>
      <c r="EB80" s="1153"/>
      <c r="EC80" s="1153"/>
      <c r="ED80" s="1153"/>
      <c r="EE80" s="1153" t="str">
        <f>IF($AI80,IF(LARGE($AG$41:$AH$107,EE$40)=$AG80,$AC80,""),"")</f>
        <v/>
      </c>
      <c r="EF80" s="1153"/>
      <c r="EG80" s="1153"/>
      <c r="EH80" s="1153"/>
      <c r="EI80" s="1153" t="str">
        <f>IF($AI80,IF(LARGE($AG$41:$AH$107,EI$40)=$AG80,$AC80,""),"")</f>
        <v/>
      </c>
      <c r="EJ80" s="1153"/>
      <c r="EK80" s="1153"/>
      <c r="EL80" s="1153"/>
      <c r="EM80" s="1153" t="str">
        <f>IF($AI80,IF(LARGE($AG$41:$AH$107,EM$40)=$AG80,$AC80,""),"")</f>
        <v/>
      </c>
      <c r="EN80" s="1153"/>
      <c r="EO80" s="1153"/>
      <c r="EP80" s="1153"/>
      <c r="EQ80" s="1153" t="str">
        <f>IF($AI80,IF(LARGE($AG$41:$AH$107,EQ$40)=$AG80,$AC80,""),"")</f>
        <v/>
      </c>
      <c r="ER80" s="1153"/>
      <c r="ES80" s="1153"/>
      <c r="ET80" s="1153"/>
      <c r="EU80" s="1153" t="str">
        <f>IF($AI80,IF(LARGE($AG$41:$AH$107,EU$40)=$AG80,$AC80,""),"")</f>
        <v/>
      </c>
      <c r="EV80" s="1153"/>
      <c r="EW80" s="1153"/>
      <c r="EX80" s="1153"/>
      <c r="EY80" s="1153" t="str">
        <f>IF($AI80,IF(LARGE($AG$41:$AH$107,EY$40)=$AG80,$AC80,""),"")</f>
        <v/>
      </c>
      <c r="EZ80" s="1153"/>
      <c r="FA80" s="1153"/>
      <c r="FB80" s="1153"/>
      <c r="FC80" s="1153" t="str">
        <f>IF($AI80,IF(LARGE($AG$41:$AH$107,FC$40)=$AG80,$AC80,""),"")</f>
        <v/>
      </c>
      <c r="FD80" s="1153"/>
      <c r="FE80" s="1153"/>
      <c r="FF80" s="1153"/>
      <c r="FG80" s="1153" t="str">
        <f>IF($AI80,IF(LARGE($AG$41:$AH$107,FG$40)=$AG80,$AC80,""),"")</f>
        <v/>
      </c>
      <c r="FH80" s="1153"/>
      <c r="FI80" s="1153"/>
      <c r="FJ80" s="1153"/>
      <c r="FK80" s="1153" t="str">
        <f>IF($AI80,IF(LARGE($AG$41:$AH$107,FK$40)=$AG80,$AC80,""),"")</f>
        <v/>
      </c>
      <c r="FL80" s="1153"/>
      <c r="FM80" s="1153"/>
      <c r="FN80" s="1153"/>
      <c r="FO80" s="1153" t="str">
        <f>IF($AI80,IF(LARGE($AG$41:$AH$107,FO$40)=$AG80,$AC80,""),"")</f>
        <v/>
      </c>
      <c r="FP80" s="1153"/>
      <c r="FQ80" s="1153"/>
      <c r="FR80" s="1153"/>
      <c r="FS80" s="1153" t="str">
        <f>IF($AI80,IF(LARGE($AG$41:$AH$107,FS$40)=$AG80,$AC80,""),"")</f>
        <v/>
      </c>
      <c r="FT80" s="1153"/>
      <c r="FU80" s="1153"/>
      <c r="FV80" s="1153"/>
      <c r="FW80" s="1153" t="str">
        <f>IF($AI80,IF(LARGE($AG$41:$AH$107,FW$40)=$AG80,$AC80,""),"")</f>
        <v/>
      </c>
      <c r="FX80" s="1153"/>
      <c r="FY80" s="1153"/>
      <c r="FZ80" s="1153"/>
      <c r="GA80" s="1153" t="str">
        <f>IF($AI80,IF(LARGE($AG$41:$AH$107,GA$40)=$AG80,$AC80,""),"")</f>
        <v/>
      </c>
      <c r="GB80" s="1153"/>
      <c r="GC80" s="1153"/>
      <c r="GD80" s="1153"/>
      <c r="GE80" s="1153" t="str">
        <f>IF($AI80,IF(LARGE($AG$41:$AH$107,GE$40)=$AG80,$AC80,""),"")</f>
        <v/>
      </c>
      <c r="GF80" s="1153"/>
      <c r="GG80" s="1153"/>
      <c r="GH80" s="1153"/>
      <c r="GI80" s="1153" t="str">
        <f>IF($AI80,IF(LARGE($AG$41:$AH$107,GI$40)=$AG80,$AC80,""),"")</f>
        <v/>
      </c>
      <c r="GJ80" s="1153"/>
      <c r="GK80" s="1153"/>
      <c r="GL80" s="1153"/>
      <c r="GM80" s="1153" t="str">
        <f>IF($AI80,IF(LARGE($AG$41:$AH$107,GM$40)=$AG80,$AC80,""),"")</f>
        <v/>
      </c>
      <c r="GN80" s="1153"/>
      <c r="GO80" s="1153"/>
      <c r="GP80" s="1153"/>
      <c r="GQ80" s="1153" t="str">
        <f>IF($AI80,IF(LARGE($AG$41:$AH$107,GQ$40)=$AG80,$AC80,""),"")</f>
        <v/>
      </c>
      <c r="GR80" s="1153"/>
      <c r="GS80" s="1153"/>
      <c r="GT80" s="1153"/>
      <c r="GU80" s="1153" t="str">
        <f>IF($AI80,IF(LARGE($AG$41:$AH$107,GU$40)=$AG80,$AC80,""),"")</f>
        <v/>
      </c>
      <c r="GV80" s="1153"/>
      <c r="GW80" s="1153"/>
      <c r="GX80" s="1153"/>
      <c r="GY80" s="1153" t="str">
        <f>IF($AI80,IF(LARGE($AG$41:$AH$107,GY$40)=$AG80,$AC80,""),"")</f>
        <v/>
      </c>
      <c r="GZ80" s="1153"/>
      <c r="HA80" s="1153"/>
      <c r="HB80" s="1153"/>
      <c r="HC80" s="1153" t="str">
        <f>IF($AI80,IF(LARGE($AG$41:$AH$107,HC$40)=$AG80,$AC80,""),"")</f>
        <v/>
      </c>
      <c r="HD80" s="1153"/>
      <c r="HE80" s="1153"/>
      <c r="HF80" s="1153"/>
      <c r="HG80" s="1153" t="str">
        <f>IF($AI80,IF(LARGE($AG$41:$AH$107,HG$40)=$AG80,$AC80,""),"")</f>
        <v/>
      </c>
      <c r="HH80" s="1153"/>
      <c r="HI80" s="1153"/>
      <c r="HJ80" s="1153"/>
      <c r="HK80" s="1153" t="str">
        <f>IF($AI80,IF(LARGE($AG$41:$AH$107,HK$40)=$AG80,$AC80,""),"")</f>
        <v/>
      </c>
      <c r="HL80" s="1153"/>
      <c r="HM80" s="1153"/>
      <c r="HN80" s="1153"/>
      <c r="HO80" s="1153" t="str">
        <f>IF($AI80,IF(LARGE($AG$41:$AH$107,HO$40)=$AG80,$AC80,""),"")</f>
        <v/>
      </c>
      <c r="HP80" s="1153"/>
      <c r="HQ80" s="1153"/>
      <c r="HR80" s="1153"/>
      <c r="HS80" s="1153" t="str">
        <f>IF($AI80,IF(LARGE($AG$41:$AH$107,HS$40)=$AG80,$AC80,""),"")</f>
        <v/>
      </c>
      <c r="HT80" s="1153"/>
      <c r="HU80" s="1153"/>
      <c r="HV80" s="1153"/>
      <c r="HW80" s="1153" t="str">
        <f>IF($AI80,IF(LARGE($AG$41:$AH$107,HW$40)=$AG80,$AC80,""),"")</f>
        <v/>
      </c>
      <c r="HX80" s="1153"/>
      <c r="HY80" s="1153"/>
      <c r="HZ80" s="1153"/>
      <c r="IA80" s="1153" t="str">
        <f>IF($AI80,IF(LARGE($AG$41:$AH$107,IA$40)=$AG80,$AC80,""),"")</f>
        <v/>
      </c>
      <c r="IB80" s="1153"/>
      <c r="IC80" s="1153"/>
      <c r="ID80" s="1153"/>
      <c r="IE80" s="1153" t="str">
        <f>IF($AI80,IF(LARGE($AG$41:$AH$107,IE$40)=$AG80,$AC80,""),"")</f>
        <v/>
      </c>
      <c r="IF80" s="1153"/>
      <c r="IG80" s="1153"/>
      <c r="IH80" s="1153"/>
      <c r="II80" s="1153" t="str">
        <f>IF($AI80,IF(LARGE($AG$41:$AH$107,II$40)=$AG80,$AC80,""),"")</f>
        <v/>
      </c>
      <c r="IJ80" s="1153"/>
      <c r="IK80" s="1153"/>
      <c r="IL80" s="1153"/>
      <c r="IM80" s="1153" t="str">
        <f>IF($AI80,IF(LARGE($AG$41:$AH$107,IM$40)=$AG80,$AC80,""),"")</f>
        <v/>
      </c>
      <c r="IN80" s="1153"/>
      <c r="IO80" s="1153"/>
      <c r="IP80" s="1153"/>
      <c r="IQ80" s="1153" t="str">
        <f>IF($AI80,IF(LARGE($AG$41:$AH$107,IQ$40)=$AG80,$AC80,""),"")</f>
        <v/>
      </c>
      <c r="IR80" s="1153"/>
      <c r="IS80" s="1153"/>
      <c r="IT80" s="1153"/>
      <c r="IU80" s="1153" t="str">
        <f>IF($AI80,IF(LARGE($AG$41:$AH$107,IU$40)=$AG80,$AC80,""),"")</f>
        <v/>
      </c>
      <c r="IV80" s="1153"/>
      <c r="IW80" s="1153"/>
      <c r="IX80" s="1153"/>
      <c r="IY80" s="1153" t="str">
        <f>IF($AI80,IF(LARGE($AG$41:$AH$107,IY$40)=$AG80,$AC80,""),"")</f>
        <v/>
      </c>
      <c r="IZ80" s="1153"/>
      <c r="JA80" s="1153"/>
      <c r="JB80" s="1153"/>
      <c r="JC80" s="1153" t="str">
        <f>IF($AI80,IF(LARGE($AG$41:$AH$107,JC$40)=$AG80,$AC80,""),"")</f>
        <v/>
      </c>
      <c r="JD80" s="1153"/>
      <c r="JE80" s="1153"/>
      <c r="JF80" s="1153"/>
      <c r="JG80" s="1153" t="str">
        <f>IF($AI80,IF(LARGE($AG$41:$AH$107,JG$40)=$AG80,$AC80,""),"")</f>
        <v/>
      </c>
      <c r="JH80" s="1153"/>
      <c r="JI80" s="1153"/>
      <c r="JJ80" s="1153"/>
      <c r="JK80" s="1153" t="str">
        <f>IF($AI80,IF(LARGE($AG$41:$AH$107,JK$40)=$AG80,$AC80,""),"")</f>
        <v/>
      </c>
      <c r="JL80" s="1153"/>
      <c r="JM80" s="1153"/>
      <c r="JN80" s="1153"/>
      <c r="JO80" s="1153" t="str">
        <f>IF($AI80,IF(LARGE($AG$41:$AH$107,JO$40)=$AG80,$AC80,""),"")</f>
        <v/>
      </c>
      <c r="JP80" s="1153"/>
      <c r="JQ80" s="1153"/>
      <c r="JR80" s="1153"/>
      <c r="JS80" s="1153" t="str">
        <f>IF($AI80,IF(LARGE($AG$41:$AH$107,JS$40)=$AG80,$AC80,""),"")</f>
        <v/>
      </c>
      <c r="JT80" s="1153"/>
      <c r="JU80" s="1153"/>
      <c r="JV80" s="1153"/>
      <c r="JW80" s="1153" t="str">
        <f>IF($AI80,IF(LARGE($AG$41:$AH$107,JW$40)=$AG80,$AC80,""),"")</f>
        <v/>
      </c>
      <c r="JX80" s="1153"/>
      <c r="JY80" s="1153"/>
      <c r="JZ80" s="1153"/>
      <c r="KA80" s="1153" t="str">
        <f>IF($AI80,IF(LARGE($AG$41:$AH$107,KA$40)=$AG80,$AC80,""),"")</f>
        <v/>
      </c>
      <c r="KB80" s="1153"/>
      <c r="KC80" s="1153"/>
      <c r="KD80" s="1153"/>
      <c r="KE80" s="1153" t="str">
        <f>IF($AI80,IF(LARGE($AG$41:$AH$107,KE$40)=$AG80,$AC80,""),"")</f>
        <v/>
      </c>
      <c r="KF80" s="1153"/>
      <c r="KG80" s="1153"/>
      <c r="KH80" s="1153"/>
      <c r="KI80" s="1153" t="str">
        <f>IF($AI80,IF(LARGE($AG$41:$AH$107,KI$40)=$AG80,$AC80,""),"")</f>
        <v/>
      </c>
      <c r="KJ80" s="1153"/>
      <c r="KK80" s="1153"/>
      <c r="KL80" s="1153"/>
      <c r="KM80" s="1153" t="str">
        <f>IF($AI80,IF(LARGE($AG$41:$AH$107,KM$40)=$AG80,$AC80,""),"")</f>
        <v/>
      </c>
      <c r="KN80" s="1153"/>
      <c r="KO80" s="1153"/>
      <c r="KP80" s="1153"/>
      <c r="KQ80" s="1153" t="str">
        <f>IF($AI80,IF(LARGE($AG$41:$AH$107,KQ$40)=$AG80,$AC80,""),"")</f>
        <v/>
      </c>
      <c r="KR80" s="1153"/>
      <c r="KS80" s="1153"/>
      <c r="KT80" s="1153"/>
    </row>
    <row r="81" spans="8:8">
      <c r="C81" s="1153" t="str">
        <f>IF(Z11="","",CONCATENATE(" ",AR11,Z11,AB11))</f>
        <v> 🔬博物学</v>
      </c>
      <c r="D81" s="1153"/>
      <c r="E81" s="1153"/>
      <c r="F81" s="1153"/>
      <c r="G81" s="1155" t="str">
        <f>IF(AND(AF11=0,AH11=0),"",IF(ISNONTEXT(X11),"",AL11))</f>
        <v/>
      </c>
      <c r="H81" s="1155"/>
      <c r="I81" s="1153" t="str">
        <f>IF(G81=$G$40,C81,"")</f>
        <v/>
      </c>
      <c r="J81" s="1153"/>
      <c r="K81" s="1153"/>
      <c r="L81" s="1153"/>
      <c r="M81" s="1154">
        <f>IF(AND(NOT(AH11=0),ISNONTEXT(X11)),1,0)</f>
        <v>0.0</v>
      </c>
      <c r="N81" s="1122"/>
      <c r="O81" s="1122"/>
      <c r="P81" s="1153" t="str">
        <f>IF(Z11="","",CONCATENATE(" ",AR11,Z11,AB11))</f>
        <v> 🔬博物学</v>
      </c>
      <c r="Q81" s="1153"/>
      <c r="R81" s="1153"/>
      <c r="S81" s="1153"/>
      <c r="T81" s="1155" t="str">
        <f>IF(AND(AF11=0,AJ11=0),"",IF(ISNONTEXT(X11),AL11,""))</f>
        <v/>
      </c>
      <c r="U81" s="1155"/>
      <c r="V81" s="1153" t="str">
        <f>IF(T81=$T$40,P81,"")</f>
        <v/>
      </c>
      <c r="W81" s="1153"/>
      <c r="X81" s="1153"/>
      <c r="Y81" s="1153"/>
      <c r="AB81" s="1122"/>
      <c r="AC81" s="1153" t="str">
        <f>IF(Z11="","",CONCATENATE(AR11,Z11,AB11))</f>
        <v>🔬博物学</v>
      </c>
      <c r="AD81" s="1153"/>
      <c r="AE81" s="1153"/>
      <c r="AF81" s="1153"/>
      <c r="AG81" s="1155">
        <f>AL11</f>
        <v>10.0</v>
      </c>
      <c r="AH81" s="1155"/>
      <c r="AI81" s="1153" t="b">
        <f>IF(AND(OR(ISNUMBER(AF11),ISNUMBER(AH11),ISNUMBER(AJ11)),OR(AF11&gt;0,AH11&gt;0,AJ11&gt;0)),TRUE,FALSE)</f>
        <v>0</v>
      </c>
      <c r="AJ81" s="1153"/>
      <c r="AK81" s="1153"/>
      <c r="AL81" s="1153"/>
      <c r="AM81" s="1153" t="str">
        <f>IF($AI81,IF(LARGE($AG$41:$AH$107,AM$40)=$AG81,$AC81,""),"")</f>
        <v/>
      </c>
      <c r="AN81" s="1153"/>
      <c r="AO81" s="1153"/>
      <c r="AP81" s="1153"/>
      <c r="AQ81" s="1153" t="str">
        <f>IF($AI81,IF(LARGE($AG$41:$AH$107,AQ$40)=$AG81,$AC81,""),"")</f>
        <v/>
      </c>
      <c r="AR81" s="1153"/>
      <c r="AS81" s="1153"/>
      <c r="AT81" s="1153"/>
      <c r="AU81" s="1153" t="str">
        <f>IF($AI81,IF(LARGE($AG$41:$AH$107,AU$40)=$AG81,$AC81,""),"")</f>
        <v/>
      </c>
      <c r="AV81" s="1153"/>
      <c r="AW81" s="1153"/>
      <c r="AX81" s="1153"/>
      <c r="AY81" s="1153" t="str">
        <f>IF($AI81,IF(LARGE($AG$41:$AH$107,AY$40)=$AG81,$AC81,""),"")</f>
        <v/>
      </c>
      <c r="AZ81" s="1153"/>
      <c r="BA81" s="1153"/>
      <c r="BB81" s="1153"/>
      <c r="BC81" s="1153" t="str">
        <f>IF($AI81,IF(LARGE($AG$41:$AH$107,BC$40)=$AG81,$AC81,""),"")</f>
        <v/>
      </c>
      <c r="BD81" s="1153"/>
      <c r="BE81" s="1153"/>
      <c r="BF81" s="1153"/>
      <c r="BG81" s="1153" t="str">
        <f>IF($AI81,IF(LARGE($AG$41:$AH$107,BG$40)=$AG81,$AC81,""),"")</f>
        <v/>
      </c>
      <c r="BH81" s="1153"/>
      <c r="BI81" s="1153"/>
      <c r="BJ81" s="1153"/>
      <c r="BK81" s="1153" t="str">
        <f>IF($AI81,IF(LARGE($AG$41:$AH$107,BK$40)=$AG81,$AC81,""),"")</f>
        <v/>
      </c>
      <c r="BL81" s="1153"/>
      <c r="BM81" s="1153"/>
      <c r="BN81" s="1153"/>
      <c r="BO81" s="1153" t="str">
        <f>IF($AI81,IF(LARGE($AG$41:$AH$107,BO$40)=$AG81,$AC81,""),"")</f>
        <v/>
      </c>
      <c r="BP81" s="1153"/>
      <c r="BQ81" s="1153"/>
      <c r="BR81" s="1153"/>
      <c r="BS81" s="1153" t="str">
        <f>IF($AI81,IF(LARGE($AG$41:$AH$107,BS$40)=$AG81,$AC81,""),"")</f>
        <v/>
      </c>
      <c r="BT81" s="1153"/>
      <c r="BU81" s="1153"/>
      <c r="BV81" s="1153"/>
      <c r="BW81" s="1153" t="str">
        <f>IF($AI81,IF(LARGE($AG$41:$AH$107,BW$40)=$AG81,$AC81,""),"")</f>
        <v/>
      </c>
      <c r="BX81" s="1153"/>
      <c r="BY81" s="1153"/>
      <c r="BZ81" s="1153"/>
      <c r="CA81" s="1153" t="str">
        <f>IF($AI81,IF(LARGE($AG$41:$AH$107,CA$40)=$AG81,$AC81,""),"")</f>
        <v/>
      </c>
      <c r="CB81" s="1153"/>
      <c r="CC81" s="1153"/>
      <c r="CD81" s="1153"/>
      <c r="CE81" s="1153" t="str">
        <f>IF($AI81,IF(LARGE($AG$41:$AH$107,CE$40)=$AG81,$AC81,""),"")</f>
        <v/>
      </c>
      <c r="CF81" s="1153"/>
      <c r="CG81" s="1153"/>
      <c r="CH81" s="1153"/>
      <c r="CI81" s="1153" t="str">
        <f>IF($AI81,IF(LARGE($AG$41:$AH$107,CI$40)=$AG81,$AC81,""),"")</f>
        <v/>
      </c>
      <c r="CJ81" s="1153"/>
      <c r="CK81" s="1153"/>
      <c r="CL81" s="1153"/>
      <c r="CM81" s="1153" t="str">
        <f>IF($AI81,IF(LARGE($AG$41:$AH$107,CM$40)=$AG81,$AC81,""),"")</f>
        <v/>
      </c>
      <c r="CN81" s="1153"/>
      <c r="CO81" s="1153"/>
      <c r="CP81" s="1153"/>
      <c r="CQ81" s="1153" t="str">
        <f>IF($AI81,IF(LARGE($AG$41:$AH$107,CQ$40)=$AG81,$AC81,""),"")</f>
        <v/>
      </c>
      <c r="CR81" s="1153"/>
      <c r="CS81" s="1153"/>
      <c r="CT81" s="1153"/>
      <c r="CU81" s="1153" t="str">
        <f>IF($AI81,IF(LARGE($AG$41:$AH$107,CU$40)=$AG81,$AC81,""),"")</f>
        <v/>
      </c>
      <c r="CV81" s="1153"/>
      <c r="CW81" s="1153"/>
      <c r="CX81" s="1153"/>
      <c r="CY81" s="1153" t="str">
        <f>IF($AI81,IF(LARGE($AG$41:$AH$107,CY$40)=$AG81,$AC81,""),"")</f>
        <v/>
      </c>
      <c r="CZ81" s="1153"/>
      <c r="DA81" s="1153"/>
      <c r="DB81" s="1153"/>
      <c r="DC81" s="1153" t="str">
        <f>IF($AI81,IF(LARGE($AG$41:$AH$107,DC$40)=$AG81,$AC81,""),"")</f>
        <v/>
      </c>
      <c r="DD81" s="1153"/>
      <c r="DE81" s="1153"/>
      <c r="DF81" s="1153"/>
      <c r="DG81" s="1153" t="str">
        <f>IF($AI81,IF(LARGE($AG$41:$AH$107,DG$40)=$AG81,$AC81,""),"")</f>
        <v/>
      </c>
      <c r="DH81" s="1153"/>
      <c r="DI81" s="1153"/>
      <c r="DJ81" s="1153"/>
      <c r="DK81" s="1153" t="str">
        <f>IF($AI81,IF(LARGE($AG$41:$AH$107,DK$40)=$AG81,$AC81,""),"")</f>
        <v/>
      </c>
      <c r="DL81" s="1153"/>
      <c r="DM81" s="1153"/>
      <c r="DN81" s="1153"/>
      <c r="DO81" s="1153" t="str">
        <f>IF($AI81,IF(LARGE($AG$41:$AH$107,DO$40)=$AG81,$AC81,""),"")</f>
        <v/>
      </c>
      <c r="DP81" s="1153"/>
      <c r="DQ81" s="1153"/>
      <c r="DR81" s="1153"/>
      <c r="DS81" s="1153" t="str">
        <f>IF($AI81,IF(LARGE($AG$41:$AH$107,DS$40)=$AG81,$AC81,""),"")</f>
        <v/>
      </c>
      <c r="DT81" s="1153"/>
      <c r="DU81" s="1153"/>
      <c r="DV81" s="1153"/>
      <c r="DW81" s="1153" t="str">
        <f>IF($AI81,IF(LARGE($AG$41:$AH$107,DW$40)=$AG81,$AC81,""),"")</f>
        <v/>
      </c>
      <c r="DX81" s="1153"/>
      <c r="DY81" s="1153"/>
      <c r="DZ81" s="1153"/>
      <c r="EA81" s="1153" t="str">
        <f>IF($AI81,IF(LARGE($AG$41:$AH$107,EA$40)=$AG81,$AC81,""),"")</f>
        <v/>
      </c>
      <c r="EB81" s="1153"/>
      <c r="EC81" s="1153"/>
      <c r="ED81" s="1153"/>
      <c r="EE81" s="1153" t="str">
        <f>IF($AI81,IF(LARGE($AG$41:$AH$107,EE$40)=$AG81,$AC81,""),"")</f>
        <v/>
      </c>
      <c r="EF81" s="1153"/>
      <c r="EG81" s="1153"/>
      <c r="EH81" s="1153"/>
      <c r="EI81" s="1153" t="str">
        <f>IF($AI81,IF(LARGE($AG$41:$AH$107,EI$40)=$AG81,$AC81,""),"")</f>
        <v/>
      </c>
      <c r="EJ81" s="1153"/>
      <c r="EK81" s="1153"/>
      <c r="EL81" s="1153"/>
      <c r="EM81" s="1153" t="str">
        <f>IF($AI81,IF(LARGE($AG$41:$AH$107,EM$40)=$AG81,$AC81,""),"")</f>
        <v/>
      </c>
      <c r="EN81" s="1153"/>
      <c r="EO81" s="1153"/>
      <c r="EP81" s="1153"/>
      <c r="EQ81" s="1153" t="str">
        <f>IF($AI81,IF(LARGE($AG$41:$AH$107,EQ$40)=$AG81,$AC81,""),"")</f>
        <v/>
      </c>
      <c r="ER81" s="1153"/>
      <c r="ES81" s="1153"/>
      <c r="ET81" s="1153"/>
      <c r="EU81" s="1153" t="str">
        <f>IF($AI81,IF(LARGE($AG$41:$AH$107,EU$40)=$AG81,$AC81,""),"")</f>
        <v/>
      </c>
      <c r="EV81" s="1153"/>
      <c r="EW81" s="1153"/>
      <c r="EX81" s="1153"/>
      <c r="EY81" s="1153" t="str">
        <f>IF($AI81,IF(LARGE($AG$41:$AH$107,EY$40)=$AG81,$AC81,""),"")</f>
        <v/>
      </c>
      <c r="EZ81" s="1153"/>
      <c r="FA81" s="1153"/>
      <c r="FB81" s="1153"/>
      <c r="FC81" s="1153" t="str">
        <f>IF($AI81,IF(LARGE($AG$41:$AH$107,FC$40)=$AG81,$AC81,""),"")</f>
        <v/>
      </c>
      <c r="FD81" s="1153"/>
      <c r="FE81" s="1153"/>
      <c r="FF81" s="1153"/>
      <c r="FG81" s="1153" t="str">
        <f>IF($AI81,IF(LARGE($AG$41:$AH$107,FG$40)=$AG81,$AC81,""),"")</f>
        <v/>
      </c>
      <c r="FH81" s="1153"/>
      <c r="FI81" s="1153"/>
      <c r="FJ81" s="1153"/>
      <c r="FK81" s="1153" t="str">
        <f>IF($AI81,IF(LARGE($AG$41:$AH$107,FK$40)=$AG81,$AC81,""),"")</f>
        <v/>
      </c>
      <c r="FL81" s="1153"/>
      <c r="FM81" s="1153"/>
      <c r="FN81" s="1153"/>
      <c r="FO81" s="1153" t="str">
        <f>IF($AI81,IF(LARGE($AG$41:$AH$107,FO$40)=$AG81,$AC81,""),"")</f>
        <v/>
      </c>
      <c r="FP81" s="1153"/>
      <c r="FQ81" s="1153"/>
      <c r="FR81" s="1153"/>
      <c r="FS81" s="1153" t="str">
        <f>IF($AI81,IF(LARGE($AG$41:$AH$107,FS$40)=$AG81,$AC81,""),"")</f>
        <v/>
      </c>
      <c r="FT81" s="1153"/>
      <c r="FU81" s="1153"/>
      <c r="FV81" s="1153"/>
      <c r="FW81" s="1153" t="str">
        <f>IF($AI81,IF(LARGE($AG$41:$AH$107,FW$40)=$AG81,$AC81,""),"")</f>
        <v/>
      </c>
      <c r="FX81" s="1153"/>
      <c r="FY81" s="1153"/>
      <c r="FZ81" s="1153"/>
      <c r="GA81" s="1153" t="str">
        <f>IF($AI81,IF(LARGE($AG$41:$AH$107,GA$40)=$AG81,$AC81,""),"")</f>
        <v/>
      </c>
      <c r="GB81" s="1153"/>
      <c r="GC81" s="1153"/>
      <c r="GD81" s="1153"/>
      <c r="GE81" s="1153" t="str">
        <f>IF($AI81,IF(LARGE($AG$41:$AH$107,GE$40)=$AG81,$AC81,""),"")</f>
        <v/>
      </c>
      <c r="GF81" s="1153"/>
      <c r="GG81" s="1153"/>
      <c r="GH81" s="1153"/>
      <c r="GI81" s="1153" t="str">
        <f>IF($AI81,IF(LARGE($AG$41:$AH$107,GI$40)=$AG81,$AC81,""),"")</f>
        <v/>
      </c>
      <c r="GJ81" s="1153"/>
      <c r="GK81" s="1153"/>
      <c r="GL81" s="1153"/>
      <c r="GM81" s="1153" t="str">
        <f>IF($AI81,IF(LARGE($AG$41:$AH$107,GM$40)=$AG81,$AC81,""),"")</f>
        <v/>
      </c>
      <c r="GN81" s="1153"/>
      <c r="GO81" s="1153"/>
      <c r="GP81" s="1153"/>
      <c r="GQ81" s="1153" t="str">
        <f>IF($AI81,IF(LARGE($AG$41:$AH$107,GQ$40)=$AG81,$AC81,""),"")</f>
        <v/>
      </c>
      <c r="GR81" s="1153"/>
      <c r="GS81" s="1153"/>
      <c r="GT81" s="1153"/>
      <c r="GU81" s="1153" t="str">
        <f>IF($AI81,IF(LARGE($AG$41:$AH$107,GU$40)=$AG81,$AC81,""),"")</f>
        <v/>
      </c>
      <c r="GV81" s="1153"/>
      <c r="GW81" s="1153"/>
      <c r="GX81" s="1153"/>
      <c r="GY81" s="1153" t="str">
        <f>IF($AI81,IF(LARGE($AG$41:$AH$107,GY$40)=$AG81,$AC81,""),"")</f>
        <v/>
      </c>
      <c r="GZ81" s="1153"/>
      <c r="HA81" s="1153"/>
      <c r="HB81" s="1153"/>
      <c r="HC81" s="1153" t="str">
        <f>IF($AI81,IF(LARGE($AG$41:$AH$107,HC$40)=$AG81,$AC81,""),"")</f>
        <v/>
      </c>
      <c r="HD81" s="1153"/>
      <c r="HE81" s="1153"/>
      <c r="HF81" s="1153"/>
      <c r="HG81" s="1153" t="str">
        <f>IF($AI81,IF(LARGE($AG$41:$AH$107,HG$40)=$AG81,$AC81,""),"")</f>
        <v/>
      </c>
      <c r="HH81" s="1153"/>
      <c r="HI81" s="1153"/>
      <c r="HJ81" s="1153"/>
      <c r="HK81" s="1153" t="str">
        <f>IF($AI81,IF(LARGE($AG$41:$AH$107,HK$40)=$AG81,$AC81,""),"")</f>
        <v/>
      </c>
      <c r="HL81" s="1153"/>
      <c r="HM81" s="1153"/>
      <c r="HN81" s="1153"/>
      <c r="HO81" s="1153" t="str">
        <f>IF($AI81,IF(LARGE($AG$41:$AH$107,HO$40)=$AG81,$AC81,""),"")</f>
        <v/>
      </c>
      <c r="HP81" s="1153"/>
      <c r="HQ81" s="1153"/>
      <c r="HR81" s="1153"/>
      <c r="HS81" s="1153" t="str">
        <f>IF($AI81,IF(LARGE($AG$41:$AH$107,HS$40)=$AG81,$AC81,""),"")</f>
        <v/>
      </c>
      <c r="HT81" s="1153"/>
      <c r="HU81" s="1153"/>
      <c r="HV81" s="1153"/>
      <c r="HW81" s="1153" t="str">
        <f>IF($AI81,IF(LARGE($AG$41:$AH$107,HW$40)=$AG81,$AC81,""),"")</f>
        <v/>
      </c>
      <c r="HX81" s="1153"/>
      <c r="HY81" s="1153"/>
      <c r="HZ81" s="1153"/>
      <c r="IA81" s="1153" t="str">
        <f>IF($AI81,IF(LARGE($AG$41:$AH$107,IA$40)=$AG81,$AC81,""),"")</f>
        <v/>
      </c>
      <c r="IB81" s="1153"/>
      <c r="IC81" s="1153"/>
      <c r="ID81" s="1153"/>
      <c r="IE81" s="1153" t="str">
        <f>IF($AI81,IF(LARGE($AG$41:$AH$107,IE$40)=$AG81,$AC81,""),"")</f>
        <v/>
      </c>
      <c r="IF81" s="1153"/>
      <c r="IG81" s="1153"/>
      <c r="IH81" s="1153"/>
      <c r="II81" s="1153" t="str">
        <f>IF($AI81,IF(LARGE($AG$41:$AH$107,II$40)=$AG81,$AC81,""),"")</f>
        <v/>
      </c>
      <c r="IJ81" s="1153"/>
      <c r="IK81" s="1153"/>
      <c r="IL81" s="1153"/>
      <c r="IM81" s="1153" t="str">
        <f>IF($AI81,IF(LARGE($AG$41:$AH$107,IM$40)=$AG81,$AC81,""),"")</f>
        <v/>
      </c>
      <c r="IN81" s="1153"/>
      <c r="IO81" s="1153"/>
      <c r="IP81" s="1153"/>
      <c r="IQ81" s="1153" t="str">
        <f>IF($AI81,IF(LARGE($AG$41:$AH$107,IQ$40)=$AG81,$AC81,""),"")</f>
        <v/>
      </c>
      <c r="IR81" s="1153"/>
      <c r="IS81" s="1153"/>
      <c r="IT81" s="1153"/>
      <c r="IU81" s="1153" t="str">
        <f>IF($AI81,IF(LARGE($AG$41:$AH$107,IU$40)=$AG81,$AC81,""),"")</f>
        <v/>
      </c>
      <c r="IV81" s="1153"/>
      <c r="IW81" s="1153"/>
      <c r="IX81" s="1153"/>
      <c r="IY81" s="1153" t="str">
        <f>IF($AI81,IF(LARGE($AG$41:$AH$107,IY$40)=$AG81,$AC81,""),"")</f>
        <v/>
      </c>
      <c r="IZ81" s="1153"/>
      <c r="JA81" s="1153"/>
      <c r="JB81" s="1153"/>
      <c r="JC81" s="1153" t="str">
        <f>IF($AI81,IF(LARGE($AG$41:$AH$107,JC$40)=$AG81,$AC81,""),"")</f>
        <v/>
      </c>
      <c r="JD81" s="1153"/>
      <c r="JE81" s="1153"/>
      <c r="JF81" s="1153"/>
      <c r="JG81" s="1153" t="str">
        <f>IF($AI81,IF(LARGE($AG$41:$AH$107,JG$40)=$AG81,$AC81,""),"")</f>
        <v/>
      </c>
      <c r="JH81" s="1153"/>
      <c r="JI81" s="1153"/>
      <c r="JJ81" s="1153"/>
      <c r="JK81" s="1153" t="str">
        <f>IF($AI81,IF(LARGE($AG$41:$AH$107,JK$40)=$AG81,$AC81,""),"")</f>
        <v/>
      </c>
      <c r="JL81" s="1153"/>
      <c r="JM81" s="1153"/>
      <c r="JN81" s="1153"/>
      <c r="JO81" s="1153" t="str">
        <f>IF($AI81,IF(LARGE($AG$41:$AH$107,JO$40)=$AG81,$AC81,""),"")</f>
        <v/>
      </c>
      <c r="JP81" s="1153"/>
      <c r="JQ81" s="1153"/>
      <c r="JR81" s="1153"/>
      <c r="JS81" s="1153" t="str">
        <f>IF($AI81,IF(LARGE($AG$41:$AH$107,JS$40)=$AG81,$AC81,""),"")</f>
        <v/>
      </c>
      <c r="JT81" s="1153"/>
      <c r="JU81" s="1153"/>
      <c r="JV81" s="1153"/>
      <c r="JW81" s="1153" t="str">
        <f>IF($AI81,IF(LARGE($AG$41:$AH$107,JW$40)=$AG81,$AC81,""),"")</f>
        <v/>
      </c>
      <c r="JX81" s="1153"/>
      <c r="JY81" s="1153"/>
      <c r="JZ81" s="1153"/>
      <c r="KA81" s="1153" t="str">
        <f>IF($AI81,IF(LARGE($AG$41:$AH$107,KA$40)=$AG81,$AC81,""),"")</f>
        <v/>
      </c>
      <c r="KB81" s="1153"/>
      <c r="KC81" s="1153"/>
      <c r="KD81" s="1153"/>
      <c r="KE81" s="1153" t="str">
        <f>IF($AI81,IF(LARGE($AG$41:$AH$107,KE$40)=$AG81,$AC81,""),"")</f>
        <v/>
      </c>
      <c r="KF81" s="1153"/>
      <c r="KG81" s="1153"/>
      <c r="KH81" s="1153"/>
      <c r="KI81" s="1153" t="str">
        <f>IF($AI81,IF(LARGE($AG$41:$AH$107,KI$40)=$AG81,$AC81,""),"")</f>
        <v/>
      </c>
      <c r="KJ81" s="1153"/>
      <c r="KK81" s="1153"/>
      <c r="KL81" s="1153"/>
      <c r="KM81" s="1153" t="str">
        <f>IF($AI81,IF(LARGE($AG$41:$AH$107,KM$40)=$AG81,$AC81,""),"")</f>
        <v/>
      </c>
      <c r="KN81" s="1153"/>
      <c r="KO81" s="1153"/>
      <c r="KP81" s="1153"/>
      <c r="KQ81" s="1153" t="str">
        <f>IF($AI81,IF(LARGE($AG$41:$AH$107,KQ$40)=$AG81,$AC81,""),"")</f>
        <v/>
      </c>
      <c r="KR81" s="1153"/>
      <c r="KS81" s="1153"/>
      <c r="KT81" s="1153"/>
    </row>
    <row r="82" spans="8:8">
      <c r="C82" s="1153" t="str">
        <f>IF(Z12="","",CONCATENATE(" ",AR12,Z12,AB12))</f>
        <v> 🧭导航</v>
      </c>
      <c r="D82" s="1153"/>
      <c r="E82" s="1153"/>
      <c r="F82" s="1153"/>
      <c r="G82" s="1155" t="str">
        <f>IF(AND(AF12=0,AH12=0),"",IF(ISNONTEXT(X12),"",AL12))</f>
        <v/>
      </c>
      <c r="H82" s="1155"/>
      <c r="I82" s="1153" t="str">
        <f>IF(G82=$G$40,C82,"")</f>
        <v/>
      </c>
      <c r="J82" s="1153"/>
      <c r="K82" s="1153"/>
      <c r="L82" s="1153"/>
      <c r="M82" s="1154">
        <f>IF(AND(NOT(AH12=0),ISNONTEXT(X12)),1,0)</f>
        <v>0.0</v>
      </c>
      <c r="N82" s="1122"/>
      <c r="O82" s="1122"/>
      <c r="P82" s="1153" t="str">
        <f>IF(Z12="","",CONCATENATE(" ",AR12,Z12,AB12))</f>
        <v> 🧭导航</v>
      </c>
      <c r="Q82" s="1153"/>
      <c r="R82" s="1153"/>
      <c r="S82" s="1153"/>
      <c r="T82" s="1155" t="str">
        <f>IF(AND(AF12=0,AJ12=0),"",IF(ISNONTEXT(X12),AL12,""))</f>
        <v/>
      </c>
      <c r="U82" s="1155"/>
      <c r="V82" s="1153" t="str">
        <f>IF(T82=$T$40,P82,"")</f>
        <v/>
      </c>
      <c r="W82" s="1153"/>
      <c r="X82" s="1153"/>
      <c r="Y82" s="1153"/>
      <c r="AB82" s="1122"/>
      <c r="AC82" s="1153" t="str">
        <f>IF(Z12="","",CONCATENATE(AR12,Z12,AB12))</f>
        <v>🧭导航</v>
      </c>
      <c r="AD82" s="1153"/>
      <c r="AE82" s="1153"/>
      <c r="AF82" s="1153"/>
      <c r="AG82" s="1155">
        <f>AL12</f>
        <v>10.0</v>
      </c>
      <c r="AH82" s="1155"/>
      <c r="AI82" s="1153" t="b">
        <f>IF(AND(OR(ISNUMBER(AF12),ISNUMBER(AH12),ISNUMBER(AJ12)),OR(AF12&gt;0,AH12&gt;0,AJ12&gt;0)),TRUE,FALSE)</f>
        <v>0</v>
      </c>
      <c r="AJ82" s="1153"/>
      <c r="AK82" s="1153"/>
      <c r="AL82" s="1153"/>
      <c r="AM82" s="1153" t="str">
        <f>IF($AI82,IF(LARGE($AG$41:$AH$107,AM$40)=$AG82,$AC82,""),"")</f>
        <v/>
      </c>
      <c r="AN82" s="1153"/>
      <c r="AO82" s="1153"/>
      <c r="AP82" s="1153"/>
      <c r="AQ82" s="1153" t="str">
        <f>IF($AI82,IF(LARGE($AG$41:$AH$107,AQ$40)=$AG82,$AC82,""),"")</f>
        <v/>
      </c>
      <c r="AR82" s="1153"/>
      <c r="AS82" s="1153"/>
      <c r="AT82" s="1153"/>
      <c r="AU82" s="1153" t="str">
        <f>IF($AI82,IF(LARGE($AG$41:$AH$107,AU$40)=$AG82,$AC82,""),"")</f>
        <v/>
      </c>
      <c r="AV82" s="1153"/>
      <c r="AW82" s="1153"/>
      <c r="AX82" s="1153"/>
      <c r="AY82" s="1153" t="str">
        <f>IF($AI82,IF(LARGE($AG$41:$AH$107,AY$40)=$AG82,$AC82,""),"")</f>
        <v/>
      </c>
      <c r="AZ82" s="1153"/>
      <c r="BA82" s="1153"/>
      <c r="BB82" s="1153"/>
      <c r="BC82" s="1153" t="str">
        <f>IF($AI82,IF(LARGE($AG$41:$AH$107,BC$40)=$AG82,$AC82,""),"")</f>
        <v/>
      </c>
      <c r="BD82" s="1153"/>
      <c r="BE82" s="1153"/>
      <c r="BF82" s="1153"/>
      <c r="BG82" s="1153" t="str">
        <f>IF($AI82,IF(LARGE($AG$41:$AH$107,BG$40)=$AG82,$AC82,""),"")</f>
        <v/>
      </c>
      <c r="BH82" s="1153"/>
      <c r="BI82" s="1153"/>
      <c r="BJ82" s="1153"/>
      <c r="BK82" s="1153" t="str">
        <f>IF($AI82,IF(LARGE($AG$41:$AH$107,BK$40)=$AG82,$AC82,""),"")</f>
        <v/>
      </c>
      <c r="BL82" s="1153"/>
      <c r="BM82" s="1153"/>
      <c r="BN82" s="1153"/>
      <c r="BO82" s="1153" t="str">
        <f>IF($AI82,IF(LARGE($AG$41:$AH$107,BO$40)=$AG82,$AC82,""),"")</f>
        <v/>
      </c>
      <c r="BP82" s="1153"/>
      <c r="BQ82" s="1153"/>
      <c r="BR82" s="1153"/>
      <c r="BS82" s="1153" t="str">
        <f>IF($AI82,IF(LARGE($AG$41:$AH$107,BS$40)=$AG82,$AC82,""),"")</f>
        <v/>
      </c>
      <c r="BT82" s="1153"/>
      <c r="BU82" s="1153"/>
      <c r="BV82" s="1153"/>
      <c r="BW82" s="1153" t="str">
        <f>IF($AI82,IF(LARGE($AG$41:$AH$107,BW$40)=$AG82,$AC82,""),"")</f>
        <v/>
      </c>
      <c r="BX82" s="1153"/>
      <c r="BY82" s="1153"/>
      <c r="BZ82" s="1153"/>
      <c r="CA82" s="1153" t="str">
        <f>IF($AI82,IF(LARGE($AG$41:$AH$107,CA$40)=$AG82,$AC82,""),"")</f>
        <v/>
      </c>
      <c r="CB82" s="1153"/>
      <c r="CC82" s="1153"/>
      <c r="CD82" s="1153"/>
      <c r="CE82" s="1153" t="str">
        <f>IF($AI82,IF(LARGE($AG$41:$AH$107,CE$40)=$AG82,$AC82,""),"")</f>
        <v/>
      </c>
      <c r="CF82" s="1153"/>
      <c r="CG82" s="1153"/>
      <c r="CH82" s="1153"/>
      <c r="CI82" s="1153" t="str">
        <f>IF($AI82,IF(LARGE($AG$41:$AH$107,CI$40)=$AG82,$AC82,""),"")</f>
        <v/>
      </c>
      <c r="CJ82" s="1153"/>
      <c r="CK82" s="1153"/>
      <c r="CL82" s="1153"/>
      <c r="CM82" s="1153" t="str">
        <f>IF($AI82,IF(LARGE($AG$41:$AH$107,CM$40)=$AG82,$AC82,""),"")</f>
        <v/>
      </c>
      <c r="CN82" s="1153"/>
      <c r="CO82" s="1153"/>
      <c r="CP82" s="1153"/>
      <c r="CQ82" s="1153" t="str">
        <f>IF($AI82,IF(LARGE($AG$41:$AH$107,CQ$40)=$AG82,$AC82,""),"")</f>
        <v/>
      </c>
      <c r="CR82" s="1153"/>
      <c r="CS82" s="1153"/>
      <c r="CT82" s="1153"/>
      <c r="CU82" s="1153" t="str">
        <f>IF($AI82,IF(LARGE($AG$41:$AH$107,CU$40)=$AG82,$AC82,""),"")</f>
        <v/>
      </c>
      <c r="CV82" s="1153"/>
      <c r="CW82" s="1153"/>
      <c r="CX82" s="1153"/>
      <c r="CY82" s="1153" t="str">
        <f>IF($AI82,IF(LARGE($AG$41:$AH$107,CY$40)=$AG82,$AC82,""),"")</f>
        <v/>
      </c>
      <c r="CZ82" s="1153"/>
      <c r="DA82" s="1153"/>
      <c r="DB82" s="1153"/>
      <c r="DC82" s="1153" t="str">
        <f>IF($AI82,IF(LARGE($AG$41:$AH$107,DC$40)=$AG82,$AC82,""),"")</f>
        <v/>
      </c>
      <c r="DD82" s="1153"/>
      <c r="DE82" s="1153"/>
      <c r="DF82" s="1153"/>
      <c r="DG82" s="1153" t="str">
        <f>IF($AI82,IF(LARGE($AG$41:$AH$107,DG$40)=$AG82,$AC82,""),"")</f>
        <v/>
      </c>
      <c r="DH82" s="1153"/>
      <c r="DI82" s="1153"/>
      <c r="DJ82" s="1153"/>
      <c r="DK82" s="1153" t="str">
        <f>IF($AI82,IF(LARGE($AG$41:$AH$107,DK$40)=$AG82,$AC82,""),"")</f>
        <v/>
      </c>
      <c r="DL82" s="1153"/>
      <c r="DM82" s="1153"/>
      <c r="DN82" s="1153"/>
      <c r="DO82" s="1153" t="str">
        <f>IF($AI82,IF(LARGE($AG$41:$AH$107,DO$40)=$AG82,$AC82,""),"")</f>
        <v/>
      </c>
      <c r="DP82" s="1153"/>
      <c r="DQ82" s="1153"/>
      <c r="DR82" s="1153"/>
      <c r="DS82" s="1153" t="str">
        <f>IF($AI82,IF(LARGE($AG$41:$AH$107,DS$40)=$AG82,$AC82,""),"")</f>
        <v/>
      </c>
      <c r="DT82" s="1153"/>
      <c r="DU82" s="1153"/>
      <c r="DV82" s="1153"/>
      <c r="DW82" s="1153" t="str">
        <f>IF($AI82,IF(LARGE($AG$41:$AH$107,DW$40)=$AG82,$AC82,""),"")</f>
        <v/>
      </c>
      <c r="DX82" s="1153"/>
      <c r="DY82" s="1153"/>
      <c r="DZ82" s="1153"/>
      <c r="EA82" s="1153" t="str">
        <f>IF($AI82,IF(LARGE($AG$41:$AH$107,EA$40)=$AG82,$AC82,""),"")</f>
        <v/>
      </c>
      <c r="EB82" s="1153"/>
      <c r="EC82" s="1153"/>
      <c r="ED82" s="1153"/>
      <c r="EE82" s="1153" t="str">
        <f>IF($AI82,IF(LARGE($AG$41:$AH$107,EE$40)=$AG82,$AC82,""),"")</f>
        <v/>
      </c>
      <c r="EF82" s="1153"/>
      <c r="EG82" s="1153"/>
      <c r="EH82" s="1153"/>
      <c r="EI82" s="1153" t="str">
        <f>IF($AI82,IF(LARGE($AG$41:$AH$107,EI$40)=$AG82,$AC82,""),"")</f>
        <v/>
      </c>
      <c r="EJ82" s="1153"/>
      <c r="EK82" s="1153"/>
      <c r="EL82" s="1153"/>
      <c r="EM82" s="1153" t="str">
        <f>IF($AI82,IF(LARGE($AG$41:$AH$107,EM$40)=$AG82,$AC82,""),"")</f>
        <v/>
      </c>
      <c r="EN82" s="1153"/>
      <c r="EO82" s="1153"/>
      <c r="EP82" s="1153"/>
      <c r="EQ82" s="1153" t="str">
        <f>IF($AI82,IF(LARGE($AG$41:$AH$107,EQ$40)=$AG82,$AC82,""),"")</f>
        <v/>
      </c>
      <c r="ER82" s="1153"/>
      <c r="ES82" s="1153"/>
      <c r="ET82" s="1153"/>
      <c r="EU82" s="1153" t="str">
        <f>IF($AI82,IF(LARGE($AG$41:$AH$107,EU$40)=$AG82,$AC82,""),"")</f>
        <v/>
      </c>
      <c r="EV82" s="1153"/>
      <c r="EW82" s="1153"/>
      <c r="EX82" s="1153"/>
      <c r="EY82" s="1153" t="str">
        <f>IF($AI82,IF(LARGE($AG$41:$AH$107,EY$40)=$AG82,$AC82,""),"")</f>
        <v/>
      </c>
      <c r="EZ82" s="1153"/>
      <c r="FA82" s="1153"/>
      <c r="FB82" s="1153"/>
      <c r="FC82" s="1153" t="str">
        <f>IF($AI82,IF(LARGE($AG$41:$AH$107,FC$40)=$AG82,$AC82,""),"")</f>
        <v/>
      </c>
      <c r="FD82" s="1153"/>
      <c r="FE82" s="1153"/>
      <c r="FF82" s="1153"/>
      <c r="FG82" s="1153" t="str">
        <f>IF($AI82,IF(LARGE($AG$41:$AH$107,FG$40)=$AG82,$AC82,""),"")</f>
        <v/>
      </c>
      <c r="FH82" s="1153"/>
      <c r="FI82" s="1153"/>
      <c r="FJ82" s="1153"/>
      <c r="FK82" s="1153" t="str">
        <f>IF($AI82,IF(LARGE($AG$41:$AH$107,FK$40)=$AG82,$AC82,""),"")</f>
        <v/>
      </c>
      <c r="FL82" s="1153"/>
      <c r="FM82" s="1153"/>
      <c r="FN82" s="1153"/>
      <c r="FO82" s="1153" t="str">
        <f>IF($AI82,IF(LARGE($AG$41:$AH$107,FO$40)=$AG82,$AC82,""),"")</f>
        <v/>
      </c>
      <c r="FP82" s="1153"/>
      <c r="FQ82" s="1153"/>
      <c r="FR82" s="1153"/>
      <c r="FS82" s="1153" t="str">
        <f>IF($AI82,IF(LARGE($AG$41:$AH$107,FS$40)=$AG82,$AC82,""),"")</f>
        <v/>
      </c>
      <c r="FT82" s="1153"/>
      <c r="FU82" s="1153"/>
      <c r="FV82" s="1153"/>
      <c r="FW82" s="1153" t="str">
        <f>IF($AI82,IF(LARGE($AG$41:$AH$107,FW$40)=$AG82,$AC82,""),"")</f>
        <v/>
      </c>
      <c r="FX82" s="1153"/>
      <c r="FY82" s="1153"/>
      <c r="FZ82" s="1153"/>
      <c r="GA82" s="1153" t="str">
        <f>IF($AI82,IF(LARGE($AG$41:$AH$107,GA$40)=$AG82,$AC82,""),"")</f>
        <v/>
      </c>
      <c r="GB82" s="1153"/>
      <c r="GC82" s="1153"/>
      <c r="GD82" s="1153"/>
      <c r="GE82" s="1153" t="str">
        <f>IF($AI82,IF(LARGE($AG$41:$AH$107,GE$40)=$AG82,$AC82,""),"")</f>
        <v/>
      </c>
      <c r="GF82" s="1153"/>
      <c r="GG82" s="1153"/>
      <c r="GH82" s="1153"/>
      <c r="GI82" s="1153" t="str">
        <f>IF($AI82,IF(LARGE($AG$41:$AH$107,GI$40)=$AG82,$AC82,""),"")</f>
        <v/>
      </c>
      <c r="GJ82" s="1153"/>
      <c r="GK82" s="1153"/>
      <c r="GL82" s="1153"/>
      <c r="GM82" s="1153" t="str">
        <f>IF($AI82,IF(LARGE($AG$41:$AH$107,GM$40)=$AG82,$AC82,""),"")</f>
        <v/>
      </c>
      <c r="GN82" s="1153"/>
      <c r="GO82" s="1153"/>
      <c r="GP82" s="1153"/>
      <c r="GQ82" s="1153" t="str">
        <f>IF($AI82,IF(LARGE($AG$41:$AH$107,GQ$40)=$AG82,$AC82,""),"")</f>
        <v/>
      </c>
      <c r="GR82" s="1153"/>
      <c r="GS82" s="1153"/>
      <c r="GT82" s="1153"/>
      <c r="GU82" s="1153" t="str">
        <f>IF($AI82,IF(LARGE($AG$41:$AH$107,GU$40)=$AG82,$AC82,""),"")</f>
        <v/>
      </c>
      <c r="GV82" s="1153"/>
      <c r="GW82" s="1153"/>
      <c r="GX82" s="1153"/>
      <c r="GY82" s="1153" t="str">
        <f>IF($AI82,IF(LARGE($AG$41:$AH$107,GY$40)=$AG82,$AC82,""),"")</f>
        <v/>
      </c>
      <c r="GZ82" s="1153"/>
      <c r="HA82" s="1153"/>
      <c r="HB82" s="1153"/>
      <c r="HC82" s="1153" t="str">
        <f>IF($AI82,IF(LARGE($AG$41:$AH$107,HC$40)=$AG82,$AC82,""),"")</f>
        <v/>
      </c>
      <c r="HD82" s="1153"/>
      <c r="HE82" s="1153"/>
      <c r="HF82" s="1153"/>
      <c r="HG82" s="1153" t="str">
        <f>IF($AI82,IF(LARGE($AG$41:$AH$107,HG$40)=$AG82,$AC82,""),"")</f>
        <v/>
      </c>
      <c r="HH82" s="1153"/>
      <c r="HI82" s="1153"/>
      <c r="HJ82" s="1153"/>
      <c r="HK82" s="1153" t="str">
        <f>IF($AI82,IF(LARGE($AG$41:$AH$107,HK$40)=$AG82,$AC82,""),"")</f>
        <v/>
      </c>
      <c r="HL82" s="1153"/>
      <c r="HM82" s="1153"/>
      <c r="HN82" s="1153"/>
      <c r="HO82" s="1153" t="str">
        <f>IF($AI82,IF(LARGE($AG$41:$AH$107,HO$40)=$AG82,$AC82,""),"")</f>
        <v/>
      </c>
      <c r="HP82" s="1153"/>
      <c r="HQ82" s="1153"/>
      <c r="HR82" s="1153"/>
      <c r="HS82" s="1153" t="str">
        <f>IF($AI82,IF(LARGE($AG$41:$AH$107,HS$40)=$AG82,$AC82,""),"")</f>
        <v/>
      </c>
      <c r="HT82" s="1153"/>
      <c r="HU82" s="1153"/>
      <c r="HV82" s="1153"/>
      <c r="HW82" s="1153" t="str">
        <f>IF($AI82,IF(LARGE($AG$41:$AH$107,HW$40)=$AG82,$AC82,""),"")</f>
        <v/>
      </c>
      <c r="HX82" s="1153"/>
      <c r="HY82" s="1153"/>
      <c r="HZ82" s="1153"/>
      <c r="IA82" s="1153" t="str">
        <f>IF($AI82,IF(LARGE($AG$41:$AH$107,IA$40)=$AG82,$AC82,""),"")</f>
        <v/>
      </c>
      <c r="IB82" s="1153"/>
      <c r="IC82" s="1153"/>
      <c r="ID82" s="1153"/>
      <c r="IE82" s="1153" t="str">
        <f>IF($AI82,IF(LARGE($AG$41:$AH$107,IE$40)=$AG82,$AC82,""),"")</f>
        <v/>
      </c>
      <c r="IF82" s="1153"/>
      <c r="IG82" s="1153"/>
      <c r="IH82" s="1153"/>
      <c r="II82" s="1153" t="str">
        <f>IF($AI82,IF(LARGE($AG$41:$AH$107,II$40)=$AG82,$AC82,""),"")</f>
        <v/>
      </c>
      <c r="IJ82" s="1153"/>
      <c r="IK82" s="1153"/>
      <c r="IL82" s="1153"/>
      <c r="IM82" s="1153" t="str">
        <f>IF($AI82,IF(LARGE($AG$41:$AH$107,IM$40)=$AG82,$AC82,""),"")</f>
        <v/>
      </c>
      <c r="IN82" s="1153"/>
      <c r="IO82" s="1153"/>
      <c r="IP82" s="1153"/>
      <c r="IQ82" s="1153" t="str">
        <f>IF($AI82,IF(LARGE($AG$41:$AH$107,IQ$40)=$AG82,$AC82,""),"")</f>
        <v/>
      </c>
      <c r="IR82" s="1153"/>
      <c r="IS82" s="1153"/>
      <c r="IT82" s="1153"/>
      <c r="IU82" s="1153" t="str">
        <f>IF($AI82,IF(LARGE($AG$41:$AH$107,IU$40)=$AG82,$AC82,""),"")</f>
        <v/>
      </c>
      <c r="IV82" s="1153"/>
      <c r="IW82" s="1153"/>
      <c r="IX82" s="1153"/>
      <c r="IY82" s="1153" t="str">
        <f>IF($AI82,IF(LARGE($AG$41:$AH$107,IY$40)=$AG82,$AC82,""),"")</f>
        <v/>
      </c>
      <c r="IZ82" s="1153"/>
      <c r="JA82" s="1153"/>
      <c r="JB82" s="1153"/>
      <c r="JC82" s="1153" t="str">
        <f>IF($AI82,IF(LARGE($AG$41:$AH$107,JC$40)=$AG82,$AC82,""),"")</f>
        <v/>
      </c>
      <c r="JD82" s="1153"/>
      <c r="JE82" s="1153"/>
      <c r="JF82" s="1153"/>
      <c r="JG82" s="1153" t="str">
        <f>IF($AI82,IF(LARGE($AG$41:$AH$107,JG$40)=$AG82,$AC82,""),"")</f>
        <v/>
      </c>
      <c r="JH82" s="1153"/>
      <c r="JI82" s="1153"/>
      <c r="JJ82" s="1153"/>
      <c r="JK82" s="1153" t="str">
        <f>IF($AI82,IF(LARGE($AG$41:$AH$107,JK$40)=$AG82,$AC82,""),"")</f>
        <v/>
      </c>
      <c r="JL82" s="1153"/>
      <c r="JM82" s="1153"/>
      <c r="JN82" s="1153"/>
      <c r="JO82" s="1153" t="str">
        <f>IF($AI82,IF(LARGE($AG$41:$AH$107,JO$40)=$AG82,$AC82,""),"")</f>
        <v/>
      </c>
      <c r="JP82" s="1153"/>
      <c r="JQ82" s="1153"/>
      <c r="JR82" s="1153"/>
      <c r="JS82" s="1153" t="str">
        <f>IF($AI82,IF(LARGE($AG$41:$AH$107,JS$40)=$AG82,$AC82,""),"")</f>
        <v/>
      </c>
      <c r="JT82" s="1153"/>
      <c r="JU82" s="1153"/>
      <c r="JV82" s="1153"/>
      <c r="JW82" s="1153" t="str">
        <f>IF($AI82,IF(LARGE($AG$41:$AH$107,JW$40)=$AG82,$AC82,""),"")</f>
        <v/>
      </c>
      <c r="JX82" s="1153"/>
      <c r="JY82" s="1153"/>
      <c r="JZ82" s="1153"/>
      <c r="KA82" s="1153" t="str">
        <f>IF($AI82,IF(LARGE($AG$41:$AH$107,KA$40)=$AG82,$AC82,""),"")</f>
        <v/>
      </c>
      <c r="KB82" s="1153"/>
      <c r="KC82" s="1153"/>
      <c r="KD82" s="1153"/>
      <c r="KE82" s="1153" t="str">
        <f>IF($AI82,IF(LARGE($AG$41:$AH$107,KE$40)=$AG82,$AC82,""),"")</f>
        <v/>
      </c>
      <c r="KF82" s="1153"/>
      <c r="KG82" s="1153"/>
      <c r="KH82" s="1153"/>
      <c r="KI82" s="1153" t="str">
        <f>IF($AI82,IF(LARGE($AG$41:$AH$107,KI$40)=$AG82,$AC82,""),"")</f>
        <v/>
      </c>
      <c r="KJ82" s="1153"/>
      <c r="KK82" s="1153"/>
      <c r="KL82" s="1153"/>
      <c r="KM82" s="1153" t="str">
        <f>IF($AI82,IF(LARGE($AG$41:$AH$107,KM$40)=$AG82,$AC82,""),"")</f>
        <v/>
      </c>
      <c r="KN82" s="1153"/>
      <c r="KO82" s="1153"/>
      <c r="KP82" s="1153"/>
      <c r="KQ82" s="1153" t="str">
        <f>IF($AI82,IF(LARGE($AG$41:$AH$107,KQ$40)=$AG82,$AC82,""),"")</f>
        <v/>
      </c>
      <c r="KR82" s="1153"/>
      <c r="KS82" s="1153"/>
      <c r="KT82" s="1153"/>
    </row>
    <row r="83" spans="8:8">
      <c r="C83" s="1153" t="str">
        <f>IF(Z13="","",CONCATENATE(" ",AR13,Z13,AB13))</f>
        <v> 🔮神秘学</v>
      </c>
      <c r="D83" s="1153"/>
      <c r="E83" s="1153"/>
      <c r="F83" s="1153"/>
      <c r="G83" s="1155" t="str">
        <f>IF(AND(AF13=0,AH13=0),"",IF(ISNONTEXT(X13),"",AL13))</f>
        <v/>
      </c>
      <c r="H83" s="1155"/>
      <c r="I83" s="1153" t="str">
        <f>IF(G83=$G$40,C83,"")</f>
        <v/>
      </c>
      <c r="J83" s="1153"/>
      <c r="K83" s="1153"/>
      <c r="L83" s="1153"/>
      <c r="M83" s="1154">
        <f>IF(AND(NOT(AH13=0),ISNONTEXT(X13)),1,0)</f>
        <v>0.0</v>
      </c>
      <c r="N83" s="1122"/>
      <c r="O83" s="1122"/>
      <c r="P83" s="1153" t="str">
        <f>IF(Z13="","",CONCATENATE(" ",AR13,Z13,AB13))</f>
        <v> 🔮神秘学</v>
      </c>
      <c r="Q83" s="1153"/>
      <c r="R83" s="1153"/>
      <c r="S83" s="1153"/>
      <c r="T83" s="1155" t="str">
        <f>IF(AND(AF13=0,AJ13=0),"",IF(ISNONTEXT(X13),AL13,""))</f>
        <v/>
      </c>
      <c r="U83" s="1155"/>
      <c r="V83" s="1153" t="str">
        <f>IF(T83=$T$40,P83,"")</f>
        <v/>
      </c>
      <c r="W83" s="1153"/>
      <c r="X83" s="1153"/>
      <c r="Y83" s="1153"/>
      <c r="AB83" s="1122"/>
      <c r="AC83" s="1153" t="str">
        <f>IF(Z13="","",CONCATENATE(AR13,Z13,AB13))</f>
        <v>🔮神秘学</v>
      </c>
      <c r="AD83" s="1153"/>
      <c r="AE83" s="1153"/>
      <c r="AF83" s="1153"/>
      <c r="AG83" s="1155">
        <f>AL13</f>
        <v>5.0</v>
      </c>
      <c r="AH83" s="1155"/>
      <c r="AI83" s="1153" t="b">
        <f>IF(AND(OR(ISNUMBER(AF13),ISNUMBER(AH13),ISNUMBER(AJ13)),OR(AF13&gt;0,AH13&gt;0,AJ13&gt;0)),TRUE,FALSE)</f>
        <v>0</v>
      </c>
      <c r="AJ83" s="1153"/>
      <c r="AK83" s="1153"/>
      <c r="AL83" s="1153"/>
      <c r="AM83" s="1153" t="str">
        <f>IF($AI83,IF(LARGE($AG$41:$AH$107,AM$40)=$AG83,$AC83,""),"")</f>
        <v/>
      </c>
      <c r="AN83" s="1153"/>
      <c r="AO83" s="1153"/>
      <c r="AP83" s="1153"/>
      <c r="AQ83" s="1153" t="str">
        <f>IF($AI83,IF(LARGE($AG$41:$AH$107,AQ$40)=$AG83,$AC83,""),"")</f>
        <v/>
      </c>
      <c r="AR83" s="1153"/>
      <c r="AS83" s="1153"/>
      <c r="AT83" s="1153"/>
      <c r="AU83" s="1153" t="str">
        <f>IF($AI83,IF(LARGE($AG$41:$AH$107,AU$40)=$AG83,$AC83,""),"")</f>
        <v/>
      </c>
      <c r="AV83" s="1153"/>
      <c r="AW83" s="1153"/>
      <c r="AX83" s="1153"/>
      <c r="AY83" s="1153" t="str">
        <f>IF($AI83,IF(LARGE($AG$41:$AH$107,AY$40)=$AG83,$AC83,""),"")</f>
        <v/>
      </c>
      <c r="AZ83" s="1153"/>
      <c r="BA83" s="1153"/>
      <c r="BB83" s="1153"/>
      <c r="BC83" s="1153" t="str">
        <f>IF($AI83,IF(LARGE($AG$41:$AH$107,BC$40)=$AG83,$AC83,""),"")</f>
        <v/>
      </c>
      <c r="BD83" s="1153"/>
      <c r="BE83" s="1153"/>
      <c r="BF83" s="1153"/>
      <c r="BG83" s="1153" t="str">
        <f>IF($AI83,IF(LARGE($AG$41:$AH$107,BG$40)=$AG83,$AC83,""),"")</f>
        <v/>
      </c>
      <c r="BH83" s="1153"/>
      <c r="BI83" s="1153"/>
      <c r="BJ83" s="1153"/>
      <c r="BK83" s="1153" t="str">
        <f>IF($AI83,IF(LARGE($AG$41:$AH$107,BK$40)=$AG83,$AC83,""),"")</f>
        <v/>
      </c>
      <c r="BL83" s="1153"/>
      <c r="BM83" s="1153"/>
      <c r="BN83" s="1153"/>
      <c r="BO83" s="1153" t="str">
        <f>IF($AI83,IF(LARGE($AG$41:$AH$107,BO$40)=$AG83,$AC83,""),"")</f>
        <v/>
      </c>
      <c r="BP83" s="1153"/>
      <c r="BQ83" s="1153"/>
      <c r="BR83" s="1153"/>
      <c r="BS83" s="1153" t="str">
        <f>IF($AI83,IF(LARGE($AG$41:$AH$107,BS$40)=$AG83,$AC83,""),"")</f>
        <v/>
      </c>
      <c r="BT83" s="1153"/>
      <c r="BU83" s="1153"/>
      <c r="BV83" s="1153"/>
      <c r="BW83" s="1153" t="str">
        <f>IF($AI83,IF(LARGE($AG$41:$AH$107,BW$40)=$AG83,$AC83,""),"")</f>
        <v/>
      </c>
      <c r="BX83" s="1153"/>
      <c r="BY83" s="1153"/>
      <c r="BZ83" s="1153"/>
      <c r="CA83" s="1153" t="str">
        <f>IF($AI83,IF(LARGE($AG$41:$AH$107,CA$40)=$AG83,$AC83,""),"")</f>
        <v/>
      </c>
      <c r="CB83" s="1153"/>
      <c r="CC83" s="1153"/>
      <c r="CD83" s="1153"/>
      <c r="CE83" s="1153" t="str">
        <f>IF($AI83,IF(LARGE($AG$41:$AH$107,CE$40)=$AG83,$AC83,""),"")</f>
        <v/>
      </c>
      <c r="CF83" s="1153"/>
      <c r="CG83" s="1153"/>
      <c r="CH83" s="1153"/>
      <c r="CI83" s="1153" t="str">
        <f>IF($AI83,IF(LARGE($AG$41:$AH$107,CI$40)=$AG83,$AC83,""),"")</f>
        <v/>
      </c>
      <c r="CJ83" s="1153"/>
      <c r="CK83" s="1153"/>
      <c r="CL83" s="1153"/>
      <c r="CM83" s="1153" t="str">
        <f>IF($AI83,IF(LARGE($AG$41:$AH$107,CM$40)=$AG83,$AC83,""),"")</f>
        <v/>
      </c>
      <c r="CN83" s="1153"/>
      <c r="CO83" s="1153"/>
      <c r="CP83" s="1153"/>
      <c r="CQ83" s="1153" t="str">
        <f>IF($AI83,IF(LARGE($AG$41:$AH$107,CQ$40)=$AG83,$AC83,""),"")</f>
        <v/>
      </c>
      <c r="CR83" s="1153"/>
      <c r="CS83" s="1153"/>
      <c r="CT83" s="1153"/>
      <c r="CU83" s="1153" t="str">
        <f>IF($AI83,IF(LARGE($AG$41:$AH$107,CU$40)=$AG83,$AC83,""),"")</f>
        <v/>
      </c>
      <c r="CV83" s="1153"/>
      <c r="CW83" s="1153"/>
      <c r="CX83" s="1153"/>
      <c r="CY83" s="1153" t="str">
        <f>IF($AI83,IF(LARGE($AG$41:$AH$107,CY$40)=$AG83,$AC83,""),"")</f>
        <v/>
      </c>
      <c r="CZ83" s="1153"/>
      <c r="DA83" s="1153"/>
      <c r="DB83" s="1153"/>
      <c r="DC83" s="1153" t="str">
        <f>IF($AI83,IF(LARGE($AG$41:$AH$107,DC$40)=$AG83,$AC83,""),"")</f>
        <v/>
      </c>
      <c r="DD83" s="1153"/>
      <c r="DE83" s="1153"/>
      <c r="DF83" s="1153"/>
      <c r="DG83" s="1153" t="str">
        <f>IF($AI83,IF(LARGE($AG$41:$AH$107,DG$40)=$AG83,$AC83,""),"")</f>
        <v/>
      </c>
      <c r="DH83" s="1153"/>
      <c r="DI83" s="1153"/>
      <c r="DJ83" s="1153"/>
      <c r="DK83" s="1153" t="str">
        <f>IF($AI83,IF(LARGE($AG$41:$AH$107,DK$40)=$AG83,$AC83,""),"")</f>
        <v/>
      </c>
      <c r="DL83" s="1153"/>
      <c r="DM83" s="1153"/>
      <c r="DN83" s="1153"/>
      <c r="DO83" s="1153" t="str">
        <f>IF($AI83,IF(LARGE($AG$41:$AH$107,DO$40)=$AG83,$AC83,""),"")</f>
        <v/>
      </c>
      <c r="DP83" s="1153"/>
      <c r="DQ83" s="1153"/>
      <c r="DR83" s="1153"/>
      <c r="DS83" s="1153" t="str">
        <f>IF($AI83,IF(LARGE($AG$41:$AH$107,DS$40)=$AG83,$AC83,""),"")</f>
        <v/>
      </c>
      <c r="DT83" s="1153"/>
      <c r="DU83" s="1153"/>
      <c r="DV83" s="1153"/>
      <c r="DW83" s="1153" t="str">
        <f>IF($AI83,IF(LARGE($AG$41:$AH$107,DW$40)=$AG83,$AC83,""),"")</f>
        <v/>
      </c>
      <c r="DX83" s="1153"/>
      <c r="DY83" s="1153"/>
      <c r="DZ83" s="1153"/>
      <c r="EA83" s="1153" t="str">
        <f>IF($AI83,IF(LARGE($AG$41:$AH$107,EA$40)=$AG83,$AC83,""),"")</f>
        <v/>
      </c>
      <c r="EB83" s="1153"/>
      <c r="EC83" s="1153"/>
      <c r="ED83" s="1153"/>
      <c r="EE83" s="1153" t="str">
        <f>IF($AI83,IF(LARGE($AG$41:$AH$107,EE$40)=$AG83,$AC83,""),"")</f>
        <v/>
      </c>
      <c r="EF83" s="1153"/>
      <c r="EG83" s="1153"/>
      <c r="EH83" s="1153"/>
      <c r="EI83" s="1153" t="str">
        <f>IF($AI83,IF(LARGE($AG$41:$AH$107,EI$40)=$AG83,$AC83,""),"")</f>
        <v/>
      </c>
      <c r="EJ83" s="1153"/>
      <c r="EK83" s="1153"/>
      <c r="EL83" s="1153"/>
      <c r="EM83" s="1153" t="str">
        <f>IF($AI83,IF(LARGE($AG$41:$AH$107,EM$40)=$AG83,$AC83,""),"")</f>
        <v/>
      </c>
      <c r="EN83" s="1153"/>
      <c r="EO83" s="1153"/>
      <c r="EP83" s="1153"/>
      <c r="EQ83" s="1153" t="str">
        <f>IF($AI83,IF(LARGE($AG$41:$AH$107,EQ$40)=$AG83,$AC83,""),"")</f>
        <v/>
      </c>
      <c r="ER83" s="1153"/>
      <c r="ES83" s="1153"/>
      <c r="ET83" s="1153"/>
      <c r="EU83" s="1153" t="str">
        <f>IF($AI83,IF(LARGE($AG$41:$AH$107,EU$40)=$AG83,$AC83,""),"")</f>
        <v/>
      </c>
      <c r="EV83" s="1153"/>
      <c r="EW83" s="1153"/>
      <c r="EX83" s="1153"/>
      <c r="EY83" s="1153" t="str">
        <f>IF($AI83,IF(LARGE($AG$41:$AH$107,EY$40)=$AG83,$AC83,""),"")</f>
        <v/>
      </c>
      <c r="EZ83" s="1153"/>
      <c r="FA83" s="1153"/>
      <c r="FB83" s="1153"/>
      <c r="FC83" s="1153" t="str">
        <f>IF($AI83,IF(LARGE($AG$41:$AH$107,FC$40)=$AG83,$AC83,""),"")</f>
        <v/>
      </c>
      <c r="FD83" s="1153"/>
      <c r="FE83" s="1153"/>
      <c r="FF83" s="1153"/>
      <c r="FG83" s="1153" t="str">
        <f>IF($AI83,IF(LARGE($AG$41:$AH$107,FG$40)=$AG83,$AC83,""),"")</f>
        <v/>
      </c>
      <c r="FH83" s="1153"/>
      <c r="FI83" s="1153"/>
      <c r="FJ83" s="1153"/>
      <c r="FK83" s="1153" t="str">
        <f>IF($AI83,IF(LARGE($AG$41:$AH$107,FK$40)=$AG83,$AC83,""),"")</f>
        <v/>
      </c>
      <c r="FL83" s="1153"/>
      <c r="FM83" s="1153"/>
      <c r="FN83" s="1153"/>
      <c r="FO83" s="1153" t="str">
        <f>IF($AI83,IF(LARGE($AG$41:$AH$107,FO$40)=$AG83,$AC83,""),"")</f>
        <v/>
      </c>
      <c r="FP83" s="1153"/>
      <c r="FQ83" s="1153"/>
      <c r="FR83" s="1153"/>
      <c r="FS83" s="1153" t="str">
        <f>IF($AI83,IF(LARGE($AG$41:$AH$107,FS$40)=$AG83,$AC83,""),"")</f>
        <v/>
      </c>
      <c r="FT83" s="1153"/>
      <c r="FU83" s="1153"/>
      <c r="FV83" s="1153"/>
      <c r="FW83" s="1153" t="str">
        <f>IF($AI83,IF(LARGE($AG$41:$AH$107,FW$40)=$AG83,$AC83,""),"")</f>
        <v/>
      </c>
      <c r="FX83" s="1153"/>
      <c r="FY83" s="1153"/>
      <c r="FZ83" s="1153"/>
      <c r="GA83" s="1153" t="str">
        <f>IF($AI83,IF(LARGE($AG$41:$AH$107,GA$40)=$AG83,$AC83,""),"")</f>
        <v/>
      </c>
      <c r="GB83" s="1153"/>
      <c r="GC83" s="1153"/>
      <c r="GD83" s="1153"/>
      <c r="GE83" s="1153" t="str">
        <f>IF($AI83,IF(LARGE($AG$41:$AH$107,GE$40)=$AG83,$AC83,""),"")</f>
        <v/>
      </c>
      <c r="GF83" s="1153"/>
      <c r="GG83" s="1153"/>
      <c r="GH83" s="1153"/>
      <c r="GI83" s="1153" t="str">
        <f>IF($AI83,IF(LARGE($AG$41:$AH$107,GI$40)=$AG83,$AC83,""),"")</f>
        <v/>
      </c>
      <c r="GJ83" s="1153"/>
      <c r="GK83" s="1153"/>
      <c r="GL83" s="1153"/>
      <c r="GM83" s="1153" t="str">
        <f>IF($AI83,IF(LARGE($AG$41:$AH$107,GM$40)=$AG83,$AC83,""),"")</f>
        <v/>
      </c>
      <c r="GN83" s="1153"/>
      <c r="GO83" s="1153"/>
      <c r="GP83" s="1153"/>
      <c r="GQ83" s="1153" t="str">
        <f>IF($AI83,IF(LARGE($AG$41:$AH$107,GQ$40)=$AG83,$AC83,""),"")</f>
        <v/>
      </c>
      <c r="GR83" s="1153"/>
      <c r="GS83" s="1153"/>
      <c r="GT83" s="1153"/>
      <c r="GU83" s="1153" t="str">
        <f>IF($AI83,IF(LARGE($AG$41:$AH$107,GU$40)=$AG83,$AC83,""),"")</f>
        <v/>
      </c>
      <c r="GV83" s="1153"/>
      <c r="GW83" s="1153"/>
      <c r="GX83" s="1153"/>
      <c r="GY83" s="1153" t="str">
        <f>IF($AI83,IF(LARGE($AG$41:$AH$107,GY$40)=$AG83,$AC83,""),"")</f>
        <v/>
      </c>
      <c r="GZ83" s="1153"/>
      <c r="HA83" s="1153"/>
      <c r="HB83" s="1153"/>
      <c r="HC83" s="1153" t="str">
        <f>IF($AI83,IF(LARGE($AG$41:$AH$107,HC$40)=$AG83,$AC83,""),"")</f>
        <v/>
      </c>
      <c r="HD83" s="1153"/>
      <c r="HE83" s="1153"/>
      <c r="HF83" s="1153"/>
      <c r="HG83" s="1153" t="str">
        <f>IF($AI83,IF(LARGE($AG$41:$AH$107,HG$40)=$AG83,$AC83,""),"")</f>
        <v/>
      </c>
      <c r="HH83" s="1153"/>
      <c r="HI83" s="1153"/>
      <c r="HJ83" s="1153"/>
      <c r="HK83" s="1153" t="str">
        <f>IF($AI83,IF(LARGE($AG$41:$AH$107,HK$40)=$AG83,$AC83,""),"")</f>
        <v/>
      </c>
      <c r="HL83" s="1153"/>
      <c r="HM83" s="1153"/>
      <c r="HN83" s="1153"/>
      <c r="HO83" s="1153" t="str">
        <f>IF($AI83,IF(LARGE($AG$41:$AH$107,HO$40)=$AG83,$AC83,""),"")</f>
        <v/>
      </c>
      <c r="HP83" s="1153"/>
      <c r="HQ83" s="1153"/>
      <c r="HR83" s="1153"/>
      <c r="HS83" s="1153" t="str">
        <f>IF($AI83,IF(LARGE($AG$41:$AH$107,HS$40)=$AG83,$AC83,""),"")</f>
        <v/>
      </c>
      <c r="HT83" s="1153"/>
      <c r="HU83" s="1153"/>
      <c r="HV83" s="1153"/>
      <c r="HW83" s="1153" t="str">
        <f>IF($AI83,IF(LARGE($AG$41:$AH$107,HW$40)=$AG83,$AC83,""),"")</f>
        <v/>
      </c>
      <c r="HX83" s="1153"/>
      <c r="HY83" s="1153"/>
      <c r="HZ83" s="1153"/>
      <c r="IA83" s="1153" t="str">
        <f>IF($AI83,IF(LARGE($AG$41:$AH$107,IA$40)=$AG83,$AC83,""),"")</f>
        <v/>
      </c>
      <c r="IB83" s="1153"/>
      <c r="IC83" s="1153"/>
      <c r="ID83" s="1153"/>
      <c r="IE83" s="1153" t="str">
        <f>IF($AI83,IF(LARGE($AG$41:$AH$107,IE$40)=$AG83,$AC83,""),"")</f>
        <v/>
      </c>
      <c r="IF83" s="1153"/>
      <c r="IG83" s="1153"/>
      <c r="IH83" s="1153"/>
      <c r="II83" s="1153" t="str">
        <f>IF($AI83,IF(LARGE($AG$41:$AH$107,II$40)=$AG83,$AC83,""),"")</f>
        <v/>
      </c>
      <c r="IJ83" s="1153"/>
      <c r="IK83" s="1153"/>
      <c r="IL83" s="1153"/>
      <c r="IM83" s="1153" t="str">
        <f>IF($AI83,IF(LARGE($AG$41:$AH$107,IM$40)=$AG83,$AC83,""),"")</f>
        <v/>
      </c>
      <c r="IN83" s="1153"/>
      <c r="IO83" s="1153"/>
      <c r="IP83" s="1153"/>
      <c r="IQ83" s="1153" t="str">
        <f>IF($AI83,IF(LARGE($AG$41:$AH$107,IQ$40)=$AG83,$AC83,""),"")</f>
        <v/>
      </c>
      <c r="IR83" s="1153"/>
      <c r="IS83" s="1153"/>
      <c r="IT83" s="1153"/>
      <c r="IU83" s="1153" t="str">
        <f>IF($AI83,IF(LARGE($AG$41:$AH$107,IU$40)=$AG83,$AC83,""),"")</f>
        <v/>
      </c>
      <c r="IV83" s="1153"/>
      <c r="IW83" s="1153"/>
      <c r="IX83" s="1153"/>
      <c r="IY83" s="1153" t="str">
        <f>IF($AI83,IF(LARGE($AG$41:$AH$107,IY$40)=$AG83,$AC83,""),"")</f>
        <v/>
      </c>
      <c r="IZ83" s="1153"/>
      <c r="JA83" s="1153"/>
      <c r="JB83" s="1153"/>
      <c r="JC83" s="1153" t="str">
        <f>IF($AI83,IF(LARGE($AG$41:$AH$107,JC$40)=$AG83,$AC83,""),"")</f>
        <v/>
      </c>
      <c r="JD83" s="1153"/>
      <c r="JE83" s="1153"/>
      <c r="JF83" s="1153"/>
      <c r="JG83" s="1153" t="str">
        <f>IF($AI83,IF(LARGE($AG$41:$AH$107,JG$40)=$AG83,$AC83,""),"")</f>
        <v/>
      </c>
      <c r="JH83" s="1153"/>
      <c r="JI83" s="1153"/>
      <c r="JJ83" s="1153"/>
      <c r="JK83" s="1153" t="str">
        <f>IF($AI83,IF(LARGE($AG$41:$AH$107,JK$40)=$AG83,$AC83,""),"")</f>
        <v/>
      </c>
      <c r="JL83" s="1153"/>
      <c r="JM83" s="1153"/>
      <c r="JN83" s="1153"/>
      <c r="JO83" s="1153" t="str">
        <f>IF($AI83,IF(LARGE($AG$41:$AH$107,JO$40)=$AG83,$AC83,""),"")</f>
        <v/>
      </c>
      <c r="JP83" s="1153"/>
      <c r="JQ83" s="1153"/>
      <c r="JR83" s="1153"/>
      <c r="JS83" s="1153" t="str">
        <f>IF($AI83,IF(LARGE($AG$41:$AH$107,JS$40)=$AG83,$AC83,""),"")</f>
        <v/>
      </c>
      <c r="JT83" s="1153"/>
      <c r="JU83" s="1153"/>
      <c r="JV83" s="1153"/>
      <c r="JW83" s="1153" t="str">
        <f>IF($AI83,IF(LARGE($AG$41:$AH$107,JW$40)=$AG83,$AC83,""),"")</f>
        <v/>
      </c>
      <c r="JX83" s="1153"/>
      <c r="JY83" s="1153"/>
      <c r="JZ83" s="1153"/>
      <c r="KA83" s="1153" t="str">
        <f>IF($AI83,IF(LARGE($AG$41:$AH$107,KA$40)=$AG83,$AC83,""),"")</f>
        <v/>
      </c>
      <c r="KB83" s="1153"/>
      <c r="KC83" s="1153"/>
      <c r="KD83" s="1153"/>
      <c r="KE83" s="1153" t="str">
        <f>IF($AI83,IF(LARGE($AG$41:$AH$107,KE$40)=$AG83,$AC83,""),"")</f>
        <v/>
      </c>
      <c r="KF83" s="1153"/>
      <c r="KG83" s="1153"/>
      <c r="KH83" s="1153"/>
      <c r="KI83" s="1153" t="str">
        <f>IF($AI83,IF(LARGE($AG$41:$AH$107,KI$40)=$AG83,$AC83,""),"")</f>
        <v/>
      </c>
      <c r="KJ83" s="1153"/>
      <c r="KK83" s="1153"/>
      <c r="KL83" s="1153"/>
      <c r="KM83" s="1153" t="str">
        <f>IF($AI83,IF(LARGE($AG$41:$AH$107,KM$40)=$AG83,$AC83,""),"")</f>
        <v/>
      </c>
      <c r="KN83" s="1153"/>
      <c r="KO83" s="1153"/>
      <c r="KP83" s="1153"/>
      <c r="KQ83" s="1153" t="str">
        <f>IF($AI83,IF(LARGE($AG$41:$AH$107,KQ$40)=$AG83,$AC83,""),"")</f>
        <v/>
      </c>
      <c r="KR83" s="1153"/>
      <c r="KS83" s="1153"/>
      <c r="KT83" s="1153"/>
    </row>
    <row r="84" spans="8:8">
      <c r="C84" s="1153" t="str">
        <f>IF(Z14="","",CONCATENATE(" ",AR14,Z14,AB14))</f>
        <v> 🚜操作重型机械</v>
      </c>
      <c r="D84" s="1153"/>
      <c r="E84" s="1153"/>
      <c r="F84" s="1153"/>
      <c r="G84" s="1155" t="str">
        <f>IF(AND(AF14=0,AH14=0),"",IF(ISNONTEXT(X14),"",AL14))</f>
        <v/>
      </c>
      <c r="H84" s="1155"/>
      <c r="I84" s="1153" t="str">
        <f>IF(G84=$G$40,C84,"")</f>
        <v/>
      </c>
      <c r="J84" s="1153"/>
      <c r="K84" s="1153"/>
      <c r="L84" s="1153"/>
      <c r="M84" s="1154">
        <f>IF(AND(NOT(AH14=0),ISNONTEXT(X14)),1,0)</f>
        <v>0.0</v>
      </c>
      <c r="N84" s="1122"/>
      <c r="O84" s="1122"/>
      <c r="P84" s="1153" t="str">
        <f>IF(Z14="","",CONCATENATE(" ",AR14,Z14,AB14))</f>
        <v> 🚜操作重型机械</v>
      </c>
      <c r="Q84" s="1153"/>
      <c r="R84" s="1153"/>
      <c r="S84" s="1153"/>
      <c r="T84" s="1155" t="str">
        <f>IF(AND(AF14=0,AJ14=0),"",IF(ISNONTEXT(X14),AL14,""))</f>
        <v/>
      </c>
      <c r="U84" s="1155"/>
      <c r="V84" s="1153" t="str">
        <f>IF(T84=$T$40,P84,"")</f>
        <v/>
      </c>
      <c r="W84" s="1153"/>
      <c r="X84" s="1153"/>
      <c r="Y84" s="1153"/>
      <c r="AB84" s="1122"/>
      <c r="AC84" s="1153" t="str">
        <f>IF(Z14="","",CONCATENATE(AR14,Z14,AB14))</f>
        <v>🚜操作重型机械</v>
      </c>
      <c r="AD84" s="1153"/>
      <c r="AE84" s="1153"/>
      <c r="AF84" s="1153"/>
      <c r="AG84" s="1155">
        <f>AL14</f>
        <v>1.0</v>
      </c>
      <c r="AH84" s="1155"/>
      <c r="AI84" s="1153" t="b">
        <f>IF(AND(OR(ISNUMBER(AF14),ISNUMBER(AH14),ISNUMBER(AJ14)),OR(AF14&gt;0,AH14&gt;0,AJ14&gt;0)),TRUE,FALSE)</f>
        <v>0</v>
      </c>
      <c r="AJ84" s="1153"/>
      <c r="AK84" s="1153"/>
      <c r="AL84" s="1153"/>
      <c r="AM84" s="1153" t="str">
        <f>IF($AI84,IF(LARGE($AG$41:$AH$107,AM$40)=$AG84,$AC84,""),"")</f>
        <v/>
      </c>
      <c r="AN84" s="1153"/>
      <c r="AO84" s="1153"/>
      <c r="AP84" s="1153"/>
      <c r="AQ84" s="1153" t="str">
        <f>IF($AI84,IF(LARGE($AG$41:$AH$107,AQ$40)=$AG84,$AC84,""),"")</f>
        <v/>
      </c>
      <c r="AR84" s="1153"/>
      <c r="AS84" s="1153"/>
      <c r="AT84" s="1153"/>
      <c r="AU84" s="1153" t="str">
        <f>IF($AI84,IF(LARGE($AG$41:$AH$107,AU$40)=$AG84,$AC84,""),"")</f>
        <v/>
      </c>
      <c r="AV84" s="1153"/>
      <c r="AW84" s="1153"/>
      <c r="AX84" s="1153"/>
      <c r="AY84" s="1153" t="str">
        <f>IF($AI84,IF(LARGE($AG$41:$AH$107,AY$40)=$AG84,$AC84,""),"")</f>
        <v/>
      </c>
      <c r="AZ84" s="1153"/>
      <c r="BA84" s="1153"/>
      <c r="BB84" s="1153"/>
      <c r="BC84" s="1153" t="str">
        <f>IF($AI84,IF(LARGE($AG$41:$AH$107,BC$40)=$AG84,$AC84,""),"")</f>
        <v/>
      </c>
      <c r="BD84" s="1153"/>
      <c r="BE84" s="1153"/>
      <c r="BF84" s="1153"/>
      <c r="BG84" s="1153" t="str">
        <f>IF($AI84,IF(LARGE($AG$41:$AH$107,BG$40)=$AG84,$AC84,""),"")</f>
        <v/>
      </c>
      <c r="BH84" s="1153"/>
      <c r="BI84" s="1153"/>
      <c r="BJ84" s="1153"/>
      <c r="BK84" s="1153" t="str">
        <f>IF($AI84,IF(LARGE($AG$41:$AH$107,BK$40)=$AG84,$AC84,""),"")</f>
        <v/>
      </c>
      <c r="BL84" s="1153"/>
      <c r="BM84" s="1153"/>
      <c r="BN84" s="1153"/>
      <c r="BO84" s="1153" t="str">
        <f>IF($AI84,IF(LARGE($AG$41:$AH$107,BO$40)=$AG84,$AC84,""),"")</f>
        <v/>
      </c>
      <c r="BP84" s="1153"/>
      <c r="BQ84" s="1153"/>
      <c r="BR84" s="1153"/>
      <c r="BS84" s="1153" t="str">
        <f>IF($AI84,IF(LARGE($AG$41:$AH$107,BS$40)=$AG84,$AC84,""),"")</f>
        <v/>
      </c>
      <c r="BT84" s="1153"/>
      <c r="BU84" s="1153"/>
      <c r="BV84" s="1153"/>
      <c r="BW84" s="1153" t="str">
        <f>IF($AI84,IF(LARGE($AG$41:$AH$107,BW$40)=$AG84,$AC84,""),"")</f>
        <v/>
      </c>
      <c r="BX84" s="1153"/>
      <c r="BY84" s="1153"/>
      <c r="BZ84" s="1153"/>
      <c r="CA84" s="1153" t="str">
        <f>IF($AI84,IF(LARGE($AG$41:$AH$107,CA$40)=$AG84,$AC84,""),"")</f>
        <v/>
      </c>
      <c r="CB84" s="1153"/>
      <c r="CC84" s="1153"/>
      <c r="CD84" s="1153"/>
      <c r="CE84" s="1153" t="str">
        <f>IF($AI84,IF(LARGE($AG$41:$AH$107,CE$40)=$AG84,$AC84,""),"")</f>
        <v/>
      </c>
      <c r="CF84" s="1153"/>
      <c r="CG84" s="1153"/>
      <c r="CH84" s="1153"/>
      <c r="CI84" s="1153" t="str">
        <f>IF($AI84,IF(LARGE($AG$41:$AH$107,CI$40)=$AG84,$AC84,""),"")</f>
        <v/>
      </c>
      <c r="CJ84" s="1153"/>
      <c r="CK84" s="1153"/>
      <c r="CL84" s="1153"/>
      <c r="CM84" s="1153" t="str">
        <f>IF($AI84,IF(LARGE($AG$41:$AH$107,CM$40)=$AG84,$AC84,""),"")</f>
        <v/>
      </c>
      <c r="CN84" s="1153"/>
      <c r="CO84" s="1153"/>
      <c r="CP84" s="1153"/>
      <c r="CQ84" s="1153" t="str">
        <f>IF($AI84,IF(LARGE($AG$41:$AH$107,CQ$40)=$AG84,$AC84,""),"")</f>
        <v/>
      </c>
      <c r="CR84" s="1153"/>
      <c r="CS84" s="1153"/>
      <c r="CT84" s="1153"/>
      <c r="CU84" s="1153" t="str">
        <f>IF($AI84,IF(LARGE($AG$41:$AH$107,CU$40)=$AG84,$AC84,""),"")</f>
        <v/>
      </c>
      <c r="CV84" s="1153"/>
      <c r="CW84" s="1153"/>
      <c r="CX84" s="1153"/>
      <c r="CY84" s="1153" t="str">
        <f>IF($AI84,IF(LARGE($AG$41:$AH$107,CY$40)=$AG84,$AC84,""),"")</f>
        <v/>
      </c>
      <c r="CZ84" s="1153"/>
      <c r="DA84" s="1153"/>
      <c r="DB84" s="1153"/>
      <c r="DC84" s="1153" t="str">
        <f>IF($AI84,IF(LARGE($AG$41:$AH$107,DC$40)=$AG84,$AC84,""),"")</f>
        <v/>
      </c>
      <c r="DD84" s="1153"/>
      <c r="DE84" s="1153"/>
      <c r="DF84" s="1153"/>
      <c r="DG84" s="1153" t="str">
        <f>IF($AI84,IF(LARGE($AG$41:$AH$107,DG$40)=$AG84,$AC84,""),"")</f>
        <v/>
      </c>
      <c r="DH84" s="1153"/>
      <c r="DI84" s="1153"/>
      <c r="DJ84" s="1153"/>
      <c r="DK84" s="1153" t="str">
        <f>IF($AI84,IF(LARGE($AG$41:$AH$107,DK$40)=$AG84,$AC84,""),"")</f>
        <v/>
      </c>
      <c r="DL84" s="1153"/>
      <c r="DM84" s="1153"/>
      <c r="DN84" s="1153"/>
      <c r="DO84" s="1153" t="str">
        <f>IF($AI84,IF(LARGE($AG$41:$AH$107,DO$40)=$AG84,$AC84,""),"")</f>
        <v/>
      </c>
      <c r="DP84" s="1153"/>
      <c r="DQ84" s="1153"/>
      <c r="DR84" s="1153"/>
      <c r="DS84" s="1153" t="str">
        <f>IF($AI84,IF(LARGE($AG$41:$AH$107,DS$40)=$AG84,$AC84,""),"")</f>
        <v/>
      </c>
      <c r="DT84" s="1153"/>
      <c r="DU84" s="1153"/>
      <c r="DV84" s="1153"/>
      <c r="DW84" s="1153" t="str">
        <f>IF($AI84,IF(LARGE($AG$41:$AH$107,DW$40)=$AG84,$AC84,""),"")</f>
        <v/>
      </c>
      <c r="DX84" s="1153"/>
      <c r="DY84" s="1153"/>
      <c r="DZ84" s="1153"/>
      <c r="EA84" s="1153" t="str">
        <f>IF($AI84,IF(LARGE($AG$41:$AH$107,EA$40)=$AG84,$AC84,""),"")</f>
        <v/>
      </c>
      <c r="EB84" s="1153"/>
      <c r="EC84" s="1153"/>
      <c r="ED84" s="1153"/>
      <c r="EE84" s="1153" t="str">
        <f>IF($AI84,IF(LARGE($AG$41:$AH$107,EE$40)=$AG84,$AC84,""),"")</f>
        <v/>
      </c>
      <c r="EF84" s="1153"/>
      <c r="EG84" s="1153"/>
      <c r="EH84" s="1153"/>
      <c r="EI84" s="1153" t="str">
        <f>IF($AI84,IF(LARGE($AG$41:$AH$107,EI$40)=$AG84,$AC84,""),"")</f>
        <v/>
      </c>
      <c r="EJ84" s="1153"/>
      <c r="EK84" s="1153"/>
      <c r="EL84" s="1153"/>
      <c r="EM84" s="1153" t="str">
        <f>IF($AI84,IF(LARGE($AG$41:$AH$107,EM$40)=$AG84,$AC84,""),"")</f>
        <v/>
      </c>
      <c r="EN84" s="1153"/>
      <c r="EO84" s="1153"/>
      <c r="EP84" s="1153"/>
      <c r="EQ84" s="1153" t="str">
        <f>IF($AI84,IF(LARGE($AG$41:$AH$107,EQ$40)=$AG84,$AC84,""),"")</f>
        <v/>
      </c>
      <c r="ER84" s="1153"/>
      <c r="ES84" s="1153"/>
      <c r="ET84" s="1153"/>
      <c r="EU84" s="1153" t="str">
        <f>IF($AI84,IF(LARGE($AG$41:$AH$107,EU$40)=$AG84,$AC84,""),"")</f>
        <v/>
      </c>
      <c r="EV84" s="1153"/>
      <c r="EW84" s="1153"/>
      <c r="EX84" s="1153"/>
      <c r="EY84" s="1153" t="str">
        <f>IF($AI84,IF(LARGE($AG$41:$AH$107,EY$40)=$AG84,$AC84,""),"")</f>
        <v/>
      </c>
      <c r="EZ84" s="1153"/>
      <c r="FA84" s="1153"/>
      <c r="FB84" s="1153"/>
      <c r="FC84" s="1153" t="str">
        <f>IF($AI84,IF(LARGE($AG$41:$AH$107,FC$40)=$AG84,$AC84,""),"")</f>
        <v/>
      </c>
      <c r="FD84" s="1153"/>
      <c r="FE84" s="1153"/>
      <c r="FF84" s="1153"/>
      <c r="FG84" s="1153" t="str">
        <f>IF($AI84,IF(LARGE($AG$41:$AH$107,FG$40)=$AG84,$AC84,""),"")</f>
        <v/>
      </c>
      <c r="FH84" s="1153"/>
      <c r="FI84" s="1153"/>
      <c r="FJ84" s="1153"/>
      <c r="FK84" s="1153" t="str">
        <f>IF($AI84,IF(LARGE($AG$41:$AH$107,FK$40)=$AG84,$AC84,""),"")</f>
        <v/>
      </c>
      <c r="FL84" s="1153"/>
      <c r="FM84" s="1153"/>
      <c r="FN84" s="1153"/>
      <c r="FO84" s="1153" t="str">
        <f>IF($AI84,IF(LARGE($AG$41:$AH$107,FO$40)=$AG84,$AC84,""),"")</f>
        <v/>
      </c>
      <c r="FP84" s="1153"/>
      <c r="FQ84" s="1153"/>
      <c r="FR84" s="1153"/>
      <c r="FS84" s="1153" t="str">
        <f>IF($AI84,IF(LARGE($AG$41:$AH$107,FS$40)=$AG84,$AC84,""),"")</f>
        <v/>
      </c>
      <c r="FT84" s="1153"/>
      <c r="FU84" s="1153"/>
      <c r="FV84" s="1153"/>
      <c r="FW84" s="1153" t="str">
        <f>IF($AI84,IF(LARGE($AG$41:$AH$107,FW$40)=$AG84,$AC84,""),"")</f>
        <v/>
      </c>
      <c r="FX84" s="1153"/>
      <c r="FY84" s="1153"/>
      <c r="FZ84" s="1153"/>
      <c r="GA84" s="1153" t="str">
        <f>IF($AI84,IF(LARGE($AG$41:$AH$107,GA$40)=$AG84,$AC84,""),"")</f>
        <v/>
      </c>
      <c r="GB84" s="1153"/>
      <c r="GC84" s="1153"/>
      <c r="GD84" s="1153"/>
      <c r="GE84" s="1153" t="str">
        <f>IF($AI84,IF(LARGE($AG$41:$AH$107,GE$40)=$AG84,$AC84,""),"")</f>
        <v/>
      </c>
      <c r="GF84" s="1153"/>
      <c r="GG84" s="1153"/>
      <c r="GH84" s="1153"/>
      <c r="GI84" s="1153" t="str">
        <f>IF($AI84,IF(LARGE($AG$41:$AH$107,GI$40)=$AG84,$AC84,""),"")</f>
        <v/>
      </c>
      <c r="GJ84" s="1153"/>
      <c r="GK84" s="1153"/>
      <c r="GL84" s="1153"/>
      <c r="GM84" s="1153" t="str">
        <f>IF($AI84,IF(LARGE($AG$41:$AH$107,GM$40)=$AG84,$AC84,""),"")</f>
        <v/>
      </c>
      <c r="GN84" s="1153"/>
      <c r="GO84" s="1153"/>
      <c r="GP84" s="1153"/>
      <c r="GQ84" s="1153" t="str">
        <f>IF($AI84,IF(LARGE($AG$41:$AH$107,GQ$40)=$AG84,$AC84,""),"")</f>
        <v/>
      </c>
      <c r="GR84" s="1153"/>
      <c r="GS84" s="1153"/>
      <c r="GT84" s="1153"/>
      <c r="GU84" s="1153" t="str">
        <f>IF($AI84,IF(LARGE($AG$41:$AH$107,GU$40)=$AG84,$AC84,""),"")</f>
        <v/>
      </c>
      <c r="GV84" s="1153"/>
      <c r="GW84" s="1153"/>
      <c r="GX84" s="1153"/>
      <c r="GY84" s="1153" t="str">
        <f>IF($AI84,IF(LARGE($AG$41:$AH$107,GY$40)=$AG84,$AC84,""),"")</f>
        <v/>
      </c>
      <c r="GZ84" s="1153"/>
      <c r="HA84" s="1153"/>
      <c r="HB84" s="1153"/>
      <c r="HC84" s="1153" t="str">
        <f>IF($AI84,IF(LARGE($AG$41:$AH$107,HC$40)=$AG84,$AC84,""),"")</f>
        <v/>
      </c>
      <c r="HD84" s="1153"/>
      <c r="HE84" s="1153"/>
      <c r="HF84" s="1153"/>
      <c r="HG84" s="1153" t="str">
        <f>IF($AI84,IF(LARGE($AG$41:$AH$107,HG$40)=$AG84,$AC84,""),"")</f>
        <v/>
      </c>
      <c r="HH84" s="1153"/>
      <c r="HI84" s="1153"/>
      <c r="HJ84" s="1153"/>
      <c r="HK84" s="1153" t="str">
        <f>IF($AI84,IF(LARGE($AG$41:$AH$107,HK$40)=$AG84,$AC84,""),"")</f>
        <v/>
      </c>
      <c r="HL84" s="1153"/>
      <c r="HM84" s="1153"/>
      <c r="HN84" s="1153"/>
      <c r="HO84" s="1153" t="str">
        <f>IF($AI84,IF(LARGE($AG$41:$AH$107,HO$40)=$AG84,$AC84,""),"")</f>
        <v/>
      </c>
      <c r="HP84" s="1153"/>
      <c r="HQ84" s="1153"/>
      <c r="HR84" s="1153"/>
      <c r="HS84" s="1153" t="str">
        <f>IF($AI84,IF(LARGE($AG$41:$AH$107,HS$40)=$AG84,$AC84,""),"")</f>
        <v/>
      </c>
      <c r="HT84" s="1153"/>
      <c r="HU84" s="1153"/>
      <c r="HV84" s="1153"/>
      <c r="HW84" s="1153" t="str">
        <f>IF($AI84,IF(LARGE($AG$41:$AH$107,HW$40)=$AG84,$AC84,""),"")</f>
        <v/>
      </c>
      <c r="HX84" s="1153"/>
      <c r="HY84" s="1153"/>
      <c r="HZ84" s="1153"/>
      <c r="IA84" s="1153" t="str">
        <f>IF($AI84,IF(LARGE($AG$41:$AH$107,IA$40)=$AG84,$AC84,""),"")</f>
        <v/>
      </c>
      <c r="IB84" s="1153"/>
      <c r="IC84" s="1153"/>
      <c r="ID84" s="1153"/>
      <c r="IE84" s="1153" t="str">
        <f>IF($AI84,IF(LARGE($AG$41:$AH$107,IE$40)=$AG84,$AC84,""),"")</f>
        <v/>
      </c>
      <c r="IF84" s="1153"/>
      <c r="IG84" s="1153"/>
      <c r="IH84" s="1153"/>
      <c r="II84" s="1153" t="str">
        <f>IF($AI84,IF(LARGE($AG$41:$AH$107,II$40)=$AG84,$AC84,""),"")</f>
        <v/>
      </c>
      <c r="IJ84" s="1153"/>
      <c r="IK84" s="1153"/>
      <c r="IL84" s="1153"/>
      <c r="IM84" s="1153" t="str">
        <f>IF($AI84,IF(LARGE($AG$41:$AH$107,IM$40)=$AG84,$AC84,""),"")</f>
        <v/>
      </c>
      <c r="IN84" s="1153"/>
      <c r="IO84" s="1153"/>
      <c r="IP84" s="1153"/>
      <c r="IQ84" s="1153" t="str">
        <f>IF($AI84,IF(LARGE($AG$41:$AH$107,IQ$40)=$AG84,$AC84,""),"")</f>
        <v/>
      </c>
      <c r="IR84" s="1153"/>
      <c r="IS84" s="1153"/>
      <c r="IT84" s="1153"/>
      <c r="IU84" s="1153" t="str">
        <f>IF($AI84,IF(LARGE($AG$41:$AH$107,IU$40)=$AG84,$AC84,""),"")</f>
        <v/>
      </c>
      <c r="IV84" s="1153"/>
      <c r="IW84" s="1153"/>
      <c r="IX84" s="1153"/>
      <c r="IY84" s="1153" t="str">
        <f>IF($AI84,IF(LARGE($AG$41:$AH$107,IY$40)=$AG84,$AC84,""),"")</f>
        <v/>
      </c>
      <c r="IZ84" s="1153"/>
      <c r="JA84" s="1153"/>
      <c r="JB84" s="1153"/>
      <c r="JC84" s="1153" t="str">
        <f>IF($AI84,IF(LARGE($AG$41:$AH$107,JC$40)=$AG84,$AC84,""),"")</f>
        <v/>
      </c>
      <c r="JD84" s="1153"/>
      <c r="JE84" s="1153"/>
      <c r="JF84" s="1153"/>
      <c r="JG84" s="1153" t="str">
        <f>IF($AI84,IF(LARGE($AG$41:$AH$107,JG$40)=$AG84,$AC84,""),"")</f>
        <v/>
      </c>
      <c r="JH84" s="1153"/>
      <c r="JI84" s="1153"/>
      <c r="JJ84" s="1153"/>
      <c r="JK84" s="1153" t="str">
        <f>IF($AI84,IF(LARGE($AG$41:$AH$107,JK$40)=$AG84,$AC84,""),"")</f>
        <v/>
      </c>
      <c r="JL84" s="1153"/>
      <c r="JM84" s="1153"/>
      <c r="JN84" s="1153"/>
      <c r="JO84" s="1153" t="str">
        <f>IF($AI84,IF(LARGE($AG$41:$AH$107,JO$40)=$AG84,$AC84,""),"")</f>
        <v/>
      </c>
      <c r="JP84" s="1153"/>
      <c r="JQ84" s="1153"/>
      <c r="JR84" s="1153"/>
      <c r="JS84" s="1153" t="str">
        <f>IF($AI84,IF(LARGE($AG$41:$AH$107,JS$40)=$AG84,$AC84,""),"")</f>
        <v/>
      </c>
      <c r="JT84" s="1153"/>
      <c r="JU84" s="1153"/>
      <c r="JV84" s="1153"/>
      <c r="JW84" s="1153" t="str">
        <f>IF($AI84,IF(LARGE($AG$41:$AH$107,JW$40)=$AG84,$AC84,""),"")</f>
        <v/>
      </c>
      <c r="JX84" s="1153"/>
      <c r="JY84" s="1153"/>
      <c r="JZ84" s="1153"/>
      <c r="KA84" s="1153" t="str">
        <f>IF($AI84,IF(LARGE($AG$41:$AH$107,KA$40)=$AG84,$AC84,""),"")</f>
        <v/>
      </c>
      <c r="KB84" s="1153"/>
      <c r="KC84" s="1153"/>
      <c r="KD84" s="1153"/>
      <c r="KE84" s="1153" t="str">
        <f>IF($AI84,IF(LARGE($AG$41:$AH$107,KE$40)=$AG84,$AC84,""),"")</f>
        <v/>
      </c>
      <c r="KF84" s="1153"/>
      <c r="KG84" s="1153"/>
      <c r="KH84" s="1153"/>
      <c r="KI84" s="1153" t="str">
        <f>IF($AI84,IF(LARGE($AG$41:$AH$107,KI$40)=$AG84,$AC84,""),"")</f>
        <v/>
      </c>
      <c r="KJ84" s="1153"/>
      <c r="KK84" s="1153"/>
      <c r="KL84" s="1153"/>
      <c r="KM84" s="1153" t="str">
        <f>IF($AI84,IF(LARGE($AG$41:$AH$107,KM$40)=$AG84,$AC84,""),"")</f>
        <v/>
      </c>
      <c r="KN84" s="1153"/>
      <c r="KO84" s="1153"/>
      <c r="KP84" s="1153"/>
      <c r="KQ84" s="1153" t="str">
        <f>IF($AI84,IF(LARGE($AG$41:$AH$107,KQ$40)=$AG84,$AC84,""),"")</f>
        <v/>
      </c>
      <c r="KR84" s="1153"/>
      <c r="KS84" s="1153"/>
      <c r="KT84" s="1153"/>
    </row>
    <row r="85" spans="8:8">
      <c r="C85" s="1153" t="str">
        <f>IF(Z15="","",CONCATENATE(" ",AR15,Z15,AB15))</f>
        <v> 🤓说服</v>
      </c>
      <c r="D85" s="1153"/>
      <c r="E85" s="1153"/>
      <c r="F85" s="1153"/>
      <c r="G85" s="1155" t="str">
        <f>IF(AND(AF15=0,AH15=0),"",IF(ISNONTEXT(X15),"",AL15))</f>
        <v/>
      </c>
      <c r="H85" s="1155"/>
      <c r="I85" s="1153" t="str">
        <f>IF(G85=$G$40,C85,"")</f>
        <v/>
      </c>
      <c r="J85" s="1153"/>
      <c r="K85" s="1153"/>
      <c r="L85" s="1153"/>
      <c r="M85" s="1154">
        <f>IF(AND(NOT(AH15=0),ISNONTEXT(X15)),1,0)</f>
        <v>0.0</v>
      </c>
      <c r="N85" s="1122"/>
      <c r="O85" s="1122"/>
      <c r="P85" s="1153" t="str">
        <f>IF(Z15="","",CONCATENATE(" ",AR15,Z15,AB15))</f>
        <v> 🤓说服</v>
      </c>
      <c r="Q85" s="1153"/>
      <c r="R85" s="1153"/>
      <c r="S85" s="1153"/>
      <c r="T85" s="1155" t="str">
        <f>IF(AND(AF15=0,AJ15=0),"",IF(ISNONTEXT(X15),AL15,""))</f>
        <v/>
      </c>
      <c r="U85" s="1155"/>
      <c r="V85" s="1153" t="str">
        <f>IF(T85=$T$40,P85,"")</f>
        <v/>
      </c>
      <c r="W85" s="1153"/>
      <c r="X85" s="1153"/>
      <c r="Y85" s="1153"/>
      <c r="AB85" s="1122"/>
      <c r="AC85" s="1153" t="str">
        <f>IF(Z15="","",CONCATENATE(AR15,Z15,AB15))</f>
        <v>🤓说服</v>
      </c>
      <c r="AD85" s="1153"/>
      <c r="AE85" s="1153"/>
      <c r="AF85" s="1153"/>
      <c r="AG85" s="1155">
        <f>AL15</f>
        <v>10.0</v>
      </c>
      <c r="AH85" s="1155"/>
      <c r="AI85" s="1153" t="b">
        <f>IF(AND(OR(ISNUMBER(AF15),ISNUMBER(AH15),ISNUMBER(AJ15)),OR(AF15&gt;0,AH15&gt;0,AJ15&gt;0)),TRUE,FALSE)</f>
        <v>0</v>
      </c>
      <c r="AJ85" s="1153"/>
      <c r="AK85" s="1153"/>
      <c r="AL85" s="1153"/>
      <c r="AM85" s="1153" t="str">
        <f>IF($AI85,IF(LARGE($AG$41:$AH$107,AM$40)=$AG85,$AC85,""),"")</f>
        <v/>
      </c>
      <c r="AN85" s="1153"/>
      <c r="AO85" s="1153"/>
      <c r="AP85" s="1153"/>
      <c r="AQ85" s="1153" t="str">
        <f>IF($AI85,IF(LARGE($AG$41:$AH$107,AQ$40)=$AG85,$AC85,""),"")</f>
        <v/>
      </c>
      <c r="AR85" s="1153"/>
      <c r="AS85" s="1153"/>
      <c r="AT85" s="1153"/>
      <c r="AU85" s="1153" t="str">
        <f>IF($AI85,IF(LARGE($AG$41:$AH$107,AU$40)=$AG85,$AC85,""),"")</f>
        <v/>
      </c>
      <c r="AV85" s="1153"/>
      <c r="AW85" s="1153"/>
      <c r="AX85" s="1153"/>
      <c r="AY85" s="1153" t="str">
        <f>IF($AI85,IF(LARGE($AG$41:$AH$107,AY$40)=$AG85,$AC85,""),"")</f>
        <v/>
      </c>
      <c r="AZ85" s="1153"/>
      <c r="BA85" s="1153"/>
      <c r="BB85" s="1153"/>
      <c r="BC85" s="1153" t="str">
        <f>IF($AI85,IF(LARGE($AG$41:$AH$107,BC$40)=$AG85,$AC85,""),"")</f>
        <v/>
      </c>
      <c r="BD85" s="1153"/>
      <c r="BE85" s="1153"/>
      <c r="BF85" s="1153"/>
      <c r="BG85" s="1153" t="str">
        <f>IF($AI85,IF(LARGE($AG$41:$AH$107,BG$40)=$AG85,$AC85,""),"")</f>
        <v/>
      </c>
      <c r="BH85" s="1153"/>
      <c r="BI85" s="1153"/>
      <c r="BJ85" s="1153"/>
      <c r="BK85" s="1153" t="str">
        <f>IF($AI85,IF(LARGE($AG$41:$AH$107,BK$40)=$AG85,$AC85,""),"")</f>
        <v/>
      </c>
      <c r="BL85" s="1153"/>
      <c r="BM85" s="1153"/>
      <c r="BN85" s="1153"/>
      <c r="BO85" s="1153" t="str">
        <f>IF($AI85,IF(LARGE($AG$41:$AH$107,BO$40)=$AG85,$AC85,""),"")</f>
        <v/>
      </c>
      <c r="BP85" s="1153"/>
      <c r="BQ85" s="1153"/>
      <c r="BR85" s="1153"/>
      <c r="BS85" s="1153" t="str">
        <f>IF($AI85,IF(LARGE($AG$41:$AH$107,BS$40)=$AG85,$AC85,""),"")</f>
        <v/>
      </c>
      <c r="BT85" s="1153"/>
      <c r="BU85" s="1153"/>
      <c r="BV85" s="1153"/>
      <c r="BW85" s="1153" t="str">
        <f>IF($AI85,IF(LARGE($AG$41:$AH$107,BW$40)=$AG85,$AC85,""),"")</f>
        <v/>
      </c>
      <c r="BX85" s="1153"/>
      <c r="BY85" s="1153"/>
      <c r="BZ85" s="1153"/>
      <c r="CA85" s="1153" t="str">
        <f>IF($AI85,IF(LARGE($AG$41:$AH$107,CA$40)=$AG85,$AC85,""),"")</f>
        <v/>
      </c>
      <c r="CB85" s="1153"/>
      <c r="CC85" s="1153"/>
      <c r="CD85" s="1153"/>
      <c r="CE85" s="1153" t="str">
        <f>IF($AI85,IF(LARGE($AG$41:$AH$107,CE$40)=$AG85,$AC85,""),"")</f>
        <v/>
      </c>
      <c r="CF85" s="1153"/>
      <c r="CG85" s="1153"/>
      <c r="CH85" s="1153"/>
      <c r="CI85" s="1153" t="str">
        <f>IF($AI85,IF(LARGE($AG$41:$AH$107,CI$40)=$AG85,$AC85,""),"")</f>
        <v/>
      </c>
      <c r="CJ85" s="1153"/>
      <c r="CK85" s="1153"/>
      <c r="CL85" s="1153"/>
      <c r="CM85" s="1153" t="str">
        <f>IF($AI85,IF(LARGE($AG$41:$AH$107,CM$40)=$AG85,$AC85,""),"")</f>
        <v/>
      </c>
      <c r="CN85" s="1153"/>
      <c r="CO85" s="1153"/>
      <c r="CP85" s="1153"/>
      <c r="CQ85" s="1153" t="str">
        <f>IF($AI85,IF(LARGE($AG$41:$AH$107,CQ$40)=$AG85,$AC85,""),"")</f>
        <v/>
      </c>
      <c r="CR85" s="1153"/>
      <c r="CS85" s="1153"/>
      <c r="CT85" s="1153"/>
      <c r="CU85" s="1153" t="str">
        <f>IF($AI85,IF(LARGE($AG$41:$AH$107,CU$40)=$AG85,$AC85,""),"")</f>
        <v/>
      </c>
      <c r="CV85" s="1153"/>
      <c r="CW85" s="1153"/>
      <c r="CX85" s="1153"/>
      <c r="CY85" s="1153" t="str">
        <f>IF($AI85,IF(LARGE($AG$41:$AH$107,CY$40)=$AG85,$AC85,""),"")</f>
        <v/>
      </c>
      <c r="CZ85" s="1153"/>
      <c r="DA85" s="1153"/>
      <c r="DB85" s="1153"/>
      <c r="DC85" s="1153" t="str">
        <f>IF($AI85,IF(LARGE($AG$41:$AH$107,DC$40)=$AG85,$AC85,""),"")</f>
        <v/>
      </c>
      <c r="DD85" s="1153"/>
      <c r="DE85" s="1153"/>
      <c r="DF85" s="1153"/>
      <c r="DG85" s="1153" t="str">
        <f>IF($AI85,IF(LARGE($AG$41:$AH$107,DG$40)=$AG85,$AC85,""),"")</f>
        <v/>
      </c>
      <c r="DH85" s="1153"/>
      <c r="DI85" s="1153"/>
      <c r="DJ85" s="1153"/>
      <c r="DK85" s="1153" t="str">
        <f>IF($AI85,IF(LARGE($AG$41:$AH$107,DK$40)=$AG85,$AC85,""),"")</f>
        <v/>
      </c>
      <c r="DL85" s="1153"/>
      <c r="DM85" s="1153"/>
      <c r="DN85" s="1153"/>
      <c r="DO85" s="1153" t="str">
        <f>IF($AI85,IF(LARGE($AG$41:$AH$107,DO$40)=$AG85,$AC85,""),"")</f>
        <v/>
      </c>
      <c r="DP85" s="1153"/>
      <c r="DQ85" s="1153"/>
      <c r="DR85" s="1153"/>
      <c r="DS85" s="1153" t="str">
        <f>IF($AI85,IF(LARGE($AG$41:$AH$107,DS$40)=$AG85,$AC85,""),"")</f>
        <v/>
      </c>
      <c r="DT85" s="1153"/>
      <c r="DU85" s="1153"/>
      <c r="DV85" s="1153"/>
      <c r="DW85" s="1153" t="str">
        <f>IF($AI85,IF(LARGE($AG$41:$AH$107,DW$40)=$AG85,$AC85,""),"")</f>
        <v/>
      </c>
      <c r="DX85" s="1153"/>
      <c r="DY85" s="1153"/>
      <c r="DZ85" s="1153"/>
      <c r="EA85" s="1153" t="str">
        <f>IF($AI85,IF(LARGE($AG$41:$AH$107,EA$40)=$AG85,$AC85,""),"")</f>
        <v/>
      </c>
      <c r="EB85" s="1153"/>
      <c r="EC85" s="1153"/>
      <c r="ED85" s="1153"/>
      <c r="EE85" s="1153" t="str">
        <f>IF($AI85,IF(LARGE($AG$41:$AH$107,EE$40)=$AG85,$AC85,""),"")</f>
        <v/>
      </c>
      <c r="EF85" s="1153"/>
      <c r="EG85" s="1153"/>
      <c r="EH85" s="1153"/>
      <c r="EI85" s="1153" t="str">
        <f>IF($AI85,IF(LARGE($AG$41:$AH$107,EI$40)=$AG85,$AC85,""),"")</f>
        <v/>
      </c>
      <c r="EJ85" s="1153"/>
      <c r="EK85" s="1153"/>
      <c r="EL85" s="1153"/>
      <c r="EM85" s="1153" t="str">
        <f>IF($AI85,IF(LARGE($AG$41:$AH$107,EM$40)=$AG85,$AC85,""),"")</f>
        <v/>
      </c>
      <c r="EN85" s="1153"/>
      <c r="EO85" s="1153"/>
      <c r="EP85" s="1153"/>
      <c r="EQ85" s="1153" t="str">
        <f>IF($AI85,IF(LARGE($AG$41:$AH$107,EQ$40)=$AG85,$AC85,""),"")</f>
        <v/>
      </c>
      <c r="ER85" s="1153"/>
      <c r="ES85" s="1153"/>
      <c r="ET85" s="1153"/>
      <c r="EU85" s="1153" t="str">
        <f>IF($AI85,IF(LARGE($AG$41:$AH$107,EU$40)=$AG85,$AC85,""),"")</f>
        <v/>
      </c>
      <c r="EV85" s="1153"/>
      <c r="EW85" s="1153"/>
      <c r="EX85" s="1153"/>
      <c r="EY85" s="1153" t="str">
        <f>IF($AI85,IF(LARGE($AG$41:$AH$107,EY$40)=$AG85,$AC85,""),"")</f>
        <v/>
      </c>
      <c r="EZ85" s="1153"/>
      <c r="FA85" s="1153"/>
      <c r="FB85" s="1153"/>
      <c r="FC85" s="1153" t="str">
        <f>IF($AI85,IF(LARGE($AG$41:$AH$107,FC$40)=$AG85,$AC85,""),"")</f>
        <v/>
      </c>
      <c r="FD85" s="1153"/>
      <c r="FE85" s="1153"/>
      <c r="FF85" s="1153"/>
      <c r="FG85" s="1153" t="str">
        <f>IF($AI85,IF(LARGE($AG$41:$AH$107,FG$40)=$AG85,$AC85,""),"")</f>
        <v/>
      </c>
      <c r="FH85" s="1153"/>
      <c r="FI85" s="1153"/>
      <c r="FJ85" s="1153"/>
      <c r="FK85" s="1153" t="str">
        <f>IF($AI85,IF(LARGE($AG$41:$AH$107,FK$40)=$AG85,$AC85,""),"")</f>
        <v/>
      </c>
      <c r="FL85" s="1153"/>
      <c r="FM85" s="1153"/>
      <c r="FN85" s="1153"/>
      <c r="FO85" s="1153" t="str">
        <f>IF($AI85,IF(LARGE($AG$41:$AH$107,FO$40)=$AG85,$AC85,""),"")</f>
        <v/>
      </c>
      <c r="FP85" s="1153"/>
      <c r="FQ85" s="1153"/>
      <c r="FR85" s="1153"/>
      <c r="FS85" s="1153" t="str">
        <f>IF($AI85,IF(LARGE($AG$41:$AH$107,FS$40)=$AG85,$AC85,""),"")</f>
        <v/>
      </c>
      <c r="FT85" s="1153"/>
      <c r="FU85" s="1153"/>
      <c r="FV85" s="1153"/>
      <c r="FW85" s="1153" t="str">
        <f>IF($AI85,IF(LARGE($AG$41:$AH$107,FW$40)=$AG85,$AC85,""),"")</f>
        <v/>
      </c>
      <c r="FX85" s="1153"/>
      <c r="FY85" s="1153"/>
      <c r="FZ85" s="1153"/>
      <c r="GA85" s="1153" t="str">
        <f>IF($AI85,IF(LARGE($AG$41:$AH$107,GA$40)=$AG85,$AC85,""),"")</f>
        <v/>
      </c>
      <c r="GB85" s="1153"/>
      <c r="GC85" s="1153"/>
      <c r="GD85" s="1153"/>
      <c r="GE85" s="1153" t="str">
        <f>IF($AI85,IF(LARGE($AG$41:$AH$107,GE$40)=$AG85,$AC85,""),"")</f>
        <v/>
      </c>
      <c r="GF85" s="1153"/>
      <c r="GG85" s="1153"/>
      <c r="GH85" s="1153"/>
      <c r="GI85" s="1153" t="str">
        <f>IF($AI85,IF(LARGE($AG$41:$AH$107,GI$40)=$AG85,$AC85,""),"")</f>
        <v/>
      </c>
      <c r="GJ85" s="1153"/>
      <c r="GK85" s="1153"/>
      <c r="GL85" s="1153"/>
      <c r="GM85" s="1153" t="str">
        <f>IF($AI85,IF(LARGE($AG$41:$AH$107,GM$40)=$AG85,$AC85,""),"")</f>
        <v/>
      </c>
      <c r="GN85" s="1153"/>
      <c r="GO85" s="1153"/>
      <c r="GP85" s="1153"/>
      <c r="GQ85" s="1153" t="str">
        <f>IF($AI85,IF(LARGE($AG$41:$AH$107,GQ$40)=$AG85,$AC85,""),"")</f>
        <v/>
      </c>
      <c r="GR85" s="1153"/>
      <c r="GS85" s="1153"/>
      <c r="GT85" s="1153"/>
      <c r="GU85" s="1153" t="str">
        <f>IF($AI85,IF(LARGE($AG$41:$AH$107,GU$40)=$AG85,$AC85,""),"")</f>
        <v/>
      </c>
      <c r="GV85" s="1153"/>
      <c r="GW85" s="1153"/>
      <c r="GX85" s="1153"/>
      <c r="GY85" s="1153" t="str">
        <f>IF($AI85,IF(LARGE($AG$41:$AH$107,GY$40)=$AG85,$AC85,""),"")</f>
        <v/>
      </c>
      <c r="GZ85" s="1153"/>
      <c r="HA85" s="1153"/>
      <c r="HB85" s="1153"/>
      <c r="HC85" s="1153" t="str">
        <f>IF($AI85,IF(LARGE($AG$41:$AH$107,HC$40)=$AG85,$AC85,""),"")</f>
        <v/>
      </c>
      <c r="HD85" s="1153"/>
      <c r="HE85" s="1153"/>
      <c r="HF85" s="1153"/>
      <c r="HG85" s="1153" t="str">
        <f>IF($AI85,IF(LARGE($AG$41:$AH$107,HG$40)=$AG85,$AC85,""),"")</f>
        <v/>
      </c>
      <c r="HH85" s="1153"/>
      <c r="HI85" s="1153"/>
      <c r="HJ85" s="1153"/>
      <c r="HK85" s="1153" t="str">
        <f>IF($AI85,IF(LARGE($AG$41:$AH$107,HK$40)=$AG85,$AC85,""),"")</f>
        <v/>
      </c>
      <c r="HL85" s="1153"/>
      <c r="HM85" s="1153"/>
      <c r="HN85" s="1153"/>
      <c r="HO85" s="1153" t="str">
        <f>IF($AI85,IF(LARGE($AG$41:$AH$107,HO$40)=$AG85,$AC85,""),"")</f>
        <v/>
      </c>
      <c r="HP85" s="1153"/>
      <c r="HQ85" s="1153"/>
      <c r="HR85" s="1153"/>
      <c r="HS85" s="1153" t="str">
        <f>IF($AI85,IF(LARGE($AG$41:$AH$107,HS$40)=$AG85,$AC85,""),"")</f>
        <v/>
      </c>
      <c r="HT85" s="1153"/>
      <c r="HU85" s="1153"/>
      <c r="HV85" s="1153"/>
      <c r="HW85" s="1153" t="str">
        <f>IF($AI85,IF(LARGE($AG$41:$AH$107,HW$40)=$AG85,$AC85,""),"")</f>
        <v/>
      </c>
      <c r="HX85" s="1153"/>
      <c r="HY85" s="1153"/>
      <c r="HZ85" s="1153"/>
      <c r="IA85" s="1153" t="str">
        <f>IF($AI85,IF(LARGE($AG$41:$AH$107,IA$40)=$AG85,$AC85,""),"")</f>
        <v/>
      </c>
      <c r="IB85" s="1153"/>
      <c r="IC85" s="1153"/>
      <c r="ID85" s="1153"/>
      <c r="IE85" s="1153" t="str">
        <f>IF($AI85,IF(LARGE($AG$41:$AH$107,IE$40)=$AG85,$AC85,""),"")</f>
        <v/>
      </c>
      <c r="IF85" s="1153"/>
      <c r="IG85" s="1153"/>
      <c r="IH85" s="1153"/>
      <c r="II85" s="1153" t="str">
        <f>IF($AI85,IF(LARGE($AG$41:$AH$107,II$40)=$AG85,$AC85,""),"")</f>
        <v/>
      </c>
      <c r="IJ85" s="1153"/>
      <c r="IK85" s="1153"/>
      <c r="IL85" s="1153"/>
      <c r="IM85" s="1153" t="str">
        <f>IF($AI85,IF(LARGE($AG$41:$AH$107,IM$40)=$AG85,$AC85,""),"")</f>
        <v/>
      </c>
      <c r="IN85" s="1153"/>
      <c r="IO85" s="1153"/>
      <c r="IP85" s="1153"/>
      <c r="IQ85" s="1153" t="str">
        <f>IF($AI85,IF(LARGE($AG$41:$AH$107,IQ$40)=$AG85,$AC85,""),"")</f>
        <v/>
      </c>
      <c r="IR85" s="1153"/>
      <c r="IS85" s="1153"/>
      <c r="IT85" s="1153"/>
      <c r="IU85" s="1153" t="str">
        <f>IF($AI85,IF(LARGE($AG$41:$AH$107,IU$40)=$AG85,$AC85,""),"")</f>
        <v/>
      </c>
      <c r="IV85" s="1153"/>
      <c r="IW85" s="1153"/>
      <c r="IX85" s="1153"/>
      <c r="IY85" s="1153" t="str">
        <f>IF($AI85,IF(LARGE($AG$41:$AH$107,IY$40)=$AG85,$AC85,""),"")</f>
        <v/>
      </c>
      <c r="IZ85" s="1153"/>
      <c r="JA85" s="1153"/>
      <c r="JB85" s="1153"/>
      <c r="JC85" s="1153" t="str">
        <f>IF($AI85,IF(LARGE($AG$41:$AH$107,JC$40)=$AG85,$AC85,""),"")</f>
        <v/>
      </c>
      <c r="JD85" s="1153"/>
      <c r="JE85" s="1153"/>
      <c r="JF85" s="1153"/>
      <c r="JG85" s="1153" t="str">
        <f>IF($AI85,IF(LARGE($AG$41:$AH$107,JG$40)=$AG85,$AC85,""),"")</f>
        <v/>
      </c>
      <c r="JH85" s="1153"/>
      <c r="JI85" s="1153"/>
      <c r="JJ85" s="1153"/>
      <c r="JK85" s="1153" t="str">
        <f>IF($AI85,IF(LARGE($AG$41:$AH$107,JK$40)=$AG85,$AC85,""),"")</f>
        <v/>
      </c>
      <c r="JL85" s="1153"/>
      <c r="JM85" s="1153"/>
      <c r="JN85" s="1153"/>
      <c r="JO85" s="1153" t="str">
        <f>IF($AI85,IF(LARGE($AG$41:$AH$107,JO$40)=$AG85,$AC85,""),"")</f>
        <v/>
      </c>
      <c r="JP85" s="1153"/>
      <c r="JQ85" s="1153"/>
      <c r="JR85" s="1153"/>
      <c r="JS85" s="1153" t="str">
        <f>IF($AI85,IF(LARGE($AG$41:$AH$107,JS$40)=$AG85,$AC85,""),"")</f>
        <v/>
      </c>
      <c r="JT85" s="1153"/>
      <c r="JU85" s="1153"/>
      <c r="JV85" s="1153"/>
      <c r="JW85" s="1153" t="str">
        <f>IF($AI85,IF(LARGE($AG$41:$AH$107,JW$40)=$AG85,$AC85,""),"")</f>
        <v/>
      </c>
      <c r="JX85" s="1153"/>
      <c r="JY85" s="1153"/>
      <c r="JZ85" s="1153"/>
      <c r="KA85" s="1153" t="str">
        <f>IF($AI85,IF(LARGE($AG$41:$AH$107,KA$40)=$AG85,$AC85,""),"")</f>
        <v/>
      </c>
      <c r="KB85" s="1153"/>
      <c r="KC85" s="1153"/>
      <c r="KD85" s="1153"/>
      <c r="KE85" s="1153" t="str">
        <f>IF($AI85,IF(LARGE($AG$41:$AH$107,KE$40)=$AG85,$AC85,""),"")</f>
        <v/>
      </c>
      <c r="KF85" s="1153"/>
      <c r="KG85" s="1153"/>
      <c r="KH85" s="1153"/>
      <c r="KI85" s="1153" t="str">
        <f>IF($AI85,IF(LARGE($AG$41:$AH$107,KI$40)=$AG85,$AC85,""),"")</f>
        <v/>
      </c>
      <c r="KJ85" s="1153"/>
      <c r="KK85" s="1153"/>
      <c r="KL85" s="1153"/>
      <c r="KM85" s="1153" t="str">
        <f>IF($AI85,IF(LARGE($AG$41:$AH$107,KM$40)=$AG85,$AC85,""),"")</f>
        <v/>
      </c>
      <c r="KN85" s="1153"/>
      <c r="KO85" s="1153"/>
      <c r="KP85" s="1153"/>
      <c r="KQ85" s="1153" t="str">
        <f>IF($AI85,IF(LARGE($AG$41:$AH$107,KQ$40)=$AG85,$AC85,""),"")</f>
        <v/>
      </c>
      <c r="KR85" s="1153"/>
      <c r="KS85" s="1153"/>
      <c r="KT85" s="1153"/>
    </row>
    <row r="86" spans="8:8">
      <c r="C86" s="1153" t="str">
        <f>IF(Z16="","",CONCATENATE(" ",AR16,Z16,AB16))</f>
        <v> ⛴️驾驶：</v>
      </c>
      <c r="D86" s="1153"/>
      <c r="E86" s="1153"/>
      <c r="F86" s="1153"/>
      <c r="G86" s="1155" t="str">
        <f>IF(AND(AF16=0,AH16=0),"",IF(ISNONTEXT(X16),"",AL16))</f>
        <v/>
      </c>
      <c r="H86" s="1155"/>
      <c r="I86" s="1153" t="str">
        <f>IF(G86=$G$40,C86,"")</f>
        <v/>
      </c>
      <c r="J86" s="1153"/>
      <c r="K86" s="1153"/>
      <c r="L86" s="1153"/>
      <c r="M86" s="1154">
        <f>IF(AND(NOT(AH16=0),ISNONTEXT(X16)),1,0)</f>
        <v>0.0</v>
      </c>
      <c r="N86" s="1122"/>
      <c r="O86" s="1122"/>
      <c r="P86" s="1153" t="str">
        <f>IF(Z16="","",CONCATENATE(" ",AR16,Z16,AB16))</f>
        <v> ⛴️驾驶：</v>
      </c>
      <c r="Q86" s="1153"/>
      <c r="R86" s="1153"/>
      <c r="S86" s="1153"/>
      <c r="T86" s="1155" t="str">
        <f>IF(AND(AF16=0,AJ16=0),"",IF(ISNONTEXT(X16),AL16,""))</f>
        <v/>
      </c>
      <c r="U86" s="1155"/>
      <c r="V86" s="1153" t="str">
        <f>IF(T86=$T$40,P86,"")</f>
        <v/>
      </c>
      <c r="W86" s="1153"/>
      <c r="X86" s="1153"/>
      <c r="Y86" s="1153"/>
      <c r="AB86" s="1122"/>
      <c r="AC86" s="1153" t="str">
        <f>IF(Z16="","",CONCATENATE(AR16,Z16,AB16))</f>
        <v>⛴️驾驶：</v>
      </c>
      <c r="AD86" s="1153"/>
      <c r="AE86" s="1153"/>
      <c r="AF86" s="1153"/>
      <c r="AG86" s="1155">
        <f>AL16</f>
        <v>1.0</v>
      </c>
      <c r="AH86" s="1155"/>
      <c r="AI86" s="1153" t="b">
        <f>IF(AND(OR(ISNUMBER(AF16),ISNUMBER(AH16),ISNUMBER(AJ16)),OR(AF16&gt;0,AH16&gt;0,AJ16&gt;0)),TRUE,FALSE)</f>
        <v>0</v>
      </c>
      <c r="AJ86" s="1153"/>
      <c r="AK86" s="1153"/>
      <c r="AL86" s="1153"/>
      <c r="AM86" s="1153" t="str">
        <f>IF($AI86,IF(LARGE($AG$41:$AH$107,AM$40)=$AG86,$AC86,""),"")</f>
        <v/>
      </c>
      <c r="AN86" s="1153"/>
      <c r="AO86" s="1153"/>
      <c r="AP86" s="1153"/>
      <c r="AQ86" s="1153" t="str">
        <f>IF($AI86,IF(LARGE($AG$41:$AH$107,AQ$40)=$AG86,$AC86,""),"")</f>
        <v/>
      </c>
      <c r="AR86" s="1153"/>
      <c r="AS86" s="1153"/>
      <c r="AT86" s="1153"/>
      <c r="AU86" s="1153" t="str">
        <f>IF($AI86,IF(LARGE($AG$41:$AH$107,AU$40)=$AG86,$AC86,""),"")</f>
        <v/>
      </c>
      <c r="AV86" s="1153"/>
      <c r="AW86" s="1153"/>
      <c r="AX86" s="1153"/>
      <c r="AY86" s="1153" t="str">
        <f>IF($AI86,IF(LARGE($AG$41:$AH$107,AY$40)=$AG86,$AC86,""),"")</f>
        <v/>
      </c>
      <c r="AZ86" s="1153"/>
      <c r="BA86" s="1153"/>
      <c r="BB86" s="1153"/>
      <c r="BC86" s="1153" t="str">
        <f>IF($AI86,IF(LARGE($AG$41:$AH$107,BC$40)=$AG86,$AC86,""),"")</f>
        <v/>
      </c>
      <c r="BD86" s="1153"/>
      <c r="BE86" s="1153"/>
      <c r="BF86" s="1153"/>
      <c r="BG86" s="1153" t="str">
        <f>IF($AI86,IF(LARGE($AG$41:$AH$107,BG$40)=$AG86,$AC86,""),"")</f>
        <v/>
      </c>
      <c r="BH86" s="1153"/>
      <c r="BI86" s="1153"/>
      <c r="BJ86" s="1153"/>
      <c r="BK86" s="1153" t="str">
        <f>IF($AI86,IF(LARGE($AG$41:$AH$107,BK$40)=$AG86,$AC86,""),"")</f>
        <v/>
      </c>
      <c r="BL86" s="1153"/>
      <c r="BM86" s="1153"/>
      <c r="BN86" s="1153"/>
      <c r="BO86" s="1153" t="str">
        <f>IF($AI86,IF(LARGE($AG$41:$AH$107,BO$40)=$AG86,$AC86,""),"")</f>
        <v/>
      </c>
      <c r="BP86" s="1153"/>
      <c r="BQ86" s="1153"/>
      <c r="BR86" s="1153"/>
      <c r="BS86" s="1153" t="str">
        <f>IF($AI86,IF(LARGE($AG$41:$AH$107,BS$40)=$AG86,$AC86,""),"")</f>
        <v/>
      </c>
      <c r="BT86" s="1153"/>
      <c r="BU86" s="1153"/>
      <c r="BV86" s="1153"/>
      <c r="BW86" s="1153" t="str">
        <f>IF($AI86,IF(LARGE($AG$41:$AH$107,BW$40)=$AG86,$AC86,""),"")</f>
        <v/>
      </c>
      <c r="BX86" s="1153"/>
      <c r="BY86" s="1153"/>
      <c r="BZ86" s="1153"/>
      <c r="CA86" s="1153" t="str">
        <f>IF($AI86,IF(LARGE($AG$41:$AH$107,CA$40)=$AG86,$AC86,""),"")</f>
        <v/>
      </c>
      <c r="CB86" s="1153"/>
      <c r="CC86" s="1153"/>
      <c r="CD86" s="1153"/>
      <c r="CE86" s="1153" t="str">
        <f>IF($AI86,IF(LARGE($AG$41:$AH$107,CE$40)=$AG86,$AC86,""),"")</f>
        <v/>
      </c>
      <c r="CF86" s="1153"/>
      <c r="CG86" s="1153"/>
      <c r="CH86" s="1153"/>
      <c r="CI86" s="1153" t="str">
        <f>IF($AI86,IF(LARGE($AG$41:$AH$107,CI$40)=$AG86,$AC86,""),"")</f>
        <v/>
      </c>
      <c r="CJ86" s="1153"/>
      <c r="CK86" s="1153"/>
      <c r="CL86" s="1153"/>
      <c r="CM86" s="1153" t="str">
        <f>IF($AI86,IF(LARGE($AG$41:$AH$107,CM$40)=$AG86,$AC86,""),"")</f>
        <v/>
      </c>
      <c r="CN86" s="1153"/>
      <c r="CO86" s="1153"/>
      <c r="CP86" s="1153"/>
      <c r="CQ86" s="1153" t="str">
        <f>IF($AI86,IF(LARGE($AG$41:$AH$107,CQ$40)=$AG86,$AC86,""),"")</f>
        <v/>
      </c>
      <c r="CR86" s="1153"/>
      <c r="CS86" s="1153"/>
      <c r="CT86" s="1153"/>
      <c r="CU86" s="1153" t="str">
        <f>IF($AI86,IF(LARGE($AG$41:$AH$107,CU$40)=$AG86,$AC86,""),"")</f>
        <v/>
      </c>
      <c r="CV86" s="1153"/>
      <c r="CW86" s="1153"/>
      <c r="CX86" s="1153"/>
      <c r="CY86" s="1153" t="str">
        <f>IF($AI86,IF(LARGE($AG$41:$AH$107,CY$40)=$AG86,$AC86,""),"")</f>
        <v/>
      </c>
      <c r="CZ86" s="1153"/>
      <c r="DA86" s="1153"/>
      <c r="DB86" s="1153"/>
      <c r="DC86" s="1153" t="str">
        <f>IF($AI86,IF(LARGE($AG$41:$AH$107,DC$40)=$AG86,$AC86,""),"")</f>
        <v/>
      </c>
      <c r="DD86" s="1153"/>
      <c r="DE86" s="1153"/>
      <c r="DF86" s="1153"/>
      <c r="DG86" s="1153" t="str">
        <f>IF($AI86,IF(LARGE($AG$41:$AH$107,DG$40)=$AG86,$AC86,""),"")</f>
        <v/>
      </c>
      <c r="DH86" s="1153"/>
      <c r="DI86" s="1153"/>
      <c r="DJ86" s="1153"/>
      <c r="DK86" s="1153" t="str">
        <f>IF($AI86,IF(LARGE($AG$41:$AH$107,DK$40)=$AG86,$AC86,""),"")</f>
        <v/>
      </c>
      <c r="DL86" s="1153"/>
      <c r="DM86" s="1153"/>
      <c r="DN86" s="1153"/>
      <c r="DO86" s="1153" t="str">
        <f>IF($AI86,IF(LARGE($AG$41:$AH$107,DO$40)=$AG86,$AC86,""),"")</f>
        <v/>
      </c>
      <c r="DP86" s="1153"/>
      <c r="DQ86" s="1153"/>
      <c r="DR86" s="1153"/>
      <c r="DS86" s="1153" t="str">
        <f>IF($AI86,IF(LARGE($AG$41:$AH$107,DS$40)=$AG86,$AC86,""),"")</f>
        <v/>
      </c>
      <c r="DT86" s="1153"/>
      <c r="DU86" s="1153"/>
      <c r="DV86" s="1153"/>
      <c r="DW86" s="1153" t="str">
        <f>IF($AI86,IF(LARGE($AG$41:$AH$107,DW$40)=$AG86,$AC86,""),"")</f>
        <v/>
      </c>
      <c r="DX86" s="1153"/>
      <c r="DY86" s="1153"/>
      <c r="DZ86" s="1153"/>
      <c r="EA86" s="1153" t="str">
        <f>IF($AI86,IF(LARGE($AG$41:$AH$107,EA$40)=$AG86,$AC86,""),"")</f>
        <v/>
      </c>
      <c r="EB86" s="1153"/>
      <c r="EC86" s="1153"/>
      <c r="ED86" s="1153"/>
      <c r="EE86" s="1153" t="str">
        <f>IF($AI86,IF(LARGE($AG$41:$AH$107,EE$40)=$AG86,$AC86,""),"")</f>
        <v/>
      </c>
      <c r="EF86" s="1153"/>
      <c r="EG86" s="1153"/>
      <c r="EH86" s="1153"/>
      <c r="EI86" s="1153" t="str">
        <f>IF($AI86,IF(LARGE($AG$41:$AH$107,EI$40)=$AG86,$AC86,""),"")</f>
        <v/>
      </c>
      <c r="EJ86" s="1153"/>
      <c r="EK86" s="1153"/>
      <c r="EL86" s="1153"/>
      <c r="EM86" s="1153" t="str">
        <f>IF($AI86,IF(LARGE($AG$41:$AH$107,EM$40)=$AG86,$AC86,""),"")</f>
        <v/>
      </c>
      <c r="EN86" s="1153"/>
      <c r="EO86" s="1153"/>
      <c r="EP86" s="1153"/>
      <c r="EQ86" s="1153" t="str">
        <f>IF($AI86,IF(LARGE($AG$41:$AH$107,EQ$40)=$AG86,$AC86,""),"")</f>
        <v/>
      </c>
      <c r="ER86" s="1153"/>
      <c r="ES86" s="1153"/>
      <c r="ET86" s="1153"/>
      <c r="EU86" s="1153" t="str">
        <f>IF($AI86,IF(LARGE($AG$41:$AH$107,EU$40)=$AG86,$AC86,""),"")</f>
        <v/>
      </c>
      <c r="EV86" s="1153"/>
      <c r="EW86" s="1153"/>
      <c r="EX86" s="1153"/>
      <c r="EY86" s="1153" t="str">
        <f>IF($AI86,IF(LARGE($AG$41:$AH$107,EY$40)=$AG86,$AC86,""),"")</f>
        <v/>
      </c>
      <c r="EZ86" s="1153"/>
      <c r="FA86" s="1153"/>
      <c r="FB86" s="1153"/>
      <c r="FC86" s="1153" t="str">
        <f>IF($AI86,IF(LARGE($AG$41:$AH$107,FC$40)=$AG86,$AC86,""),"")</f>
        <v/>
      </c>
      <c r="FD86" s="1153"/>
      <c r="FE86" s="1153"/>
      <c r="FF86" s="1153"/>
      <c r="FG86" s="1153" t="str">
        <f>IF($AI86,IF(LARGE($AG$41:$AH$107,FG$40)=$AG86,$AC86,""),"")</f>
        <v/>
      </c>
      <c r="FH86" s="1153"/>
      <c r="FI86" s="1153"/>
      <c r="FJ86" s="1153"/>
      <c r="FK86" s="1153" t="str">
        <f>IF($AI86,IF(LARGE($AG$41:$AH$107,FK$40)=$AG86,$AC86,""),"")</f>
        <v/>
      </c>
      <c r="FL86" s="1153"/>
      <c r="FM86" s="1153"/>
      <c r="FN86" s="1153"/>
      <c r="FO86" s="1153" t="str">
        <f>IF($AI86,IF(LARGE($AG$41:$AH$107,FO$40)=$AG86,$AC86,""),"")</f>
        <v/>
      </c>
      <c r="FP86" s="1153"/>
      <c r="FQ86" s="1153"/>
      <c r="FR86" s="1153"/>
      <c r="FS86" s="1153" t="str">
        <f>IF($AI86,IF(LARGE($AG$41:$AH$107,FS$40)=$AG86,$AC86,""),"")</f>
        <v/>
      </c>
      <c r="FT86" s="1153"/>
      <c r="FU86" s="1153"/>
      <c r="FV86" s="1153"/>
      <c r="FW86" s="1153" t="str">
        <f>IF($AI86,IF(LARGE($AG$41:$AH$107,FW$40)=$AG86,$AC86,""),"")</f>
        <v/>
      </c>
      <c r="FX86" s="1153"/>
      <c r="FY86" s="1153"/>
      <c r="FZ86" s="1153"/>
      <c r="GA86" s="1153" t="str">
        <f>IF($AI86,IF(LARGE($AG$41:$AH$107,GA$40)=$AG86,$AC86,""),"")</f>
        <v/>
      </c>
      <c r="GB86" s="1153"/>
      <c r="GC86" s="1153"/>
      <c r="GD86" s="1153"/>
      <c r="GE86" s="1153" t="str">
        <f>IF($AI86,IF(LARGE($AG$41:$AH$107,GE$40)=$AG86,$AC86,""),"")</f>
        <v/>
      </c>
      <c r="GF86" s="1153"/>
      <c r="GG86" s="1153"/>
      <c r="GH86" s="1153"/>
      <c r="GI86" s="1153" t="str">
        <f>IF($AI86,IF(LARGE($AG$41:$AH$107,GI$40)=$AG86,$AC86,""),"")</f>
        <v/>
      </c>
      <c r="GJ86" s="1153"/>
      <c r="GK86" s="1153"/>
      <c r="GL86" s="1153"/>
      <c r="GM86" s="1153" t="str">
        <f>IF($AI86,IF(LARGE($AG$41:$AH$107,GM$40)=$AG86,$AC86,""),"")</f>
        <v/>
      </c>
      <c r="GN86" s="1153"/>
      <c r="GO86" s="1153"/>
      <c r="GP86" s="1153"/>
      <c r="GQ86" s="1153" t="str">
        <f>IF($AI86,IF(LARGE($AG$41:$AH$107,GQ$40)=$AG86,$AC86,""),"")</f>
        <v/>
      </c>
      <c r="GR86" s="1153"/>
      <c r="GS86" s="1153"/>
      <c r="GT86" s="1153"/>
      <c r="GU86" s="1153" t="str">
        <f>IF($AI86,IF(LARGE($AG$41:$AH$107,GU$40)=$AG86,$AC86,""),"")</f>
        <v/>
      </c>
      <c r="GV86" s="1153"/>
      <c r="GW86" s="1153"/>
      <c r="GX86" s="1153"/>
      <c r="GY86" s="1153" t="str">
        <f>IF($AI86,IF(LARGE($AG$41:$AH$107,GY$40)=$AG86,$AC86,""),"")</f>
        <v/>
      </c>
      <c r="GZ86" s="1153"/>
      <c r="HA86" s="1153"/>
      <c r="HB86" s="1153"/>
      <c r="HC86" s="1153" t="str">
        <f>IF($AI86,IF(LARGE($AG$41:$AH$107,HC$40)=$AG86,$AC86,""),"")</f>
        <v/>
      </c>
      <c r="HD86" s="1153"/>
      <c r="HE86" s="1153"/>
      <c r="HF86" s="1153"/>
      <c r="HG86" s="1153" t="str">
        <f>IF($AI86,IF(LARGE($AG$41:$AH$107,HG$40)=$AG86,$AC86,""),"")</f>
        <v/>
      </c>
      <c r="HH86" s="1153"/>
      <c r="HI86" s="1153"/>
      <c r="HJ86" s="1153"/>
      <c r="HK86" s="1153" t="str">
        <f>IF($AI86,IF(LARGE($AG$41:$AH$107,HK$40)=$AG86,$AC86,""),"")</f>
        <v/>
      </c>
      <c r="HL86" s="1153"/>
      <c r="HM86" s="1153"/>
      <c r="HN86" s="1153"/>
      <c r="HO86" s="1153" t="str">
        <f>IF($AI86,IF(LARGE($AG$41:$AH$107,HO$40)=$AG86,$AC86,""),"")</f>
        <v/>
      </c>
      <c r="HP86" s="1153"/>
      <c r="HQ86" s="1153"/>
      <c r="HR86" s="1153"/>
      <c r="HS86" s="1153" t="str">
        <f>IF($AI86,IF(LARGE($AG$41:$AH$107,HS$40)=$AG86,$AC86,""),"")</f>
        <v/>
      </c>
      <c r="HT86" s="1153"/>
      <c r="HU86" s="1153"/>
      <c r="HV86" s="1153"/>
      <c r="HW86" s="1153" t="str">
        <f>IF($AI86,IF(LARGE($AG$41:$AH$107,HW$40)=$AG86,$AC86,""),"")</f>
        <v/>
      </c>
      <c r="HX86" s="1153"/>
      <c r="HY86" s="1153"/>
      <c r="HZ86" s="1153"/>
      <c r="IA86" s="1153" t="str">
        <f>IF($AI86,IF(LARGE($AG$41:$AH$107,IA$40)=$AG86,$AC86,""),"")</f>
        <v/>
      </c>
      <c r="IB86" s="1153"/>
      <c r="IC86" s="1153"/>
      <c r="ID86" s="1153"/>
      <c r="IE86" s="1153" t="str">
        <f>IF($AI86,IF(LARGE($AG$41:$AH$107,IE$40)=$AG86,$AC86,""),"")</f>
        <v/>
      </c>
      <c r="IF86" s="1153"/>
      <c r="IG86" s="1153"/>
      <c r="IH86" s="1153"/>
      <c r="II86" s="1153" t="str">
        <f>IF($AI86,IF(LARGE($AG$41:$AH$107,II$40)=$AG86,$AC86,""),"")</f>
        <v/>
      </c>
      <c r="IJ86" s="1153"/>
      <c r="IK86" s="1153"/>
      <c r="IL86" s="1153"/>
      <c r="IM86" s="1153" t="str">
        <f>IF($AI86,IF(LARGE($AG$41:$AH$107,IM$40)=$AG86,$AC86,""),"")</f>
        <v/>
      </c>
      <c r="IN86" s="1153"/>
      <c r="IO86" s="1153"/>
      <c r="IP86" s="1153"/>
      <c r="IQ86" s="1153" t="str">
        <f>IF($AI86,IF(LARGE($AG$41:$AH$107,IQ$40)=$AG86,$AC86,""),"")</f>
        <v/>
      </c>
      <c r="IR86" s="1153"/>
      <c r="IS86" s="1153"/>
      <c r="IT86" s="1153"/>
      <c r="IU86" s="1153" t="str">
        <f>IF($AI86,IF(LARGE($AG$41:$AH$107,IU$40)=$AG86,$AC86,""),"")</f>
        <v/>
      </c>
      <c r="IV86" s="1153"/>
      <c r="IW86" s="1153"/>
      <c r="IX86" s="1153"/>
      <c r="IY86" s="1153" t="str">
        <f>IF($AI86,IF(LARGE($AG$41:$AH$107,IY$40)=$AG86,$AC86,""),"")</f>
        <v/>
      </c>
      <c r="IZ86" s="1153"/>
      <c r="JA86" s="1153"/>
      <c r="JB86" s="1153"/>
      <c r="JC86" s="1153" t="str">
        <f>IF($AI86,IF(LARGE($AG$41:$AH$107,JC$40)=$AG86,$AC86,""),"")</f>
        <v/>
      </c>
      <c r="JD86" s="1153"/>
      <c r="JE86" s="1153"/>
      <c r="JF86" s="1153"/>
      <c r="JG86" s="1153" t="str">
        <f>IF($AI86,IF(LARGE($AG$41:$AH$107,JG$40)=$AG86,$AC86,""),"")</f>
        <v/>
      </c>
      <c r="JH86" s="1153"/>
      <c r="JI86" s="1153"/>
      <c r="JJ86" s="1153"/>
      <c r="JK86" s="1153" t="str">
        <f>IF($AI86,IF(LARGE($AG$41:$AH$107,JK$40)=$AG86,$AC86,""),"")</f>
        <v/>
      </c>
      <c r="JL86" s="1153"/>
      <c r="JM86" s="1153"/>
      <c r="JN86" s="1153"/>
      <c r="JO86" s="1153" t="str">
        <f>IF($AI86,IF(LARGE($AG$41:$AH$107,JO$40)=$AG86,$AC86,""),"")</f>
        <v/>
      </c>
      <c r="JP86" s="1153"/>
      <c r="JQ86" s="1153"/>
      <c r="JR86" s="1153"/>
      <c r="JS86" s="1153" t="str">
        <f>IF($AI86,IF(LARGE($AG$41:$AH$107,JS$40)=$AG86,$AC86,""),"")</f>
        <v/>
      </c>
      <c r="JT86" s="1153"/>
      <c r="JU86" s="1153"/>
      <c r="JV86" s="1153"/>
      <c r="JW86" s="1153" t="str">
        <f>IF($AI86,IF(LARGE($AG$41:$AH$107,JW$40)=$AG86,$AC86,""),"")</f>
        <v/>
      </c>
      <c r="JX86" s="1153"/>
      <c r="JY86" s="1153"/>
      <c r="JZ86" s="1153"/>
      <c r="KA86" s="1153" t="str">
        <f>IF($AI86,IF(LARGE($AG$41:$AH$107,KA$40)=$AG86,$AC86,""),"")</f>
        <v/>
      </c>
      <c r="KB86" s="1153"/>
      <c r="KC86" s="1153"/>
      <c r="KD86" s="1153"/>
      <c r="KE86" s="1153" t="str">
        <f>IF($AI86,IF(LARGE($AG$41:$AH$107,KE$40)=$AG86,$AC86,""),"")</f>
        <v/>
      </c>
      <c r="KF86" s="1153"/>
      <c r="KG86" s="1153"/>
      <c r="KH86" s="1153"/>
      <c r="KI86" s="1153" t="str">
        <f>IF($AI86,IF(LARGE($AG$41:$AH$107,KI$40)=$AG86,$AC86,""),"")</f>
        <v/>
      </c>
      <c r="KJ86" s="1153"/>
      <c r="KK86" s="1153"/>
      <c r="KL86" s="1153"/>
      <c r="KM86" s="1153" t="str">
        <f>IF($AI86,IF(LARGE($AG$41:$AH$107,KM$40)=$AG86,$AC86,""),"")</f>
        <v/>
      </c>
      <c r="KN86" s="1153"/>
      <c r="KO86" s="1153"/>
      <c r="KP86" s="1153"/>
      <c r="KQ86" s="1153" t="str">
        <f>IF($AI86,IF(LARGE($AG$41:$AH$107,KQ$40)=$AG86,$AC86,""),"")</f>
        <v/>
      </c>
      <c r="KR86" s="1153"/>
      <c r="KS86" s="1153"/>
      <c r="KT86" s="1153"/>
    </row>
    <row r="87" spans="8:8">
      <c r="C87" s="1153" t="str">
        <f>IF(Z17="","",CONCATENATE(" ",AR17,Z17,AB17))</f>
        <v> 💡精神分析</v>
      </c>
      <c r="D87" s="1153"/>
      <c r="E87" s="1153"/>
      <c r="F87" s="1153"/>
      <c r="G87" s="1155" t="str">
        <f>IF(AND(AF17=0,AH17=0),"",IF(ISNONTEXT(X17),"",AL17))</f>
        <v/>
      </c>
      <c r="H87" s="1155"/>
      <c r="I87" s="1153" t="str">
        <f>IF(G87=$G$40,C87,"")</f>
        <v/>
      </c>
      <c r="J87" s="1153"/>
      <c r="K87" s="1153"/>
      <c r="L87" s="1153"/>
      <c r="M87" s="1154">
        <f>IF(AND(NOT(AH17=0),ISNONTEXT(X17)),1,0)</f>
        <v>0.0</v>
      </c>
      <c r="N87" s="1122"/>
      <c r="O87" s="1122"/>
      <c r="P87" s="1153" t="str">
        <f>IF(Z17="","",CONCATENATE(" ",AR17,Z17,AB17))</f>
        <v> 💡精神分析</v>
      </c>
      <c r="Q87" s="1153"/>
      <c r="R87" s="1153"/>
      <c r="S87" s="1153"/>
      <c r="T87" s="1155" t="str">
        <f>IF(AND(AF17=0,AJ17=0),"",IF(ISNONTEXT(X17),AL17,""))</f>
        <v/>
      </c>
      <c r="U87" s="1155"/>
      <c r="V87" s="1153" t="str">
        <f>IF(T87=$T$40,P87,"")</f>
        <v/>
      </c>
      <c r="W87" s="1153"/>
      <c r="X87" s="1153"/>
      <c r="Y87" s="1153"/>
      <c r="AB87" s="1122"/>
      <c r="AC87" s="1153" t="str">
        <f>IF(Z17="","",CONCATENATE(AR17,Z17,AB17))</f>
        <v>💡精神分析</v>
      </c>
      <c r="AD87" s="1153"/>
      <c r="AE87" s="1153"/>
      <c r="AF87" s="1153"/>
      <c r="AG87" s="1155">
        <f>AL17</f>
        <v>1.0</v>
      </c>
      <c r="AH87" s="1155"/>
      <c r="AI87" s="1153" t="b">
        <f>IF(AND(OR(ISNUMBER(AF17),ISNUMBER(AH17),ISNUMBER(AJ17)),OR(AF17&gt;0,AH17&gt;0,AJ17&gt;0)),TRUE,FALSE)</f>
        <v>0</v>
      </c>
      <c r="AJ87" s="1153"/>
      <c r="AK87" s="1153"/>
      <c r="AL87" s="1153"/>
      <c r="AM87" s="1153" t="str">
        <f>IF($AI87,IF(LARGE($AG$41:$AH$107,AM$40)=$AG87,$AC87,""),"")</f>
        <v/>
      </c>
      <c r="AN87" s="1153"/>
      <c r="AO87" s="1153"/>
      <c r="AP87" s="1153"/>
      <c r="AQ87" s="1153" t="str">
        <f>IF($AI87,IF(LARGE($AG$41:$AH$107,AQ$40)=$AG87,$AC87,""),"")</f>
        <v/>
      </c>
      <c r="AR87" s="1153"/>
      <c r="AS87" s="1153"/>
      <c r="AT87" s="1153"/>
      <c r="AU87" s="1153" t="str">
        <f>IF($AI87,IF(LARGE($AG$41:$AH$107,AU$40)=$AG87,$AC87,""),"")</f>
        <v/>
      </c>
      <c r="AV87" s="1153"/>
      <c r="AW87" s="1153"/>
      <c r="AX87" s="1153"/>
      <c r="AY87" s="1153" t="str">
        <f>IF($AI87,IF(LARGE($AG$41:$AH$107,AY$40)=$AG87,$AC87,""),"")</f>
        <v/>
      </c>
      <c r="AZ87" s="1153"/>
      <c r="BA87" s="1153"/>
      <c r="BB87" s="1153"/>
      <c r="BC87" s="1153" t="str">
        <f>IF($AI87,IF(LARGE($AG$41:$AH$107,BC$40)=$AG87,$AC87,""),"")</f>
        <v/>
      </c>
      <c r="BD87" s="1153"/>
      <c r="BE87" s="1153"/>
      <c r="BF87" s="1153"/>
      <c r="BG87" s="1153" t="str">
        <f>IF($AI87,IF(LARGE($AG$41:$AH$107,BG$40)=$AG87,$AC87,""),"")</f>
        <v/>
      </c>
      <c r="BH87" s="1153"/>
      <c r="BI87" s="1153"/>
      <c r="BJ87" s="1153"/>
      <c r="BK87" s="1153" t="str">
        <f>IF($AI87,IF(LARGE($AG$41:$AH$107,BK$40)=$AG87,$AC87,""),"")</f>
        <v/>
      </c>
      <c r="BL87" s="1153"/>
      <c r="BM87" s="1153"/>
      <c r="BN87" s="1153"/>
      <c r="BO87" s="1153" t="str">
        <f>IF($AI87,IF(LARGE($AG$41:$AH$107,BO$40)=$AG87,$AC87,""),"")</f>
        <v/>
      </c>
      <c r="BP87" s="1153"/>
      <c r="BQ87" s="1153"/>
      <c r="BR87" s="1153"/>
      <c r="BS87" s="1153" t="str">
        <f>IF($AI87,IF(LARGE($AG$41:$AH$107,BS$40)=$AG87,$AC87,""),"")</f>
        <v/>
      </c>
      <c r="BT87" s="1153"/>
      <c r="BU87" s="1153"/>
      <c r="BV87" s="1153"/>
      <c r="BW87" s="1153" t="str">
        <f>IF($AI87,IF(LARGE($AG$41:$AH$107,BW$40)=$AG87,$AC87,""),"")</f>
        <v/>
      </c>
      <c r="BX87" s="1153"/>
      <c r="BY87" s="1153"/>
      <c r="BZ87" s="1153"/>
      <c r="CA87" s="1153" t="str">
        <f>IF($AI87,IF(LARGE($AG$41:$AH$107,CA$40)=$AG87,$AC87,""),"")</f>
        <v/>
      </c>
      <c r="CB87" s="1153"/>
      <c r="CC87" s="1153"/>
      <c r="CD87" s="1153"/>
      <c r="CE87" s="1153" t="str">
        <f>IF($AI87,IF(LARGE($AG$41:$AH$107,CE$40)=$AG87,$AC87,""),"")</f>
        <v/>
      </c>
      <c r="CF87" s="1153"/>
      <c r="CG87" s="1153"/>
      <c r="CH87" s="1153"/>
      <c r="CI87" s="1153" t="str">
        <f>IF($AI87,IF(LARGE($AG$41:$AH$107,CI$40)=$AG87,$AC87,""),"")</f>
        <v/>
      </c>
      <c r="CJ87" s="1153"/>
      <c r="CK87" s="1153"/>
      <c r="CL87" s="1153"/>
      <c r="CM87" s="1153" t="str">
        <f>IF($AI87,IF(LARGE($AG$41:$AH$107,CM$40)=$AG87,$AC87,""),"")</f>
        <v/>
      </c>
      <c r="CN87" s="1153"/>
      <c r="CO87" s="1153"/>
      <c r="CP87" s="1153"/>
      <c r="CQ87" s="1153" t="str">
        <f>IF($AI87,IF(LARGE($AG$41:$AH$107,CQ$40)=$AG87,$AC87,""),"")</f>
        <v/>
      </c>
      <c r="CR87" s="1153"/>
      <c r="CS87" s="1153"/>
      <c r="CT87" s="1153"/>
      <c r="CU87" s="1153" t="str">
        <f>IF($AI87,IF(LARGE($AG$41:$AH$107,CU$40)=$AG87,$AC87,""),"")</f>
        <v/>
      </c>
      <c r="CV87" s="1153"/>
      <c r="CW87" s="1153"/>
      <c r="CX87" s="1153"/>
      <c r="CY87" s="1153" t="str">
        <f>IF($AI87,IF(LARGE($AG$41:$AH$107,CY$40)=$AG87,$AC87,""),"")</f>
        <v/>
      </c>
      <c r="CZ87" s="1153"/>
      <c r="DA87" s="1153"/>
      <c r="DB87" s="1153"/>
      <c r="DC87" s="1153" t="str">
        <f>IF($AI87,IF(LARGE($AG$41:$AH$107,DC$40)=$AG87,$AC87,""),"")</f>
        <v/>
      </c>
      <c r="DD87" s="1153"/>
      <c r="DE87" s="1153"/>
      <c r="DF87" s="1153"/>
      <c r="DG87" s="1153" t="str">
        <f>IF($AI87,IF(LARGE($AG$41:$AH$107,DG$40)=$AG87,$AC87,""),"")</f>
        <v/>
      </c>
      <c r="DH87" s="1153"/>
      <c r="DI87" s="1153"/>
      <c r="DJ87" s="1153"/>
      <c r="DK87" s="1153" t="str">
        <f>IF($AI87,IF(LARGE($AG$41:$AH$107,DK$40)=$AG87,$AC87,""),"")</f>
        <v/>
      </c>
      <c r="DL87" s="1153"/>
      <c r="DM87" s="1153"/>
      <c r="DN87" s="1153"/>
      <c r="DO87" s="1153" t="str">
        <f>IF($AI87,IF(LARGE($AG$41:$AH$107,DO$40)=$AG87,$AC87,""),"")</f>
        <v/>
      </c>
      <c r="DP87" s="1153"/>
      <c r="DQ87" s="1153"/>
      <c r="DR87" s="1153"/>
      <c r="DS87" s="1153" t="str">
        <f>IF($AI87,IF(LARGE($AG$41:$AH$107,DS$40)=$AG87,$AC87,""),"")</f>
        <v/>
      </c>
      <c r="DT87" s="1153"/>
      <c r="DU87" s="1153"/>
      <c r="DV87" s="1153"/>
      <c r="DW87" s="1153" t="str">
        <f>IF($AI87,IF(LARGE($AG$41:$AH$107,DW$40)=$AG87,$AC87,""),"")</f>
        <v/>
      </c>
      <c r="DX87" s="1153"/>
      <c r="DY87" s="1153"/>
      <c r="DZ87" s="1153"/>
      <c r="EA87" s="1153" t="str">
        <f>IF($AI87,IF(LARGE($AG$41:$AH$107,EA$40)=$AG87,$AC87,""),"")</f>
        <v/>
      </c>
      <c r="EB87" s="1153"/>
      <c r="EC87" s="1153"/>
      <c r="ED87" s="1153"/>
      <c r="EE87" s="1153" t="str">
        <f>IF($AI87,IF(LARGE($AG$41:$AH$107,EE$40)=$AG87,$AC87,""),"")</f>
        <v/>
      </c>
      <c r="EF87" s="1153"/>
      <c r="EG87" s="1153"/>
      <c r="EH87" s="1153"/>
      <c r="EI87" s="1153" t="str">
        <f>IF($AI87,IF(LARGE($AG$41:$AH$107,EI$40)=$AG87,$AC87,""),"")</f>
        <v/>
      </c>
      <c r="EJ87" s="1153"/>
      <c r="EK87" s="1153"/>
      <c r="EL87" s="1153"/>
      <c r="EM87" s="1153" t="str">
        <f>IF($AI87,IF(LARGE($AG$41:$AH$107,EM$40)=$AG87,$AC87,""),"")</f>
        <v/>
      </c>
      <c r="EN87" s="1153"/>
      <c r="EO87" s="1153"/>
      <c r="EP87" s="1153"/>
      <c r="EQ87" s="1153" t="str">
        <f>IF($AI87,IF(LARGE($AG$41:$AH$107,EQ$40)=$AG87,$AC87,""),"")</f>
        <v/>
      </c>
      <c r="ER87" s="1153"/>
      <c r="ES87" s="1153"/>
      <c r="ET87" s="1153"/>
      <c r="EU87" s="1153" t="str">
        <f>IF($AI87,IF(LARGE($AG$41:$AH$107,EU$40)=$AG87,$AC87,""),"")</f>
        <v/>
      </c>
      <c r="EV87" s="1153"/>
      <c r="EW87" s="1153"/>
      <c r="EX87" s="1153"/>
      <c r="EY87" s="1153" t="str">
        <f>IF($AI87,IF(LARGE($AG$41:$AH$107,EY$40)=$AG87,$AC87,""),"")</f>
        <v/>
      </c>
      <c r="EZ87" s="1153"/>
      <c r="FA87" s="1153"/>
      <c r="FB87" s="1153"/>
      <c r="FC87" s="1153" t="str">
        <f>IF($AI87,IF(LARGE($AG$41:$AH$107,FC$40)=$AG87,$AC87,""),"")</f>
        <v/>
      </c>
      <c r="FD87" s="1153"/>
      <c r="FE87" s="1153"/>
      <c r="FF87" s="1153"/>
      <c r="FG87" s="1153" t="str">
        <f>IF($AI87,IF(LARGE($AG$41:$AH$107,FG$40)=$AG87,$AC87,""),"")</f>
        <v/>
      </c>
      <c r="FH87" s="1153"/>
      <c r="FI87" s="1153"/>
      <c r="FJ87" s="1153"/>
      <c r="FK87" s="1153" t="str">
        <f>IF($AI87,IF(LARGE($AG$41:$AH$107,FK$40)=$AG87,$AC87,""),"")</f>
        <v/>
      </c>
      <c r="FL87" s="1153"/>
      <c r="FM87" s="1153"/>
      <c r="FN87" s="1153"/>
      <c r="FO87" s="1153" t="str">
        <f>IF($AI87,IF(LARGE($AG$41:$AH$107,FO$40)=$AG87,$AC87,""),"")</f>
        <v/>
      </c>
      <c r="FP87" s="1153"/>
      <c r="FQ87" s="1153"/>
      <c r="FR87" s="1153"/>
      <c r="FS87" s="1153" t="str">
        <f>IF($AI87,IF(LARGE($AG$41:$AH$107,FS$40)=$AG87,$AC87,""),"")</f>
        <v/>
      </c>
      <c r="FT87" s="1153"/>
      <c r="FU87" s="1153"/>
      <c r="FV87" s="1153"/>
      <c r="FW87" s="1153" t="str">
        <f>IF($AI87,IF(LARGE($AG$41:$AH$107,FW$40)=$AG87,$AC87,""),"")</f>
        <v/>
      </c>
      <c r="FX87" s="1153"/>
      <c r="FY87" s="1153"/>
      <c r="FZ87" s="1153"/>
      <c r="GA87" s="1153" t="str">
        <f>IF($AI87,IF(LARGE($AG$41:$AH$107,GA$40)=$AG87,$AC87,""),"")</f>
        <v/>
      </c>
      <c r="GB87" s="1153"/>
      <c r="GC87" s="1153"/>
      <c r="GD87" s="1153"/>
      <c r="GE87" s="1153" t="str">
        <f>IF($AI87,IF(LARGE($AG$41:$AH$107,GE$40)=$AG87,$AC87,""),"")</f>
        <v/>
      </c>
      <c r="GF87" s="1153"/>
      <c r="GG87" s="1153"/>
      <c r="GH87" s="1153"/>
      <c r="GI87" s="1153" t="str">
        <f>IF($AI87,IF(LARGE($AG$41:$AH$107,GI$40)=$AG87,$AC87,""),"")</f>
        <v/>
      </c>
      <c r="GJ87" s="1153"/>
      <c r="GK87" s="1153"/>
      <c r="GL87" s="1153"/>
      <c r="GM87" s="1153" t="str">
        <f>IF($AI87,IF(LARGE($AG$41:$AH$107,GM$40)=$AG87,$AC87,""),"")</f>
        <v/>
      </c>
      <c r="GN87" s="1153"/>
      <c r="GO87" s="1153"/>
      <c r="GP87" s="1153"/>
      <c r="GQ87" s="1153" t="str">
        <f>IF($AI87,IF(LARGE($AG$41:$AH$107,GQ$40)=$AG87,$AC87,""),"")</f>
        <v/>
      </c>
      <c r="GR87" s="1153"/>
      <c r="GS87" s="1153"/>
      <c r="GT87" s="1153"/>
      <c r="GU87" s="1153" t="str">
        <f>IF($AI87,IF(LARGE($AG$41:$AH$107,GU$40)=$AG87,$AC87,""),"")</f>
        <v/>
      </c>
      <c r="GV87" s="1153"/>
      <c r="GW87" s="1153"/>
      <c r="GX87" s="1153"/>
      <c r="GY87" s="1153" t="str">
        <f>IF($AI87,IF(LARGE($AG$41:$AH$107,GY$40)=$AG87,$AC87,""),"")</f>
        <v/>
      </c>
      <c r="GZ87" s="1153"/>
      <c r="HA87" s="1153"/>
      <c r="HB87" s="1153"/>
      <c r="HC87" s="1153" t="str">
        <f>IF($AI87,IF(LARGE($AG$41:$AH$107,HC$40)=$AG87,$AC87,""),"")</f>
        <v/>
      </c>
      <c r="HD87" s="1153"/>
      <c r="HE87" s="1153"/>
      <c r="HF87" s="1153"/>
      <c r="HG87" s="1153" t="str">
        <f>IF($AI87,IF(LARGE($AG$41:$AH$107,HG$40)=$AG87,$AC87,""),"")</f>
        <v/>
      </c>
      <c r="HH87" s="1153"/>
      <c r="HI87" s="1153"/>
      <c r="HJ87" s="1153"/>
      <c r="HK87" s="1153" t="str">
        <f>IF($AI87,IF(LARGE($AG$41:$AH$107,HK$40)=$AG87,$AC87,""),"")</f>
        <v/>
      </c>
      <c r="HL87" s="1153"/>
      <c r="HM87" s="1153"/>
      <c r="HN87" s="1153"/>
      <c r="HO87" s="1153" t="str">
        <f>IF($AI87,IF(LARGE($AG$41:$AH$107,HO$40)=$AG87,$AC87,""),"")</f>
        <v/>
      </c>
      <c r="HP87" s="1153"/>
      <c r="HQ87" s="1153"/>
      <c r="HR87" s="1153"/>
      <c r="HS87" s="1153" t="str">
        <f>IF($AI87,IF(LARGE($AG$41:$AH$107,HS$40)=$AG87,$AC87,""),"")</f>
        <v/>
      </c>
      <c r="HT87" s="1153"/>
      <c r="HU87" s="1153"/>
      <c r="HV87" s="1153"/>
      <c r="HW87" s="1153" t="str">
        <f>IF($AI87,IF(LARGE($AG$41:$AH$107,HW$40)=$AG87,$AC87,""),"")</f>
        <v/>
      </c>
      <c r="HX87" s="1153"/>
      <c r="HY87" s="1153"/>
      <c r="HZ87" s="1153"/>
      <c r="IA87" s="1153" t="str">
        <f>IF($AI87,IF(LARGE($AG$41:$AH$107,IA$40)=$AG87,$AC87,""),"")</f>
        <v/>
      </c>
      <c r="IB87" s="1153"/>
      <c r="IC87" s="1153"/>
      <c r="ID87" s="1153"/>
      <c r="IE87" s="1153" t="str">
        <f>IF($AI87,IF(LARGE($AG$41:$AH$107,IE$40)=$AG87,$AC87,""),"")</f>
        <v/>
      </c>
      <c r="IF87" s="1153"/>
      <c r="IG87" s="1153"/>
      <c r="IH87" s="1153"/>
      <c r="II87" s="1153" t="str">
        <f>IF($AI87,IF(LARGE($AG$41:$AH$107,II$40)=$AG87,$AC87,""),"")</f>
        <v/>
      </c>
      <c r="IJ87" s="1153"/>
      <c r="IK87" s="1153"/>
      <c r="IL87" s="1153"/>
      <c r="IM87" s="1153" t="str">
        <f>IF($AI87,IF(LARGE($AG$41:$AH$107,IM$40)=$AG87,$AC87,""),"")</f>
        <v/>
      </c>
      <c r="IN87" s="1153"/>
      <c r="IO87" s="1153"/>
      <c r="IP87" s="1153"/>
      <c r="IQ87" s="1153" t="str">
        <f>IF($AI87,IF(LARGE($AG$41:$AH$107,IQ$40)=$AG87,$AC87,""),"")</f>
        <v/>
      </c>
      <c r="IR87" s="1153"/>
      <c r="IS87" s="1153"/>
      <c r="IT87" s="1153"/>
      <c r="IU87" s="1153" t="str">
        <f>IF($AI87,IF(LARGE($AG$41:$AH$107,IU$40)=$AG87,$AC87,""),"")</f>
        <v/>
      </c>
      <c r="IV87" s="1153"/>
      <c r="IW87" s="1153"/>
      <c r="IX87" s="1153"/>
      <c r="IY87" s="1153" t="str">
        <f>IF($AI87,IF(LARGE($AG$41:$AH$107,IY$40)=$AG87,$AC87,""),"")</f>
        <v/>
      </c>
      <c r="IZ87" s="1153"/>
      <c r="JA87" s="1153"/>
      <c r="JB87" s="1153"/>
      <c r="JC87" s="1153" t="str">
        <f>IF($AI87,IF(LARGE($AG$41:$AH$107,JC$40)=$AG87,$AC87,""),"")</f>
        <v/>
      </c>
      <c r="JD87" s="1153"/>
      <c r="JE87" s="1153"/>
      <c r="JF87" s="1153"/>
      <c r="JG87" s="1153" t="str">
        <f>IF($AI87,IF(LARGE($AG$41:$AH$107,JG$40)=$AG87,$AC87,""),"")</f>
        <v/>
      </c>
      <c r="JH87" s="1153"/>
      <c r="JI87" s="1153"/>
      <c r="JJ87" s="1153"/>
      <c r="JK87" s="1153" t="str">
        <f>IF($AI87,IF(LARGE($AG$41:$AH$107,JK$40)=$AG87,$AC87,""),"")</f>
        <v/>
      </c>
      <c r="JL87" s="1153"/>
      <c r="JM87" s="1153"/>
      <c r="JN87" s="1153"/>
      <c r="JO87" s="1153" t="str">
        <f>IF($AI87,IF(LARGE($AG$41:$AH$107,JO$40)=$AG87,$AC87,""),"")</f>
        <v/>
      </c>
      <c r="JP87" s="1153"/>
      <c r="JQ87" s="1153"/>
      <c r="JR87" s="1153"/>
      <c r="JS87" s="1153" t="str">
        <f>IF($AI87,IF(LARGE($AG$41:$AH$107,JS$40)=$AG87,$AC87,""),"")</f>
        <v/>
      </c>
      <c r="JT87" s="1153"/>
      <c r="JU87" s="1153"/>
      <c r="JV87" s="1153"/>
      <c r="JW87" s="1153" t="str">
        <f>IF($AI87,IF(LARGE($AG$41:$AH$107,JW$40)=$AG87,$AC87,""),"")</f>
        <v/>
      </c>
      <c r="JX87" s="1153"/>
      <c r="JY87" s="1153"/>
      <c r="JZ87" s="1153"/>
      <c r="KA87" s="1153" t="str">
        <f>IF($AI87,IF(LARGE($AG$41:$AH$107,KA$40)=$AG87,$AC87,""),"")</f>
        <v/>
      </c>
      <c r="KB87" s="1153"/>
      <c r="KC87" s="1153"/>
      <c r="KD87" s="1153"/>
      <c r="KE87" s="1153" t="str">
        <f>IF($AI87,IF(LARGE($AG$41:$AH$107,KE$40)=$AG87,$AC87,""),"")</f>
        <v/>
      </c>
      <c r="KF87" s="1153"/>
      <c r="KG87" s="1153"/>
      <c r="KH87" s="1153"/>
      <c r="KI87" s="1153" t="str">
        <f>IF($AI87,IF(LARGE($AG$41:$AH$107,KI$40)=$AG87,$AC87,""),"")</f>
        <v/>
      </c>
      <c r="KJ87" s="1153"/>
      <c r="KK87" s="1153"/>
      <c r="KL87" s="1153"/>
      <c r="KM87" s="1153" t="str">
        <f>IF($AI87,IF(LARGE($AG$41:$AH$107,KM$40)=$AG87,$AC87,""),"")</f>
        <v/>
      </c>
      <c r="KN87" s="1153"/>
      <c r="KO87" s="1153"/>
      <c r="KP87" s="1153"/>
      <c r="KQ87" s="1153" t="str">
        <f>IF($AI87,IF(LARGE($AG$41:$AH$107,KQ$40)=$AG87,$AC87,""),"")</f>
        <v/>
      </c>
      <c r="KR87" s="1153"/>
      <c r="KS87" s="1153"/>
      <c r="KT87" s="1153"/>
    </row>
    <row r="88" spans="8:8">
      <c r="C88" s="1153" t="str">
        <f>IF(Z18="","",CONCATENATE(" ",AR18,Z18,AB18))</f>
        <v> 💓心理学</v>
      </c>
      <c r="D88" s="1153"/>
      <c r="E88" s="1153"/>
      <c r="F88" s="1153"/>
      <c r="G88" s="1155" t="str">
        <f>IF(AND(AF18=0,AH18=0),"",IF(ISNONTEXT(X18),"",AL18))</f>
        <v/>
      </c>
      <c r="H88" s="1155"/>
      <c r="I88" s="1153" t="str">
        <f>IF(G88=$G$40,C88,"")</f>
        <v/>
      </c>
      <c r="J88" s="1153"/>
      <c r="K88" s="1153"/>
      <c r="L88" s="1153"/>
      <c r="M88" s="1154">
        <f>IF(AND(NOT(AH18=0),ISNONTEXT(X18)),1,0)</f>
        <v>0.0</v>
      </c>
      <c r="N88" s="1122"/>
      <c r="O88" s="1122"/>
      <c r="P88" s="1153" t="str">
        <f>IF(Z18="","",CONCATENATE(" ",AR18,Z18,AB18))</f>
        <v> 💓心理学</v>
      </c>
      <c r="Q88" s="1153"/>
      <c r="R88" s="1153"/>
      <c r="S88" s="1153"/>
      <c r="T88" s="1155" t="str">
        <f>IF(AND(AF18=0,AJ18=0),"",IF(ISNONTEXT(X18),AL18,""))</f>
        <v/>
      </c>
      <c r="U88" s="1155"/>
      <c r="V88" s="1153" t="str">
        <f>IF(T88=$T$40,P88,"")</f>
        <v/>
      </c>
      <c r="W88" s="1153"/>
      <c r="X88" s="1153"/>
      <c r="Y88" s="1153"/>
      <c r="AB88" s="1122"/>
      <c r="AC88" s="1153" t="str">
        <f>IF(Z18="","",CONCATENATE(AR18,Z18,AB18))</f>
        <v>💓心理学</v>
      </c>
      <c r="AD88" s="1153"/>
      <c r="AE88" s="1153"/>
      <c r="AF88" s="1153"/>
      <c r="AG88" s="1155">
        <f>AL18</f>
        <v>10.0</v>
      </c>
      <c r="AH88" s="1155"/>
      <c r="AI88" s="1153" t="b">
        <f>IF(AND(OR(ISNUMBER(AF18),ISNUMBER(AH18),ISNUMBER(AJ18)),OR(AF18&gt;0,AH18&gt;0,AJ18&gt;0)),TRUE,FALSE)</f>
        <v>0</v>
      </c>
      <c r="AJ88" s="1153"/>
      <c r="AK88" s="1153"/>
      <c r="AL88" s="1153"/>
      <c r="AM88" s="1153" t="str">
        <f>IF($AI88,IF(LARGE($AG$41:$AH$107,AM$40)=$AG88,$AC88,""),"")</f>
        <v/>
      </c>
      <c r="AN88" s="1153"/>
      <c r="AO88" s="1153"/>
      <c r="AP88" s="1153"/>
      <c r="AQ88" s="1153" t="str">
        <f>IF($AI88,IF(LARGE($AG$41:$AH$107,AQ$40)=$AG88,$AC88,""),"")</f>
        <v/>
      </c>
      <c r="AR88" s="1153"/>
      <c r="AS88" s="1153"/>
      <c r="AT88" s="1153"/>
      <c r="AU88" s="1153" t="str">
        <f>IF($AI88,IF(LARGE($AG$41:$AH$107,AU$40)=$AG88,$AC88,""),"")</f>
        <v/>
      </c>
      <c r="AV88" s="1153"/>
      <c r="AW88" s="1153"/>
      <c r="AX88" s="1153"/>
      <c r="AY88" s="1153" t="str">
        <f>IF($AI88,IF(LARGE($AG$41:$AH$107,AY$40)=$AG88,$AC88,""),"")</f>
        <v/>
      </c>
      <c r="AZ88" s="1153"/>
      <c r="BA88" s="1153"/>
      <c r="BB88" s="1153"/>
      <c r="BC88" s="1153" t="str">
        <f>IF($AI88,IF(LARGE($AG$41:$AH$107,BC$40)=$AG88,$AC88,""),"")</f>
        <v/>
      </c>
      <c r="BD88" s="1153"/>
      <c r="BE88" s="1153"/>
      <c r="BF88" s="1153"/>
      <c r="BG88" s="1153" t="str">
        <f>IF($AI88,IF(LARGE($AG$41:$AH$107,BG$40)=$AG88,$AC88,""),"")</f>
        <v/>
      </c>
      <c r="BH88" s="1153"/>
      <c r="BI88" s="1153"/>
      <c r="BJ88" s="1153"/>
      <c r="BK88" s="1153" t="str">
        <f>IF($AI88,IF(LARGE($AG$41:$AH$107,BK$40)=$AG88,$AC88,""),"")</f>
        <v/>
      </c>
      <c r="BL88" s="1153"/>
      <c r="BM88" s="1153"/>
      <c r="BN88" s="1153"/>
      <c r="BO88" s="1153" t="str">
        <f>IF($AI88,IF(LARGE($AG$41:$AH$107,BO$40)=$AG88,$AC88,""),"")</f>
        <v/>
      </c>
      <c r="BP88" s="1153"/>
      <c r="BQ88" s="1153"/>
      <c r="BR88" s="1153"/>
      <c r="BS88" s="1153" t="str">
        <f>IF($AI88,IF(LARGE($AG$41:$AH$107,BS$40)=$AG88,$AC88,""),"")</f>
        <v/>
      </c>
      <c r="BT88" s="1153"/>
      <c r="BU88" s="1153"/>
      <c r="BV88" s="1153"/>
      <c r="BW88" s="1153" t="str">
        <f>IF($AI88,IF(LARGE($AG$41:$AH$107,BW$40)=$AG88,$AC88,""),"")</f>
        <v/>
      </c>
      <c r="BX88" s="1153"/>
      <c r="BY88" s="1153"/>
      <c r="BZ88" s="1153"/>
      <c r="CA88" s="1153" t="str">
        <f>IF($AI88,IF(LARGE($AG$41:$AH$107,CA$40)=$AG88,$AC88,""),"")</f>
        <v/>
      </c>
      <c r="CB88" s="1153"/>
      <c r="CC88" s="1153"/>
      <c r="CD88" s="1153"/>
      <c r="CE88" s="1153" t="str">
        <f>IF($AI88,IF(LARGE($AG$41:$AH$107,CE$40)=$AG88,$AC88,""),"")</f>
        <v/>
      </c>
      <c r="CF88" s="1153"/>
      <c r="CG88" s="1153"/>
      <c r="CH88" s="1153"/>
      <c r="CI88" s="1153" t="str">
        <f>IF($AI88,IF(LARGE($AG$41:$AH$107,CI$40)=$AG88,$AC88,""),"")</f>
        <v/>
      </c>
      <c r="CJ88" s="1153"/>
      <c r="CK88" s="1153"/>
      <c r="CL88" s="1153"/>
      <c r="CM88" s="1153" t="str">
        <f>IF($AI88,IF(LARGE($AG$41:$AH$107,CM$40)=$AG88,$AC88,""),"")</f>
        <v/>
      </c>
      <c r="CN88" s="1153"/>
      <c r="CO88" s="1153"/>
      <c r="CP88" s="1153"/>
      <c r="CQ88" s="1153" t="str">
        <f>IF($AI88,IF(LARGE($AG$41:$AH$107,CQ$40)=$AG88,$AC88,""),"")</f>
        <v/>
      </c>
      <c r="CR88" s="1153"/>
      <c r="CS88" s="1153"/>
      <c r="CT88" s="1153"/>
      <c r="CU88" s="1153" t="str">
        <f>IF($AI88,IF(LARGE($AG$41:$AH$107,CU$40)=$AG88,$AC88,""),"")</f>
        <v/>
      </c>
      <c r="CV88" s="1153"/>
      <c r="CW88" s="1153"/>
      <c r="CX88" s="1153"/>
      <c r="CY88" s="1153" t="str">
        <f>IF($AI88,IF(LARGE($AG$41:$AH$107,CY$40)=$AG88,$AC88,""),"")</f>
        <v/>
      </c>
      <c r="CZ88" s="1153"/>
      <c r="DA88" s="1153"/>
      <c r="DB88" s="1153"/>
      <c r="DC88" s="1153" t="str">
        <f>IF($AI88,IF(LARGE($AG$41:$AH$107,DC$40)=$AG88,$AC88,""),"")</f>
        <v/>
      </c>
      <c r="DD88" s="1153"/>
      <c r="DE88" s="1153"/>
      <c r="DF88" s="1153"/>
      <c r="DG88" s="1153" t="str">
        <f>IF($AI88,IF(LARGE($AG$41:$AH$107,DG$40)=$AG88,$AC88,""),"")</f>
        <v/>
      </c>
      <c r="DH88" s="1153"/>
      <c r="DI88" s="1153"/>
      <c r="DJ88" s="1153"/>
      <c r="DK88" s="1153" t="str">
        <f>IF($AI88,IF(LARGE($AG$41:$AH$107,DK$40)=$AG88,$AC88,""),"")</f>
        <v/>
      </c>
      <c r="DL88" s="1153"/>
      <c r="DM88" s="1153"/>
      <c r="DN88" s="1153"/>
      <c r="DO88" s="1153" t="str">
        <f>IF($AI88,IF(LARGE($AG$41:$AH$107,DO$40)=$AG88,$AC88,""),"")</f>
        <v/>
      </c>
      <c r="DP88" s="1153"/>
      <c r="DQ88" s="1153"/>
      <c r="DR88" s="1153"/>
      <c r="DS88" s="1153" t="str">
        <f>IF($AI88,IF(LARGE($AG$41:$AH$107,DS$40)=$AG88,$AC88,""),"")</f>
        <v/>
      </c>
      <c r="DT88" s="1153"/>
      <c r="DU88" s="1153"/>
      <c r="DV88" s="1153"/>
      <c r="DW88" s="1153" t="str">
        <f>IF($AI88,IF(LARGE($AG$41:$AH$107,DW$40)=$AG88,$AC88,""),"")</f>
        <v/>
      </c>
      <c r="DX88" s="1153"/>
      <c r="DY88" s="1153"/>
      <c r="DZ88" s="1153"/>
      <c r="EA88" s="1153" t="str">
        <f>IF($AI88,IF(LARGE($AG$41:$AH$107,EA$40)=$AG88,$AC88,""),"")</f>
        <v/>
      </c>
      <c r="EB88" s="1153"/>
      <c r="EC88" s="1153"/>
      <c r="ED88" s="1153"/>
      <c r="EE88" s="1153" t="str">
        <f>IF($AI88,IF(LARGE($AG$41:$AH$107,EE$40)=$AG88,$AC88,""),"")</f>
        <v/>
      </c>
      <c r="EF88" s="1153"/>
      <c r="EG88" s="1153"/>
      <c r="EH88" s="1153"/>
      <c r="EI88" s="1153" t="str">
        <f>IF($AI88,IF(LARGE($AG$41:$AH$107,EI$40)=$AG88,$AC88,""),"")</f>
        <v/>
      </c>
      <c r="EJ88" s="1153"/>
      <c r="EK88" s="1153"/>
      <c r="EL88" s="1153"/>
      <c r="EM88" s="1153" t="str">
        <f>IF($AI88,IF(LARGE($AG$41:$AH$107,EM$40)=$AG88,$AC88,""),"")</f>
        <v/>
      </c>
      <c r="EN88" s="1153"/>
      <c r="EO88" s="1153"/>
      <c r="EP88" s="1153"/>
      <c r="EQ88" s="1153" t="str">
        <f>IF($AI88,IF(LARGE($AG$41:$AH$107,EQ$40)=$AG88,$AC88,""),"")</f>
        <v/>
      </c>
      <c r="ER88" s="1153"/>
      <c r="ES88" s="1153"/>
      <c r="ET88" s="1153"/>
      <c r="EU88" s="1153" t="str">
        <f>IF($AI88,IF(LARGE($AG$41:$AH$107,EU$40)=$AG88,$AC88,""),"")</f>
        <v/>
      </c>
      <c r="EV88" s="1153"/>
      <c r="EW88" s="1153"/>
      <c r="EX88" s="1153"/>
      <c r="EY88" s="1153" t="str">
        <f>IF($AI88,IF(LARGE($AG$41:$AH$107,EY$40)=$AG88,$AC88,""),"")</f>
        <v/>
      </c>
      <c r="EZ88" s="1153"/>
      <c r="FA88" s="1153"/>
      <c r="FB88" s="1153"/>
      <c r="FC88" s="1153" t="str">
        <f>IF($AI88,IF(LARGE($AG$41:$AH$107,FC$40)=$AG88,$AC88,""),"")</f>
        <v/>
      </c>
      <c r="FD88" s="1153"/>
      <c r="FE88" s="1153"/>
      <c r="FF88" s="1153"/>
      <c r="FG88" s="1153" t="str">
        <f>IF($AI88,IF(LARGE($AG$41:$AH$107,FG$40)=$AG88,$AC88,""),"")</f>
        <v/>
      </c>
      <c r="FH88" s="1153"/>
      <c r="FI88" s="1153"/>
      <c r="FJ88" s="1153"/>
      <c r="FK88" s="1153" t="str">
        <f>IF($AI88,IF(LARGE($AG$41:$AH$107,FK$40)=$AG88,$AC88,""),"")</f>
        <v/>
      </c>
      <c r="FL88" s="1153"/>
      <c r="FM88" s="1153"/>
      <c r="FN88" s="1153"/>
      <c r="FO88" s="1153" t="str">
        <f>IF($AI88,IF(LARGE($AG$41:$AH$107,FO$40)=$AG88,$AC88,""),"")</f>
        <v/>
      </c>
      <c r="FP88" s="1153"/>
      <c r="FQ88" s="1153"/>
      <c r="FR88" s="1153"/>
      <c r="FS88" s="1153" t="str">
        <f>IF($AI88,IF(LARGE($AG$41:$AH$107,FS$40)=$AG88,$AC88,""),"")</f>
        <v/>
      </c>
      <c r="FT88" s="1153"/>
      <c r="FU88" s="1153"/>
      <c r="FV88" s="1153"/>
      <c r="FW88" s="1153" t="str">
        <f>IF($AI88,IF(LARGE($AG$41:$AH$107,FW$40)=$AG88,$AC88,""),"")</f>
        <v/>
      </c>
      <c r="FX88" s="1153"/>
      <c r="FY88" s="1153"/>
      <c r="FZ88" s="1153"/>
      <c r="GA88" s="1153" t="str">
        <f>IF($AI88,IF(LARGE($AG$41:$AH$107,GA$40)=$AG88,$AC88,""),"")</f>
        <v/>
      </c>
      <c r="GB88" s="1153"/>
      <c r="GC88" s="1153"/>
      <c r="GD88" s="1153"/>
      <c r="GE88" s="1153" t="str">
        <f>IF($AI88,IF(LARGE($AG$41:$AH$107,GE$40)=$AG88,$AC88,""),"")</f>
        <v/>
      </c>
      <c r="GF88" s="1153"/>
      <c r="GG88" s="1153"/>
      <c r="GH88" s="1153"/>
      <c r="GI88" s="1153" t="str">
        <f>IF($AI88,IF(LARGE($AG$41:$AH$107,GI$40)=$AG88,$AC88,""),"")</f>
        <v/>
      </c>
      <c r="GJ88" s="1153"/>
      <c r="GK88" s="1153"/>
      <c r="GL88" s="1153"/>
      <c r="GM88" s="1153" t="str">
        <f>IF($AI88,IF(LARGE($AG$41:$AH$107,GM$40)=$AG88,$AC88,""),"")</f>
        <v/>
      </c>
      <c r="GN88" s="1153"/>
      <c r="GO88" s="1153"/>
      <c r="GP88" s="1153"/>
      <c r="GQ88" s="1153" t="str">
        <f>IF($AI88,IF(LARGE($AG$41:$AH$107,GQ$40)=$AG88,$AC88,""),"")</f>
        <v/>
      </c>
      <c r="GR88" s="1153"/>
      <c r="GS88" s="1153"/>
      <c r="GT88" s="1153"/>
      <c r="GU88" s="1153" t="str">
        <f>IF($AI88,IF(LARGE($AG$41:$AH$107,GU$40)=$AG88,$AC88,""),"")</f>
        <v/>
      </c>
      <c r="GV88" s="1153"/>
      <c r="GW88" s="1153"/>
      <c r="GX88" s="1153"/>
      <c r="GY88" s="1153" t="str">
        <f>IF($AI88,IF(LARGE($AG$41:$AH$107,GY$40)=$AG88,$AC88,""),"")</f>
        <v/>
      </c>
      <c r="GZ88" s="1153"/>
      <c r="HA88" s="1153"/>
      <c r="HB88" s="1153"/>
      <c r="HC88" s="1153" t="str">
        <f>IF($AI88,IF(LARGE($AG$41:$AH$107,HC$40)=$AG88,$AC88,""),"")</f>
        <v/>
      </c>
      <c r="HD88" s="1153"/>
      <c r="HE88" s="1153"/>
      <c r="HF88" s="1153"/>
      <c r="HG88" s="1153" t="str">
        <f>IF($AI88,IF(LARGE($AG$41:$AH$107,HG$40)=$AG88,$AC88,""),"")</f>
        <v/>
      </c>
      <c r="HH88" s="1153"/>
      <c r="HI88" s="1153"/>
      <c r="HJ88" s="1153"/>
      <c r="HK88" s="1153" t="str">
        <f>IF($AI88,IF(LARGE($AG$41:$AH$107,HK$40)=$AG88,$AC88,""),"")</f>
        <v/>
      </c>
      <c r="HL88" s="1153"/>
      <c r="HM88" s="1153"/>
      <c r="HN88" s="1153"/>
      <c r="HO88" s="1153" t="str">
        <f>IF($AI88,IF(LARGE($AG$41:$AH$107,HO$40)=$AG88,$AC88,""),"")</f>
        <v/>
      </c>
      <c r="HP88" s="1153"/>
      <c r="HQ88" s="1153"/>
      <c r="HR88" s="1153"/>
      <c r="HS88" s="1153" t="str">
        <f>IF($AI88,IF(LARGE($AG$41:$AH$107,HS$40)=$AG88,$AC88,""),"")</f>
        <v/>
      </c>
      <c r="HT88" s="1153"/>
      <c r="HU88" s="1153"/>
      <c r="HV88" s="1153"/>
      <c r="HW88" s="1153" t="str">
        <f>IF($AI88,IF(LARGE($AG$41:$AH$107,HW$40)=$AG88,$AC88,""),"")</f>
        <v/>
      </c>
      <c r="HX88" s="1153"/>
      <c r="HY88" s="1153"/>
      <c r="HZ88" s="1153"/>
      <c r="IA88" s="1153" t="str">
        <f>IF($AI88,IF(LARGE($AG$41:$AH$107,IA$40)=$AG88,$AC88,""),"")</f>
        <v/>
      </c>
      <c r="IB88" s="1153"/>
      <c r="IC88" s="1153"/>
      <c r="ID88" s="1153"/>
      <c r="IE88" s="1153" t="str">
        <f>IF($AI88,IF(LARGE($AG$41:$AH$107,IE$40)=$AG88,$AC88,""),"")</f>
        <v/>
      </c>
      <c r="IF88" s="1153"/>
      <c r="IG88" s="1153"/>
      <c r="IH88" s="1153"/>
      <c r="II88" s="1153" t="str">
        <f>IF($AI88,IF(LARGE($AG$41:$AH$107,II$40)=$AG88,$AC88,""),"")</f>
        <v/>
      </c>
      <c r="IJ88" s="1153"/>
      <c r="IK88" s="1153"/>
      <c r="IL88" s="1153"/>
      <c r="IM88" s="1153" t="str">
        <f>IF($AI88,IF(LARGE($AG$41:$AH$107,IM$40)=$AG88,$AC88,""),"")</f>
        <v/>
      </c>
      <c r="IN88" s="1153"/>
      <c r="IO88" s="1153"/>
      <c r="IP88" s="1153"/>
      <c r="IQ88" s="1153" t="str">
        <f>IF($AI88,IF(LARGE($AG$41:$AH$107,IQ$40)=$AG88,$AC88,""),"")</f>
        <v/>
      </c>
      <c r="IR88" s="1153"/>
      <c r="IS88" s="1153"/>
      <c r="IT88" s="1153"/>
      <c r="IU88" s="1153" t="str">
        <f>IF($AI88,IF(LARGE($AG$41:$AH$107,IU$40)=$AG88,$AC88,""),"")</f>
        <v/>
      </c>
      <c r="IV88" s="1153"/>
      <c r="IW88" s="1153"/>
      <c r="IX88" s="1153"/>
      <c r="IY88" s="1153" t="str">
        <f>IF($AI88,IF(LARGE($AG$41:$AH$107,IY$40)=$AG88,$AC88,""),"")</f>
        <v/>
      </c>
      <c r="IZ88" s="1153"/>
      <c r="JA88" s="1153"/>
      <c r="JB88" s="1153"/>
      <c r="JC88" s="1153" t="str">
        <f>IF($AI88,IF(LARGE($AG$41:$AH$107,JC$40)=$AG88,$AC88,""),"")</f>
        <v/>
      </c>
      <c r="JD88" s="1153"/>
      <c r="JE88" s="1153"/>
      <c r="JF88" s="1153"/>
      <c r="JG88" s="1153" t="str">
        <f>IF($AI88,IF(LARGE($AG$41:$AH$107,JG$40)=$AG88,$AC88,""),"")</f>
        <v/>
      </c>
      <c r="JH88" s="1153"/>
      <c r="JI88" s="1153"/>
      <c r="JJ88" s="1153"/>
      <c r="JK88" s="1153" t="str">
        <f>IF($AI88,IF(LARGE($AG$41:$AH$107,JK$40)=$AG88,$AC88,""),"")</f>
        <v/>
      </c>
      <c r="JL88" s="1153"/>
      <c r="JM88" s="1153"/>
      <c r="JN88" s="1153"/>
      <c r="JO88" s="1153" t="str">
        <f>IF($AI88,IF(LARGE($AG$41:$AH$107,JO$40)=$AG88,$AC88,""),"")</f>
        <v/>
      </c>
      <c r="JP88" s="1153"/>
      <c r="JQ88" s="1153"/>
      <c r="JR88" s="1153"/>
      <c r="JS88" s="1153" t="str">
        <f>IF($AI88,IF(LARGE($AG$41:$AH$107,JS$40)=$AG88,$AC88,""),"")</f>
        <v/>
      </c>
      <c r="JT88" s="1153"/>
      <c r="JU88" s="1153"/>
      <c r="JV88" s="1153"/>
      <c r="JW88" s="1153" t="str">
        <f>IF($AI88,IF(LARGE($AG$41:$AH$107,JW$40)=$AG88,$AC88,""),"")</f>
        <v/>
      </c>
      <c r="JX88" s="1153"/>
      <c r="JY88" s="1153"/>
      <c r="JZ88" s="1153"/>
      <c r="KA88" s="1153" t="str">
        <f>IF($AI88,IF(LARGE($AG$41:$AH$107,KA$40)=$AG88,$AC88,""),"")</f>
        <v/>
      </c>
      <c r="KB88" s="1153"/>
      <c r="KC88" s="1153"/>
      <c r="KD88" s="1153"/>
      <c r="KE88" s="1153" t="str">
        <f>IF($AI88,IF(LARGE($AG$41:$AH$107,KE$40)=$AG88,$AC88,""),"")</f>
        <v/>
      </c>
      <c r="KF88" s="1153"/>
      <c r="KG88" s="1153"/>
      <c r="KH88" s="1153"/>
      <c r="KI88" s="1153" t="str">
        <f>IF($AI88,IF(LARGE($AG$41:$AH$107,KI$40)=$AG88,$AC88,""),"")</f>
        <v/>
      </c>
      <c r="KJ88" s="1153"/>
      <c r="KK88" s="1153"/>
      <c r="KL88" s="1153"/>
      <c r="KM88" s="1153" t="str">
        <f>IF($AI88,IF(LARGE($AG$41:$AH$107,KM$40)=$AG88,$AC88,""),"")</f>
        <v/>
      </c>
      <c r="KN88" s="1153"/>
      <c r="KO88" s="1153"/>
      <c r="KP88" s="1153"/>
      <c r="KQ88" s="1153" t="str">
        <f>IF($AI88,IF(LARGE($AG$41:$AH$107,KQ$40)=$AG88,$AC88,""),"")</f>
        <v/>
      </c>
      <c r="KR88" s="1153"/>
      <c r="KS88" s="1153"/>
      <c r="KT88" s="1153"/>
    </row>
    <row r="89" spans="8:8">
      <c r="C89" s="1153" t="str">
        <f>IF(Z19="","",CONCATENATE(" ",AR19,Z19,AB19))</f>
        <v> 🐴骑术</v>
      </c>
      <c r="D89" s="1153"/>
      <c r="E89" s="1153"/>
      <c r="F89" s="1153"/>
      <c r="G89" s="1155" t="str">
        <f>IF(AND(AF19=0,AH19=0),"",IF(ISNONTEXT(X19),"",AL19))</f>
        <v/>
      </c>
      <c r="H89" s="1155"/>
      <c r="I89" s="1153" t="str">
        <f>IF(G89=$G$40,C89,"")</f>
        <v/>
      </c>
      <c r="J89" s="1153"/>
      <c r="K89" s="1153"/>
      <c r="L89" s="1153"/>
      <c r="M89" s="1154">
        <f>IF(AND(NOT(AH19=0),ISNONTEXT(X19)),1,0)</f>
        <v>0.0</v>
      </c>
      <c r="N89" s="1122"/>
      <c r="O89" s="1122"/>
      <c r="P89" s="1153" t="str">
        <f>IF(Z19="","",CONCATENATE(" ",AR19,Z19,AB19))</f>
        <v> 🐴骑术</v>
      </c>
      <c r="Q89" s="1153"/>
      <c r="R89" s="1153"/>
      <c r="S89" s="1153"/>
      <c r="T89" s="1155" t="str">
        <f>IF(AND(AF19=0,AJ19=0),"",IF(ISNONTEXT(X19),AL19,""))</f>
        <v/>
      </c>
      <c r="U89" s="1155"/>
      <c r="V89" s="1153" t="str">
        <f>IF(T89=$T$40,P89,"")</f>
        <v/>
      </c>
      <c r="W89" s="1153"/>
      <c r="X89" s="1153"/>
      <c r="Y89" s="1153"/>
      <c r="AB89" s="1122"/>
      <c r="AC89" s="1153" t="str">
        <f>IF(Z19="","",CONCATENATE(AR19,Z19,AB19))</f>
        <v>🐴骑术</v>
      </c>
      <c r="AD89" s="1153"/>
      <c r="AE89" s="1153"/>
      <c r="AF89" s="1153"/>
      <c r="AG89" s="1155">
        <f>AL19</f>
        <v>5.0</v>
      </c>
      <c r="AH89" s="1155"/>
      <c r="AI89" s="1153" t="b">
        <f>IF(AND(OR(ISNUMBER(AF19),ISNUMBER(AH19),ISNUMBER(AJ19)),OR(AF19&gt;0,AH19&gt;0,AJ19&gt;0)),TRUE,FALSE)</f>
        <v>0</v>
      </c>
      <c r="AJ89" s="1153"/>
      <c r="AK89" s="1153"/>
      <c r="AL89" s="1153"/>
      <c r="AM89" s="1153" t="str">
        <f>IF($AI89,IF(LARGE($AG$41:$AH$107,AM$40)=$AG89,$AC89,""),"")</f>
        <v/>
      </c>
      <c r="AN89" s="1153"/>
      <c r="AO89" s="1153"/>
      <c r="AP89" s="1153"/>
      <c r="AQ89" s="1153" t="str">
        <f>IF($AI89,IF(LARGE($AG$41:$AH$107,AQ$40)=$AG89,$AC89,""),"")</f>
        <v/>
      </c>
      <c r="AR89" s="1153"/>
      <c r="AS89" s="1153"/>
      <c r="AT89" s="1153"/>
      <c r="AU89" s="1153" t="str">
        <f>IF($AI89,IF(LARGE($AG$41:$AH$107,AU$40)=$AG89,$AC89,""),"")</f>
        <v/>
      </c>
      <c r="AV89" s="1153"/>
      <c r="AW89" s="1153"/>
      <c r="AX89" s="1153"/>
      <c r="AY89" s="1153" t="str">
        <f>IF($AI89,IF(LARGE($AG$41:$AH$107,AY$40)=$AG89,$AC89,""),"")</f>
        <v/>
      </c>
      <c r="AZ89" s="1153"/>
      <c r="BA89" s="1153"/>
      <c r="BB89" s="1153"/>
      <c r="BC89" s="1153" t="str">
        <f>IF($AI89,IF(LARGE($AG$41:$AH$107,BC$40)=$AG89,$AC89,""),"")</f>
        <v/>
      </c>
      <c r="BD89" s="1153"/>
      <c r="BE89" s="1153"/>
      <c r="BF89" s="1153"/>
      <c r="BG89" s="1153" t="str">
        <f>IF($AI89,IF(LARGE($AG$41:$AH$107,BG$40)=$AG89,$AC89,""),"")</f>
        <v/>
      </c>
      <c r="BH89" s="1153"/>
      <c r="BI89" s="1153"/>
      <c r="BJ89" s="1153"/>
      <c r="BK89" s="1153" t="str">
        <f>IF($AI89,IF(LARGE($AG$41:$AH$107,BK$40)=$AG89,$AC89,""),"")</f>
        <v/>
      </c>
      <c r="BL89" s="1153"/>
      <c r="BM89" s="1153"/>
      <c r="BN89" s="1153"/>
      <c r="BO89" s="1153" t="str">
        <f>IF($AI89,IF(LARGE($AG$41:$AH$107,BO$40)=$AG89,$AC89,""),"")</f>
        <v/>
      </c>
      <c r="BP89" s="1153"/>
      <c r="BQ89" s="1153"/>
      <c r="BR89" s="1153"/>
      <c r="BS89" s="1153" t="str">
        <f>IF($AI89,IF(LARGE($AG$41:$AH$107,BS$40)=$AG89,$AC89,""),"")</f>
        <v/>
      </c>
      <c r="BT89" s="1153"/>
      <c r="BU89" s="1153"/>
      <c r="BV89" s="1153"/>
      <c r="BW89" s="1153" t="str">
        <f>IF($AI89,IF(LARGE($AG$41:$AH$107,BW$40)=$AG89,$AC89,""),"")</f>
        <v/>
      </c>
      <c r="BX89" s="1153"/>
      <c r="BY89" s="1153"/>
      <c r="BZ89" s="1153"/>
      <c r="CA89" s="1153" t="str">
        <f>IF($AI89,IF(LARGE($AG$41:$AH$107,CA$40)=$AG89,$AC89,""),"")</f>
        <v/>
      </c>
      <c r="CB89" s="1153"/>
      <c r="CC89" s="1153"/>
      <c r="CD89" s="1153"/>
      <c r="CE89" s="1153" t="str">
        <f>IF($AI89,IF(LARGE($AG$41:$AH$107,CE$40)=$AG89,$AC89,""),"")</f>
        <v/>
      </c>
      <c r="CF89" s="1153"/>
      <c r="CG89" s="1153"/>
      <c r="CH89" s="1153"/>
      <c r="CI89" s="1153" t="str">
        <f>IF($AI89,IF(LARGE($AG$41:$AH$107,CI$40)=$AG89,$AC89,""),"")</f>
        <v/>
      </c>
      <c r="CJ89" s="1153"/>
      <c r="CK89" s="1153"/>
      <c r="CL89" s="1153"/>
      <c r="CM89" s="1153" t="str">
        <f>IF($AI89,IF(LARGE($AG$41:$AH$107,CM$40)=$AG89,$AC89,""),"")</f>
        <v/>
      </c>
      <c r="CN89" s="1153"/>
      <c r="CO89" s="1153"/>
      <c r="CP89" s="1153"/>
      <c r="CQ89" s="1153" t="str">
        <f>IF($AI89,IF(LARGE($AG$41:$AH$107,CQ$40)=$AG89,$AC89,""),"")</f>
        <v/>
      </c>
      <c r="CR89" s="1153"/>
      <c r="CS89" s="1153"/>
      <c r="CT89" s="1153"/>
      <c r="CU89" s="1153" t="str">
        <f>IF($AI89,IF(LARGE($AG$41:$AH$107,CU$40)=$AG89,$AC89,""),"")</f>
        <v/>
      </c>
      <c r="CV89" s="1153"/>
      <c r="CW89" s="1153"/>
      <c r="CX89" s="1153"/>
      <c r="CY89" s="1153" t="str">
        <f>IF($AI89,IF(LARGE($AG$41:$AH$107,CY$40)=$AG89,$AC89,""),"")</f>
        <v/>
      </c>
      <c r="CZ89" s="1153"/>
      <c r="DA89" s="1153"/>
      <c r="DB89" s="1153"/>
      <c r="DC89" s="1153" t="str">
        <f>IF($AI89,IF(LARGE($AG$41:$AH$107,DC$40)=$AG89,$AC89,""),"")</f>
        <v/>
      </c>
      <c r="DD89" s="1153"/>
      <c r="DE89" s="1153"/>
      <c r="DF89" s="1153"/>
      <c r="DG89" s="1153" t="str">
        <f>IF($AI89,IF(LARGE($AG$41:$AH$107,DG$40)=$AG89,$AC89,""),"")</f>
        <v/>
      </c>
      <c r="DH89" s="1153"/>
      <c r="DI89" s="1153"/>
      <c r="DJ89" s="1153"/>
      <c r="DK89" s="1153" t="str">
        <f>IF($AI89,IF(LARGE($AG$41:$AH$107,DK$40)=$AG89,$AC89,""),"")</f>
        <v/>
      </c>
      <c r="DL89" s="1153"/>
      <c r="DM89" s="1153"/>
      <c r="DN89" s="1153"/>
      <c r="DO89" s="1153" t="str">
        <f>IF($AI89,IF(LARGE($AG$41:$AH$107,DO$40)=$AG89,$AC89,""),"")</f>
        <v/>
      </c>
      <c r="DP89" s="1153"/>
      <c r="DQ89" s="1153"/>
      <c r="DR89" s="1153"/>
      <c r="DS89" s="1153" t="str">
        <f>IF($AI89,IF(LARGE($AG$41:$AH$107,DS$40)=$AG89,$AC89,""),"")</f>
        <v/>
      </c>
      <c r="DT89" s="1153"/>
      <c r="DU89" s="1153"/>
      <c r="DV89" s="1153"/>
      <c r="DW89" s="1153" t="str">
        <f>IF($AI89,IF(LARGE($AG$41:$AH$107,DW$40)=$AG89,$AC89,""),"")</f>
        <v/>
      </c>
      <c r="DX89" s="1153"/>
      <c r="DY89" s="1153"/>
      <c r="DZ89" s="1153"/>
      <c r="EA89" s="1153" t="str">
        <f>IF($AI89,IF(LARGE($AG$41:$AH$107,EA$40)=$AG89,$AC89,""),"")</f>
        <v/>
      </c>
      <c r="EB89" s="1153"/>
      <c r="EC89" s="1153"/>
      <c r="ED89" s="1153"/>
      <c r="EE89" s="1153" t="str">
        <f>IF($AI89,IF(LARGE($AG$41:$AH$107,EE$40)=$AG89,$AC89,""),"")</f>
        <v/>
      </c>
      <c r="EF89" s="1153"/>
      <c r="EG89" s="1153"/>
      <c r="EH89" s="1153"/>
      <c r="EI89" s="1153" t="str">
        <f>IF($AI89,IF(LARGE($AG$41:$AH$107,EI$40)=$AG89,$AC89,""),"")</f>
        <v/>
      </c>
      <c r="EJ89" s="1153"/>
      <c r="EK89" s="1153"/>
      <c r="EL89" s="1153"/>
      <c r="EM89" s="1153" t="str">
        <f>IF($AI89,IF(LARGE($AG$41:$AH$107,EM$40)=$AG89,$AC89,""),"")</f>
        <v/>
      </c>
      <c r="EN89" s="1153"/>
      <c r="EO89" s="1153"/>
      <c r="EP89" s="1153"/>
      <c r="EQ89" s="1153" t="str">
        <f>IF($AI89,IF(LARGE($AG$41:$AH$107,EQ$40)=$AG89,$AC89,""),"")</f>
        <v/>
      </c>
      <c r="ER89" s="1153"/>
      <c r="ES89" s="1153"/>
      <c r="ET89" s="1153"/>
      <c r="EU89" s="1153" t="str">
        <f>IF($AI89,IF(LARGE($AG$41:$AH$107,EU$40)=$AG89,$AC89,""),"")</f>
        <v/>
      </c>
      <c r="EV89" s="1153"/>
      <c r="EW89" s="1153"/>
      <c r="EX89" s="1153"/>
      <c r="EY89" s="1153" t="str">
        <f>IF($AI89,IF(LARGE($AG$41:$AH$107,EY$40)=$AG89,$AC89,""),"")</f>
        <v/>
      </c>
      <c r="EZ89" s="1153"/>
      <c r="FA89" s="1153"/>
      <c r="FB89" s="1153"/>
      <c r="FC89" s="1153" t="str">
        <f>IF($AI89,IF(LARGE($AG$41:$AH$107,FC$40)=$AG89,$AC89,""),"")</f>
        <v/>
      </c>
      <c r="FD89" s="1153"/>
      <c r="FE89" s="1153"/>
      <c r="FF89" s="1153"/>
      <c r="FG89" s="1153" t="str">
        <f>IF($AI89,IF(LARGE($AG$41:$AH$107,FG$40)=$AG89,$AC89,""),"")</f>
        <v/>
      </c>
      <c r="FH89" s="1153"/>
      <c r="FI89" s="1153"/>
      <c r="FJ89" s="1153"/>
      <c r="FK89" s="1153" t="str">
        <f>IF($AI89,IF(LARGE($AG$41:$AH$107,FK$40)=$AG89,$AC89,""),"")</f>
        <v/>
      </c>
      <c r="FL89" s="1153"/>
      <c r="FM89" s="1153"/>
      <c r="FN89" s="1153"/>
      <c r="FO89" s="1153" t="str">
        <f>IF($AI89,IF(LARGE($AG$41:$AH$107,FO$40)=$AG89,$AC89,""),"")</f>
        <v/>
      </c>
      <c r="FP89" s="1153"/>
      <c r="FQ89" s="1153"/>
      <c r="FR89" s="1153"/>
      <c r="FS89" s="1153" t="str">
        <f>IF($AI89,IF(LARGE($AG$41:$AH$107,FS$40)=$AG89,$AC89,""),"")</f>
        <v/>
      </c>
      <c r="FT89" s="1153"/>
      <c r="FU89" s="1153"/>
      <c r="FV89" s="1153"/>
      <c r="FW89" s="1153" t="str">
        <f>IF($AI89,IF(LARGE($AG$41:$AH$107,FW$40)=$AG89,$AC89,""),"")</f>
        <v/>
      </c>
      <c r="FX89" s="1153"/>
      <c r="FY89" s="1153"/>
      <c r="FZ89" s="1153"/>
      <c r="GA89" s="1153" t="str">
        <f>IF($AI89,IF(LARGE($AG$41:$AH$107,GA$40)=$AG89,$AC89,""),"")</f>
        <v/>
      </c>
      <c r="GB89" s="1153"/>
      <c r="GC89" s="1153"/>
      <c r="GD89" s="1153"/>
      <c r="GE89" s="1153" t="str">
        <f>IF($AI89,IF(LARGE($AG$41:$AH$107,GE$40)=$AG89,$AC89,""),"")</f>
        <v/>
      </c>
      <c r="GF89" s="1153"/>
      <c r="GG89" s="1153"/>
      <c r="GH89" s="1153"/>
      <c r="GI89" s="1153" t="str">
        <f>IF($AI89,IF(LARGE($AG$41:$AH$107,GI$40)=$AG89,$AC89,""),"")</f>
        <v/>
      </c>
      <c r="GJ89" s="1153"/>
      <c r="GK89" s="1153"/>
      <c r="GL89" s="1153"/>
      <c r="GM89" s="1153" t="str">
        <f>IF($AI89,IF(LARGE($AG$41:$AH$107,GM$40)=$AG89,$AC89,""),"")</f>
        <v/>
      </c>
      <c r="GN89" s="1153"/>
      <c r="GO89" s="1153"/>
      <c r="GP89" s="1153"/>
      <c r="GQ89" s="1153" t="str">
        <f>IF($AI89,IF(LARGE($AG$41:$AH$107,GQ$40)=$AG89,$AC89,""),"")</f>
        <v/>
      </c>
      <c r="GR89" s="1153"/>
      <c r="GS89" s="1153"/>
      <c r="GT89" s="1153"/>
      <c r="GU89" s="1153" t="str">
        <f>IF($AI89,IF(LARGE($AG$41:$AH$107,GU$40)=$AG89,$AC89,""),"")</f>
        <v/>
      </c>
      <c r="GV89" s="1153"/>
      <c r="GW89" s="1153"/>
      <c r="GX89" s="1153"/>
      <c r="GY89" s="1153" t="str">
        <f>IF($AI89,IF(LARGE($AG$41:$AH$107,GY$40)=$AG89,$AC89,""),"")</f>
        <v/>
      </c>
      <c r="GZ89" s="1153"/>
      <c r="HA89" s="1153"/>
      <c r="HB89" s="1153"/>
      <c r="HC89" s="1153" t="str">
        <f>IF($AI89,IF(LARGE($AG$41:$AH$107,HC$40)=$AG89,$AC89,""),"")</f>
        <v/>
      </c>
      <c r="HD89" s="1153"/>
      <c r="HE89" s="1153"/>
      <c r="HF89" s="1153"/>
      <c r="HG89" s="1153" t="str">
        <f>IF($AI89,IF(LARGE($AG$41:$AH$107,HG$40)=$AG89,$AC89,""),"")</f>
        <v/>
      </c>
      <c r="HH89" s="1153"/>
      <c r="HI89" s="1153"/>
      <c r="HJ89" s="1153"/>
      <c r="HK89" s="1153" t="str">
        <f>IF($AI89,IF(LARGE($AG$41:$AH$107,HK$40)=$AG89,$AC89,""),"")</f>
        <v/>
      </c>
      <c r="HL89" s="1153"/>
      <c r="HM89" s="1153"/>
      <c r="HN89" s="1153"/>
      <c r="HO89" s="1153" t="str">
        <f>IF($AI89,IF(LARGE($AG$41:$AH$107,HO$40)=$AG89,$AC89,""),"")</f>
        <v/>
      </c>
      <c r="HP89" s="1153"/>
      <c r="HQ89" s="1153"/>
      <c r="HR89" s="1153"/>
      <c r="HS89" s="1153" t="str">
        <f>IF($AI89,IF(LARGE($AG$41:$AH$107,HS$40)=$AG89,$AC89,""),"")</f>
        <v/>
      </c>
      <c r="HT89" s="1153"/>
      <c r="HU89" s="1153"/>
      <c r="HV89" s="1153"/>
      <c r="HW89" s="1153" t="str">
        <f>IF($AI89,IF(LARGE($AG$41:$AH$107,HW$40)=$AG89,$AC89,""),"")</f>
        <v/>
      </c>
      <c r="HX89" s="1153"/>
      <c r="HY89" s="1153"/>
      <c r="HZ89" s="1153"/>
      <c r="IA89" s="1153" t="str">
        <f>IF($AI89,IF(LARGE($AG$41:$AH$107,IA$40)=$AG89,$AC89,""),"")</f>
        <v/>
      </c>
      <c r="IB89" s="1153"/>
      <c r="IC89" s="1153"/>
      <c r="ID89" s="1153"/>
      <c r="IE89" s="1153" t="str">
        <f>IF($AI89,IF(LARGE($AG$41:$AH$107,IE$40)=$AG89,$AC89,""),"")</f>
        <v/>
      </c>
      <c r="IF89" s="1153"/>
      <c r="IG89" s="1153"/>
      <c r="IH89" s="1153"/>
      <c r="II89" s="1153" t="str">
        <f>IF($AI89,IF(LARGE($AG$41:$AH$107,II$40)=$AG89,$AC89,""),"")</f>
        <v/>
      </c>
      <c r="IJ89" s="1153"/>
      <c r="IK89" s="1153"/>
      <c r="IL89" s="1153"/>
      <c r="IM89" s="1153" t="str">
        <f>IF($AI89,IF(LARGE($AG$41:$AH$107,IM$40)=$AG89,$AC89,""),"")</f>
        <v/>
      </c>
      <c r="IN89" s="1153"/>
      <c r="IO89" s="1153"/>
      <c r="IP89" s="1153"/>
      <c r="IQ89" s="1153" t="str">
        <f>IF($AI89,IF(LARGE($AG$41:$AH$107,IQ$40)=$AG89,$AC89,""),"")</f>
        <v/>
      </c>
      <c r="IR89" s="1153"/>
      <c r="IS89" s="1153"/>
      <c r="IT89" s="1153"/>
      <c r="IU89" s="1153" t="str">
        <f>IF($AI89,IF(LARGE($AG$41:$AH$107,IU$40)=$AG89,$AC89,""),"")</f>
        <v/>
      </c>
      <c r="IV89" s="1153"/>
      <c r="IW89" s="1153"/>
      <c r="IX89" s="1153"/>
      <c r="IY89" s="1153" t="str">
        <f>IF($AI89,IF(LARGE($AG$41:$AH$107,IY$40)=$AG89,$AC89,""),"")</f>
        <v/>
      </c>
      <c r="IZ89" s="1153"/>
      <c r="JA89" s="1153"/>
      <c r="JB89" s="1153"/>
      <c r="JC89" s="1153" t="str">
        <f>IF($AI89,IF(LARGE($AG$41:$AH$107,JC$40)=$AG89,$AC89,""),"")</f>
        <v/>
      </c>
      <c r="JD89" s="1153"/>
      <c r="JE89" s="1153"/>
      <c r="JF89" s="1153"/>
      <c r="JG89" s="1153" t="str">
        <f>IF($AI89,IF(LARGE($AG$41:$AH$107,JG$40)=$AG89,$AC89,""),"")</f>
        <v/>
      </c>
      <c r="JH89" s="1153"/>
      <c r="JI89" s="1153"/>
      <c r="JJ89" s="1153"/>
      <c r="JK89" s="1153" t="str">
        <f>IF($AI89,IF(LARGE($AG$41:$AH$107,JK$40)=$AG89,$AC89,""),"")</f>
        <v/>
      </c>
      <c r="JL89" s="1153"/>
      <c r="JM89" s="1153"/>
      <c r="JN89" s="1153"/>
      <c r="JO89" s="1153" t="str">
        <f>IF($AI89,IF(LARGE($AG$41:$AH$107,JO$40)=$AG89,$AC89,""),"")</f>
        <v/>
      </c>
      <c r="JP89" s="1153"/>
      <c r="JQ89" s="1153"/>
      <c r="JR89" s="1153"/>
      <c r="JS89" s="1153" t="str">
        <f>IF($AI89,IF(LARGE($AG$41:$AH$107,JS$40)=$AG89,$AC89,""),"")</f>
        <v/>
      </c>
      <c r="JT89" s="1153"/>
      <c r="JU89" s="1153"/>
      <c r="JV89" s="1153"/>
      <c r="JW89" s="1153" t="str">
        <f>IF($AI89,IF(LARGE($AG$41:$AH$107,JW$40)=$AG89,$AC89,""),"")</f>
        <v/>
      </c>
      <c r="JX89" s="1153"/>
      <c r="JY89" s="1153"/>
      <c r="JZ89" s="1153"/>
      <c r="KA89" s="1153" t="str">
        <f>IF($AI89,IF(LARGE($AG$41:$AH$107,KA$40)=$AG89,$AC89,""),"")</f>
        <v/>
      </c>
      <c r="KB89" s="1153"/>
      <c r="KC89" s="1153"/>
      <c r="KD89" s="1153"/>
      <c r="KE89" s="1153" t="str">
        <f>IF($AI89,IF(LARGE($AG$41:$AH$107,KE$40)=$AG89,$AC89,""),"")</f>
        <v/>
      </c>
      <c r="KF89" s="1153"/>
      <c r="KG89" s="1153"/>
      <c r="KH89" s="1153"/>
      <c r="KI89" s="1153" t="str">
        <f>IF($AI89,IF(LARGE($AG$41:$AH$107,KI$40)=$AG89,$AC89,""),"")</f>
        <v/>
      </c>
      <c r="KJ89" s="1153"/>
      <c r="KK89" s="1153"/>
      <c r="KL89" s="1153"/>
      <c r="KM89" s="1153" t="str">
        <f>IF($AI89,IF(LARGE($AG$41:$AH$107,KM$40)=$AG89,$AC89,""),"")</f>
        <v/>
      </c>
      <c r="KN89" s="1153"/>
      <c r="KO89" s="1153"/>
      <c r="KP89" s="1153"/>
      <c r="KQ89" s="1153" t="str">
        <f>IF($AI89,IF(LARGE($AG$41:$AH$107,KQ$40)=$AG89,$AC89,""),"")</f>
        <v/>
      </c>
      <c r="KR89" s="1153"/>
      <c r="KS89" s="1153"/>
      <c r="KT89" s="1153"/>
    </row>
    <row r="90" spans="8:8">
      <c r="C90" s="1153" t="str">
        <f>IF(Z20="","",CONCATENATE(" ",AR20,Z20,AB20))</f>
        <v> 🔅科学①</v>
      </c>
      <c r="D90" s="1153"/>
      <c r="E90" s="1153"/>
      <c r="F90" s="1153"/>
      <c r="G90" s="1155" t="str">
        <f>IF(AND(AF20=0,AH20=0),"",IF(ISNONTEXT(X20),"",AL20))</f>
        <v/>
      </c>
      <c r="H90" s="1155"/>
      <c r="I90" s="1153" t="str">
        <f>IF(G90=$G$40,C90,"")</f>
        <v/>
      </c>
      <c r="J90" s="1153"/>
      <c r="K90" s="1153"/>
      <c r="L90" s="1153"/>
      <c r="M90" s="1154">
        <f>IF(AND(NOT(AH20=0),ISNONTEXT(X20)),1,0)</f>
        <v>0.0</v>
      </c>
      <c r="N90" s="1122"/>
      <c r="O90" s="1122"/>
      <c r="P90" s="1153" t="str">
        <f>IF(Z20="","",CONCATENATE(" ",AR20,Z20,AB20))</f>
        <v> 🔅科学①</v>
      </c>
      <c r="Q90" s="1153"/>
      <c r="R90" s="1153"/>
      <c r="S90" s="1153"/>
      <c r="T90" s="1155" t="str">
        <f>IF(AND(AF20=0,AJ20=0),"",IF(ISNONTEXT(X20),AL20,""))</f>
        <v/>
      </c>
      <c r="U90" s="1155"/>
      <c r="V90" s="1153" t="str">
        <f>IF(T90=$T$40,P90,"")</f>
        <v/>
      </c>
      <c r="W90" s="1153"/>
      <c r="X90" s="1153"/>
      <c r="Y90" s="1153"/>
      <c r="AB90" s="1122"/>
      <c r="AC90" s="1153" t="str">
        <f>IF(Z20="","",CONCATENATE(AR20,Z20,AB20))</f>
        <v>🔅科学①</v>
      </c>
      <c r="AD90" s="1153"/>
      <c r="AE90" s="1153"/>
      <c r="AF90" s="1153"/>
      <c r="AG90" s="1155">
        <f>AL20</f>
        <v>1.0</v>
      </c>
      <c r="AH90" s="1155"/>
      <c r="AI90" s="1153" t="b">
        <f>IF(AND(OR(ISNUMBER(AF20),ISNUMBER(AH20),ISNUMBER(AJ20)),OR(AF20&gt;0,AH20&gt;0,AJ20&gt;0)),TRUE,FALSE)</f>
        <v>0</v>
      </c>
      <c r="AJ90" s="1153"/>
      <c r="AK90" s="1153"/>
      <c r="AL90" s="1153"/>
      <c r="AM90" s="1153" t="str">
        <f>IF($AI90,IF(LARGE($AG$41:$AH$107,AM$40)=$AG90,$AC90,""),"")</f>
        <v/>
      </c>
      <c r="AN90" s="1153"/>
      <c r="AO90" s="1153"/>
      <c r="AP90" s="1153"/>
      <c r="AQ90" s="1153" t="str">
        <f>IF($AI90,IF(LARGE($AG$41:$AH$107,AQ$40)=$AG90,$AC90,""),"")</f>
        <v/>
      </c>
      <c r="AR90" s="1153"/>
      <c r="AS90" s="1153"/>
      <c r="AT90" s="1153"/>
      <c r="AU90" s="1153" t="str">
        <f>IF($AI90,IF(LARGE($AG$41:$AH$107,AU$40)=$AG90,$AC90,""),"")</f>
        <v/>
      </c>
      <c r="AV90" s="1153"/>
      <c r="AW90" s="1153"/>
      <c r="AX90" s="1153"/>
      <c r="AY90" s="1153" t="str">
        <f>IF($AI90,IF(LARGE($AG$41:$AH$107,AY$40)=$AG90,$AC90,""),"")</f>
        <v/>
      </c>
      <c r="AZ90" s="1153"/>
      <c r="BA90" s="1153"/>
      <c r="BB90" s="1153"/>
      <c r="BC90" s="1153" t="str">
        <f>IF($AI90,IF(LARGE($AG$41:$AH$107,BC$40)=$AG90,$AC90,""),"")</f>
        <v/>
      </c>
      <c r="BD90" s="1153"/>
      <c r="BE90" s="1153"/>
      <c r="BF90" s="1153"/>
      <c r="BG90" s="1153" t="str">
        <f>IF($AI90,IF(LARGE($AG$41:$AH$107,BG$40)=$AG90,$AC90,""),"")</f>
        <v/>
      </c>
      <c r="BH90" s="1153"/>
      <c r="BI90" s="1153"/>
      <c r="BJ90" s="1153"/>
      <c r="BK90" s="1153" t="str">
        <f>IF($AI90,IF(LARGE($AG$41:$AH$107,BK$40)=$AG90,$AC90,""),"")</f>
        <v/>
      </c>
      <c r="BL90" s="1153"/>
      <c r="BM90" s="1153"/>
      <c r="BN90" s="1153"/>
      <c r="BO90" s="1153" t="str">
        <f>IF($AI90,IF(LARGE($AG$41:$AH$107,BO$40)=$AG90,$AC90,""),"")</f>
        <v/>
      </c>
      <c r="BP90" s="1153"/>
      <c r="BQ90" s="1153"/>
      <c r="BR90" s="1153"/>
      <c r="BS90" s="1153" t="str">
        <f>IF($AI90,IF(LARGE($AG$41:$AH$107,BS$40)=$AG90,$AC90,""),"")</f>
        <v/>
      </c>
      <c r="BT90" s="1153"/>
      <c r="BU90" s="1153"/>
      <c r="BV90" s="1153"/>
      <c r="BW90" s="1153" t="str">
        <f>IF($AI90,IF(LARGE($AG$41:$AH$107,BW$40)=$AG90,$AC90,""),"")</f>
        <v/>
      </c>
      <c r="BX90" s="1153"/>
      <c r="BY90" s="1153"/>
      <c r="BZ90" s="1153"/>
      <c r="CA90" s="1153" t="str">
        <f>IF($AI90,IF(LARGE($AG$41:$AH$107,CA$40)=$AG90,$AC90,""),"")</f>
        <v/>
      </c>
      <c r="CB90" s="1153"/>
      <c r="CC90" s="1153"/>
      <c r="CD90" s="1153"/>
      <c r="CE90" s="1153" t="str">
        <f>IF($AI90,IF(LARGE($AG$41:$AH$107,CE$40)=$AG90,$AC90,""),"")</f>
        <v/>
      </c>
      <c r="CF90" s="1153"/>
      <c r="CG90" s="1153"/>
      <c r="CH90" s="1153"/>
      <c r="CI90" s="1153" t="str">
        <f>IF($AI90,IF(LARGE($AG$41:$AH$107,CI$40)=$AG90,$AC90,""),"")</f>
        <v/>
      </c>
      <c r="CJ90" s="1153"/>
      <c r="CK90" s="1153"/>
      <c r="CL90" s="1153"/>
      <c r="CM90" s="1153" t="str">
        <f>IF($AI90,IF(LARGE($AG$41:$AH$107,CM$40)=$AG90,$AC90,""),"")</f>
        <v/>
      </c>
      <c r="CN90" s="1153"/>
      <c r="CO90" s="1153"/>
      <c r="CP90" s="1153"/>
      <c r="CQ90" s="1153" t="str">
        <f>IF($AI90,IF(LARGE($AG$41:$AH$107,CQ$40)=$AG90,$AC90,""),"")</f>
        <v/>
      </c>
      <c r="CR90" s="1153"/>
      <c r="CS90" s="1153"/>
      <c r="CT90" s="1153"/>
      <c r="CU90" s="1153" t="str">
        <f>IF($AI90,IF(LARGE($AG$41:$AH$107,CU$40)=$AG90,$AC90,""),"")</f>
        <v/>
      </c>
      <c r="CV90" s="1153"/>
      <c r="CW90" s="1153"/>
      <c r="CX90" s="1153"/>
      <c r="CY90" s="1153" t="str">
        <f>IF($AI90,IF(LARGE($AG$41:$AH$107,CY$40)=$AG90,$AC90,""),"")</f>
        <v/>
      </c>
      <c r="CZ90" s="1153"/>
      <c r="DA90" s="1153"/>
      <c r="DB90" s="1153"/>
      <c r="DC90" s="1153" t="str">
        <f>IF($AI90,IF(LARGE($AG$41:$AH$107,DC$40)=$AG90,$AC90,""),"")</f>
        <v/>
      </c>
      <c r="DD90" s="1153"/>
      <c r="DE90" s="1153"/>
      <c r="DF90" s="1153"/>
      <c r="DG90" s="1153" t="str">
        <f>IF($AI90,IF(LARGE($AG$41:$AH$107,DG$40)=$AG90,$AC90,""),"")</f>
        <v/>
      </c>
      <c r="DH90" s="1153"/>
      <c r="DI90" s="1153"/>
      <c r="DJ90" s="1153"/>
      <c r="DK90" s="1153" t="str">
        <f>IF($AI90,IF(LARGE($AG$41:$AH$107,DK$40)=$AG90,$AC90,""),"")</f>
        <v/>
      </c>
      <c r="DL90" s="1153"/>
      <c r="DM90" s="1153"/>
      <c r="DN90" s="1153"/>
      <c r="DO90" s="1153" t="str">
        <f>IF($AI90,IF(LARGE($AG$41:$AH$107,DO$40)=$AG90,$AC90,""),"")</f>
        <v/>
      </c>
      <c r="DP90" s="1153"/>
      <c r="DQ90" s="1153"/>
      <c r="DR90" s="1153"/>
      <c r="DS90" s="1153" t="str">
        <f>IF($AI90,IF(LARGE($AG$41:$AH$107,DS$40)=$AG90,$AC90,""),"")</f>
        <v/>
      </c>
      <c r="DT90" s="1153"/>
      <c r="DU90" s="1153"/>
      <c r="DV90" s="1153"/>
      <c r="DW90" s="1153" t="str">
        <f>IF($AI90,IF(LARGE($AG$41:$AH$107,DW$40)=$AG90,$AC90,""),"")</f>
        <v/>
      </c>
      <c r="DX90" s="1153"/>
      <c r="DY90" s="1153"/>
      <c r="DZ90" s="1153"/>
      <c r="EA90" s="1153" t="str">
        <f>IF($AI90,IF(LARGE($AG$41:$AH$107,EA$40)=$AG90,$AC90,""),"")</f>
        <v/>
      </c>
      <c r="EB90" s="1153"/>
      <c r="EC90" s="1153"/>
      <c r="ED90" s="1153"/>
      <c r="EE90" s="1153" t="str">
        <f>IF($AI90,IF(LARGE($AG$41:$AH$107,EE$40)=$AG90,$AC90,""),"")</f>
        <v/>
      </c>
      <c r="EF90" s="1153"/>
      <c r="EG90" s="1153"/>
      <c r="EH90" s="1153"/>
      <c r="EI90" s="1153" t="str">
        <f>IF($AI90,IF(LARGE($AG$41:$AH$107,EI$40)=$AG90,$AC90,""),"")</f>
        <v/>
      </c>
      <c r="EJ90" s="1153"/>
      <c r="EK90" s="1153"/>
      <c r="EL90" s="1153"/>
      <c r="EM90" s="1153" t="str">
        <f>IF($AI90,IF(LARGE($AG$41:$AH$107,EM$40)=$AG90,$AC90,""),"")</f>
        <v/>
      </c>
      <c r="EN90" s="1153"/>
      <c r="EO90" s="1153"/>
      <c r="EP90" s="1153"/>
      <c r="EQ90" s="1153" t="str">
        <f>IF($AI90,IF(LARGE($AG$41:$AH$107,EQ$40)=$AG90,$AC90,""),"")</f>
        <v/>
      </c>
      <c r="ER90" s="1153"/>
      <c r="ES90" s="1153"/>
      <c r="ET90" s="1153"/>
      <c r="EU90" s="1153" t="str">
        <f>IF($AI90,IF(LARGE($AG$41:$AH$107,EU$40)=$AG90,$AC90,""),"")</f>
        <v/>
      </c>
      <c r="EV90" s="1153"/>
      <c r="EW90" s="1153"/>
      <c r="EX90" s="1153"/>
      <c r="EY90" s="1153" t="str">
        <f>IF($AI90,IF(LARGE($AG$41:$AH$107,EY$40)=$AG90,$AC90,""),"")</f>
        <v/>
      </c>
      <c r="EZ90" s="1153"/>
      <c r="FA90" s="1153"/>
      <c r="FB90" s="1153"/>
      <c r="FC90" s="1153" t="str">
        <f>IF($AI90,IF(LARGE($AG$41:$AH$107,FC$40)=$AG90,$AC90,""),"")</f>
        <v/>
      </c>
      <c r="FD90" s="1153"/>
      <c r="FE90" s="1153"/>
      <c r="FF90" s="1153"/>
      <c r="FG90" s="1153" t="str">
        <f>IF($AI90,IF(LARGE($AG$41:$AH$107,FG$40)=$AG90,$AC90,""),"")</f>
        <v/>
      </c>
      <c r="FH90" s="1153"/>
      <c r="FI90" s="1153"/>
      <c r="FJ90" s="1153"/>
      <c r="FK90" s="1153" t="str">
        <f>IF($AI90,IF(LARGE($AG$41:$AH$107,FK$40)=$AG90,$AC90,""),"")</f>
        <v/>
      </c>
      <c r="FL90" s="1153"/>
      <c r="FM90" s="1153"/>
      <c r="FN90" s="1153"/>
      <c r="FO90" s="1153" t="str">
        <f>IF($AI90,IF(LARGE($AG$41:$AH$107,FO$40)=$AG90,$AC90,""),"")</f>
        <v/>
      </c>
      <c r="FP90" s="1153"/>
      <c r="FQ90" s="1153"/>
      <c r="FR90" s="1153"/>
      <c r="FS90" s="1153" t="str">
        <f>IF($AI90,IF(LARGE($AG$41:$AH$107,FS$40)=$AG90,$AC90,""),"")</f>
        <v/>
      </c>
      <c r="FT90" s="1153"/>
      <c r="FU90" s="1153"/>
      <c r="FV90" s="1153"/>
      <c r="FW90" s="1153" t="str">
        <f>IF($AI90,IF(LARGE($AG$41:$AH$107,FW$40)=$AG90,$AC90,""),"")</f>
        <v/>
      </c>
      <c r="FX90" s="1153"/>
      <c r="FY90" s="1153"/>
      <c r="FZ90" s="1153"/>
      <c r="GA90" s="1153" t="str">
        <f>IF($AI90,IF(LARGE($AG$41:$AH$107,GA$40)=$AG90,$AC90,""),"")</f>
        <v/>
      </c>
      <c r="GB90" s="1153"/>
      <c r="GC90" s="1153"/>
      <c r="GD90" s="1153"/>
      <c r="GE90" s="1153" t="str">
        <f>IF($AI90,IF(LARGE($AG$41:$AH$107,GE$40)=$AG90,$AC90,""),"")</f>
        <v/>
      </c>
      <c r="GF90" s="1153"/>
      <c r="GG90" s="1153"/>
      <c r="GH90" s="1153"/>
      <c r="GI90" s="1153" t="str">
        <f>IF($AI90,IF(LARGE($AG$41:$AH$107,GI$40)=$AG90,$AC90,""),"")</f>
        <v/>
      </c>
      <c r="GJ90" s="1153"/>
      <c r="GK90" s="1153"/>
      <c r="GL90" s="1153"/>
      <c r="GM90" s="1153" t="str">
        <f>IF($AI90,IF(LARGE($AG$41:$AH$107,GM$40)=$AG90,$AC90,""),"")</f>
        <v/>
      </c>
      <c r="GN90" s="1153"/>
      <c r="GO90" s="1153"/>
      <c r="GP90" s="1153"/>
      <c r="GQ90" s="1153" t="str">
        <f>IF($AI90,IF(LARGE($AG$41:$AH$107,GQ$40)=$AG90,$AC90,""),"")</f>
        <v/>
      </c>
      <c r="GR90" s="1153"/>
      <c r="GS90" s="1153"/>
      <c r="GT90" s="1153"/>
      <c r="GU90" s="1153" t="str">
        <f>IF($AI90,IF(LARGE($AG$41:$AH$107,GU$40)=$AG90,$AC90,""),"")</f>
        <v/>
      </c>
      <c r="GV90" s="1153"/>
      <c r="GW90" s="1153"/>
      <c r="GX90" s="1153"/>
      <c r="GY90" s="1153" t="str">
        <f>IF($AI90,IF(LARGE($AG$41:$AH$107,GY$40)=$AG90,$AC90,""),"")</f>
        <v/>
      </c>
      <c r="GZ90" s="1153"/>
      <c r="HA90" s="1153"/>
      <c r="HB90" s="1153"/>
      <c r="HC90" s="1153" t="str">
        <f>IF($AI90,IF(LARGE($AG$41:$AH$107,HC$40)=$AG90,$AC90,""),"")</f>
        <v/>
      </c>
      <c r="HD90" s="1153"/>
      <c r="HE90" s="1153"/>
      <c r="HF90" s="1153"/>
      <c r="HG90" s="1153" t="str">
        <f>IF($AI90,IF(LARGE($AG$41:$AH$107,HG$40)=$AG90,$AC90,""),"")</f>
        <v/>
      </c>
      <c r="HH90" s="1153"/>
      <c r="HI90" s="1153"/>
      <c r="HJ90" s="1153"/>
      <c r="HK90" s="1153" t="str">
        <f>IF($AI90,IF(LARGE($AG$41:$AH$107,HK$40)=$AG90,$AC90,""),"")</f>
        <v/>
      </c>
      <c r="HL90" s="1153"/>
      <c r="HM90" s="1153"/>
      <c r="HN90" s="1153"/>
      <c r="HO90" s="1153" t="str">
        <f>IF($AI90,IF(LARGE($AG$41:$AH$107,HO$40)=$AG90,$AC90,""),"")</f>
        <v/>
      </c>
      <c r="HP90" s="1153"/>
      <c r="HQ90" s="1153"/>
      <c r="HR90" s="1153"/>
      <c r="HS90" s="1153" t="str">
        <f>IF($AI90,IF(LARGE($AG$41:$AH$107,HS$40)=$AG90,$AC90,""),"")</f>
        <v/>
      </c>
      <c r="HT90" s="1153"/>
      <c r="HU90" s="1153"/>
      <c r="HV90" s="1153"/>
      <c r="HW90" s="1153" t="str">
        <f>IF($AI90,IF(LARGE($AG$41:$AH$107,HW$40)=$AG90,$AC90,""),"")</f>
        <v/>
      </c>
      <c r="HX90" s="1153"/>
      <c r="HY90" s="1153"/>
      <c r="HZ90" s="1153"/>
      <c r="IA90" s="1153" t="str">
        <f>IF($AI90,IF(LARGE($AG$41:$AH$107,IA$40)=$AG90,$AC90,""),"")</f>
        <v/>
      </c>
      <c r="IB90" s="1153"/>
      <c r="IC90" s="1153"/>
      <c r="ID90" s="1153"/>
      <c r="IE90" s="1153" t="str">
        <f>IF($AI90,IF(LARGE($AG$41:$AH$107,IE$40)=$AG90,$AC90,""),"")</f>
        <v/>
      </c>
      <c r="IF90" s="1153"/>
      <c r="IG90" s="1153"/>
      <c r="IH90" s="1153"/>
      <c r="II90" s="1153" t="str">
        <f>IF($AI90,IF(LARGE($AG$41:$AH$107,II$40)=$AG90,$AC90,""),"")</f>
        <v/>
      </c>
      <c r="IJ90" s="1153"/>
      <c r="IK90" s="1153"/>
      <c r="IL90" s="1153"/>
      <c r="IM90" s="1153" t="str">
        <f>IF($AI90,IF(LARGE($AG$41:$AH$107,IM$40)=$AG90,$AC90,""),"")</f>
        <v/>
      </c>
      <c r="IN90" s="1153"/>
      <c r="IO90" s="1153"/>
      <c r="IP90" s="1153"/>
      <c r="IQ90" s="1153" t="str">
        <f>IF($AI90,IF(LARGE($AG$41:$AH$107,IQ$40)=$AG90,$AC90,""),"")</f>
        <v/>
      </c>
      <c r="IR90" s="1153"/>
      <c r="IS90" s="1153"/>
      <c r="IT90" s="1153"/>
      <c r="IU90" s="1153" t="str">
        <f>IF($AI90,IF(LARGE($AG$41:$AH$107,IU$40)=$AG90,$AC90,""),"")</f>
        <v/>
      </c>
      <c r="IV90" s="1153"/>
      <c r="IW90" s="1153"/>
      <c r="IX90" s="1153"/>
      <c r="IY90" s="1153" t="str">
        <f>IF($AI90,IF(LARGE($AG$41:$AH$107,IY$40)=$AG90,$AC90,""),"")</f>
        <v/>
      </c>
      <c r="IZ90" s="1153"/>
      <c r="JA90" s="1153"/>
      <c r="JB90" s="1153"/>
      <c r="JC90" s="1153" t="str">
        <f>IF($AI90,IF(LARGE($AG$41:$AH$107,JC$40)=$AG90,$AC90,""),"")</f>
        <v/>
      </c>
      <c r="JD90" s="1153"/>
      <c r="JE90" s="1153"/>
      <c r="JF90" s="1153"/>
      <c r="JG90" s="1153" t="str">
        <f>IF($AI90,IF(LARGE($AG$41:$AH$107,JG$40)=$AG90,$AC90,""),"")</f>
        <v/>
      </c>
      <c r="JH90" s="1153"/>
      <c r="JI90" s="1153"/>
      <c r="JJ90" s="1153"/>
      <c r="JK90" s="1153" t="str">
        <f>IF($AI90,IF(LARGE($AG$41:$AH$107,JK$40)=$AG90,$AC90,""),"")</f>
        <v/>
      </c>
      <c r="JL90" s="1153"/>
      <c r="JM90" s="1153"/>
      <c r="JN90" s="1153"/>
      <c r="JO90" s="1153" t="str">
        <f>IF($AI90,IF(LARGE($AG$41:$AH$107,JO$40)=$AG90,$AC90,""),"")</f>
        <v/>
      </c>
      <c r="JP90" s="1153"/>
      <c r="JQ90" s="1153"/>
      <c r="JR90" s="1153"/>
      <c r="JS90" s="1153" t="str">
        <f>IF($AI90,IF(LARGE($AG$41:$AH$107,JS$40)=$AG90,$AC90,""),"")</f>
        <v/>
      </c>
      <c r="JT90" s="1153"/>
      <c r="JU90" s="1153"/>
      <c r="JV90" s="1153"/>
      <c r="JW90" s="1153" t="str">
        <f>IF($AI90,IF(LARGE($AG$41:$AH$107,JW$40)=$AG90,$AC90,""),"")</f>
        <v/>
      </c>
      <c r="JX90" s="1153"/>
      <c r="JY90" s="1153"/>
      <c r="JZ90" s="1153"/>
      <c r="KA90" s="1153" t="str">
        <f>IF($AI90,IF(LARGE($AG$41:$AH$107,KA$40)=$AG90,$AC90,""),"")</f>
        <v/>
      </c>
      <c r="KB90" s="1153"/>
      <c r="KC90" s="1153"/>
      <c r="KD90" s="1153"/>
      <c r="KE90" s="1153" t="str">
        <f>IF($AI90,IF(LARGE($AG$41:$AH$107,KE$40)=$AG90,$AC90,""),"")</f>
        <v/>
      </c>
      <c r="KF90" s="1153"/>
      <c r="KG90" s="1153"/>
      <c r="KH90" s="1153"/>
      <c r="KI90" s="1153" t="str">
        <f>IF($AI90,IF(LARGE($AG$41:$AH$107,KI$40)=$AG90,$AC90,""),"")</f>
        <v/>
      </c>
      <c r="KJ90" s="1153"/>
      <c r="KK90" s="1153"/>
      <c r="KL90" s="1153"/>
      <c r="KM90" s="1153" t="str">
        <f>IF($AI90,IF(LARGE($AG$41:$AH$107,KM$40)=$AG90,$AC90,""),"")</f>
        <v/>
      </c>
      <c r="KN90" s="1153"/>
      <c r="KO90" s="1153"/>
      <c r="KP90" s="1153"/>
      <c r="KQ90" s="1153" t="str">
        <f>IF($AI90,IF(LARGE($AG$41:$AH$107,KQ$40)=$AG90,$AC90,""),"")</f>
        <v/>
      </c>
      <c r="KR90" s="1153"/>
      <c r="KS90" s="1153"/>
      <c r="KT90" s="1153"/>
    </row>
    <row r="91" spans="8:8">
      <c r="C91" s="1153" t="str">
        <f>IF(Z21="","",CONCATENATE(" ",AR21,Z21,AB21))</f>
        <v> 🔅科学②</v>
      </c>
      <c r="D91" s="1153"/>
      <c r="E91" s="1153"/>
      <c r="F91" s="1153"/>
      <c r="G91" s="1155" t="str">
        <f>IF(AND(AF21=0,AH21=0),"",IF(ISNONTEXT(X21),"",AL21))</f>
        <v/>
      </c>
      <c r="H91" s="1155"/>
      <c r="I91" s="1153" t="str">
        <f>IF(G91=$G$40,C91,"")</f>
        <v/>
      </c>
      <c r="J91" s="1153"/>
      <c r="K91" s="1153"/>
      <c r="L91" s="1153"/>
      <c r="M91" s="1154">
        <f>IF(AND(NOT(AH21=0),ISNONTEXT(X21)),1,0)</f>
        <v>0.0</v>
      </c>
      <c r="N91" s="1122"/>
      <c r="O91" s="1122"/>
      <c r="P91" s="1153" t="str">
        <f>IF(Z21="","",CONCATENATE(" ",AR21,Z21,AB21))</f>
        <v> 🔅科学②</v>
      </c>
      <c r="Q91" s="1153"/>
      <c r="R91" s="1153"/>
      <c r="S91" s="1153"/>
      <c r="T91" s="1155" t="str">
        <f>IF(AND(AF21=0,AJ21=0),"",IF(ISNONTEXT(X21),AL21,""))</f>
        <v/>
      </c>
      <c r="U91" s="1155"/>
      <c r="V91" s="1153" t="str">
        <f>IF(T91=$T$40,P91,"")</f>
        <v/>
      </c>
      <c r="W91" s="1153"/>
      <c r="X91" s="1153"/>
      <c r="Y91" s="1153"/>
      <c r="AB91" s="1122"/>
      <c r="AC91" s="1153" t="str">
        <f>IF(Z21="","",CONCATENATE(AR21,Z21,AB21))</f>
        <v>🔅科学②</v>
      </c>
      <c r="AD91" s="1153"/>
      <c r="AE91" s="1153"/>
      <c r="AF91" s="1153"/>
      <c r="AG91" s="1155">
        <f>AL21</f>
        <v>1.0</v>
      </c>
      <c r="AH91" s="1155"/>
      <c r="AI91" s="1153" t="b">
        <f>IF(AND(OR(ISNUMBER(AF21),ISNUMBER(AH21),ISNUMBER(AJ21)),OR(AF21&gt;0,AH21&gt;0,AJ21&gt;0)),TRUE,FALSE)</f>
        <v>0</v>
      </c>
      <c r="AJ91" s="1153"/>
      <c r="AK91" s="1153"/>
      <c r="AL91" s="1153"/>
      <c r="AM91" s="1153" t="str">
        <f>IF($AI91,IF(LARGE($AG$41:$AH$107,AM$40)=$AG91,$AC91,""),"")</f>
        <v/>
      </c>
      <c r="AN91" s="1153"/>
      <c r="AO91" s="1153"/>
      <c r="AP91" s="1153"/>
      <c r="AQ91" s="1153" t="str">
        <f>IF($AI91,IF(LARGE($AG$41:$AH$107,AQ$40)=$AG91,$AC91,""),"")</f>
        <v/>
      </c>
      <c r="AR91" s="1153"/>
      <c r="AS91" s="1153"/>
      <c r="AT91" s="1153"/>
      <c r="AU91" s="1153" t="str">
        <f>IF($AI91,IF(LARGE($AG$41:$AH$107,AU$40)=$AG91,$AC91,""),"")</f>
        <v/>
      </c>
      <c r="AV91" s="1153"/>
      <c r="AW91" s="1153"/>
      <c r="AX91" s="1153"/>
      <c r="AY91" s="1153" t="str">
        <f>IF($AI91,IF(LARGE($AG$41:$AH$107,AY$40)=$AG91,$AC91,""),"")</f>
        <v/>
      </c>
      <c r="AZ91" s="1153"/>
      <c r="BA91" s="1153"/>
      <c r="BB91" s="1153"/>
      <c r="BC91" s="1153" t="str">
        <f>IF($AI91,IF(LARGE($AG$41:$AH$107,BC$40)=$AG91,$AC91,""),"")</f>
        <v/>
      </c>
      <c r="BD91" s="1153"/>
      <c r="BE91" s="1153"/>
      <c r="BF91" s="1153"/>
      <c r="BG91" s="1153" t="str">
        <f>IF($AI91,IF(LARGE($AG$41:$AH$107,BG$40)=$AG91,$AC91,""),"")</f>
        <v/>
      </c>
      <c r="BH91" s="1153"/>
      <c r="BI91" s="1153"/>
      <c r="BJ91" s="1153"/>
      <c r="BK91" s="1153" t="str">
        <f>IF($AI91,IF(LARGE($AG$41:$AH$107,BK$40)=$AG91,$AC91,""),"")</f>
        <v/>
      </c>
      <c r="BL91" s="1153"/>
      <c r="BM91" s="1153"/>
      <c r="BN91" s="1153"/>
      <c r="BO91" s="1153" t="str">
        <f>IF($AI91,IF(LARGE($AG$41:$AH$107,BO$40)=$AG91,$AC91,""),"")</f>
        <v/>
      </c>
      <c r="BP91" s="1153"/>
      <c r="BQ91" s="1153"/>
      <c r="BR91" s="1153"/>
      <c r="BS91" s="1153" t="str">
        <f>IF($AI91,IF(LARGE($AG$41:$AH$107,BS$40)=$AG91,$AC91,""),"")</f>
        <v/>
      </c>
      <c r="BT91" s="1153"/>
      <c r="BU91" s="1153"/>
      <c r="BV91" s="1153"/>
      <c r="BW91" s="1153" t="str">
        <f>IF($AI91,IF(LARGE($AG$41:$AH$107,BW$40)=$AG91,$AC91,""),"")</f>
        <v/>
      </c>
      <c r="BX91" s="1153"/>
      <c r="BY91" s="1153"/>
      <c r="BZ91" s="1153"/>
      <c r="CA91" s="1153" t="str">
        <f>IF($AI91,IF(LARGE($AG$41:$AH$107,CA$40)=$AG91,$AC91,""),"")</f>
        <v/>
      </c>
      <c r="CB91" s="1153"/>
      <c r="CC91" s="1153"/>
      <c r="CD91" s="1153"/>
      <c r="CE91" s="1153" t="str">
        <f>IF($AI91,IF(LARGE($AG$41:$AH$107,CE$40)=$AG91,$AC91,""),"")</f>
        <v/>
      </c>
      <c r="CF91" s="1153"/>
      <c r="CG91" s="1153"/>
      <c r="CH91" s="1153"/>
      <c r="CI91" s="1153" t="str">
        <f>IF($AI91,IF(LARGE($AG$41:$AH$107,CI$40)=$AG91,$AC91,""),"")</f>
        <v/>
      </c>
      <c r="CJ91" s="1153"/>
      <c r="CK91" s="1153"/>
      <c r="CL91" s="1153"/>
      <c r="CM91" s="1153" t="str">
        <f>IF($AI91,IF(LARGE($AG$41:$AH$107,CM$40)=$AG91,$AC91,""),"")</f>
        <v/>
      </c>
      <c r="CN91" s="1153"/>
      <c r="CO91" s="1153"/>
      <c r="CP91" s="1153"/>
      <c r="CQ91" s="1153" t="str">
        <f>IF($AI91,IF(LARGE($AG$41:$AH$107,CQ$40)=$AG91,$AC91,""),"")</f>
        <v/>
      </c>
      <c r="CR91" s="1153"/>
      <c r="CS91" s="1153"/>
      <c r="CT91" s="1153"/>
      <c r="CU91" s="1153" t="str">
        <f>IF($AI91,IF(LARGE($AG$41:$AH$107,CU$40)=$AG91,$AC91,""),"")</f>
        <v/>
      </c>
      <c r="CV91" s="1153"/>
      <c r="CW91" s="1153"/>
      <c r="CX91" s="1153"/>
      <c r="CY91" s="1153" t="str">
        <f>IF($AI91,IF(LARGE($AG$41:$AH$107,CY$40)=$AG91,$AC91,""),"")</f>
        <v/>
      </c>
      <c r="CZ91" s="1153"/>
      <c r="DA91" s="1153"/>
      <c r="DB91" s="1153"/>
      <c r="DC91" s="1153" t="str">
        <f>IF($AI91,IF(LARGE($AG$41:$AH$107,DC$40)=$AG91,$AC91,""),"")</f>
        <v/>
      </c>
      <c r="DD91" s="1153"/>
      <c r="DE91" s="1153"/>
      <c r="DF91" s="1153"/>
      <c r="DG91" s="1153" t="str">
        <f>IF($AI91,IF(LARGE($AG$41:$AH$107,DG$40)=$AG91,$AC91,""),"")</f>
        <v/>
      </c>
      <c r="DH91" s="1153"/>
      <c r="DI91" s="1153"/>
      <c r="DJ91" s="1153"/>
      <c r="DK91" s="1153" t="str">
        <f>IF($AI91,IF(LARGE($AG$41:$AH$107,DK$40)=$AG91,$AC91,""),"")</f>
        <v/>
      </c>
      <c r="DL91" s="1153"/>
      <c r="DM91" s="1153"/>
      <c r="DN91" s="1153"/>
      <c r="DO91" s="1153" t="str">
        <f>IF($AI91,IF(LARGE($AG$41:$AH$107,DO$40)=$AG91,$AC91,""),"")</f>
        <v/>
      </c>
      <c r="DP91" s="1153"/>
      <c r="DQ91" s="1153"/>
      <c r="DR91" s="1153"/>
      <c r="DS91" s="1153" t="str">
        <f>IF($AI91,IF(LARGE($AG$41:$AH$107,DS$40)=$AG91,$AC91,""),"")</f>
        <v/>
      </c>
      <c r="DT91" s="1153"/>
      <c r="DU91" s="1153"/>
      <c r="DV91" s="1153"/>
      <c r="DW91" s="1153" t="str">
        <f>IF($AI91,IF(LARGE($AG$41:$AH$107,DW$40)=$AG91,$AC91,""),"")</f>
        <v/>
      </c>
      <c r="DX91" s="1153"/>
      <c r="DY91" s="1153"/>
      <c r="DZ91" s="1153"/>
      <c r="EA91" s="1153" t="str">
        <f>IF($AI91,IF(LARGE($AG$41:$AH$107,EA$40)=$AG91,$AC91,""),"")</f>
        <v/>
      </c>
      <c r="EB91" s="1153"/>
      <c r="EC91" s="1153"/>
      <c r="ED91" s="1153"/>
      <c r="EE91" s="1153" t="str">
        <f>IF($AI91,IF(LARGE($AG$41:$AH$107,EE$40)=$AG91,$AC91,""),"")</f>
        <v/>
      </c>
      <c r="EF91" s="1153"/>
      <c r="EG91" s="1153"/>
      <c r="EH91" s="1153"/>
      <c r="EI91" s="1153" t="str">
        <f>IF($AI91,IF(LARGE($AG$41:$AH$107,EI$40)=$AG91,$AC91,""),"")</f>
        <v/>
      </c>
      <c r="EJ91" s="1153"/>
      <c r="EK91" s="1153"/>
      <c r="EL91" s="1153"/>
      <c r="EM91" s="1153" t="str">
        <f>IF($AI91,IF(LARGE($AG$41:$AH$107,EM$40)=$AG91,$AC91,""),"")</f>
        <v/>
      </c>
      <c r="EN91" s="1153"/>
      <c r="EO91" s="1153"/>
      <c r="EP91" s="1153"/>
      <c r="EQ91" s="1153" t="str">
        <f>IF($AI91,IF(LARGE($AG$41:$AH$107,EQ$40)=$AG91,$AC91,""),"")</f>
        <v/>
      </c>
      <c r="ER91" s="1153"/>
      <c r="ES91" s="1153"/>
      <c r="ET91" s="1153"/>
      <c r="EU91" s="1153" t="str">
        <f>IF($AI91,IF(LARGE($AG$41:$AH$107,EU$40)=$AG91,$AC91,""),"")</f>
        <v/>
      </c>
      <c r="EV91" s="1153"/>
      <c r="EW91" s="1153"/>
      <c r="EX91" s="1153"/>
      <c r="EY91" s="1153" t="str">
        <f>IF($AI91,IF(LARGE($AG$41:$AH$107,EY$40)=$AG91,$AC91,""),"")</f>
        <v/>
      </c>
      <c r="EZ91" s="1153"/>
      <c r="FA91" s="1153"/>
      <c r="FB91" s="1153"/>
      <c r="FC91" s="1153" t="str">
        <f>IF($AI91,IF(LARGE($AG$41:$AH$107,FC$40)=$AG91,$AC91,""),"")</f>
        <v/>
      </c>
      <c r="FD91" s="1153"/>
      <c r="FE91" s="1153"/>
      <c r="FF91" s="1153"/>
      <c r="FG91" s="1153" t="str">
        <f>IF($AI91,IF(LARGE($AG$41:$AH$107,FG$40)=$AG91,$AC91,""),"")</f>
        <v/>
      </c>
      <c r="FH91" s="1153"/>
      <c r="FI91" s="1153"/>
      <c r="FJ91" s="1153"/>
      <c r="FK91" s="1153" t="str">
        <f>IF($AI91,IF(LARGE($AG$41:$AH$107,FK$40)=$AG91,$AC91,""),"")</f>
        <v/>
      </c>
      <c r="FL91" s="1153"/>
      <c r="FM91" s="1153"/>
      <c r="FN91" s="1153"/>
      <c r="FO91" s="1153" t="str">
        <f>IF($AI91,IF(LARGE($AG$41:$AH$107,FO$40)=$AG91,$AC91,""),"")</f>
        <v/>
      </c>
      <c r="FP91" s="1153"/>
      <c r="FQ91" s="1153"/>
      <c r="FR91" s="1153"/>
      <c r="FS91" s="1153" t="str">
        <f>IF($AI91,IF(LARGE($AG$41:$AH$107,FS$40)=$AG91,$AC91,""),"")</f>
        <v/>
      </c>
      <c r="FT91" s="1153"/>
      <c r="FU91" s="1153"/>
      <c r="FV91" s="1153"/>
      <c r="FW91" s="1153" t="str">
        <f>IF($AI91,IF(LARGE($AG$41:$AH$107,FW$40)=$AG91,$AC91,""),"")</f>
        <v/>
      </c>
      <c r="FX91" s="1153"/>
      <c r="FY91" s="1153"/>
      <c r="FZ91" s="1153"/>
      <c r="GA91" s="1153" t="str">
        <f>IF($AI91,IF(LARGE($AG$41:$AH$107,GA$40)=$AG91,$AC91,""),"")</f>
        <v/>
      </c>
      <c r="GB91" s="1153"/>
      <c r="GC91" s="1153"/>
      <c r="GD91" s="1153"/>
      <c r="GE91" s="1153" t="str">
        <f>IF($AI91,IF(LARGE($AG$41:$AH$107,GE$40)=$AG91,$AC91,""),"")</f>
        <v/>
      </c>
      <c r="GF91" s="1153"/>
      <c r="GG91" s="1153"/>
      <c r="GH91" s="1153"/>
      <c r="GI91" s="1153" t="str">
        <f>IF($AI91,IF(LARGE($AG$41:$AH$107,GI$40)=$AG91,$AC91,""),"")</f>
        <v/>
      </c>
      <c r="GJ91" s="1153"/>
      <c r="GK91" s="1153"/>
      <c r="GL91" s="1153"/>
      <c r="GM91" s="1153" t="str">
        <f>IF($AI91,IF(LARGE($AG$41:$AH$107,GM$40)=$AG91,$AC91,""),"")</f>
        <v/>
      </c>
      <c r="GN91" s="1153"/>
      <c r="GO91" s="1153"/>
      <c r="GP91" s="1153"/>
      <c r="GQ91" s="1153" t="str">
        <f>IF($AI91,IF(LARGE($AG$41:$AH$107,GQ$40)=$AG91,$AC91,""),"")</f>
        <v/>
      </c>
      <c r="GR91" s="1153"/>
      <c r="GS91" s="1153"/>
      <c r="GT91" s="1153"/>
      <c r="GU91" s="1153" t="str">
        <f>IF($AI91,IF(LARGE($AG$41:$AH$107,GU$40)=$AG91,$AC91,""),"")</f>
        <v/>
      </c>
      <c r="GV91" s="1153"/>
      <c r="GW91" s="1153"/>
      <c r="GX91" s="1153"/>
      <c r="GY91" s="1153" t="str">
        <f>IF($AI91,IF(LARGE($AG$41:$AH$107,GY$40)=$AG91,$AC91,""),"")</f>
        <v/>
      </c>
      <c r="GZ91" s="1153"/>
      <c r="HA91" s="1153"/>
      <c r="HB91" s="1153"/>
      <c r="HC91" s="1153" t="str">
        <f>IF($AI91,IF(LARGE($AG$41:$AH$107,HC$40)=$AG91,$AC91,""),"")</f>
        <v/>
      </c>
      <c r="HD91" s="1153"/>
      <c r="HE91" s="1153"/>
      <c r="HF91" s="1153"/>
      <c r="HG91" s="1153" t="str">
        <f>IF($AI91,IF(LARGE($AG$41:$AH$107,HG$40)=$AG91,$AC91,""),"")</f>
        <v/>
      </c>
      <c r="HH91" s="1153"/>
      <c r="HI91" s="1153"/>
      <c r="HJ91" s="1153"/>
      <c r="HK91" s="1153" t="str">
        <f>IF($AI91,IF(LARGE($AG$41:$AH$107,HK$40)=$AG91,$AC91,""),"")</f>
        <v/>
      </c>
      <c r="HL91" s="1153"/>
      <c r="HM91" s="1153"/>
      <c r="HN91" s="1153"/>
      <c r="HO91" s="1153" t="str">
        <f>IF($AI91,IF(LARGE($AG$41:$AH$107,HO$40)=$AG91,$AC91,""),"")</f>
        <v/>
      </c>
      <c r="HP91" s="1153"/>
      <c r="HQ91" s="1153"/>
      <c r="HR91" s="1153"/>
      <c r="HS91" s="1153" t="str">
        <f>IF($AI91,IF(LARGE($AG$41:$AH$107,HS$40)=$AG91,$AC91,""),"")</f>
        <v/>
      </c>
      <c r="HT91" s="1153"/>
      <c r="HU91" s="1153"/>
      <c r="HV91" s="1153"/>
      <c r="HW91" s="1153" t="str">
        <f>IF($AI91,IF(LARGE($AG$41:$AH$107,HW$40)=$AG91,$AC91,""),"")</f>
        <v/>
      </c>
      <c r="HX91" s="1153"/>
      <c r="HY91" s="1153"/>
      <c r="HZ91" s="1153"/>
      <c r="IA91" s="1153" t="str">
        <f>IF($AI91,IF(LARGE($AG$41:$AH$107,IA$40)=$AG91,$AC91,""),"")</f>
        <v/>
      </c>
      <c r="IB91" s="1153"/>
      <c r="IC91" s="1153"/>
      <c r="ID91" s="1153"/>
      <c r="IE91" s="1153" t="str">
        <f>IF($AI91,IF(LARGE($AG$41:$AH$107,IE$40)=$AG91,$AC91,""),"")</f>
        <v/>
      </c>
      <c r="IF91" s="1153"/>
      <c r="IG91" s="1153"/>
      <c r="IH91" s="1153"/>
      <c r="II91" s="1153" t="str">
        <f>IF($AI91,IF(LARGE($AG$41:$AH$107,II$40)=$AG91,$AC91,""),"")</f>
        <v/>
      </c>
      <c r="IJ91" s="1153"/>
      <c r="IK91" s="1153"/>
      <c r="IL91" s="1153"/>
      <c r="IM91" s="1153" t="str">
        <f>IF($AI91,IF(LARGE($AG$41:$AH$107,IM$40)=$AG91,$AC91,""),"")</f>
        <v/>
      </c>
      <c r="IN91" s="1153"/>
      <c r="IO91" s="1153"/>
      <c r="IP91" s="1153"/>
      <c r="IQ91" s="1153" t="str">
        <f>IF($AI91,IF(LARGE($AG$41:$AH$107,IQ$40)=$AG91,$AC91,""),"")</f>
        <v/>
      </c>
      <c r="IR91" s="1153"/>
      <c r="IS91" s="1153"/>
      <c r="IT91" s="1153"/>
      <c r="IU91" s="1153" t="str">
        <f>IF($AI91,IF(LARGE($AG$41:$AH$107,IU$40)=$AG91,$AC91,""),"")</f>
        <v/>
      </c>
      <c r="IV91" s="1153"/>
      <c r="IW91" s="1153"/>
      <c r="IX91" s="1153"/>
      <c r="IY91" s="1153" t="str">
        <f>IF($AI91,IF(LARGE($AG$41:$AH$107,IY$40)=$AG91,$AC91,""),"")</f>
        <v/>
      </c>
      <c r="IZ91" s="1153"/>
      <c r="JA91" s="1153"/>
      <c r="JB91" s="1153"/>
      <c r="JC91" s="1153" t="str">
        <f>IF($AI91,IF(LARGE($AG$41:$AH$107,JC$40)=$AG91,$AC91,""),"")</f>
        <v/>
      </c>
      <c r="JD91" s="1153"/>
      <c r="JE91" s="1153"/>
      <c r="JF91" s="1153"/>
      <c r="JG91" s="1153" t="str">
        <f>IF($AI91,IF(LARGE($AG$41:$AH$107,JG$40)=$AG91,$AC91,""),"")</f>
        <v/>
      </c>
      <c r="JH91" s="1153"/>
      <c r="JI91" s="1153"/>
      <c r="JJ91" s="1153"/>
      <c r="JK91" s="1153" t="str">
        <f>IF($AI91,IF(LARGE($AG$41:$AH$107,JK$40)=$AG91,$AC91,""),"")</f>
        <v/>
      </c>
      <c r="JL91" s="1153"/>
      <c r="JM91" s="1153"/>
      <c r="JN91" s="1153"/>
      <c r="JO91" s="1153" t="str">
        <f>IF($AI91,IF(LARGE($AG$41:$AH$107,JO$40)=$AG91,$AC91,""),"")</f>
        <v/>
      </c>
      <c r="JP91" s="1153"/>
      <c r="JQ91" s="1153"/>
      <c r="JR91" s="1153"/>
      <c r="JS91" s="1153" t="str">
        <f>IF($AI91,IF(LARGE($AG$41:$AH$107,JS$40)=$AG91,$AC91,""),"")</f>
        <v/>
      </c>
      <c r="JT91" s="1153"/>
      <c r="JU91" s="1153"/>
      <c r="JV91" s="1153"/>
      <c r="JW91" s="1153" t="str">
        <f>IF($AI91,IF(LARGE($AG$41:$AH$107,JW$40)=$AG91,$AC91,""),"")</f>
        <v/>
      </c>
      <c r="JX91" s="1153"/>
      <c r="JY91" s="1153"/>
      <c r="JZ91" s="1153"/>
      <c r="KA91" s="1153" t="str">
        <f>IF($AI91,IF(LARGE($AG$41:$AH$107,KA$40)=$AG91,$AC91,""),"")</f>
        <v/>
      </c>
      <c r="KB91" s="1153"/>
      <c r="KC91" s="1153"/>
      <c r="KD91" s="1153"/>
      <c r="KE91" s="1153" t="str">
        <f>IF($AI91,IF(LARGE($AG$41:$AH$107,KE$40)=$AG91,$AC91,""),"")</f>
        <v/>
      </c>
      <c r="KF91" s="1153"/>
      <c r="KG91" s="1153"/>
      <c r="KH91" s="1153"/>
      <c r="KI91" s="1153" t="str">
        <f>IF($AI91,IF(LARGE($AG$41:$AH$107,KI$40)=$AG91,$AC91,""),"")</f>
        <v/>
      </c>
      <c r="KJ91" s="1153"/>
      <c r="KK91" s="1153"/>
      <c r="KL91" s="1153"/>
      <c r="KM91" s="1153" t="str">
        <f>IF($AI91,IF(LARGE($AG$41:$AH$107,KM$40)=$AG91,$AC91,""),"")</f>
        <v/>
      </c>
      <c r="KN91" s="1153"/>
      <c r="KO91" s="1153"/>
      <c r="KP91" s="1153"/>
      <c r="KQ91" s="1153" t="str">
        <f>IF($AI91,IF(LARGE($AG$41:$AH$107,KQ$40)=$AG91,$AC91,""),"")</f>
        <v/>
      </c>
      <c r="KR91" s="1153"/>
      <c r="KS91" s="1153"/>
      <c r="KT91" s="1153"/>
    </row>
    <row r="92" spans="8:8">
      <c r="C92" s="1153" t="str">
        <f>IF(Z22="","",CONCATENATE(" ",AR22,Z22,AB22))</f>
        <v> 🔅科学③</v>
      </c>
      <c r="D92" s="1153"/>
      <c r="E92" s="1153"/>
      <c r="F92" s="1153"/>
      <c r="G92" s="1155" t="str">
        <f>IF(AND(AF22=0,AH22=0),"",IF(ISNONTEXT(X22),"",AL22))</f>
        <v/>
      </c>
      <c r="H92" s="1155"/>
      <c r="I92" s="1153" t="str">
        <f>IF(G92=$G$40,C92,"")</f>
        <v/>
      </c>
      <c r="J92" s="1153"/>
      <c r="K92" s="1153"/>
      <c r="L92" s="1153"/>
      <c r="M92" s="1154">
        <f>IF(AND(NOT(AH22=0),ISNONTEXT(X22)),1,0)</f>
        <v>0.0</v>
      </c>
      <c r="N92" s="1122"/>
      <c r="O92" s="1122"/>
      <c r="P92" s="1153" t="str">
        <f>IF(Z22="","",CONCATENATE(" ",AR22,Z22,AB22))</f>
        <v> 🔅科学③</v>
      </c>
      <c r="Q92" s="1153"/>
      <c r="R92" s="1153"/>
      <c r="S92" s="1153"/>
      <c r="T92" s="1155" t="str">
        <f>IF(AND(AF22=0,AJ22=0),"",IF(ISNONTEXT(X22),AL22,""))</f>
        <v/>
      </c>
      <c r="U92" s="1155"/>
      <c r="V92" s="1153" t="str">
        <f>IF(T92=$T$40,P92,"")</f>
        <v/>
      </c>
      <c r="W92" s="1153"/>
      <c r="X92" s="1153"/>
      <c r="Y92" s="1153"/>
      <c r="AB92" s="1122"/>
      <c r="AC92" s="1153" t="str">
        <f>IF(Z22="","",CONCATENATE(AR22,Z22,AB22))</f>
        <v>🔅科学③</v>
      </c>
      <c r="AD92" s="1153"/>
      <c r="AE92" s="1153"/>
      <c r="AF92" s="1153"/>
      <c r="AG92" s="1155">
        <f>AL22</f>
        <v>1.0</v>
      </c>
      <c r="AH92" s="1155"/>
      <c r="AI92" s="1153" t="b">
        <f>IF(AND(OR(ISNUMBER(AF22),ISNUMBER(AH22),ISNUMBER(AJ22)),OR(AF22&gt;0,AH22&gt;0,AJ22&gt;0)),TRUE,FALSE)</f>
        <v>0</v>
      </c>
      <c r="AJ92" s="1153"/>
      <c r="AK92" s="1153"/>
      <c r="AL92" s="1153"/>
      <c r="AM92" s="1153" t="str">
        <f>IF($AI92,IF(LARGE($AG$41:$AH$107,AM$40)=$AG92,$AC92,""),"")</f>
        <v/>
      </c>
      <c r="AN92" s="1153"/>
      <c r="AO92" s="1153"/>
      <c r="AP92" s="1153"/>
      <c r="AQ92" s="1153" t="str">
        <f>IF($AI92,IF(LARGE($AG$41:$AH$107,AQ$40)=$AG92,$AC92,""),"")</f>
        <v/>
      </c>
      <c r="AR92" s="1153"/>
      <c r="AS92" s="1153"/>
      <c r="AT92" s="1153"/>
      <c r="AU92" s="1153" t="str">
        <f>IF($AI92,IF(LARGE($AG$41:$AH$107,AU$40)=$AG92,$AC92,""),"")</f>
        <v/>
      </c>
      <c r="AV92" s="1153"/>
      <c r="AW92" s="1153"/>
      <c r="AX92" s="1153"/>
      <c r="AY92" s="1153" t="str">
        <f>IF($AI92,IF(LARGE($AG$41:$AH$107,AY$40)=$AG92,$AC92,""),"")</f>
        <v/>
      </c>
      <c r="AZ92" s="1153"/>
      <c r="BA92" s="1153"/>
      <c r="BB92" s="1153"/>
      <c r="BC92" s="1153" t="str">
        <f>IF($AI92,IF(LARGE($AG$41:$AH$107,BC$40)=$AG92,$AC92,""),"")</f>
        <v/>
      </c>
      <c r="BD92" s="1153"/>
      <c r="BE92" s="1153"/>
      <c r="BF92" s="1153"/>
      <c r="BG92" s="1153" t="str">
        <f>IF($AI92,IF(LARGE($AG$41:$AH$107,BG$40)=$AG92,$AC92,""),"")</f>
        <v/>
      </c>
      <c r="BH92" s="1153"/>
      <c r="BI92" s="1153"/>
      <c r="BJ92" s="1153"/>
      <c r="BK92" s="1153" t="str">
        <f>IF($AI92,IF(LARGE($AG$41:$AH$107,BK$40)=$AG92,$AC92,""),"")</f>
        <v/>
      </c>
      <c r="BL92" s="1153"/>
      <c r="BM92" s="1153"/>
      <c r="BN92" s="1153"/>
      <c r="BO92" s="1153" t="str">
        <f>IF($AI92,IF(LARGE($AG$41:$AH$107,BO$40)=$AG92,$AC92,""),"")</f>
        <v/>
      </c>
      <c r="BP92" s="1153"/>
      <c r="BQ92" s="1153"/>
      <c r="BR92" s="1153"/>
      <c r="BS92" s="1153" t="str">
        <f>IF($AI92,IF(LARGE($AG$41:$AH$107,BS$40)=$AG92,$AC92,""),"")</f>
        <v/>
      </c>
      <c r="BT92" s="1153"/>
      <c r="BU92" s="1153"/>
      <c r="BV92" s="1153"/>
      <c r="BW92" s="1153" t="str">
        <f>IF($AI92,IF(LARGE($AG$41:$AH$107,BW$40)=$AG92,$AC92,""),"")</f>
        <v/>
      </c>
      <c r="BX92" s="1153"/>
      <c r="BY92" s="1153"/>
      <c r="BZ92" s="1153"/>
      <c r="CA92" s="1153" t="str">
        <f>IF($AI92,IF(LARGE($AG$41:$AH$107,CA$40)=$AG92,$AC92,""),"")</f>
        <v/>
      </c>
      <c r="CB92" s="1153"/>
      <c r="CC92" s="1153"/>
      <c r="CD92" s="1153"/>
      <c r="CE92" s="1153" t="str">
        <f>IF($AI92,IF(LARGE($AG$41:$AH$107,CE$40)=$AG92,$AC92,""),"")</f>
        <v/>
      </c>
      <c r="CF92" s="1153"/>
      <c r="CG92" s="1153"/>
      <c r="CH92" s="1153"/>
      <c r="CI92" s="1153" t="str">
        <f>IF($AI92,IF(LARGE($AG$41:$AH$107,CI$40)=$AG92,$AC92,""),"")</f>
        <v/>
      </c>
      <c r="CJ92" s="1153"/>
      <c r="CK92" s="1153"/>
      <c r="CL92" s="1153"/>
      <c r="CM92" s="1153" t="str">
        <f>IF($AI92,IF(LARGE($AG$41:$AH$107,CM$40)=$AG92,$AC92,""),"")</f>
        <v/>
      </c>
      <c r="CN92" s="1153"/>
      <c r="CO92" s="1153"/>
      <c r="CP92" s="1153"/>
      <c r="CQ92" s="1153" t="str">
        <f>IF($AI92,IF(LARGE($AG$41:$AH$107,CQ$40)=$AG92,$AC92,""),"")</f>
        <v/>
      </c>
      <c r="CR92" s="1153"/>
      <c r="CS92" s="1153"/>
      <c r="CT92" s="1153"/>
      <c r="CU92" s="1153" t="str">
        <f>IF($AI92,IF(LARGE($AG$41:$AH$107,CU$40)=$AG92,$AC92,""),"")</f>
        <v/>
      </c>
      <c r="CV92" s="1153"/>
      <c r="CW92" s="1153"/>
      <c r="CX92" s="1153"/>
      <c r="CY92" s="1153" t="str">
        <f>IF($AI92,IF(LARGE($AG$41:$AH$107,CY$40)=$AG92,$AC92,""),"")</f>
        <v/>
      </c>
      <c r="CZ92" s="1153"/>
      <c r="DA92" s="1153"/>
      <c r="DB92" s="1153"/>
      <c r="DC92" s="1153" t="str">
        <f>IF($AI92,IF(LARGE($AG$41:$AH$107,DC$40)=$AG92,$AC92,""),"")</f>
        <v/>
      </c>
      <c r="DD92" s="1153"/>
      <c r="DE92" s="1153"/>
      <c r="DF92" s="1153"/>
      <c r="DG92" s="1153" t="str">
        <f>IF($AI92,IF(LARGE($AG$41:$AH$107,DG$40)=$AG92,$AC92,""),"")</f>
        <v/>
      </c>
      <c r="DH92" s="1153"/>
      <c r="DI92" s="1153"/>
      <c r="DJ92" s="1153"/>
      <c r="DK92" s="1153" t="str">
        <f>IF($AI92,IF(LARGE($AG$41:$AH$107,DK$40)=$AG92,$AC92,""),"")</f>
        <v/>
      </c>
      <c r="DL92" s="1153"/>
      <c r="DM92" s="1153"/>
      <c r="DN92" s="1153"/>
      <c r="DO92" s="1153" t="str">
        <f>IF($AI92,IF(LARGE($AG$41:$AH$107,DO$40)=$AG92,$AC92,""),"")</f>
        <v/>
      </c>
      <c r="DP92" s="1153"/>
      <c r="DQ92" s="1153"/>
      <c r="DR92" s="1153"/>
      <c r="DS92" s="1153" t="str">
        <f>IF($AI92,IF(LARGE($AG$41:$AH$107,DS$40)=$AG92,$AC92,""),"")</f>
        <v/>
      </c>
      <c r="DT92" s="1153"/>
      <c r="DU92" s="1153"/>
      <c r="DV92" s="1153"/>
      <c r="DW92" s="1153" t="str">
        <f>IF($AI92,IF(LARGE($AG$41:$AH$107,DW$40)=$AG92,$AC92,""),"")</f>
        <v/>
      </c>
      <c r="DX92" s="1153"/>
      <c r="DY92" s="1153"/>
      <c r="DZ92" s="1153"/>
      <c r="EA92" s="1153" t="str">
        <f>IF($AI92,IF(LARGE($AG$41:$AH$107,EA$40)=$AG92,$AC92,""),"")</f>
        <v/>
      </c>
      <c r="EB92" s="1153"/>
      <c r="EC92" s="1153"/>
      <c r="ED92" s="1153"/>
      <c r="EE92" s="1153" t="str">
        <f>IF($AI92,IF(LARGE($AG$41:$AH$107,EE$40)=$AG92,$AC92,""),"")</f>
        <v/>
      </c>
      <c r="EF92" s="1153"/>
      <c r="EG92" s="1153"/>
      <c r="EH92" s="1153"/>
      <c r="EI92" s="1153" t="str">
        <f>IF($AI92,IF(LARGE($AG$41:$AH$107,EI$40)=$AG92,$AC92,""),"")</f>
        <v/>
      </c>
      <c r="EJ92" s="1153"/>
      <c r="EK92" s="1153"/>
      <c r="EL92" s="1153"/>
      <c r="EM92" s="1153" t="str">
        <f>IF($AI92,IF(LARGE($AG$41:$AH$107,EM$40)=$AG92,$AC92,""),"")</f>
        <v/>
      </c>
      <c r="EN92" s="1153"/>
      <c r="EO92" s="1153"/>
      <c r="EP92" s="1153"/>
      <c r="EQ92" s="1153" t="str">
        <f>IF($AI92,IF(LARGE($AG$41:$AH$107,EQ$40)=$AG92,$AC92,""),"")</f>
        <v/>
      </c>
      <c r="ER92" s="1153"/>
      <c r="ES92" s="1153"/>
      <c r="ET92" s="1153"/>
      <c r="EU92" s="1153" t="str">
        <f>IF($AI92,IF(LARGE($AG$41:$AH$107,EU$40)=$AG92,$AC92,""),"")</f>
        <v/>
      </c>
      <c r="EV92" s="1153"/>
      <c r="EW92" s="1153"/>
      <c r="EX92" s="1153"/>
      <c r="EY92" s="1153" t="str">
        <f>IF($AI92,IF(LARGE($AG$41:$AH$107,EY$40)=$AG92,$AC92,""),"")</f>
        <v/>
      </c>
      <c r="EZ92" s="1153"/>
      <c r="FA92" s="1153"/>
      <c r="FB92" s="1153"/>
      <c r="FC92" s="1153" t="str">
        <f>IF($AI92,IF(LARGE($AG$41:$AH$107,FC$40)=$AG92,$AC92,""),"")</f>
        <v/>
      </c>
      <c r="FD92" s="1153"/>
      <c r="FE92" s="1153"/>
      <c r="FF92" s="1153"/>
      <c r="FG92" s="1153" t="str">
        <f>IF($AI92,IF(LARGE($AG$41:$AH$107,FG$40)=$AG92,$AC92,""),"")</f>
        <v/>
      </c>
      <c r="FH92" s="1153"/>
      <c r="FI92" s="1153"/>
      <c r="FJ92" s="1153"/>
      <c r="FK92" s="1153" t="str">
        <f>IF($AI92,IF(LARGE($AG$41:$AH$107,FK$40)=$AG92,$AC92,""),"")</f>
        <v/>
      </c>
      <c r="FL92" s="1153"/>
      <c r="FM92" s="1153"/>
      <c r="FN92" s="1153"/>
      <c r="FO92" s="1153" t="str">
        <f>IF($AI92,IF(LARGE($AG$41:$AH$107,FO$40)=$AG92,$AC92,""),"")</f>
        <v/>
      </c>
      <c r="FP92" s="1153"/>
      <c r="FQ92" s="1153"/>
      <c r="FR92" s="1153"/>
      <c r="FS92" s="1153" t="str">
        <f>IF($AI92,IF(LARGE($AG$41:$AH$107,FS$40)=$AG92,$AC92,""),"")</f>
        <v/>
      </c>
      <c r="FT92" s="1153"/>
      <c r="FU92" s="1153"/>
      <c r="FV92" s="1153"/>
      <c r="FW92" s="1153" t="str">
        <f>IF($AI92,IF(LARGE($AG$41:$AH$107,FW$40)=$AG92,$AC92,""),"")</f>
        <v/>
      </c>
      <c r="FX92" s="1153"/>
      <c r="FY92" s="1153"/>
      <c r="FZ92" s="1153"/>
      <c r="GA92" s="1153" t="str">
        <f>IF($AI92,IF(LARGE($AG$41:$AH$107,GA$40)=$AG92,$AC92,""),"")</f>
        <v/>
      </c>
      <c r="GB92" s="1153"/>
      <c r="GC92" s="1153"/>
      <c r="GD92" s="1153"/>
      <c r="GE92" s="1153" t="str">
        <f>IF($AI92,IF(LARGE($AG$41:$AH$107,GE$40)=$AG92,$AC92,""),"")</f>
        <v/>
      </c>
      <c r="GF92" s="1153"/>
      <c r="GG92" s="1153"/>
      <c r="GH92" s="1153"/>
      <c r="GI92" s="1153" t="str">
        <f>IF($AI92,IF(LARGE($AG$41:$AH$107,GI$40)=$AG92,$AC92,""),"")</f>
        <v/>
      </c>
      <c r="GJ92" s="1153"/>
      <c r="GK92" s="1153"/>
      <c r="GL92" s="1153"/>
      <c r="GM92" s="1153" t="str">
        <f>IF($AI92,IF(LARGE($AG$41:$AH$107,GM$40)=$AG92,$AC92,""),"")</f>
        <v/>
      </c>
      <c r="GN92" s="1153"/>
      <c r="GO92" s="1153"/>
      <c r="GP92" s="1153"/>
      <c r="GQ92" s="1153" t="str">
        <f>IF($AI92,IF(LARGE($AG$41:$AH$107,GQ$40)=$AG92,$AC92,""),"")</f>
        <v/>
      </c>
      <c r="GR92" s="1153"/>
      <c r="GS92" s="1153"/>
      <c r="GT92" s="1153"/>
      <c r="GU92" s="1153" t="str">
        <f>IF($AI92,IF(LARGE($AG$41:$AH$107,GU$40)=$AG92,$AC92,""),"")</f>
        <v/>
      </c>
      <c r="GV92" s="1153"/>
      <c r="GW92" s="1153"/>
      <c r="GX92" s="1153"/>
      <c r="GY92" s="1153" t="str">
        <f>IF($AI92,IF(LARGE($AG$41:$AH$107,GY$40)=$AG92,$AC92,""),"")</f>
        <v/>
      </c>
      <c r="GZ92" s="1153"/>
      <c r="HA92" s="1153"/>
      <c r="HB92" s="1153"/>
      <c r="HC92" s="1153" t="str">
        <f>IF($AI92,IF(LARGE($AG$41:$AH$107,HC$40)=$AG92,$AC92,""),"")</f>
        <v/>
      </c>
      <c r="HD92" s="1153"/>
      <c r="HE92" s="1153"/>
      <c r="HF92" s="1153"/>
      <c r="HG92" s="1153" t="str">
        <f>IF($AI92,IF(LARGE($AG$41:$AH$107,HG$40)=$AG92,$AC92,""),"")</f>
        <v/>
      </c>
      <c r="HH92" s="1153"/>
      <c r="HI92" s="1153"/>
      <c r="HJ92" s="1153"/>
      <c r="HK92" s="1153" t="str">
        <f>IF($AI92,IF(LARGE($AG$41:$AH$107,HK$40)=$AG92,$AC92,""),"")</f>
        <v/>
      </c>
      <c r="HL92" s="1153"/>
      <c r="HM92" s="1153"/>
      <c r="HN92" s="1153"/>
      <c r="HO92" s="1153" t="str">
        <f>IF($AI92,IF(LARGE($AG$41:$AH$107,HO$40)=$AG92,$AC92,""),"")</f>
        <v/>
      </c>
      <c r="HP92" s="1153"/>
      <c r="HQ92" s="1153"/>
      <c r="HR92" s="1153"/>
      <c r="HS92" s="1153" t="str">
        <f>IF($AI92,IF(LARGE($AG$41:$AH$107,HS$40)=$AG92,$AC92,""),"")</f>
        <v/>
      </c>
      <c r="HT92" s="1153"/>
      <c r="HU92" s="1153"/>
      <c r="HV92" s="1153"/>
      <c r="HW92" s="1153" t="str">
        <f>IF($AI92,IF(LARGE($AG$41:$AH$107,HW$40)=$AG92,$AC92,""),"")</f>
        <v/>
      </c>
      <c r="HX92" s="1153"/>
      <c r="HY92" s="1153"/>
      <c r="HZ92" s="1153"/>
      <c r="IA92" s="1153" t="str">
        <f>IF($AI92,IF(LARGE($AG$41:$AH$107,IA$40)=$AG92,$AC92,""),"")</f>
        <v/>
      </c>
      <c r="IB92" s="1153"/>
      <c r="IC92" s="1153"/>
      <c r="ID92" s="1153"/>
      <c r="IE92" s="1153" t="str">
        <f>IF($AI92,IF(LARGE($AG$41:$AH$107,IE$40)=$AG92,$AC92,""),"")</f>
        <v/>
      </c>
      <c r="IF92" s="1153"/>
      <c r="IG92" s="1153"/>
      <c r="IH92" s="1153"/>
      <c r="II92" s="1153" t="str">
        <f>IF($AI92,IF(LARGE($AG$41:$AH$107,II$40)=$AG92,$AC92,""),"")</f>
        <v/>
      </c>
      <c r="IJ92" s="1153"/>
      <c r="IK92" s="1153"/>
      <c r="IL92" s="1153"/>
      <c r="IM92" s="1153" t="str">
        <f>IF($AI92,IF(LARGE($AG$41:$AH$107,IM$40)=$AG92,$AC92,""),"")</f>
        <v/>
      </c>
      <c r="IN92" s="1153"/>
      <c r="IO92" s="1153"/>
      <c r="IP92" s="1153"/>
      <c r="IQ92" s="1153" t="str">
        <f>IF($AI92,IF(LARGE($AG$41:$AH$107,IQ$40)=$AG92,$AC92,""),"")</f>
        <v/>
      </c>
      <c r="IR92" s="1153"/>
      <c r="IS92" s="1153"/>
      <c r="IT92" s="1153"/>
      <c r="IU92" s="1153" t="str">
        <f>IF($AI92,IF(LARGE($AG$41:$AH$107,IU$40)=$AG92,$AC92,""),"")</f>
        <v/>
      </c>
      <c r="IV92" s="1153"/>
      <c r="IW92" s="1153"/>
      <c r="IX92" s="1153"/>
      <c r="IY92" s="1153" t="str">
        <f>IF($AI92,IF(LARGE($AG$41:$AH$107,IY$40)=$AG92,$AC92,""),"")</f>
        <v/>
      </c>
      <c r="IZ92" s="1153"/>
      <c r="JA92" s="1153"/>
      <c r="JB92" s="1153"/>
      <c r="JC92" s="1153" t="str">
        <f>IF($AI92,IF(LARGE($AG$41:$AH$107,JC$40)=$AG92,$AC92,""),"")</f>
        <v/>
      </c>
      <c r="JD92" s="1153"/>
      <c r="JE92" s="1153"/>
      <c r="JF92" s="1153"/>
      <c r="JG92" s="1153" t="str">
        <f>IF($AI92,IF(LARGE($AG$41:$AH$107,JG$40)=$AG92,$AC92,""),"")</f>
        <v/>
      </c>
      <c r="JH92" s="1153"/>
      <c r="JI92" s="1153"/>
      <c r="JJ92" s="1153"/>
      <c r="JK92" s="1153" t="str">
        <f>IF($AI92,IF(LARGE($AG$41:$AH$107,JK$40)=$AG92,$AC92,""),"")</f>
        <v/>
      </c>
      <c r="JL92" s="1153"/>
      <c r="JM92" s="1153"/>
      <c r="JN92" s="1153"/>
      <c r="JO92" s="1153" t="str">
        <f>IF($AI92,IF(LARGE($AG$41:$AH$107,JO$40)=$AG92,$AC92,""),"")</f>
        <v/>
      </c>
      <c r="JP92" s="1153"/>
      <c r="JQ92" s="1153"/>
      <c r="JR92" s="1153"/>
      <c r="JS92" s="1153" t="str">
        <f>IF($AI92,IF(LARGE($AG$41:$AH$107,JS$40)=$AG92,$AC92,""),"")</f>
        <v/>
      </c>
      <c r="JT92" s="1153"/>
      <c r="JU92" s="1153"/>
      <c r="JV92" s="1153"/>
      <c r="JW92" s="1153" t="str">
        <f>IF($AI92,IF(LARGE($AG$41:$AH$107,JW$40)=$AG92,$AC92,""),"")</f>
        <v/>
      </c>
      <c r="JX92" s="1153"/>
      <c r="JY92" s="1153"/>
      <c r="JZ92" s="1153"/>
      <c r="KA92" s="1153" t="str">
        <f>IF($AI92,IF(LARGE($AG$41:$AH$107,KA$40)=$AG92,$AC92,""),"")</f>
        <v/>
      </c>
      <c r="KB92" s="1153"/>
      <c r="KC92" s="1153"/>
      <c r="KD92" s="1153"/>
      <c r="KE92" s="1153" t="str">
        <f>IF($AI92,IF(LARGE($AG$41:$AH$107,KE$40)=$AG92,$AC92,""),"")</f>
        <v/>
      </c>
      <c r="KF92" s="1153"/>
      <c r="KG92" s="1153"/>
      <c r="KH92" s="1153"/>
      <c r="KI92" s="1153" t="str">
        <f>IF($AI92,IF(LARGE($AG$41:$AH$107,KI$40)=$AG92,$AC92,""),"")</f>
        <v/>
      </c>
      <c r="KJ92" s="1153"/>
      <c r="KK92" s="1153"/>
      <c r="KL92" s="1153"/>
      <c r="KM92" s="1153" t="str">
        <f>IF($AI92,IF(LARGE($AG$41:$AH$107,KM$40)=$AG92,$AC92,""),"")</f>
        <v/>
      </c>
      <c r="KN92" s="1153"/>
      <c r="KO92" s="1153"/>
      <c r="KP92" s="1153"/>
      <c r="KQ92" s="1153" t="str">
        <f>IF($AI92,IF(LARGE($AG$41:$AH$107,KQ$40)=$AG92,$AC92,""),"")</f>
        <v/>
      </c>
      <c r="KR92" s="1153"/>
      <c r="KS92" s="1153"/>
      <c r="KT92" s="1153"/>
    </row>
    <row r="93" spans="8:8">
      <c r="C93" s="1153" t="str">
        <f>IF(Z23="","",CONCATENATE(" ",AR23,Z23,AB23))</f>
        <v> 👋妙手</v>
      </c>
      <c r="D93" s="1153"/>
      <c r="E93" s="1153"/>
      <c r="F93" s="1153"/>
      <c r="G93" s="1155" t="str">
        <f>IF(AND(AF23=0,AH23=0),"",IF(ISNONTEXT(X23),"",AL23))</f>
        <v/>
      </c>
      <c r="H93" s="1155"/>
      <c r="I93" s="1153" t="str">
        <f>IF(G93=$G$40,C93,"")</f>
        <v/>
      </c>
      <c r="J93" s="1153"/>
      <c r="K93" s="1153"/>
      <c r="L93" s="1153"/>
      <c r="M93" s="1154">
        <f>IF(AND(NOT(AH23=0),ISNONTEXT(X23)),1,0)</f>
        <v>0.0</v>
      </c>
      <c r="N93" s="1122"/>
      <c r="O93" s="1122"/>
      <c r="P93" s="1153" t="str">
        <f>IF(Z23="","",CONCATENATE(" ",AR23,Z23,AB23))</f>
        <v> 👋妙手</v>
      </c>
      <c r="Q93" s="1153"/>
      <c r="R93" s="1153"/>
      <c r="S93" s="1153"/>
      <c r="T93" s="1155" t="str">
        <f>IF(AND(AF23=0,AJ23=0),"",IF(ISNONTEXT(X23),AL23,""))</f>
        <v/>
      </c>
      <c r="U93" s="1155"/>
      <c r="V93" s="1153" t="str">
        <f>IF(T93=$T$40,P93,"")</f>
        <v/>
      </c>
      <c r="W93" s="1153"/>
      <c r="X93" s="1153"/>
      <c r="Y93" s="1153"/>
      <c r="AB93" s="1122"/>
      <c r="AC93" s="1153" t="str">
        <f>IF(Z23="","",CONCATENATE(AR23,Z23,AB23))</f>
        <v>👋妙手</v>
      </c>
      <c r="AD93" s="1153"/>
      <c r="AE93" s="1153"/>
      <c r="AF93" s="1153"/>
      <c r="AG93" s="1155">
        <f>AL23</f>
        <v>10.0</v>
      </c>
      <c r="AH93" s="1155"/>
      <c r="AI93" s="1153" t="b">
        <f>IF(AND(OR(ISNUMBER(AF23),ISNUMBER(AH23),ISNUMBER(AJ23)),OR(AF23&gt;0,AH23&gt;0,AJ23&gt;0)),TRUE,FALSE)</f>
        <v>0</v>
      </c>
      <c r="AJ93" s="1153"/>
      <c r="AK93" s="1153"/>
      <c r="AL93" s="1153"/>
      <c r="AM93" s="1153" t="str">
        <f>IF($AI93,IF(LARGE($AG$41:$AH$107,AM$40)=$AG93,$AC93,""),"")</f>
        <v/>
      </c>
      <c r="AN93" s="1153"/>
      <c r="AO93" s="1153"/>
      <c r="AP93" s="1153"/>
      <c r="AQ93" s="1153" t="str">
        <f>IF($AI93,IF(LARGE($AG$41:$AH$107,AQ$40)=$AG93,$AC93,""),"")</f>
        <v/>
      </c>
      <c r="AR93" s="1153"/>
      <c r="AS93" s="1153"/>
      <c r="AT93" s="1153"/>
      <c r="AU93" s="1153" t="str">
        <f>IF($AI93,IF(LARGE($AG$41:$AH$107,AU$40)=$AG93,$AC93,""),"")</f>
        <v/>
      </c>
      <c r="AV93" s="1153"/>
      <c r="AW93" s="1153"/>
      <c r="AX93" s="1153"/>
      <c r="AY93" s="1153" t="str">
        <f>IF($AI93,IF(LARGE($AG$41:$AH$107,AY$40)=$AG93,$AC93,""),"")</f>
        <v/>
      </c>
      <c r="AZ93" s="1153"/>
      <c r="BA93" s="1153"/>
      <c r="BB93" s="1153"/>
      <c r="BC93" s="1153" t="str">
        <f>IF($AI93,IF(LARGE($AG$41:$AH$107,BC$40)=$AG93,$AC93,""),"")</f>
        <v/>
      </c>
      <c r="BD93" s="1153"/>
      <c r="BE93" s="1153"/>
      <c r="BF93" s="1153"/>
      <c r="BG93" s="1153" t="str">
        <f>IF($AI93,IF(LARGE($AG$41:$AH$107,BG$40)=$AG93,$AC93,""),"")</f>
        <v/>
      </c>
      <c r="BH93" s="1153"/>
      <c r="BI93" s="1153"/>
      <c r="BJ93" s="1153"/>
      <c r="BK93" s="1153" t="str">
        <f>IF($AI93,IF(LARGE($AG$41:$AH$107,BK$40)=$AG93,$AC93,""),"")</f>
        <v/>
      </c>
      <c r="BL93" s="1153"/>
      <c r="BM93" s="1153"/>
      <c r="BN93" s="1153"/>
      <c r="BO93" s="1153" t="str">
        <f>IF($AI93,IF(LARGE($AG$41:$AH$107,BO$40)=$AG93,$AC93,""),"")</f>
        <v/>
      </c>
      <c r="BP93" s="1153"/>
      <c r="BQ93" s="1153"/>
      <c r="BR93" s="1153"/>
      <c r="BS93" s="1153" t="str">
        <f>IF($AI93,IF(LARGE($AG$41:$AH$107,BS$40)=$AG93,$AC93,""),"")</f>
        <v/>
      </c>
      <c r="BT93" s="1153"/>
      <c r="BU93" s="1153"/>
      <c r="BV93" s="1153"/>
      <c r="BW93" s="1153" t="str">
        <f>IF($AI93,IF(LARGE($AG$41:$AH$107,BW$40)=$AG93,$AC93,""),"")</f>
        <v/>
      </c>
      <c r="BX93" s="1153"/>
      <c r="BY93" s="1153"/>
      <c r="BZ93" s="1153"/>
      <c r="CA93" s="1153" t="str">
        <f>IF($AI93,IF(LARGE($AG$41:$AH$107,CA$40)=$AG93,$AC93,""),"")</f>
        <v/>
      </c>
      <c r="CB93" s="1153"/>
      <c r="CC93" s="1153"/>
      <c r="CD93" s="1153"/>
      <c r="CE93" s="1153" t="str">
        <f>IF($AI93,IF(LARGE($AG$41:$AH$107,CE$40)=$AG93,$AC93,""),"")</f>
        <v/>
      </c>
      <c r="CF93" s="1153"/>
      <c r="CG93" s="1153"/>
      <c r="CH93" s="1153"/>
      <c r="CI93" s="1153" t="str">
        <f>IF($AI93,IF(LARGE($AG$41:$AH$107,CI$40)=$AG93,$AC93,""),"")</f>
        <v/>
      </c>
      <c r="CJ93" s="1153"/>
      <c r="CK93" s="1153"/>
      <c r="CL93" s="1153"/>
      <c r="CM93" s="1153" t="str">
        <f>IF($AI93,IF(LARGE($AG$41:$AH$107,CM$40)=$AG93,$AC93,""),"")</f>
        <v/>
      </c>
      <c r="CN93" s="1153"/>
      <c r="CO93" s="1153"/>
      <c r="CP93" s="1153"/>
      <c r="CQ93" s="1153" t="str">
        <f>IF($AI93,IF(LARGE($AG$41:$AH$107,CQ$40)=$AG93,$AC93,""),"")</f>
        <v/>
      </c>
      <c r="CR93" s="1153"/>
      <c r="CS93" s="1153"/>
      <c r="CT93" s="1153"/>
      <c r="CU93" s="1153" t="str">
        <f>IF($AI93,IF(LARGE($AG$41:$AH$107,CU$40)=$AG93,$AC93,""),"")</f>
        <v/>
      </c>
      <c r="CV93" s="1153"/>
      <c r="CW93" s="1153"/>
      <c r="CX93" s="1153"/>
      <c r="CY93" s="1153" t="str">
        <f>IF($AI93,IF(LARGE($AG$41:$AH$107,CY$40)=$AG93,$AC93,""),"")</f>
        <v/>
      </c>
      <c r="CZ93" s="1153"/>
      <c r="DA93" s="1153"/>
      <c r="DB93" s="1153"/>
      <c r="DC93" s="1153" t="str">
        <f>IF($AI93,IF(LARGE($AG$41:$AH$107,DC$40)=$AG93,$AC93,""),"")</f>
        <v/>
      </c>
      <c r="DD93" s="1153"/>
      <c r="DE93" s="1153"/>
      <c r="DF93" s="1153"/>
      <c r="DG93" s="1153" t="str">
        <f>IF($AI93,IF(LARGE($AG$41:$AH$107,DG$40)=$AG93,$AC93,""),"")</f>
        <v/>
      </c>
      <c r="DH93" s="1153"/>
      <c r="DI93" s="1153"/>
      <c r="DJ93" s="1153"/>
      <c r="DK93" s="1153" t="str">
        <f>IF($AI93,IF(LARGE($AG$41:$AH$107,DK$40)=$AG93,$AC93,""),"")</f>
        <v/>
      </c>
      <c r="DL93" s="1153"/>
      <c r="DM93" s="1153"/>
      <c r="DN93" s="1153"/>
      <c r="DO93" s="1153" t="str">
        <f>IF($AI93,IF(LARGE($AG$41:$AH$107,DO$40)=$AG93,$AC93,""),"")</f>
        <v/>
      </c>
      <c r="DP93" s="1153"/>
      <c r="DQ93" s="1153"/>
      <c r="DR93" s="1153"/>
      <c r="DS93" s="1153" t="str">
        <f>IF($AI93,IF(LARGE($AG$41:$AH$107,DS$40)=$AG93,$AC93,""),"")</f>
        <v/>
      </c>
      <c r="DT93" s="1153"/>
      <c r="DU93" s="1153"/>
      <c r="DV93" s="1153"/>
      <c r="DW93" s="1153" t="str">
        <f>IF($AI93,IF(LARGE($AG$41:$AH$107,DW$40)=$AG93,$AC93,""),"")</f>
        <v/>
      </c>
      <c r="DX93" s="1153"/>
      <c r="DY93" s="1153"/>
      <c r="DZ93" s="1153"/>
      <c r="EA93" s="1153" t="str">
        <f>IF($AI93,IF(LARGE($AG$41:$AH$107,EA$40)=$AG93,$AC93,""),"")</f>
        <v/>
      </c>
      <c r="EB93" s="1153"/>
      <c r="EC93" s="1153"/>
      <c r="ED93" s="1153"/>
      <c r="EE93" s="1153" t="str">
        <f>IF($AI93,IF(LARGE($AG$41:$AH$107,EE$40)=$AG93,$AC93,""),"")</f>
        <v/>
      </c>
      <c r="EF93" s="1153"/>
      <c r="EG93" s="1153"/>
      <c r="EH93" s="1153"/>
      <c r="EI93" s="1153" t="str">
        <f>IF($AI93,IF(LARGE($AG$41:$AH$107,EI$40)=$AG93,$AC93,""),"")</f>
        <v/>
      </c>
      <c r="EJ93" s="1153"/>
      <c r="EK93" s="1153"/>
      <c r="EL93" s="1153"/>
      <c r="EM93" s="1153" t="str">
        <f>IF($AI93,IF(LARGE($AG$41:$AH$107,EM$40)=$AG93,$AC93,""),"")</f>
        <v/>
      </c>
      <c r="EN93" s="1153"/>
      <c r="EO93" s="1153"/>
      <c r="EP93" s="1153"/>
      <c r="EQ93" s="1153" t="str">
        <f>IF($AI93,IF(LARGE($AG$41:$AH$107,EQ$40)=$AG93,$AC93,""),"")</f>
        <v/>
      </c>
      <c r="ER93" s="1153"/>
      <c r="ES93" s="1153"/>
      <c r="ET93" s="1153"/>
      <c r="EU93" s="1153" t="str">
        <f>IF($AI93,IF(LARGE($AG$41:$AH$107,EU$40)=$AG93,$AC93,""),"")</f>
        <v/>
      </c>
      <c r="EV93" s="1153"/>
      <c r="EW93" s="1153"/>
      <c r="EX93" s="1153"/>
      <c r="EY93" s="1153" t="str">
        <f>IF($AI93,IF(LARGE($AG$41:$AH$107,EY$40)=$AG93,$AC93,""),"")</f>
        <v/>
      </c>
      <c r="EZ93" s="1153"/>
      <c r="FA93" s="1153"/>
      <c r="FB93" s="1153"/>
      <c r="FC93" s="1153" t="str">
        <f>IF($AI93,IF(LARGE($AG$41:$AH$107,FC$40)=$AG93,$AC93,""),"")</f>
        <v/>
      </c>
      <c r="FD93" s="1153"/>
      <c r="FE93" s="1153"/>
      <c r="FF93" s="1153"/>
      <c r="FG93" s="1153" t="str">
        <f>IF($AI93,IF(LARGE($AG$41:$AH$107,FG$40)=$AG93,$AC93,""),"")</f>
        <v/>
      </c>
      <c r="FH93" s="1153"/>
      <c r="FI93" s="1153"/>
      <c r="FJ93" s="1153"/>
      <c r="FK93" s="1153" t="str">
        <f>IF($AI93,IF(LARGE($AG$41:$AH$107,FK$40)=$AG93,$AC93,""),"")</f>
        <v/>
      </c>
      <c r="FL93" s="1153"/>
      <c r="FM93" s="1153"/>
      <c r="FN93" s="1153"/>
      <c r="FO93" s="1153" t="str">
        <f>IF($AI93,IF(LARGE($AG$41:$AH$107,FO$40)=$AG93,$AC93,""),"")</f>
        <v/>
      </c>
      <c r="FP93" s="1153"/>
      <c r="FQ93" s="1153"/>
      <c r="FR93" s="1153"/>
      <c r="FS93" s="1153" t="str">
        <f>IF($AI93,IF(LARGE($AG$41:$AH$107,FS$40)=$AG93,$AC93,""),"")</f>
        <v/>
      </c>
      <c r="FT93" s="1153"/>
      <c r="FU93" s="1153"/>
      <c r="FV93" s="1153"/>
      <c r="FW93" s="1153" t="str">
        <f>IF($AI93,IF(LARGE($AG$41:$AH$107,FW$40)=$AG93,$AC93,""),"")</f>
        <v/>
      </c>
      <c r="FX93" s="1153"/>
      <c r="FY93" s="1153"/>
      <c r="FZ93" s="1153"/>
      <c r="GA93" s="1153" t="str">
        <f>IF($AI93,IF(LARGE($AG$41:$AH$107,GA$40)=$AG93,$AC93,""),"")</f>
        <v/>
      </c>
      <c r="GB93" s="1153"/>
      <c r="GC93" s="1153"/>
      <c r="GD93" s="1153"/>
      <c r="GE93" s="1153" t="str">
        <f>IF($AI93,IF(LARGE($AG$41:$AH$107,GE$40)=$AG93,$AC93,""),"")</f>
        <v/>
      </c>
      <c r="GF93" s="1153"/>
      <c r="GG93" s="1153"/>
      <c r="GH93" s="1153"/>
      <c r="GI93" s="1153" t="str">
        <f>IF($AI93,IF(LARGE($AG$41:$AH$107,GI$40)=$AG93,$AC93,""),"")</f>
        <v/>
      </c>
      <c r="GJ93" s="1153"/>
      <c r="GK93" s="1153"/>
      <c r="GL93" s="1153"/>
      <c r="GM93" s="1153" t="str">
        <f>IF($AI93,IF(LARGE($AG$41:$AH$107,GM$40)=$AG93,$AC93,""),"")</f>
        <v/>
      </c>
      <c r="GN93" s="1153"/>
      <c r="GO93" s="1153"/>
      <c r="GP93" s="1153"/>
      <c r="GQ93" s="1153" t="str">
        <f>IF($AI93,IF(LARGE($AG$41:$AH$107,GQ$40)=$AG93,$AC93,""),"")</f>
        <v/>
      </c>
      <c r="GR93" s="1153"/>
      <c r="GS93" s="1153"/>
      <c r="GT93" s="1153"/>
      <c r="GU93" s="1153" t="str">
        <f>IF($AI93,IF(LARGE($AG$41:$AH$107,GU$40)=$AG93,$AC93,""),"")</f>
        <v/>
      </c>
      <c r="GV93" s="1153"/>
      <c r="GW93" s="1153"/>
      <c r="GX93" s="1153"/>
      <c r="GY93" s="1153" t="str">
        <f>IF($AI93,IF(LARGE($AG$41:$AH$107,GY$40)=$AG93,$AC93,""),"")</f>
        <v/>
      </c>
      <c r="GZ93" s="1153"/>
      <c r="HA93" s="1153"/>
      <c r="HB93" s="1153"/>
      <c r="HC93" s="1153" t="str">
        <f>IF($AI93,IF(LARGE($AG$41:$AH$107,HC$40)=$AG93,$AC93,""),"")</f>
        <v/>
      </c>
      <c r="HD93" s="1153"/>
      <c r="HE93" s="1153"/>
      <c r="HF93" s="1153"/>
      <c r="HG93" s="1153" t="str">
        <f>IF($AI93,IF(LARGE($AG$41:$AH$107,HG$40)=$AG93,$AC93,""),"")</f>
        <v/>
      </c>
      <c r="HH93" s="1153"/>
      <c r="HI93" s="1153"/>
      <c r="HJ93" s="1153"/>
      <c r="HK93" s="1153" t="str">
        <f>IF($AI93,IF(LARGE($AG$41:$AH$107,HK$40)=$AG93,$AC93,""),"")</f>
        <v/>
      </c>
      <c r="HL93" s="1153"/>
      <c r="HM93" s="1153"/>
      <c r="HN93" s="1153"/>
      <c r="HO93" s="1153" t="str">
        <f>IF($AI93,IF(LARGE($AG$41:$AH$107,HO$40)=$AG93,$AC93,""),"")</f>
        <v/>
      </c>
      <c r="HP93" s="1153"/>
      <c r="HQ93" s="1153"/>
      <c r="HR93" s="1153"/>
      <c r="HS93" s="1153" t="str">
        <f>IF($AI93,IF(LARGE($AG$41:$AH$107,HS$40)=$AG93,$AC93,""),"")</f>
        <v/>
      </c>
      <c r="HT93" s="1153"/>
      <c r="HU93" s="1153"/>
      <c r="HV93" s="1153"/>
      <c r="HW93" s="1153" t="str">
        <f>IF($AI93,IF(LARGE($AG$41:$AH$107,HW$40)=$AG93,$AC93,""),"")</f>
        <v/>
      </c>
      <c r="HX93" s="1153"/>
      <c r="HY93" s="1153"/>
      <c r="HZ93" s="1153"/>
      <c r="IA93" s="1153" t="str">
        <f>IF($AI93,IF(LARGE($AG$41:$AH$107,IA$40)=$AG93,$AC93,""),"")</f>
        <v/>
      </c>
      <c r="IB93" s="1153"/>
      <c r="IC93" s="1153"/>
      <c r="ID93" s="1153"/>
      <c r="IE93" s="1153" t="str">
        <f>IF($AI93,IF(LARGE($AG$41:$AH$107,IE$40)=$AG93,$AC93,""),"")</f>
        <v/>
      </c>
      <c r="IF93" s="1153"/>
      <c r="IG93" s="1153"/>
      <c r="IH93" s="1153"/>
      <c r="II93" s="1153" t="str">
        <f>IF($AI93,IF(LARGE($AG$41:$AH$107,II$40)=$AG93,$AC93,""),"")</f>
        <v/>
      </c>
      <c r="IJ93" s="1153"/>
      <c r="IK93" s="1153"/>
      <c r="IL93" s="1153"/>
      <c r="IM93" s="1153" t="str">
        <f>IF($AI93,IF(LARGE($AG$41:$AH$107,IM$40)=$AG93,$AC93,""),"")</f>
        <v/>
      </c>
      <c r="IN93" s="1153"/>
      <c r="IO93" s="1153"/>
      <c r="IP93" s="1153"/>
      <c r="IQ93" s="1153" t="str">
        <f>IF($AI93,IF(LARGE($AG$41:$AH$107,IQ$40)=$AG93,$AC93,""),"")</f>
        <v/>
      </c>
      <c r="IR93" s="1153"/>
      <c r="IS93" s="1153"/>
      <c r="IT93" s="1153"/>
      <c r="IU93" s="1153" t="str">
        <f>IF($AI93,IF(LARGE($AG$41:$AH$107,IU$40)=$AG93,$AC93,""),"")</f>
        <v/>
      </c>
      <c r="IV93" s="1153"/>
      <c r="IW93" s="1153"/>
      <c r="IX93" s="1153"/>
      <c r="IY93" s="1153" t="str">
        <f>IF($AI93,IF(LARGE($AG$41:$AH$107,IY$40)=$AG93,$AC93,""),"")</f>
        <v/>
      </c>
      <c r="IZ93" s="1153"/>
      <c r="JA93" s="1153"/>
      <c r="JB93" s="1153"/>
      <c r="JC93" s="1153" t="str">
        <f>IF($AI93,IF(LARGE($AG$41:$AH$107,JC$40)=$AG93,$AC93,""),"")</f>
        <v/>
      </c>
      <c r="JD93" s="1153"/>
      <c r="JE93" s="1153"/>
      <c r="JF93" s="1153"/>
      <c r="JG93" s="1153" t="str">
        <f>IF($AI93,IF(LARGE($AG$41:$AH$107,JG$40)=$AG93,$AC93,""),"")</f>
        <v/>
      </c>
      <c r="JH93" s="1153"/>
      <c r="JI93" s="1153"/>
      <c r="JJ93" s="1153"/>
      <c r="JK93" s="1153" t="str">
        <f>IF($AI93,IF(LARGE($AG$41:$AH$107,JK$40)=$AG93,$AC93,""),"")</f>
        <v/>
      </c>
      <c r="JL93" s="1153"/>
      <c r="JM93" s="1153"/>
      <c r="JN93" s="1153"/>
      <c r="JO93" s="1153" t="str">
        <f>IF($AI93,IF(LARGE($AG$41:$AH$107,JO$40)=$AG93,$AC93,""),"")</f>
        <v/>
      </c>
      <c r="JP93" s="1153"/>
      <c r="JQ93" s="1153"/>
      <c r="JR93" s="1153"/>
      <c r="JS93" s="1153" t="str">
        <f>IF($AI93,IF(LARGE($AG$41:$AH$107,JS$40)=$AG93,$AC93,""),"")</f>
        <v/>
      </c>
      <c r="JT93" s="1153"/>
      <c r="JU93" s="1153"/>
      <c r="JV93" s="1153"/>
      <c r="JW93" s="1153" t="str">
        <f>IF($AI93,IF(LARGE($AG$41:$AH$107,JW$40)=$AG93,$AC93,""),"")</f>
        <v/>
      </c>
      <c r="JX93" s="1153"/>
      <c r="JY93" s="1153"/>
      <c r="JZ93" s="1153"/>
      <c r="KA93" s="1153" t="str">
        <f>IF($AI93,IF(LARGE($AG$41:$AH$107,KA$40)=$AG93,$AC93,""),"")</f>
        <v/>
      </c>
      <c r="KB93" s="1153"/>
      <c r="KC93" s="1153"/>
      <c r="KD93" s="1153"/>
      <c r="KE93" s="1153" t="str">
        <f>IF($AI93,IF(LARGE($AG$41:$AH$107,KE$40)=$AG93,$AC93,""),"")</f>
        <v/>
      </c>
      <c r="KF93" s="1153"/>
      <c r="KG93" s="1153"/>
      <c r="KH93" s="1153"/>
      <c r="KI93" s="1153" t="str">
        <f>IF($AI93,IF(LARGE($AG$41:$AH$107,KI$40)=$AG93,$AC93,""),"")</f>
        <v/>
      </c>
      <c r="KJ93" s="1153"/>
      <c r="KK93" s="1153"/>
      <c r="KL93" s="1153"/>
      <c r="KM93" s="1153" t="str">
        <f>IF($AI93,IF(LARGE($AG$41:$AH$107,KM$40)=$AG93,$AC93,""),"")</f>
        <v/>
      </c>
      <c r="KN93" s="1153"/>
      <c r="KO93" s="1153"/>
      <c r="KP93" s="1153"/>
      <c r="KQ93" s="1153" t="str">
        <f>IF($AI93,IF(LARGE($AG$41:$AH$107,KQ$40)=$AG93,$AC93,""),"")</f>
        <v/>
      </c>
      <c r="KR93" s="1153"/>
      <c r="KS93" s="1153"/>
      <c r="KT93" s="1153"/>
    </row>
    <row r="94" spans="8:8">
      <c r="C94" s="1153" t="str">
        <f>IF(Z24="","",CONCATENATE(" ",AR24,Z24,AB24))</f>
        <v> 👀侦查</v>
      </c>
      <c r="D94" s="1153"/>
      <c r="E94" s="1153"/>
      <c r="F94" s="1153"/>
      <c r="G94" s="1155" t="str">
        <f>IF(AND(AF24=0,AH24=0),"",IF(ISNONTEXT(X24),"",AL24))</f>
        <v/>
      </c>
      <c r="H94" s="1155"/>
      <c r="I94" s="1153" t="str">
        <f>IF(G94=$G$40,C94,"")</f>
        <v/>
      </c>
      <c r="J94" s="1153"/>
      <c r="K94" s="1153"/>
      <c r="L94" s="1153"/>
      <c r="M94" s="1154">
        <f>IF(AND(NOT(AH24=0),ISNONTEXT(X24)),1,0)</f>
        <v>0.0</v>
      </c>
      <c r="N94" s="1122"/>
      <c r="O94" s="1122"/>
      <c r="P94" s="1153" t="str">
        <f>IF(Z24="","",CONCATENATE(" ",AR24,Z24,AB24))</f>
        <v> 👀侦查</v>
      </c>
      <c r="Q94" s="1153"/>
      <c r="R94" s="1153"/>
      <c r="S94" s="1153"/>
      <c r="T94" s="1155" t="str">
        <f>IF(AND(AF24=0,AJ24=0),"",IF(ISNONTEXT(X24),AL24,""))</f>
        <v/>
      </c>
      <c r="U94" s="1155"/>
      <c r="V94" s="1153" t="str">
        <f>IF(T94=$T$40,P94,"")</f>
        <v/>
      </c>
      <c r="W94" s="1153"/>
      <c r="X94" s="1153"/>
      <c r="Y94" s="1153"/>
      <c r="AB94" s="1122"/>
      <c r="AC94" s="1153" t="str">
        <f>IF(Z24="","",CONCATENATE(AR24,Z24,AB24))</f>
        <v>👀侦查</v>
      </c>
      <c r="AD94" s="1153"/>
      <c r="AE94" s="1153"/>
      <c r="AF94" s="1153"/>
      <c r="AG94" s="1155">
        <f>AL24</f>
        <v>25.0</v>
      </c>
      <c r="AH94" s="1155"/>
      <c r="AI94" s="1153" t="b">
        <f>IF(AND(OR(ISNUMBER(AF24),ISNUMBER(AH24),ISNUMBER(AJ24)),OR(AF24&gt;0,AH24&gt;0,AJ24&gt;0)),TRUE,FALSE)</f>
        <v>0</v>
      </c>
      <c r="AJ94" s="1153"/>
      <c r="AK94" s="1153"/>
      <c r="AL94" s="1153"/>
      <c r="AM94" s="1153" t="str">
        <f>IF($AI94,IF(LARGE($AG$41:$AH$107,AM$40)=$AG94,$AC94,""),"")</f>
        <v/>
      </c>
      <c r="AN94" s="1153"/>
      <c r="AO94" s="1153"/>
      <c r="AP94" s="1153"/>
      <c r="AQ94" s="1153" t="str">
        <f>IF($AI94,IF(LARGE($AG$41:$AH$107,AQ$40)=$AG94,$AC94,""),"")</f>
        <v/>
      </c>
      <c r="AR94" s="1153"/>
      <c r="AS94" s="1153"/>
      <c r="AT94" s="1153"/>
      <c r="AU94" s="1153" t="str">
        <f>IF($AI94,IF(LARGE($AG$41:$AH$107,AU$40)=$AG94,$AC94,""),"")</f>
        <v/>
      </c>
      <c r="AV94" s="1153"/>
      <c r="AW94" s="1153"/>
      <c r="AX94" s="1153"/>
      <c r="AY94" s="1153" t="str">
        <f>IF($AI94,IF(LARGE($AG$41:$AH$107,AY$40)=$AG94,$AC94,""),"")</f>
        <v/>
      </c>
      <c r="AZ94" s="1153"/>
      <c r="BA94" s="1153"/>
      <c r="BB94" s="1153"/>
      <c r="BC94" s="1153" t="str">
        <f>IF($AI94,IF(LARGE($AG$41:$AH$107,BC$40)=$AG94,$AC94,""),"")</f>
        <v/>
      </c>
      <c r="BD94" s="1153"/>
      <c r="BE94" s="1153"/>
      <c r="BF94" s="1153"/>
      <c r="BG94" s="1153" t="str">
        <f>IF($AI94,IF(LARGE($AG$41:$AH$107,BG$40)=$AG94,$AC94,""),"")</f>
        <v/>
      </c>
      <c r="BH94" s="1153"/>
      <c r="BI94" s="1153"/>
      <c r="BJ94" s="1153"/>
      <c r="BK94" s="1153" t="str">
        <f>IF($AI94,IF(LARGE($AG$41:$AH$107,BK$40)=$AG94,$AC94,""),"")</f>
        <v/>
      </c>
      <c r="BL94" s="1153"/>
      <c r="BM94" s="1153"/>
      <c r="BN94" s="1153"/>
      <c r="BO94" s="1153" t="str">
        <f>IF($AI94,IF(LARGE($AG$41:$AH$107,BO$40)=$AG94,$AC94,""),"")</f>
        <v/>
      </c>
      <c r="BP94" s="1153"/>
      <c r="BQ94" s="1153"/>
      <c r="BR94" s="1153"/>
      <c r="BS94" s="1153" t="str">
        <f>IF($AI94,IF(LARGE($AG$41:$AH$107,BS$40)=$AG94,$AC94,""),"")</f>
        <v/>
      </c>
      <c r="BT94" s="1153"/>
      <c r="BU94" s="1153"/>
      <c r="BV94" s="1153"/>
      <c r="BW94" s="1153" t="str">
        <f>IF($AI94,IF(LARGE($AG$41:$AH$107,BW$40)=$AG94,$AC94,""),"")</f>
        <v/>
      </c>
      <c r="BX94" s="1153"/>
      <c r="BY94" s="1153"/>
      <c r="BZ94" s="1153"/>
      <c r="CA94" s="1153" t="str">
        <f>IF($AI94,IF(LARGE($AG$41:$AH$107,CA$40)=$AG94,$AC94,""),"")</f>
        <v/>
      </c>
      <c r="CB94" s="1153"/>
      <c r="CC94" s="1153"/>
      <c r="CD94" s="1153"/>
      <c r="CE94" s="1153" t="str">
        <f>IF($AI94,IF(LARGE($AG$41:$AH$107,CE$40)=$AG94,$AC94,""),"")</f>
        <v/>
      </c>
      <c r="CF94" s="1153"/>
      <c r="CG94" s="1153"/>
      <c r="CH94" s="1153"/>
      <c r="CI94" s="1153" t="str">
        <f>IF($AI94,IF(LARGE($AG$41:$AH$107,CI$40)=$AG94,$AC94,""),"")</f>
        <v/>
      </c>
      <c r="CJ94" s="1153"/>
      <c r="CK94" s="1153"/>
      <c r="CL94" s="1153"/>
      <c r="CM94" s="1153" t="str">
        <f>IF($AI94,IF(LARGE($AG$41:$AH$107,CM$40)=$AG94,$AC94,""),"")</f>
        <v/>
      </c>
      <c r="CN94" s="1153"/>
      <c r="CO94" s="1153"/>
      <c r="CP94" s="1153"/>
      <c r="CQ94" s="1153" t="str">
        <f>IF($AI94,IF(LARGE($AG$41:$AH$107,CQ$40)=$AG94,$AC94,""),"")</f>
        <v/>
      </c>
      <c r="CR94" s="1153"/>
      <c r="CS94" s="1153"/>
      <c r="CT94" s="1153"/>
      <c r="CU94" s="1153" t="str">
        <f>IF($AI94,IF(LARGE($AG$41:$AH$107,CU$40)=$AG94,$AC94,""),"")</f>
        <v/>
      </c>
      <c r="CV94" s="1153"/>
      <c r="CW94" s="1153"/>
      <c r="CX94" s="1153"/>
      <c r="CY94" s="1153" t="str">
        <f>IF($AI94,IF(LARGE($AG$41:$AH$107,CY$40)=$AG94,$AC94,""),"")</f>
        <v/>
      </c>
      <c r="CZ94" s="1153"/>
      <c r="DA94" s="1153"/>
      <c r="DB94" s="1153"/>
      <c r="DC94" s="1153" t="str">
        <f>IF($AI94,IF(LARGE($AG$41:$AH$107,DC$40)=$AG94,$AC94,""),"")</f>
        <v/>
      </c>
      <c r="DD94" s="1153"/>
      <c r="DE94" s="1153"/>
      <c r="DF94" s="1153"/>
      <c r="DG94" s="1153" t="str">
        <f>IF($AI94,IF(LARGE($AG$41:$AH$107,DG$40)=$AG94,$AC94,""),"")</f>
        <v/>
      </c>
      <c r="DH94" s="1153"/>
      <c r="DI94" s="1153"/>
      <c r="DJ94" s="1153"/>
      <c r="DK94" s="1153" t="str">
        <f>IF($AI94,IF(LARGE($AG$41:$AH$107,DK$40)=$AG94,$AC94,""),"")</f>
        <v/>
      </c>
      <c r="DL94" s="1153"/>
      <c r="DM94" s="1153"/>
      <c r="DN94" s="1153"/>
      <c r="DO94" s="1153" t="str">
        <f>IF($AI94,IF(LARGE($AG$41:$AH$107,DO$40)=$AG94,$AC94,""),"")</f>
        <v/>
      </c>
      <c r="DP94" s="1153"/>
      <c r="DQ94" s="1153"/>
      <c r="DR94" s="1153"/>
      <c r="DS94" s="1153" t="str">
        <f>IF($AI94,IF(LARGE($AG$41:$AH$107,DS$40)=$AG94,$AC94,""),"")</f>
        <v/>
      </c>
      <c r="DT94" s="1153"/>
      <c r="DU94" s="1153"/>
      <c r="DV94" s="1153"/>
      <c r="DW94" s="1153" t="str">
        <f>IF($AI94,IF(LARGE($AG$41:$AH$107,DW$40)=$AG94,$AC94,""),"")</f>
        <v/>
      </c>
      <c r="DX94" s="1153"/>
      <c r="DY94" s="1153"/>
      <c r="DZ94" s="1153"/>
      <c r="EA94" s="1153" t="str">
        <f>IF($AI94,IF(LARGE($AG$41:$AH$107,EA$40)=$AG94,$AC94,""),"")</f>
        <v/>
      </c>
      <c r="EB94" s="1153"/>
      <c r="EC94" s="1153"/>
      <c r="ED94" s="1153"/>
      <c r="EE94" s="1153" t="str">
        <f>IF($AI94,IF(LARGE($AG$41:$AH$107,EE$40)=$AG94,$AC94,""),"")</f>
        <v/>
      </c>
      <c r="EF94" s="1153"/>
      <c r="EG94" s="1153"/>
      <c r="EH94" s="1153"/>
      <c r="EI94" s="1153" t="str">
        <f>IF($AI94,IF(LARGE($AG$41:$AH$107,EI$40)=$AG94,$AC94,""),"")</f>
        <v/>
      </c>
      <c r="EJ94" s="1153"/>
      <c r="EK94" s="1153"/>
      <c r="EL94" s="1153"/>
      <c r="EM94" s="1153" t="str">
        <f>IF($AI94,IF(LARGE($AG$41:$AH$107,EM$40)=$AG94,$AC94,""),"")</f>
        <v/>
      </c>
      <c r="EN94" s="1153"/>
      <c r="EO94" s="1153"/>
      <c r="EP94" s="1153"/>
      <c r="EQ94" s="1153" t="str">
        <f>IF($AI94,IF(LARGE($AG$41:$AH$107,EQ$40)=$AG94,$AC94,""),"")</f>
        <v/>
      </c>
      <c r="ER94" s="1153"/>
      <c r="ES94" s="1153"/>
      <c r="ET94" s="1153"/>
      <c r="EU94" s="1153" t="str">
        <f>IF($AI94,IF(LARGE($AG$41:$AH$107,EU$40)=$AG94,$AC94,""),"")</f>
        <v/>
      </c>
      <c r="EV94" s="1153"/>
      <c r="EW94" s="1153"/>
      <c r="EX94" s="1153"/>
      <c r="EY94" s="1153" t="str">
        <f>IF($AI94,IF(LARGE($AG$41:$AH$107,EY$40)=$AG94,$AC94,""),"")</f>
        <v/>
      </c>
      <c r="EZ94" s="1153"/>
      <c r="FA94" s="1153"/>
      <c r="FB94" s="1153"/>
      <c r="FC94" s="1153" t="str">
        <f>IF($AI94,IF(LARGE($AG$41:$AH$107,FC$40)=$AG94,$AC94,""),"")</f>
        <v/>
      </c>
      <c r="FD94" s="1153"/>
      <c r="FE94" s="1153"/>
      <c r="FF94" s="1153"/>
      <c r="FG94" s="1153" t="str">
        <f>IF($AI94,IF(LARGE($AG$41:$AH$107,FG$40)=$AG94,$AC94,""),"")</f>
        <v/>
      </c>
      <c r="FH94" s="1153"/>
      <c r="FI94" s="1153"/>
      <c r="FJ94" s="1153"/>
      <c r="FK94" s="1153" t="str">
        <f>IF($AI94,IF(LARGE($AG$41:$AH$107,FK$40)=$AG94,$AC94,""),"")</f>
        <v/>
      </c>
      <c r="FL94" s="1153"/>
      <c r="FM94" s="1153"/>
      <c r="FN94" s="1153"/>
      <c r="FO94" s="1153" t="str">
        <f>IF($AI94,IF(LARGE($AG$41:$AH$107,FO$40)=$AG94,$AC94,""),"")</f>
        <v/>
      </c>
      <c r="FP94" s="1153"/>
      <c r="FQ94" s="1153"/>
      <c r="FR94" s="1153"/>
      <c r="FS94" s="1153" t="str">
        <f>IF($AI94,IF(LARGE($AG$41:$AH$107,FS$40)=$AG94,$AC94,""),"")</f>
        <v/>
      </c>
      <c r="FT94" s="1153"/>
      <c r="FU94" s="1153"/>
      <c r="FV94" s="1153"/>
      <c r="FW94" s="1153" t="str">
        <f>IF($AI94,IF(LARGE($AG$41:$AH$107,FW$40)=$AG94,$AC94,""),"")</f>
        <v/>
      </c>
      <c r="FX94" s="1153"/>
      <c r="FY94" s="1153"/>
      <c r="FZ94" s="1153"/>
      <c r="GA94" s="1153" t="str">
        <f>IF($AI94,IF(LARGE($AG$41:$AH$107,GA$40)=$AG94,$AC94,""),"")</f>
        <v/>
      </c>
      <c r="GB94" s="1153"/>
      <c r="GC94" s="1153"/>
      <c r="GD94" s="1153"/>
      <c r="GE94" s="1153" t="str">
        <f>IF($AI94,IF(LARGE($AG$41:$AH$107,GE$40)=$AG94,$AC94,""),"")</f>
        <v/>
      </c>
      <c r="GF94" s="1153"/>
      <c r="GG94" s="1153"/>
      <c r="GH94" s="1153"/>
      <c r="GI94" s="1153" t="str">
        <f>IF($AI94,IF(LARGE($AG$41:$AH$107,GI$40)=$AG94,$AC94,""),"")</f>
        <v/>
      </c>
      <c r="GJ94" s="1153"/>
      <c r="GK94" s="1153"/>
      <c r="GL94" s="1153"/>
      <c r="GM94" s="1153" t="str">
        <f>IF($AI94,IF(LARGE($AG$41:$AH$107,GM$40)=$AG94,$AC94,""),"")</f>
        <v/>
      </c>
      <c r="GN94" s="1153"/>
      <c r="GO94" s="1153"/>
      <c r="GP94" s="1153"/>
      <c r="GQ94" s="1153" t="str">
        <f>IF($AI94,IF(LARGE($AG$41:$AH$107,GQ$40)=$AG94,$AC94,""),"")</f>
        <v/>
      </c>
      <c r="GR94" s="1153"/>
      <c r="GS94" s="1153"/>
      <c r="GT94" s="1153"/>
      <c r="GU94" s="1153" t="str">
        <f>IF($AI94,IF(LARGE($AG$41:$AH$107,GU$40)=$AG94,$AC94,""),"")</f>
        <v/>
      </c>
      <c r="GV94" s="1153"/>
      <c r="GW94" s="1153"/>
      <c r="GX94" s="1153"/>
      <c r="GY94" s="1153" t="str">
        <f>IF($AI94,IF(LARGE($AG$41:$AH$107,GY$40)=$AG94,$AC94,""),"")</f>
        <v/>
      </c>
      <c r="GZ94" s="1153"/>
      <c r="HA94" s="1153"/>
      <c r="HB94" s="1153"/>
      <c r="HC94" s="1153" t="str">
        <f>IF($AI94,IF(LARGE($AG$41:$AH$107,HC$40)=$AG94,$AC94,""),"")</f>
        <v/>
      </c>
      <c r="HD94" s="1153"/>
      <c r="HE94" s="1153"/>
      <c r="HF94" s="1153"/>
      <c r="HG94" s="1153" t="str">
        <f>IF($AI94,IF(LARGE($AG$41:$AH$107,HG$40)=$AG94,$AC94,""),"")</f>
        <v/>
      </c>
      <c r="HH94" s="1153"/>
      <c r="HI94" s="1153"/>
      <c r="HJ94" s="1153"/>
      <c r="HK94" s="1153" t="str">
        <f>IF($AI94,IF(LARGE($AG$41:$AH$107,HK$40)=$AG94,$AC94,""),"")</f>
        <v/>
      </c>
      <c r="HL94" s="1153"/>
      <c r="HM94" s="1153"/>
      <c r="HN94" s="1153"/>
      <c r="HO94" s="1153" t="str">
        <f>IF($AI94,IF(LARGE($AG$41:$AH$107,HO$40)=$AG94,$AC94,""),"")</f>
        <v/>
      </c>
      <c r="HP94" s="1153"/>
      <c r="HQ94" s="1153"/>
      <c r="HR94" s="1153"/>
      <c r="HS94" s="1153" t="str">
        <f>IF($AI94,IF(LARGE($AG$41:$AH$107,HS$40)=$AG94,$AC94,""),"")</f>
        <v/>
      </c>
      <c r="HT94" s="1153"/>
      <c r="HU94" s="1153"/>
      <c r="HV94" s="1153"/>
      <c r="HW94" s="1153" t="str">
        <f>IF($AI94,IF(LARGE($AG$41:$AH$107,HW$40)=$AG94,$AC94,""),"")</f>
        <v/>
      </c>
      <c r="HX94" s="1153"/>
      <c r="HY94" s="1153"/>
      <c r="HZ94" s="1153"/>
      <c r="IA94" s="1153" t="str">
        <f>IF($AI94,IF(LARGE($AG$41:$AH$107,IA$40)=$AG94,$AC94,""),"")</f>
        <v/>
      </c>
      <c r="IB94" s="1153"/>
      <c r="IC94" s="1153"/>
      <c r="ID94" s="1153"/>
      <c r="IE94" s="1153" t="str">
        <f>IF($AI94,IF(LARGE($AG$41:$AH$107,IE$40)=$AG94,$AC94,""),"")</f>
        <v/>
      </c>
      <c r="IF94" s="1153"/>
      <c r="IG94" s="1153"/>
      <c r="IH94" s="1153"/>
      <c r="II94" s="1153" t="str">
        <f>IF($AI94,IF(LARGE($AG$41:$AH$107,II$40)=$AG94,$AC94,""),"")</f>
        <v/>
      </c>
      <c r="IJ94" s="1153"/>
      <c r="IK94" s="1153"/>
      <c r="IL94" s="1153"/>
      <c r="IM94" s="1153" t="str">
        <f>IF($AI94,IF(LARGE($AG$41:$AH$107,IM$40)=$AG94,$AC94,""),"")</f>
        <v/>
      </c>
      <c r="IN94" s="1153"/>
      <c r="IO94" s="1153"/>
      <c r="IP94" s="1153"/>
      <c r="IQ94" s="1153" t="str">
        <f>IF($AI94,IF(LARGE($AG$41:$AH$107,IQ$40)=$AG94,$AC94,""),"")</f>
        <v/>
      </c>
      <c r="IR94" s="1153"/>
      <c r="IS94" s="1153"/>
      <c r="IT94" s="1153"/>
      <c r="IU94" s="1153" t="str">
        <f>IF($AI94,IF(LARGE($AG$41:$AH$107,IU$40)=$AG94,$AC94,""),"")</f>
        <v/>
      </c>
      <c r="IV94" s="1153"/>
      <c r="IW94" s="1153"/>
      <c r="IX94" s="1153"/>
      <c r="IY94" s="1153" t="str">
        <f>IF($AI94,IF(LARGE($AG$41:$AH$107,IY$40)=$AG94,$AC94,""),"")</f>
        <v/>
      </c>
      <c r="IZ94" s="1153"/>
      <c r="JA94" s="1153"/>
      <c r="JB94" s="1153"/>
      <c r="JC94" s="1153" t="str">
        <f>IF($AI94,IF(LARGE($AG$41:$AH$107,JC$40)=$AG94,$AC94,""),"")</f>
        <v/>
      </c>
      <c r="JD94" s="1153"/>
      <c r="JE94" s="1153"/>
      <c r="JF94" s="1153"/>
      <c r="JG94" s="1153" t="str">
        <f>IF($AI94,IF(LARGE($AG$41:$AH$107,JG$40)=$AG94,$AC94,""),"")</f>
        <v/>
      </c>
      <c r="JH94" s="1153"/>
      <c r="JI94" s="1153"/>
      <c r="JJ94" s="1153"/>
      <c r="JK94" s="1153" t="str">
        <f>IF($AI94,IF(LARGE($AG$41:$AH$107,JK$40)=$AG94,$AC94,""),"")</f>
        <v/>
      </c>
      <c r="JL94" s="1153"/>
      <c r="JM94" s="1153"/>
      <c r="JN94" s="1153"/>
      <c r="JO94" s="1153" t="str">
        <f>IF($AI94,IF(LARGE($AG$41:$AH$107,JO$40)=$AG94,$AC94,""),"")</f>
        <v/>
      </c>
      <c r="JP94" s="1153"/>
      <c r="JQ94" s="1153"/>
      <c r="JR94" s="1153"/>
      <c r="JS94" s="1153" t="str">
        <f>IF($AI94,IF(LARGE($AG$41:$AH$107,JS$40)=$AG94,$AC94,""),"")</f>
        <v/>
      </c>
      <c r="JT94" s="1153"/>
      <c r="JU94" s="1153"/>
      <c r="JV94" s="1153"/>
      <c r="JW94" s="1153" t="str">
        <f>IF($AI94,IF(LARGE($AG$41:$AH$107,JW$40)=$AG94,$AC94,""),"")</f>
        <v/>
      </c>
      <c r="JX94" s="1153"/>
      <c r="JY94" s="1153"/>
      <c r="JZ94" s="1153"/>
      <c r="KA94" s="1153" t="str">
        <f>IF($AI94,IF(LARGE($AG$41:$AH$107,KA$40)=$AG94,$AC94,""),"")</f>
        <v/>
      </c>
      <c r="KB94" s="1153"/>
      <c r="KC94" s="1153"/>
      <c r="KD94" s="1153"/>
      <c r="KE94" s="1153" t="str">
        <f>IF($AI94,IF(LARGE($AG$41:$AH$107,KE$40)=$AG94,$AC94,""),"")</f>
        <v/>
      </c>
      <c r="KF94" s="1153"/>
      <c r="KG94" s="1153"/>
      <c r="KH94" s="1153"/>
      <c r="KI94" s="1153" t="str">
        <f>IF($AI94,IF(LARGE($AG$41:$AH$107,KI$40)=$AG94,$AC94,""),"")</f>
        <v/>
      </c>
      <c r="KJ94" s="1153"/>
      <c r="KK94" s="1153"/>
      <c r="KL94" s="1153"/>
      <c r="KM94" s="1153" t="str">
        <f>IF($AI94,IF(LARGE($AG$41:$AH$107,KM$40)=$AG94,$AC94,""),"")</f>
        <v/>
      </c>
      <c r="KN94" s="1153"/>
      <c r="KO94" s="1153"/>
      <c r="KP94" s="1153"/>
      <c r="KQ94" s="1153" t="str">
        <f>IF($AI94,IF(LARGE($AG$41:$AH$107,KQ$40)=$AG94,$AC94,""),"")</f>
        <v/>
      </c>
      <c r="KR94" s="1153"/>
      <c r="KS94" s="1153"/>
      <c r="KT94" s="1153"/>
    </row>
    <row r="95" spans="8:8">
      <c r="C95" s="1153" t="str">
        <f>IF(Z25="","",CONCATENATE(" ",AR25,Z25,AB25))</f>
        <v> 👣潜行</v>
      </c>
      <c r="D95" s="1153"/>
      <c r="E95" s="1153"/>
      <c r="F95" s="1153"/>
      <c r="G95" s="1155" t="str">
        <f>IF(AND(AF25=0,AH25=0),"",IF(ISNONTEXT(X25),"",AL25))</f>
        <v/>
      </c>
      <c r="H95" s="1155"/>
      <c r="I95" s="1153" t="str">
        <f>IF(G95=$G$40,C95,"")</f>
        <v/>
      </c>
      <c r="J95" s="1153"/>
      <c r="K95" s="1153"/>
      <c r="L95" s="1153"/>
      <c r="M95" s="1154">
        <f>IF(AND(NOT(AH25=0),ISNONTEXT(X25)),1,0)</f>
        <v>0.0</v>
      </c>
      <c r="N95" s="1122"/>
      <c r="O95" s="1122"/>
      <c r="P95" s="1153" t="str">
        <f>IF(Z25="","",CONCATENATE(" ",AR25,Z25,AB25))</f>
        <v> 👣潜行</v>
      </c>
      <c r="Q95" s="1153"/>
      <c r="R95" s="1153"/>
      <c r="S95" s="1153"/>
      <c r="T95" s="1155" t="str">
        <f>IF(AND(AF25=0,AJ25=0),"",IF(ISNONTEXT(X25),AL25,""))</f>
        <v/>
      </c>
      <c r="U95" s="1155"/>
      <c r="V95" s="1153" t="str">
        <f>IF(T95=$T$40,P95,"")</f>
        <v/>
      </c>
      <c r="W95" s="1153"/>
      <c r="X95" s="1153"/>
      <c r="Y95" s="1153"/>
      <c r="AB95" s="1122"/>
      <c r="AC95" s="1153" t="str">
        <f>IF(Z25="","",CONCATENATE(AR25,Z25,AB25))</f>
        <v>👣潜行</v>
      </c>
      <c r="AD95" s="1153"/>
      <c r="AE95" s="1153"/>
      <c r="AF95" s="1153"/>
      <c r="AG95" s="1155">
        <f>AL25</f>
        <v>20.0</v>
      </c>
      <c r="AH95" s="1155"/>
      <c r="AI95" s="1153" t="b">
        <f>IF(AND(OR(ISNUMBER(AF25),ISNUMBER(AH25),ISNUMBER(AJ25)),OR(AF25&gt;0,AH25&gt;0,AJ25&gt;0)),TRUE,FALSE)</f>
        <v>0</v>
      </c>
      <c r="AJ95" s="1153"/>
      <c r="AK95" s="1153"/>
      <c r="AL95" s="1153"/>
      <c r="AM95" s="1153" t="str">
        <f>IF($AI95,IF(LARGE($AG$41:$AH$107,AM$40)=$AG95,$AC95,""),"")</f>
        <v/>
      </c>
      <c r="AN95" s="1153"/>
      <c r="AO95" s="1153"/>
      <c r="AP95" s="1153"/>
      <c r="AQ95" s="1153" t="str">
        <f>IF($AI95,IF(LARGE($AG$41:$AH$107,AQ$40)=$AG95,$AC95,""),"")</f>
        <v/>
      </c>
      <c r="AR95" s="1153"/>
      <c r="AS95" s="1153"/>
      <c r="AT95" s="1153"/>
      <c r="AU95" s="1153" t="str">
        <f>IF($AI95,IF(LARGE($AG$41:$AH$107,AU$40)=$AG95,$AC95,""),"")</f>
        <v/>
      </c>
      <c r="AV95" s="1153"/>
      <c r="AW95" s="1153"/>
      <c r="AX95" s="1153"/>
      <c r="AY95" s="1153" t="str">
        <f>IF($AI95,IF(LARGE($AG$41:$AH$107,AY$40)=$AG95,$AC95,""),"")</f>
        <v/>
      </c>
      <c r="AZ95" s="1153"/>
      <c r="BA95" s="1153"/>
      <c r="BB95" s="1153"/>
      <c r="BC95" s="1153" t="str">
        <f>IF($AI95,IF(LARGE($AG$41:$AH$107,BC$40)=$AG95,$AC95,""),"")</f>
        <v/>
      </c>
      <c r="BD95" s="1153"/>
      <c r="BE95" s="1153"/>
      <c r="BF95" s="1153"/>
      <c r="BG95" s="1153" t="str">
        <f>IF($AI95,IF(LARGE($AG$41:$AH$107,BG$40)=$AG95,$AC95,""),"")</f>
        <v/>
      </c>
      <c r="BH95" s="1153"/>
      <c r="BI95" s="1153"/>
      <c r="BJ95" s="1153"/>
      <c r="BK95" s="1153" t="str">
        <f>IF($AI95,IF(LARGE($AG$41:$AH$107,BK$40)=$AG95,$AC95,""),"")</f>
        <v/>
      </c>
      <c r="BL95" s="1153"/>
      <c r="BM95" s="1153"/>
      <c r="BN95" s="1153"/>
      <c r="BO95" s="1153" t="str">
        <f>IF($AI95,IF(LARGE($AG$41:$AH$107,BO$40)=$AG95,$AC95,""),"")</f>
        <v/>
      </c>
      <c r="BP95" s="1153"/>
      <c r="BQ95" s="1153"/>
      <c r="BR95" s="1153"/>
      <c r="BS95" s="1153" t="str">
        <f>IF($AI95,IF(LARGE($AG$41:$AH$107,BS$40)=$AG95,$AC95,""),"")</f>
        <v/>
      </c>
      <c r="BT95" s="1153"/>
      <c r="BU95" s="1153"/>
      <c r="BV95" s="1153"/>
      <c r="BW95" s="1153" t="str">
        <f>IF($AI95,IF(LARGE($AG$41:$AH$107,BW$40)=$AG95,$AC95,""),"")</f>
        <v/>
      </c>
      <c r="BX95" s="1153"/>
      <c r="BY95" s="1153"/>
      <c r="BZ95" s="1153"/>
      <c r="CA95" s="1153" t="str">
        <f>IF($AI95,IF(LARGE($AG$41:$AH$107,CA$40)=$AG95,$AC95,""),"")</f>
        <v/>
      </c>
      <c r="CB95" s="1153"/>
      <c r="CC95" s="1153"/>
      <c r="CD95" s="1153"/>
      <c r="CE95" s="1153" t="str">
        <f>IF($AI95,IF(LARGE($AG$41:$AH$107,CE$40)=$AG95,$AC95,""),"")</f>
        <v/>
      </c>
      <c r="CF95" s="1153"/>
      <c r="CG95" s="1153"/>
      <c r="CH95" s="1153"/>
      <c r="CI95" s="1153" t="str">
        <f>IF($AI95,IF(LARGE($AG$41:$AH$107,CI$40)=$AG95,$AC95,""),"")</f>
        <v/>
      </c>
      <c r="CJ95" s="1153"/>
      <c r="CK95" s="1153"/>
      <c r="CL95" s="1153"/>
      <c r="CM95" s="1153" t="str">
        <f>IF($AI95,IF(LARGE($AG$41:$AH$107,CM$40)=$AG95,$AC95,""),"")</f>
        <v/>
      </c>
      <c r="CN95" s="1153"/>
      <c r="CO95" s="1153"/>
      <c r="CP95" s="1153"/>
      <c r="CQ95" s="1153" t="str">
        <f>IF($AI95,IF(LARGE($AG$41:$AH$107,CQ$40)=$AG95,$AC95,""),"")</f>
        <v/>
      </c>
      <c r="CR95" s="1153"/>
      <c r="CS95" s="1153"/>
      <c r="CT95" s="1153"/>
      <c r="CU95" s="1153" t="str">
        <f>IF($AI95,IF(LARGE($AG$41:$AH$107,CU$40)=$AG95,$AC95,""),"")</f>
        <v/>
      </c>
      <c r="CV95" s="1153"/>
      <c r="CW95" s="1153"/>
      <c r="CX95" s="1153"/>
      <c r="CY95" s="1153" t="str">
        <f>IF($AI95,IF(LARGE($AG$41:$AH$107,CY$40)=$AG95,$AC95,""),"")</f>
        <v/>
      </c>
      <c r="CZ95" s="1153"/>
      <c r="DA95" s="1153"/>
      <c r="DB95" s="1153"/>
      <c r="DC95" s="1153" t="str">
        <f>IF($AI95,IF(LARGE($AG$41:$AH$107,DC$40)=$AG95,$AC95,""),"")</f>
        <v/>
      </c>
      <c r="DD95" s="1153"/>
      <c r="DE95" s="1153"/>
      <c r="DF95" s="1153"/>
      <c r="DG95" s="1153" t="str">
        <f>IF($AI95,IF(LARGE($AG$41:$AH$107,DG$40)=$AG95,$AC95,""),"")</f>
        <v/>
      </c>
      <c r="DH95" s="1153"/>
      <c r="DI95" s="1153"/>
      <c r="DJ95" s="1153"/>
      <c r="DK95" s="1153" t="str">
        <f>IF($AI95,IF(LARGE($AG$41:$AH$107,DK$40)=$AG95,$AC95,""),"")</f>
        <v/>
      </c>
      <c r="DL95" s="1153"/>
      <c r="DM95" s="1153"/>
      <c r="DN95" s="1153"/>
      <c r="DO95" s="1153" t="str">
        <f>IF($AI95,IF(LARGE($AG$41:$AH$107,DO$40)=$AG95,$AC95,""),"")</f>
        <v/>
      </c>
      <c r="DP95" s="1153"/>
      <c r="DQ95" s="1153"/>
      <c r="DR95" s="1153"/>
      <c r="DS95" s="1153" t="str">
        <f>IF($AI95,IF(LARGE($AG$41:$AH$107,DS$40)=$AG95,$AC95,""),"")</f>
        <v/>
      </c>
      <c r="DT95" s="1153"/>
      <c r="DU95" s="1153"/>
      <c r="DV95" s="1153"/>
      <c r="DW95" s="1153" t="str">
        <f>IF($AI95,IF(LARGE($AG$41:$AH$107,DW$40)=$AG95,$AC95,""),"")</f>
        <v/>
      </c>
      <c r="DX95" s="1153"/>
      <c r="DY95" s="1153"/>
      <c r="DZ95" s="1153"/>
      <c r="EA95" s="1153" t="str">
        <f>IF($AI95,IF(LARGE($AG$41:$AH$107,EA$40)=$AG95,$AC95,""),"")</f>
        <v/>
      </c>
      <c r="EB95" s="1153"/>
      <c r="EC95" s="1153"/>
      <c r="ED95" s="1153"/>
      <c r="EE95" s="1153" t="str">
        <f>IF($AI95,IF(LARGE($AG$41:$AH$107,EE$40)=$AG95,$AC95,""),"")</f>
        <v/>
      </c>
      <c r="EF95" s="1153"/>
      <c r="EG95" s="1153"/>
      <c r="EH95" s="1153"/>
      <c r="EI95" s="1153" t="str">
        <f>IF($AI95,IF(LARGE($AG$41:$AH$107,EI$40)=$AG95,$AC95,""),"")</f>
        <v/>
      </c>
      <c r="EJ95" s="1153"/>
      <c r="EK95" s="1153"/>
      <c r="EL95" s="1153"/>
      <c r="EM95" s="1153" t="str">
        <f>IF($AI95,IF(LARGE($AG$41:$AH$107,EM$40)=$AG95,$AC95,""),"")</f>
        <v/>
      </c>
      <c r="EN95" s="1153"/>
      <c r="EO95" s="1153"/>
      <c r="EP95" s="1153"/>
      <c r="EQ95" s="1153" t="str">
        <f>IF($AI95,IF(LARGE($AG$41:$AH$107,EQ$40)=$AG95,$AC95,""),"")</f>
        <v/>
      </c>
      <c r="ER95" s="1153"/>
      <c r="ES95" s="1153"/>
      <c r="ET95" s="1153"/>
      <c r="EU95" s="1153" t="str">
        <f>IF($AI95,IF(LARGE($AG$41:$AH$107,EU$40)=$AG95,$AC95,""),"")</f>
        <v/>
      </c>
      <c r="EV95" s="1153"/>
      <c r="EW95" s="1153"/>
      <c r="EX95" s="1153"/>
      <c r="EY95" s="1153" t="str">
        <f>IF($AI95,IF(LARGE($AG$41:$AH$107,EY$40)=$AG95,$AC95,""),"")</f>
        <v/>
      </c>
      <c r="EZ95" s="1153"/>
      <c r="FA95" s="1153"/>
      <c r="FB95" s="1153"/>
      <c r="FC95" s="1153" t="str">
        <f>IF($AI95,IF(LARGE($AG$41:$AH$107,FC$40)=$AG95,$AC95,""),"")</f>
        <v/>
      </c>
      <c r="FD95" s="1153"/>
      <c r="FE95" s="1153"/>
      <c r="FF95" s="1153"/>
      <c r="FG95" s="1153" t="str">
        <f>IF($AI95,IF(LARGE($AG$41:$AH$107,FG$40)=$AG95,$AC95,""),"")</f>
        <v/>
      </c>
      <c r="FH95" s="1153"/>
      <c r="FI95" s="1153"/>
      <c r="FJ95" s="1153"/>
      <c r="FK95" s="1153" t="str">
        <f>IF($AI95,IF(LARGE($AG$41:$AH$107,FK$40)=$AG95,$AC95,""),"")</f>
        <v/>
      </c>
      <c r="FL95" s="1153"/>
      <c r="FM95" s="1153"/>
      <c r="FN95" s="1153"/>
      <c r="FO95" s="1153" t="str">
        <f>IF($AI95,IF(LARGE($AG$41:$AH$107,FO$40)=$AG95,$AC95,""),"")</f>
        <v/>
      </c>
      <c r="FP95" s="1153"/>
      <c r="FQ95" s="1153"/>
      <c r="FR95" s="1153"/>
      <c r="FS95" s="1153" t="str">
        <f>IF($AI95,IF(LARGE($AG$41:$AH$107,FS$40)=$AG95,$AC95,""),"")</f>
        <v/>
      </c>
      <c r="FT95" s="1153"/>
      <c r="FU95" s="1153"/>
      <c r="FV95" s="1153"/>
      <c r="FW95" s="1153" t="str">
        <f>IF($AI95,IF(LARGE($AG$41:$AH$107,FW$40)=$AG95,$AC95,""),"")</f>
        <v/>
      </c>
      <c r="FX95" s="1153"/>
      <c r="FY95" s="1153"/>
      <c r="FZ95" s="1153"/>
      <c r="GA95" s="1153" t="str">
        <f>IF($AI95,IF(LARGE($AG$41:$AH$107,GA$40)=$AG95,$AC95,""),"")</f>
        <v/>
      </c>
      <c r="GB95" s="1153"/>
      <c r="GC95" s="1153"/>
      <c r="GD95" s="1153"/>
      <c r="GE95" s="1153" t="str">
        <f>IF($AI95,IF(LARGE($AG$41:$AH$107,GE$40)=$AG95,$AC95,""),"")</f>
        <v/>
      </c>
      <c r="GF95" s="1153"/>
      <c r="GG95" s="1153"/>
      <c r="GH95" s="1153"/>
      <c r="GI95" s="1153" t="str">
        <f>IF($AI95,IF(LARGE($AG$41:$AH$107,GI$40)=$AG95,$AC95,""),"")</f>
        <v/>
      </c>
      <c r="GJ95" s="1153"/>
      <c r="GK95" s="1153"/>
      <c r="GL95" s="1153"/>
      <c r="GM95" s="1153" t="str">
        <f>IF($AI95,IF(LARGE($AG$41:$AH$107,GM$40)=$AG95,$AC95,""),"")</f>
        <v/>
      </c>
      <c r="GN95" s="1153"/>
      <c r="GO95" s="1153"/>
      <c r="GP95" s="1153"/>
      <c r="GQ95" s="1153" t="str">
        <f>IF($AI95,IF(LARGE($AG$41:$AH$107,GQ$40)=$AG95,$AC95,""),"")</f>
        <v/>
      </c>
      <c r="GR95" s="1153"/>
      <c r="GS95" s="1153"/>
      <c r="GT95" s="1153"/>
      <c r="GU95" s="1153" t="str">
        <f>IF($AI95,IF(LARGE($AG$41:$AH$107,GU$40)=$AG95,$AC95,""),"")</f>
        <v/>
      </c>
      <c r="GV95" s="1153"/>
      <c r="GW95" s="1153"/>
      <c r="GX95" s="1153"/>
      <c r="GY95" s="1153" t="str">
        <f>IF($AI95,IF(LARGE($AG$41:$AH$107,GY$40)=$AG95,$AC95,""),"")</f>
        <v/>
      </c>
      <c r="GZ95" s="1153"/>
      <c r="HA95" s="1153"/>
      <c r="HB95" s="1153"/>
      <c r="HC95" s="1153" t="str">
        <f>IF($AI95,IF(LARGE($AG$41:$AH$107,HC$40)=$AG95,$AC95,""),"")</f>
        <v/>
      </c>
      <c r="HD95" s="1153"/>
      <c r="HE95" s="1153"/>
      <c r="HF95" s="1153"/>
      <c r="HG95" s="1153" t="str">
        <f>IF($AI95,IF(LARGE($AG$41:$AH$107,HG$40)=$AG95,$AC95,""),"")</f>
        <v/>
      </c>
      <c r="HH95" s="1153"/>
      <c r="HI95" s="1153"/>
      <c r="HJ95" s="1153"/>
      <c r="HK95" s="1153" t="str">
        <f>IF($AI95,IF(LARGE($AG$41:$AH$107,HK$40)=$AG95,$AC95,""),"")</f>
        <v/>
      </c>
      <c r="HL95" s="1153"/>
      <c r="HM95" s="1153"/>
      <c r="HN95" s="1153"/>
      <c r="HO95" s="1153" t="str">
        <f>IF($AI95,IF(LARGE($AG$41:$AH$107,HO$40)=$AG95,$AC95,""),"")</f>
        <v/>
      </c>
      <c r="HP95" s="1153"/>
      <c r="HQ95" s="1153"/>
      <c r="HR95" s="1153"/>
      <c r="HS95" s="1153" t="str">
        <f>IF($AI95,IF(LARGE($AG$41:$AH$107,HS$40)=$AG95,$AC95,""),"")</f>
        <v/>
      </c>
      <c r="HT95" s="1153"/>
      <c r="HU95" s="1153"/>
      <c r="HV95" s="1153"/>
      <c r="HW95" s="1153" t="str">
        <f>IF($AI95,IF(LARGE($AG$41:$AH$107,HW$40)=$AG95,$AC95,""),"")</f>
        <v/>
      </c>
      <c r="HX95" s="1153"/>
      <c r="HY95" s="1153"/>
      <c r="HZ95" s="1153"/>
      <c r="IA95" s="1153" t="str">
        <f>IF($AI95,IF(LARGE($AG$41:$AH$107,IA$40)=$AG95,$AC95,""),"")</f>
        <v/>
      </c>
      <c r="IB95" s="1153"/>
      <c r="IC95" s="1153"/>
      <c r="ID95" s="1153"/>
      <c r="IE95" s="1153" t="str">
        <f>IF($AI95,IF(LARGE($AG$41:$AH$107,IE$40)=$AG95,$AC95,""),"")</f>
        <v/>
      </c>
      <c r="IF95" s="1153"/>
      <c r="IG95" s="1153"/>
      <c r="IH95" s="1153"/>
      <c r="II95" s="1153" t="str">
        <f>IF($AI95,IF(LARGE($AG$41:$AH$107,II$40)=$AG95,$AC95,""),"")</f>
        <v/>
      </c>
      <c r="IJ95" s="1153"/>
      <c r="IK95" s="1153"/>
      <c r="IL95" s="1153"/>
      <c r="IM95" s="1153" t="str">
        <f>IF($AI95,IF(LARGE($AG$41:$AH$107,IM$40)=$AG95,$AC95,""),"")</f>
        <v/>
      </c>
      <c r="IN95" s="1153"/>
      <c r="IO95" s="1153"/>
      <c r="IP95" s="1153"/>
      <c r="IQ95" s="1153" t="str">
        <f>IF($AI95,IF(LARGE($AG$41:$AH$107,IQ$40)=$AG95,$AC95,""),"")</f>
        <v/>
      </c>
      <c r="IR95" s="1153"/>
      <c r="IS95" s="1153"/>
      <c r="IT95" s="1153"/>
      <c r="IU95" s="1153" t="str">
        <f>IF($AI95,IF(LARGE($AG$41:$AH$107,IU$40)=$AG95,$AC95,""),"")</f>
        <v/>
      </c>
      <c r="IV95" s="1153"/>
      <c r="IW95" s="1153"/>
      <c r="IX95" s="1153"/>
      <c r="IY95" s="1153" t="str">
        <f>IF($AI95,IF(LARGE($AG$41:$AH$107,IY$40)=$AG95,$AC95,""),"")</f>
        <v/>
      </c>
      <c r="IZ95" s="1153"/>
      <c r="JA95" s="1153"/>
      <c r="JB95" s="1153"/>
      <c r="JC95" s="1153" t="str">
        <f>IF($AI95,IF(LARGE($AG$41:$AH$107,JC$40)=$AG95,$AC95,""),"")</f>
        <v/>
      </c>
      <c r="JD95" s="1153"/>
      <c r="JE95" s="1153"/>
      <c r="JF95" s="1153"/>
      <c r="JG95" s="1153" t="str">
        <f>IF($AI95,IF(LARGE($AG$41:$AH$107,JG$40)=$AG95,$AC95,""),"")</f>
        <v/>
      </c>
      <c r="JH95" s="1153"/>
      <c r="JI95" s="1153"/>
      <c r="JJ95" s="1153"/>
      <c r="JK95" s="1153" t="str">
        <f>IF($AI95,IF(LARGE($AG$41:$AH$107,JK$40)=$AG95,$AC95,""),"")</f>
        <v/>
      </c>
      <c r="JL95" s="1153"/>
      <c r="JM95" s="1153"/>
      <c r="JN95" s="1153"/>
      <c r="JO95" s="1153" t="str">
        <f>IF($AI95,IF(LARGE($AG$41:$AH$107,JO$40)=$AG95,$AC95,""),"")</f>
        <v/>
      </c>
      <c r="JP95" s="1153"/>
      <c r="JQ95" s="1153"/>
      <c r="JR95" s="1153"/>
      <c r="JS95" s="1153" t="str">
        <f>IF($AI95,IF(LARGE($AG$41:$AH$107,JS$40)=$AG95,$AC95,""),"")</f>
        <v/>
      </c>
      <c r="JT95" s="1153"/>
      <c r="JU95" s="1153"/>
      <c r="JV95" s="1153"/>
      <c r="JW95" s="1153" t="str">
        <f>IF($AI95,IF(LARGE($AG$41:$AH$107,JW$40)=$AG95,$AC95,""),"")</f>
        <v/>
      </c>
      <c r="JX95" s="1153"/>
      <c r="JY95" s="1153"/>
      <c r="JZ95" s="1153"/>
      <c r="KA95" s="1153" t="str">
        <f>IF($AI95,IF(LARGE($AG$41:$AH$107,KA$40)=$AG95,$AC95,""),"")</f>
        <v/>
      </c>
      <c r="KB95" s="1153"/>
      <c r="KC95" s="1153"/>
      <c r="KD95" s="1153"/>
      <c r="KE95" s="1153" t="str">
        <f>IF($AI95,IF(LARGE($AG$41:$AH$107,KE$40)=$AG95,$AC95,""),"")</f>
        <v/>
      </c>
      <c r="KF95" s="1153"/>
      <c r="KG95" s="1153"/>
      <c r="KH95" s="1153"/>
      <c r="KI95" s="1153" t="str">
        <f>IF($AI95,IF(LARGE($AG$41:$AH$107,KI$40)=$AG95,$AC95,""),"")</f>
        <v/>
      </c>
      <c r="KJ95" s="1153"/>
      <c r="KK95" s="1153"/>
      <c r="KL95" s="1153"/>
      <c r="KM95" s="1153" t="str">
        <f>IF($AI95,IF(LARGE($AG$41:$AH$107,KM$40)=$AG95,$AC95,""),"")</f>
        <v/>
      </c>
      <c r="KN95" s="1153"/>
      <c r="KO95" s="1153"/>
      <c r="KP95" s="1153"/>
      <c r="KQ95" s="1153" t="str">
        <f>IF($AI95,IF(LARGE($AG$41:$AH$107,KQ$40)=$AG95,$AC95,""),"")</f>
        <v/>
      </c>
      <c r="KR95" s="1153"/>
      <c r="KS95" s="1153"/>
      <c r="KT95" s="1153"/>
    </row>
    <row r="96" spans="8:8">
      <c r="C96" s="1153" t="str">
        <f>IF(Z26="","",CONCATENATE(" ",AR26,Z26,AB26))</f>
        <v> ⛺生存：</v>
      </c>
      <c r="D96" s="1153"/>
      <c r="E96" s="1153"/>
      <c r="F96" s="1153"/>
      <c r="G96" s="1155" t="str">
        <f>IF(AND(AF26=0,AH26=0),"",IF(ISNONTEXT(X26),"",AL26))</f>
        <v/>
      </c>
      <c r="H96" s="1155"/>
      <c r="I96" s="1153" t="str">
        <f>IF(G96=$G$40,C96,"")</f>
        <v/>
      </c>
      <c r="J96" s="1153"/>
      <c r="K96" s="1153"/>
      <c r="L96" s="1153"/>
      <c r="M96" s="1154">
        <f>IF(AND(NOT(AH26=0),ISNONTEXT(X26)),1,0)</f>
        <v>0.0</v>
      </c>
      <c r="N96" s="1122"/>
      <c r="O96" s="1122"/>
      <c r="P96" s="1153" t="str">
        <f>IF(Z26="","",CONCATENATE(" ",AR26,Z26,AB26))</f>
        <v> ⛺生存：</v>
      </c>
      <c r="Q96" s="1153"/>
      <c r="R96" s="1153"/>
      <c r="S96" s="1153"/>
      <c r="T96" s="1155" t="str">
        <f>IF(AND(AF26=0,AJ26=0),"",IF(ISNONTEXT(X26),AL26,""))</f>
        <v/>
      </c>
      <c r="U96" s="1155"/>
      <c r="V96" s="1153" t="str">
        <f>IF(T96=$T$40,P96,"")</f>
        <v/>
      </c>
      <c r="W96" s="1153"/>
      <c r="X96" s="1153"/>
      <c r="Y96" s="1153"/>
      <c r="AB96" s="1122"/>
      <c r="AC96" s="1153" t="str">
        <f>IF(Z26="","",CONCATENATE(AR26,Z26,AB26))</f>
        <v>⛺生存：</v>
      </c>
      <c r="AD96" s="1153"/>
      <c r="AE96" s="1153"/>
      <c r="AF96" s="1153"/>
      <c r="AG96" s="1155">
        <f>AL26</f>
        <v>10.0</v>
      </c>
      <c r="AH96" s="1155"/>
      <c r="AI96" s="1153" t="b">
        <f>IF(AND(OR(ISNUMBER(AF26),ISNUMBER(AH26),ISNUMBER(AJ26)),OR(AF26&gt;0,AH26&gt;0,AJ26&gt;0)),TRUE,FALSE)</f>
        <v>0</v>
      </c>
      <c r="AJ96" s="1153"/>
      <c r="AK96" s="1153"/>
      <c r="AL96" s="1153"/>
      <c r="AM96" s="1153" t="str">
        <f>IF($AI96,IF(LARGE($AG$41:$AH$107,AM$40)=$AG96,$AC96,""),"")</f>
        <v/>
      </c>
      <c r="AN96" s="1153"/>
      <c r="AO96" s="1153"/>
      <c r="AP96" s="1153"/>
      <c r="AQ96" s="1153" t="str">
        <f>IF($AI96,IF(LARGE($AG$41:$AH$107,AQ$40)=$AG96,$AC96,""),"")</f>
        <v/>
      </c>
      <c r="AR96" s="1153"/>
      <c r="AS96" s="1153"/>
      <c r="AT96" s="1153"/>
      <c r="AU96" s="1153" t="str">
        <f>IF($AI96,IF(LARGE($AG$41:$AH$107,AU$40)=$AG96,$AC96,""),"")</f>
        <v/>
      </c>
      <c r="AV96" s="1153"/>
      <c r="AW96" s="1153"/>
      <c r="AX96" s="1153"/>
      <c r="AY96" s="1153" t="str">
        <f>IF($AI96,IF(LARGE($AG$41:$AH$107,AY$40)=$AG96,$AC96,""),"")</f>
        <v/>
      </c>
      <c r="AZ96" s="1153"/>
      <c r="BA96" s="1153"/>
      <c r="BB96" s="1153"/>
      <c r="BC96" s="1153" t="str">
        <f>IF($AI96,IF(LARGE($AG$41:$AH$107,BC$40)=$AG96,$AC96,""),"")</f>
        <v/>
      </c>
      <c r="BD96" s="1153"/>
      <c r="BE96" s="1153"/>
      <c r="BF96" s="1153"/>
      <c r="BG96" s="1153" t="str">
        <f>IF($AI96,IF(LARGE($AG$41:$AH$107,BG$40)=$AG96,$AC96,""),"")</f>
        <v/>
      </c>
      <c r="BH96" s="1153"/>
      <c r="BI96" s="1153"/>
      <c r="BJ96" s="1153"/>
      <c r="BK96" s="1153" t="str">
        <f>IF($AI96,IF(LARGE($AG$41:$AH$107,BK$40)=$AG96,$AC96,""),"")</f>
        <v/>
      </c>
      <c r="BL96" s="1153"/>
      <c r="BM96" s="1153"/>
      <c r="BN96" s="1153"/>
      <c r="BO96" s="1153" t="str">
        <f>IF($AI96,IF(LARGE($AG$41:$AH$107,BO$40)=$AG96,$AC96,""),"")</f>
        <v/>
      </c>
      <c r="BP96" s="1153"/>
      <c r="BQ96" s="1153"/>
      <c r="BR96" s="1153"/>
      <c r="BS96" s="1153" t="str">
        <f>IF($AI96,IF(LARGE($AG$41:$AH$107,BS$40)=$AG96,$AC96,""),"")</f>
        <v/>
      </c>
      <c r="BT96" s="1153"/>
      <c r="BU96" s="1153"/>
      <c r="BV96" s="1153"/>
      <c r="BW96" s="1153" t="str">
        <f>IF($AI96,IF(LARGE($AG$41:$AH$107,BW$40)=$AG96,$AC96,""),"")</f>
        <v/>
      </c>
      <c r="BX96" s="1153"/>
      <c r="BY96" s="1153"/>
      <c r="BZ96" s="1153"/>
      <c r="CA96" s="1153" t="str">
        <f>IF($AI96,IF(LARGE($AG$41:$AH$107,CA$40)=$AG96,$AC96,""),"")</f>
        <v/>
      </c>
      <c r="CB96" s="1153"/>
      <c r="CC96" s="1153"/>
      <c r="CD96" s="1153"/>
      <c r="CE96" s="1153" t="str">
        <f>IF($AI96,IF(LARGE($AG$41:$AH$107,CE$40)=$AG96,$AC96,""),"")</f>
        <v/>
      </c>
      <c r="CF96" s="1153"/>
      <c r="CG96" s="1153"/>
      <c r="CH96" s="1153"/>
      <c r="CI96" s="1153" t="str">
        <f>IF($AI96,IF(LARGE($AG$41:$AH$107,CI$40)=$AG96,$AC96,""),"")</f>
        <v/>
      </c>
      <c r="CJ96" s="1153"/>
      <c r="CK96" s="1153"/>
      <c r="CL96" s="1153"/>
      <c r="CM96" s="1153" t="str">
        <f>IF($AI96,IF(LARGE($AG$41:$AH$107,CM$40)=$AG96,$AC96,""),"")</f>
        <v/>
      </c>
      <c r="CN96" s="1153"/>
      <c r="CO96" s="1153"/>
      <c r="CP96" s="1153"/>
      <c r="CQ96" s="1153" t="str">
        <f>IF($AI96,IF(LARGE($AG$41:$AH$107,CQ$40)=$AG96,$AC96,""),"")</f>
        <v/>
      </c>
      <c r="CR96" s="1153"/>
      <c r="CS96" s="1153"/>
      <c r="CT96" s="1153"/>
      <c r="CU96" s="1153" t="str">
        <f>IF($AI96,IF(LARGE($AG$41:$AH$107,CU$40)=$AG96,$AC96,""),"")</f>
        <v/>
      </c>
      <c r="CV96" s="1153"/>
      <c r="CW96" s="1153"/>
      <c r="CX96" s="1153"/>
      <c r="CY96" s="1153" t="str">
        <f>IF($AI96,IF(LARGE($AG$41:$AH$107,CY$40)=$AG96,$AC96,""),"")</f>
        <v/>
      </c>
      <c r="CZ96" s="1153"/>
      <c r="DA96" s="1153"/>
      <c r="DB96" s="1153"/>
      <c r="DC96" s="1153" t="str">
        <f>IF($AI96,IF(LARGE($AG$41:$AH$107,DC$40)=$AG96,$AC96,""),"")</f>
        <v/>
      </c>
      <c r="DD96" s="1153"/>
      <c r="DE96" s="1153"/>
      <c r="DF96" s="1153"/>
      <c r="DG96" s="1153" t="str">
        <f>IF($AI96,IF(LARGE($AG$41:$AH$107,DG$40)=$AG96,$AC96,""),"")</f>
        <v/>
      </c>
      <c r="DH96" s="1153"/>
      <c r="DI96" s="1153"/>
      <c r="DJ96" s="1153"/>
      <c r="DK96" s="1153" t="str">
        <f>IF($AI96,IF(LARGE($AG$41:$AH$107,DK$40)=$AG96,$AC96,""),"")</f>
        <v/>
      </c>
      <c r="DL96" s="1153"/>
      <c r="DM96" s="1153"/>
      <c r="DN96" s="1153"/>
      <c r="DO96" s="1153" t="str">
        <f>IF($AI96,IF(LARGE($AG$41:$AH$107,DO$40)=$AG96,$AC96,""),"")</f>
        <v/>
      </c>
      <c r="DP96" s="1153"/>
      <c r="DQ96" s="1153"/>
      <c r="DR96" s="1153"/>
      <c r="DS96" s="1153" t="str">
        <f>IF($AI96,IF(LARGE($AG$41:$AH$107,DS$40)=$AG96,$AC96,""),"")</f>
        <v/>
      </c>
      <c r="DT96" s="1153"/>
      <c r="DU96" s="1153"/>
      <c r="DV96" s="1153"/>
      <c r="DW96" s="1153" t="str">
        <f>IF($AI96,IF(LARGE($AG$41:$AH$107,DW$40)=$AG96,$AC96,""),"")</f>
        <v/>
      </c>
      <c r="DX96" s="1153"/>
      <c r="DY96" s="1153"/>
      <c r="DZ96" s="1153"/>
      <c r="EA96" s="1153" t="str">
        <f>IF($AI96,IF(LARGE($AG$41:$AH$107,EA$40)=$AG96,$AC96,""),"")</f>
        <v/>
      </c>
      <c r="EB96" s="1153"/>
      <c r="EC96" s="1153"/>
      <c r="ED96" s="1153"/>
      <c r="EE96" s="1153" t="str">
        <f>IF($AI96,IF(LARGE($AG$41:$AH$107,EE$40)=$AG96,$AC96,""),"")</f>
        <v/>
      </c>
      <c r="EF96" s="1153"/>
      <c r="EG96" s="1153"/>
      <c r="EH96" s="1153"/>
      <c r="EI96" s="1153" t="str">
        <f>IF($AI96,IF(LARGE($AG$41:$AH$107,EI$40)=$AG96,$AC96,""),"")</f>
        <v/>
      </c>
      <c r="EJ96" s="1153"/>
      <c r="EK96" s="1153"/>
      <c r="EL96" s="1153"/>
      <c r="EM96" s="1153" t="str">
        <f>IF($AI96,IF(LARGE($AG$41:$AH$107,EM$40)=$AG96,$AC96,""),"")</f>
        <v/>
      </c>
      <c r="EN96" s="1153"/>
      <c r="EO96" s="1153"/>
      <c r="EP96" s="1153"/>
      <c r="EQ96" s="1153" t="str">
        <f>IF($AI96,IF(LARGE($AG$41:$AH$107,EQ$40)=$AG96,$AC96,""),"")</f>
        <v/>
      </c>
      <c r="ER96" s="1153"/>
      <c r="ES96" s="1153"/>
      <c r="ET96" s="1153"/>
      <c r="EU96" s="1153" t="str">
        <f>IF($AI96,IF(LARGE($AG$41:$AH$107,EU$40)=$AG96,$AC96,""),"")</f>
        <v/>
      </c>
      <c r="EV96" s="1153"/>
      <c r="EW96" s="1153"/>
      <c r="EX96" s="1153"/>
      <c r="EY96" s="1153" t="str">
        <f>IF($AI96,IF(LARGE($AG$41:$AH$107,EY$40)=$AG96,$AC96,""),"")</f>
        <v/>
      </c>
      <c r="EZ96" s="1153"/>
      <c r="FA96" s="1153"/>
      <c r="FB96" s="1153"/>
      <c r="FC96" s="1153" t="str">
        <f>IF($AI96,IF(LARGE($AG$41:$AH$107,FC$40)=$AG96,$AC96,""),"")</f>
        <v/>
      </c>
      <c r="FD96" s="1153"/>
      <c r="FE96" s="1153"/>
      <c r="FF96" s="1153"/>
      <c r="FG96" s="1153" t="str">
        <f>IF($AI96,IF(LARGE($AG$41:$AH$107,FG$40)=$AG96,$AC96,""),"")</f>
        <v/>
      </c>
      <c r="FH96" s="1153"/>
      <c r="FI96" s="1153"/>
      <c r="FJ96" s="1153"/>
      <c r="FK96" s="1153" t="str">
        <f>IF($AI96,IF(LARGE($AG$41:$AH$107,FK$40)=$AG96,$AC96,""),"")</f>
        <v/>
      </c>
      <c r="FL96" s="1153"/>
      <c r="FM96" s="1153"/>
      <c r="FN96" s="1153"/>
      <c r="FO96" s="1153" t="str">
        <f>IF($AI96,IF(LARGE($AG$41:$AH$107,FO$40)=$AG96,$AC96,""),"")</f>
        <v/>
      </c>
      <c r="FP96" s="1153"/>
      <c r="FQ96" s="1153"/>
      <c r="FR96" s="1153"/>
      <c r="FS96" s="1153" t="str">
        <f>IF($AI96,IF(LARGE($AG$41:$AH$107,FS$40)=$AG96,$AC96,""),"")</f>
        <v/>
      </c>
      <c r="FT96" s="1153"/>
      <c r="FU96" s="1153"/>
      <c r="FV96" s="1153"/>
      <c r="FW96" s="1153" t="str">
        <f>IF($AI96,IF(LARGE($AG$41:$AH$107,FW$40)=$AG96,$AC96,""),"")</f>
        <v/>
      </c>
      <c r="FX96" s="1153"/>
      <c r="FY96" s="1153"/>
      <c r="FZ96" s="1153"/>
      <c r="GA96" s="1153" t="str">
        <f>IF($AI96,IF(LARGE($AG$41:$AH$107,GA$40)=$AG96,$AC96,""),"")</f>
        <v/>
      </c>
      <c r="GB96" s="1153"/>
      <c r="GC96" s="1153"/>
      <c r="GD96" s="1153"/>
      <c r="GE96" s="1153" t="str">
        <f>IF($AI96,IF(LARGE($AG$41:$AH$107,GE$40)=$AG96,$AC96,""),"")</f>
        <v/>
      </c>
      <c r="GF96" s="1153"/>
      <c r="GG96" s="1153"/>
      <c r="GH96" s="1153"/>
      <c r="GI96" s="1153" t="str">
        <f>IF($AI96,IF(LARGE($AG$41:$AH$107,GI$40)=$AG96,$AC96,""),"")</f>
        <v/>
      </c>
      <c r="GJ96" s="1153"/>
      <c r="GK96" s="1153"/>
      <c r="GL96" s="1153"/>
      <c r="GM96" s="1153" t="str">
        <f>IF($AI96,IF(LARGE($AG$41:$AH$107,GM$40)=$AG96,$AC96,""),"")</f>
        <v/>
      </c>
      <c r="GN96" s="1153"/>
      <c r="GO96" s="1153"/>
      <c r="GP96" s="1153"/>
      <c r="GQ96" s="1153" t="str">
        <f>IF($AI96,IF(LARGE($AG$41:$AH$107,GQ$40)=$AG96,$AC96,""),"")</f>
        <v/>
      </c>
      <c r="GR96" s="1153"/>
      <c r="GS96" s="1153"/>
      <c r="GT96" s="1153"/>
      <c r="GU96" s="1153" t="str">
        <f>IF($AI96,IF(LARGE($AG$41:$AH$107,GU$40)=$AG96,$AC96,""),"")</f>
        <v/>
      </c>
      <c r="GV96" s="1153"/>
      <c r="GW96" s="1153"/>
      <c r="GX96" s="1153"/>
      <c r="GY96" s="1153" t="str">
        <f>IF($AI96,IF(LARGE($AG$41:$AH$107,GY$40)=$AG96,$AC96,""),"")</f>
        <v/>
      </c>
      <c r="GZ96" s="1153"/>
      <c r="HA96" s="1153"/>
      <c r="HB96" s="1153"/>
      <c r="HC96" s="1153" t="str">
        <f>IF($AI96,IF(LARGE($AG$41:$AH$107,HC$40)=$AG96,$AC96,""),"")</f>
        <v/>
      </c>
      <c r="HD96" s="1153"/>
      <c r="HE96" s="1153"/>
      <c r="HF96" s="1153"/>
      <c r="HG96" s="1153" t="str">
        <f>IF($AI96,IF(LARGE($AG$41:$AH$107,HG$40)=$AG96,$AC96,""),"")</f>
        <v/>
      </c>
      <c r="HH96" s="1153"/>
      <c r="HI96" s="1153"/>
      <c r="HJ96" s="1153"/>
      <c r="HK96" s="1153" t="str">
        <f>IF($AI96,IF(LARGE($AG$41:$AH$107,HK$40)=$AG96,$AC96,""),"")</f>
        <v/>
      </c>
      <c r="HL96" s="1153"/>
      <c r="HM96" s="1153"/>
      <c r="HN96" s="1153"/>
      <c r="HO96" s="1153" t="str">
        <f>IF($AI96,IF(LARGE($AG$41:$AH$107,HO$40)=$AG96,$AC96,""),"")</f>
        <v/>
      </c>
      <c r="HP96" s="1153"/>
      <c r="HQ96" s="1153"/>
      <c r="HR96" s="1153"/>
      <c r="HS96" s="1153" t="str">
        <f>IF($AI96,IF(LARGE($AG$41:$AH$107,HS$40)=$AG96,$AC96,""),"")</f>
        <v/>
      </c>
      <c r="HT96" s="1153"/>
      <c r="HU96" s="1153"/>
      <c r="HV96" s="1153"/>
      <c r="HW96" s="1153" t="str">
        <f>IF($AI96,IF(LARGE($AG$41:$AH$107,HW$40)=$AG96,$AC96,""),"")</f>
        <v/>
      </c>
      <c r="HX96" s="1153"/>
      <c r="HY96" s="1153"/>
      <c r="HZ96" s="1153"/>
      <c r="IA96" s="1153" t="str">
        <f>IF($AI96,IF(LARGE($AG$41:$AH$107,IA$40)=$AG96,$AC96,""),"")</f>
        <v/>
      </c>
      <c r="IB96" s="1153"/>
      <c r="IC96" s="1153"/>
      <c r="ID96" s="1153"/>
      <c r="IE96" s="1153" t="str">
        <f>IF($AI96,IF(LARGE($AG$41:$AH$107,IE$40)=$AG96,$AC96,""),"")</f>
        <v/>
      </c>
      <c r="IF96" s="1153"/>
      <c r="IG96" s="1153"/>
      <c r="IH96" s="1153"/>
      <c r="II96" s="1153" t="str">
        <f>IF($AI96,IF(LARGE($AG$41:$AH$107,II$40)=$AG96,$AC96,""),"")</f>
        <v/>
      </c>
      <c r="IJ96" s="1153"/>
      <c r="IK96" s="1153"/>
      <c r="IL96" s="1153"/>
      <c r="IM96" s="1153" t="str">
        <f>IF($AI96,IF(LARGE($AG$41:$AH$107,IM$40)=$AG96,$AC96,""),"")</f>
        <v/>
      </c>
      <c r="IN96" s="1153"/>
      <c r="IO96" s="1153"/>
      <c r="IP96" s="1153"/>
      <c r="IQ96" s="1153" t="str">
        <f>IF($AI96,IF(LARGE($AG$41:$AH$107,IQ$40)=$AG96,$AC96,""),"")</f>
        <v/>
      </c>
      <c r="IR96" s="1153"/>
      <c r="IS96" s="1153"/>
      <c r="IT96" s="1153"/>
      <c r="IU96" s="1153" t="str">
        <f>IF($AI96,IF(LARGE($AG$41:$AH$107,IU$40)=$AG96,$AC96,""),"")</f>
        <v/>
      </c>
      <c r="IV96" s="1153"/>
      <c r="IW96" s="1153"/>
      <c r="IX96" s="1153"/>
      <c r="IY96" s="1153" t="str">
        <f>IF($AI96,IF(LARGE($AG$41:$AH$107,IY$40)=$AG96,$AC96,""),"")</f>
        <v/>
      </c>
      <c r="IZ96" s="1153"/>
      <c r="JA96" s="1153"/>
      <c r="JB96" s="1153"/>
      <c r="JC96" s="1153" t="str">
        <f>IF($AI96,IF(LARGE($AG$41:$AH$107,JC$40)=$AG96,$AC96,""),"")</f>
        <v/>
      </c>
      <c r="JD96" s="1153"/>
      <c r="JE96" s="1153"/>
      <c r="JF96" s="1153"/>
      <c r="JG96" s="1153" t="str">
        <f>IF($AI96,IF(LARGE($AG$41:$AH$107,JG$40)=$AG96,$AC96,""),"")</f>
        <v/>
      </c>
      <c r="JH96" s="1153"/>
      <c r="JI96" s="1153"/>
      <c r="JJ96" s="1153"/>
      <c r="JK96" s="1153" t="str">
        <f>IF($AI96,IF(LARGE($AG$41:$AH$107,JK$40)=$AG96,$AC96,""),"")</f>
        <v/>
      </c>
      <c r="JL96" s="1153"/>
      <c r="JM96" s="1153"/>
      <c r="JN96" s="1153"/>
      <c r="JO96" s="1153" t="str">
        <f>IF($AI96,IF(LARGE($AG$41:$AH$107,JO$40)=$AG96,$AC96,""),"")</f>
        <v/>
      </c>
      <c r="JP96" s="1153"/>
      <c r="JQ96" s="1153"/>
      <c r="JR96" s="1153"/>
      <c r="JS96" s="1153" t="str">
        <f>IF($AI96,IF(LARGE($AG$41:$AH$107,JS$40)=$AG96,$AC96,""),"")</f>
        <v/>
      </c>
      <c r="JT96" s="1153"/>
      <c r="JU96" s="1153"/>
      <c r="JV96" s="1153"/>
      <c r="JW96" s="1153" t="str">
        <f>IF($AI96,IF(LARGE($AG$41:$AH$107,JW$40)=$AG96,$AC96,""),"")</f>
        <v/>
      </c>
      <c r="JX96" s="1153"/>
      <c r="JY96" s="1153"/>
      <c r="JZ96" s="1153"/>
      <c r="KA96" s="1153" t="str">
        <f>IF($AI96,IF(LARGE($AG$41:$AH$107,KA$40)=$AG96,$AC96,""),"")</f>
        <v/>
      </c>
      <c r="KB96" s="1153"/>
      <c r="KC96" s="1153"/>
      <c r="KD96" s="1153"/>
      <c r="KE96" s="1153" t="str">
        <f>IF($AI96,IF(LARGE($AG$41:$AH$107,KE$40)=$AG96,$AC96,""),"")</f>
        <v/>
      </c>
      <c r="KF96" s="1153"/>
      <c r="KG96" s="1153"/>
      <c r="KH96" s="1153"/>
      <c r="KI96" s="1153" t="str">
        <f>IF($AI96,IF(LARGE($AG$41:$AH$107,KI$40)=$AG96,$AC96,""),"")</f>
        <v/>
      </c>
      <c r="KJ96" s="1153"/>
      <c r="KK96" s="1153"/>
      <c r="KL96" s="1153"/>
      <c r="KM96" s="1153" t="str">
        <f>IF($AI96,IF(LARGE($AG$41:$AH$107,KM$40)=$AG96,$AC96,""),"")</f>
        <v/>
      </c>
      <c r="KN96" s="1153"/>
      <c r="KO96" s="1153"/>
      <c r="KP96" s="1153"/>
      <c r="KQ96" s="1153" t="str">
        <f>IF($AI96,IF(LARGE($AG$41:$AH$107,KQ$40)=$AG96,$AC96,""),"")</f>
        <v/>
      </c>
      <c r="KR96" s="1153"/>
      <c r="KS96" s="1153"/>
      <c r="KT96" s="1153"/>
    </row>
    <row r="97" spans="8:8">
      <c r="C97" s="1153" t="str">
        <f>IF(Z27="","",CONCATENATE(" ",AR27,Z27,AB27))</f>
        <v> 🏊‍♂️游泳</v>
      </c>
      <c r="D97" s="1153"/>
      <c r="E97" s="1153"/>
      <c r="F97" s="1153"/>
      <c r="G97" s="1155" t="str">
        <f>IF(AND(AF27=0,AH27=0),"",IF(ISNONTEXT(X27),"",AL27))</f>
        <v/>
      </c>
      <c r="H97" s="1155"/>
      <c r="I97" s="1153" t="str">
        <f>IF(G97=$G$40,C97,"")</f>
        <v/>
      </c>
      <c r="J97" s="1153"/>
      <c r="K97" s="1153"/>
      <c r="L97" s="1153"/>
      <c r="M97" s="1154">
        <f>IF(AND(NOT(AH27=0),ISNONTEXT(X27)),1,0)</f>
        <v>0.0</v>
      </c>
      <c r="N97" s="1122"/>
      <c r="O97" s="1122"/>
      <c r="P97" s="1153" t="str">
        <f>IF(Z27="","",CONCATENATE(" ",AR27,Z27,AB27))</f>
        <v> 🏊‍♂️游泳</v>
      </c>
      <c r="Q97" s="1153"/>
      <c r="R97" s="1153"/>
      <c r="S97" s="1153"/>
      <c r="T97" s="1155" t="str">
        <f>IF(AND(AF27=0,AJ27=0),"",IF(ISNONTEXT(X27),AL27,""))</f>
        <v/>
      </c>
      <c r="U97" s="1155"/>
      <c r="V97" s="1153" t="str">
        <f>IF(T97=$T$40,P97,"")</f>
        <v/>
      </c>
      <c r="W97" s="1153"/>
      <c r="X97" s="1153"/>
      <c r="Y97" s="1153"/>
      <c r="AB97" s="1122"/>
      <c r="AC97" s="1153" t="str">
        <f>IF(Z27="","",CONCATENATE(AR27,Z27,AB27))</f>
        <v>🏊‍♂️游泳</v>
      </c>
      <c r="AD97" s="1153"/>
      <c r="AE97" s="1153"/>
      <c r="AF97" s="1153"/>
      <c r="AG97" s="1155">
        <f>AL27</f>
        <v>20.0</v>
      </c>
      <c r="AH97" s="1155"/>
      <c r="AI97" s="1153" t="b">
        <f>IF(AND(OR(ISNUMBER(AF27),ISNUMBER(AH27),ISNUMBER(AJ27)),OR(AF27&gt;0,AH27&gt;0,AJ27&gt;0)),TRUE,FALSE)</f>
        <v>0</v>
      </c>
      <c r="AJ97" s="1153"/>
      <c r="AK97" s="1153"/>
      <c r="AL97" s="1153"/>
      <c r="AM97" s="1153" t="str">
        <f>IF($AI97,IF(LARGE($AG$41:$AH$107,AM$40)=$AG97,$AC97,""),"")</f>
        <v/>
      </c>
      <c r="AN97" s="1153"/>
      <c r="AO97" s="1153"/>
      <c r="AP97" s="1153"/>
      <c r="AQ97" s="1153" t="str">
        <f>IF($AI97,IF(LARGE($AG$41:$AH$107,AQ$40)=$AG97,$AC97,""),"")</f>
        <v/>
      </c>
      <c r="AR97" s="1153"/>
      <c r="AS97" s="1153"/>
      <c r="AT97" s="1153"/>
      <c r="AU97" s="1153" t="str">
        <f>IF($AI97,IF(LARGE($AG$41:$AH$107,AU$40)=$AG97,$AC97,""),"")</f>
        <v/>
      </c>
      <c r="AV97" s="1153"/>
      <c r="AW97" s="1153"/>
      <c r="AX97" s="1153"/>
      <c r="AY97" s="1153" t="str">
        <f>IF($AI97,IF(LARGE($AG$41:$AH$107,AY$40)=$AG97,$AC97,""),"")</f>
        <v/>
      </c>
      <c r="AZ97" s="1153"/>
      <c r="BA97" s="1153"/>
      <c r="BB97" s="1153"/>
      <c r="BC97" s="1153" t="str">
        <f>IF($AI97,IF(LARGE($AG$41:$AH$107,BC$40)=$AG97,$AC97,""),"")</f>
        <v/>
      </c>
      <c r="BD97" s="1153"/>
      <c r="BE97" s="1153"/>
      <c r="BF97" s="1153"/>
      <c r="BG97" s="1153" t="str">
        <f>IF($AI97,IF(LARGE($AG$41:$AH$107,BG$40)=$AG97,$AC97,""),"")</f>
        <v/>
      </c>
      <c r="BH97" s="1153"/>
      <c r="BI97" s="1153"/>
      <c r="BJ97" s="1153"/>
      <c r="BK97" s="1153" t="str">
        <f>IF($AI97,IF(LARGE($AG$41:$AH$107,BK$40)=$AG97,$AC97,""),"")</f>
        <v/>
      </c>
      <c r="BL97" s="1153"/>
      <c r="BM97" s="1153"/>
      <c r="BN97" s="1153"/>
      <c r="BO97" s="1153" t="str">
        <f>IF($AI97,IF(LARGE($AG$41:$AH$107,BO$40)=$AG97,$AC97,""),"")</f>
        <v/>
      </c>
      <c r="BP97" s="1153"/>
      <c r="BQ97" s="1153"/>
      <c r="BR97" s="1153"/>
      <c r="BS97" s="1153" t="str">
        <f>IF($AI97,IF(LARGE($AG$41:$AH$107,BS$40)=$AG97,$AC97,""),"")</f>
        <v/>
      </c>
      <c r="BT97" s="1153"/>
      <c r="BU97" s="1153"/>
      <c r="BV97" s="1153"/>
      <c r="BW97" s="1153" t="str">
        <f>IF($AI97,IF(LARGE($AG$41:$AH$107,BW$40)=$AG97,$AC97,""),"")</f>
        <v/>
      </c>
      <c r="BX97" s="1153"/>
      <c r="BY97" s="1153"/>
      <c r="BZ97" s="1153"/>
      <c r="CA97" s="1153" t="str">
        <f>IF($AI97,IF(LARGE($AG$41:$AH$107,CA$40)=$AG97,$AC97,""),"")</f>
        <v/>
      </c>
      <c r="CB97" s="1153"/>
      <c r="CC97" s="1153"/>
      <c r="CD97" s="1153"/>
      <c r="CE97" s="1153" t="str">
        <f>IF($AI97,IF(LARGE($AG$41:$AH$107,CE$40)=$AG97,$AC97,""),"")</f>
        <v/>
      </c>
      <c r="CF97" s="1153"/>
      <c r="CG97" s="1153"/>
      <c r="CH97" s="1153"/>
      <c r="CI97" s="1153" t="str">
        <f>IF($AI97,IF(LARGE($AG$41:$AH$107,CI$40)=$AG97,$AC97,""),"")</f>
        <v/>
      </c>
      <c r="CJ97" s="1153"/>
      <c r="CK97" s="1153"/>
      <c r="CL97" s="1153"/>
      <c r="CM97" s="1153" t="str">
        <f>IF($AI97,IF(LARGE($AG$41:$AH$107,CM$40)=$AG97,$AC97,""),"")</f>
        <v/>
      </c>
      <c r="CN97" s="1153"/>
      <c r="CO97" s="1153"/>
      <c r="CP97" s="1153"/>
      <c r="CQ97" s="1153" t="str">
        <f>IF($AI97,IF(LARGE($AG$41:$AH$107,CQ$40)=$AG97,$AC97,""),"")</f>
        <v/>
      </c>
      <c r="CR97" s="1153"/>
      <c r="CS97" s="1153"/>
      <c r="CT97" s="1153"/>
      <c r="CU97" s="1153" t="str">
        <f>IF($AI97,IF(LARGE($AG$41:$AH$107,CU$40)=$AG97,$AC97,""),"")</f>
        <v/>
      </c>
      <c r="CV97" s="1153"/>
      <c r="CW97" s="1153"/>
      <c r="CX97" s="1153"/>
      <c r="CY97" s="1153" t="str">
        <f>IF($AI97,IF(LARGE($AG$41:$AH$107,CY$40)=$AG97,$AC97,""),"")</f>
        <v/>
      </c>
      <c r="CZ97" s="1153"/>
      <c r="DA97" s="1153"/>
      <c r="DB97" s="1153"/>
      <c r="DC97" s="1153" t="str">
        <f>IF($AI97,IF(LARGE($AG$41:$AH$107,DC$40)=$AG97,$AC97,""),"")</f>
        <v/>
      </c>
      <c r="DD97" s="1153"/>
      <c r="DE97" s="1153"/>
      <c r="DF97" s="1153"/>
      <c r="DG97" s="1153" t="str">
        <f>IF($AI97,IF(LARGE($AG$41:$AH$107,DG$40)=$AG97,$AC97,""),"")</f>
        <v/>
      </c>
      <c r="DH97" s="1153"/>
      <c r="DI97" s="1153"/>
      <c r="DJ97" s="1153"/>
      <c r="DK97" s="1153" t="str">
        <f>IF($AI97,IF(LARGE($AG$41:$AH$107,DK$40)=$AG97,$AC97,""),"")</f>
        <v/>
      </c>
      <c r="DL97" s="1153"/>
      <c r="DM97" s="1153"/>
      <c r="DN97" s="1153"/>
      <c r="DO97" s="1153" t="str">
        <f>IF($AI97,IF(LARGE($AG$41:$AH$107,DO$40)=$AG97,$AC97,""),"")</f>
        <v/>
      </c>
      <c r="DP97" s="1153"/>
      <c r="DQ97" s="1153"/>
      <c r="DR97" s="1153"/>
      <c r="DS97" s="1153" t="str">
        <f>IF($AI97,IF(LARGE($AG$41:$AH$107,DS$40)=$AG97,$AC97,""),"")</f>
        <v/>
      </c>
      <c r="DT97" s="1153"/>
      <c r="DU97" s="1153"/>
      <c r="DV97" s="1153"/>
      <c r="DW97" s="1153" t="str">
        <f>IF($AI97,IF(LARGE($AG$41:$AH$107,DW$40)=$AG97,$AC97,""),"")</f>
        <v/>
      </c>
      <c r="DX97" s="1153"/>
      <c r="DY97" s="1153"/>
      <c r="DZ97" s="1153"/>
      <c r="EA97" s="1153" t="str">
        <f>IF($AI97,IF(LARGE($AG$41:$AH$107,EA$40)=$AG97,$AC97,""),"")</f>
        <v/>
      </c>
      <c r="EB97" s="1153"/>
      <c r="EC97" s="1153"/>
      <c r="ED97" s="1153"/>
      <c r="EE97" s="1153" t="str">
        <f>IF($AI97,IF(LARGE($AG$41:$AH$107,EE$40)=$AG97,$AC97,""),"")</f>
        <v/>
      </c>
      <c r="EF97" s="1153"/>
      <c r="EG97" s="1153"/>
      <c r="EH97" s="1153"/>
      <c r="EI97" s="1153" t="str">
        <f>IF($AI97,IF(LARGE($AG$41:$AH$107,EI$40)=$AG97,$AC97,""),"")</f>
        <v/>
      </c>
      <c r="EJ97" s="1153"/>
      <c r="EK97" s="1153"/>
      <c r="EL97" s="1153"/>
      <c r="EM97" s="1153" t="str">
        <f>IF($AI97,IF(LARGE($AG$41:$AH$107,EM$40)=$AG97,$AC97,""),"")</f>
        <v/>
      </c>
      <c r="EN97" s="1153"/>
      <c r="EO97" s="1153"/>
      <c r="EP97" s="1153"/>
      <c r="EQ97" s="1153" t="str">
        <f>IF($AI97,IF(LARGE($AG$41:$AH$107,EQ$40)=$AG97,$AC97,""),"")</f>
        <v/>
      </c>
      <c r="ER97" s="1153"/>
      <c r="ES97" s="1153"/>
      <c r="ET97" s="1153"/>
      <c r="EU97" s="1153" t="str">
        <f>IF($AI97,IF(LARGE($AG$41:$AH$107,EU$40)=$AG97,$AC97,""),"")</f>
        <v/>
      </c>
      <c r="EV97" s="1153"/>
      <c r="EW97" s="1153"/>
      <c r="EX97" s="1153"/>
      <c r="EY97" s="1153" t="str">
        <f>IF($AI97,IF(LARGE($AG$41:$AH$107,EY$40)=$AG97,$AC97,""),"")</f>
        <v/>
      </c>
      <c r="EZ97" s="1153"/>
      <c r="FA97" s="1153"/>
      <c r="FB97" s="1153"/>
      <c r="FC97" s="1153" t="str">
        <f>IF($AI97,IF(LARGE($AG$41:$AH$107,FC$40)=$AG97,$AC97,""),"")</f>
        <v/>
      </c>
      <c r="FD97" s="1153"/>
      <c r="FE97" s="1153"/>
      <c r="FF97" s="1153"/>
      <c r="FG97" s="1153" t="str">
        <f>IF($AI97,IF(LARGE($AG$41:$AH$107,FG$40)=$AG97,$AC97,""),"")</f>
        <v/>
      </c>
      <c r="FH97" s="1153"/>
      <c r="FI97" s="1153"/>
      <c r="FJ97" s="1153"/>
      <c r="FK97" s="1153" t="str">
        <f>IF($AI97,IF(LARGE($AG$41:$AH$107,FK$40)=$AG97,$AC97,""),"")</f>
        <v/>
      </c>
      <c r="FL97" s="1153"/>
      <c r="FM97" s="1153"/>
      <c r="FN97" s="1153"/>
      <c r="FO97" s="1153" t="str">
        <f>IF($AI97,IF(LARGE($AG$41:$AH$107,FO$40)=$AG97,$AC97,""),"")</f>
        <v/>
      </c>
      <c r="FP97" s="1153"/>
      <c r="FQ97" s="1153"/>
      <c r="FR97" s="1153"/>
      <c r="FS97" s="1153" t="str">
        <f>IF($AI97,IF(LARGE($AG$41:$AH$107,FS$40)=$AG97,$AC97,""),"")</f>
        <v/>
      </c>
      <c r="FT97" s="1153"/>
      <c r="FU97" s="1153"/>
      <c r="FV97" s="1153"/>
      <c r="FW97" s="1153" t="str">
        <f>IF($AI97,IF(LARGE($AG$41:$AH$107,FW$40)=$AG97,$AC97,""),"")</f>
        <v/>
      </c>
      <c r="FX97" s="1153"/>
      <c r="FY97" s="1153"/>
      <c r="FZ97" s="1153"/>
      <c r="GA97" s="1153" t="str">
        <f>IF($AI97,IF(LARGE($AG$41:$AH$107,GA$40)=$AG97,$AC97,""),"")</f>
        <v/>
      </c>
      <c r="GB97" s="1153"/>
      <c r="GC97" s="1153"/>
      <c r="GD97" s="1153"/>
      <c r="GE97" s="1153" t="str">
        <f>IF($AI97,IF(LARGE($AG$41:$AH$107,GE$40)=$AG97,$AC97,""),"")</f>
        <v/>
      </c>
      <c r="GF97" s="1153"/>
      <c r="GG97" s="1153"/>
      <c r="GH97" s="1153"/>
      <c r="GI97" s="1153" t="str">
        <f>IF($AI97,IF(LARGE($AG$41:$AH$107,GI$40)=$AG97,$AC97,""),"")</f>
        <v/>
      </c>
      <c r="GJ97" s="1153"/>
      <c r="GK97" s="1153"/>
      <c r="GL97" s="1153"/>
      <c r="GM97" s="1153" t="str">
        <f>IF($AI97,IF(LARGE($AG$41:$AH$107,GM$40)=$AG97,$AC97,""),"")</f>
        <v/>
      </c>
      <c r="GN97" s="1153"/>
      <c r="GO97" s="1153"/>
      <c r="GP97" s="1153"/>
      <c r="GQ97" s="1153" t="str">
        <f>IF($AI97,IF(LARGE($AG$41:$AH$107,GQ$40)=$AG97,$AC97,""),"")</f>
        <v/>
      </c>
      <c r="GR97" s="1153"/>
      <c r="GS97" s="1153"/>
      <c r="GT97" s="1153"/>
      <c r="GU97" s="1153" t="str">
        <f>IF($AI97,IF(LARGE($AG$41:$AH$107,GU$40)=$AG97,$AC97,""),"")</f>
        <v/>
      </c>
      <c r="GV97" s="1153"/>
      <c r="GW97" s="1153"/>
      <c r="GX97" s="1153"/>
      <c r="GY97" s="1153" t="str">
        <f>IF($AI97,IF(LARGE($AG$41:$AH$107,GY$40)=$AG97,$AC97,""),"")</f>
        <v/>
      </c>
      <c r="GZ97" s="1153"/>
      <c r="HA97" s="1153"/>
      <c r="HB97" s="1153"/>
      <c r="HC97" s="1153" t="str">
        <f>IF($AI97,IF(LARGE($AG$41:$AH$107,HC$40)=$AG97,$AC97,""),"")</f>
        <v/>
      </c>
      <c r="HD97" s="1153"/>
      <c r="HE97" s="1153"/>
      <c r="HF97" s="1153"/>
      <c r="HG97" s="1153" t="str">
        <f>IF($AI97,IF(LARGE($AG$41:$AH$107,HG$40)=$AG97,$AC97,""),"")</f>
        <v/>
      </c>
      <c r="HH97" s="1153"/>
      <c r="HI97" s="1153"/>
      <c r="HJ97" s="1153"/>
      <c r="HK97" s="1153" t="str">
        <f>IF($AI97,IF(LARGE($AG$41:$AH$107,HK$40)=$AG97,$AC97,""),"")</f>
        <v/>
      </c>
      <c r="HL97" s="1153"/>
      <c r="HM97" s="1153"/>
      <c r="HN97" s="1153"/>
      <c r="HO97" s="1153" t="str">
        <f>IF($AI97,IF(LARGE($AG$41:$AH$107,HO$40)=$AG97,$AC97,""),"")</f>
        <v/>
      </c>
      <c r="HP97" s="1153"/>
      <c r="HQ97" s="1153"/>
      <c r="HR97" s="1153"/>
      <c r="HS97" s="1153" t="str">
        <f>IF($AI97,IF(LARGE($AG$41:$AH$107,HS$40)=$AG97,$AC97,""),"")</f>
        <v/>
      </c>
      <c r="HT97" s="1153"/>
      <c r="HU97" s="1153"/>
      <c r="HV97" s="1153"/>
      <c r="HW97" s="1153" t="str">
        <f>IF($AI97,IF(LARGE($AG$41:$AH$107,HW$40)=$AG97,$AC97,""),"")</f>
        <v/>
      </c>
      <c r="HX97" s="1153"/>
      <c r="HY97" s="1153"/>
      <c r="HZ97" s="1153"/>
      <c r="IA97" s="1153" t="str">
        <f>IF($AI97,IF(LARGE($AG$41:$AH$107,IA$40)=$AG97,$AC97,""),"")</f>
        <v/>
      </c>
      <c r="IB97" s="1153"/>
      <c r="IC97" s="1153"/>
      <c r="ID97" s="1153"/>
      <c r="IE97" s="1153" t="str">
        <f>IF($AI97,IF(LARGE($AG$41:$AH$107,IE$40)=$AG97,$AC97,""),"")</f>
        <v/>
      </c>
      <c r="IF97" s="1153"/>
      <c r="IG97" s="1153"/>
      <c r="IH97" s="1153"/>
      <c r="II97" s="1153" t="str">
        <f>IF($AI97,IF(LARGE($AG$41:$AH$107,II$40)=$AG97,$AC97,""),"")</f>
        <v/>
      </c>
      <c r="IJ97" s="1153"/>
      <c r="IK97" s="1153"/>
      <c r="IL97" s="1153"/>
      <c r="IM97" s="1153" t="str">
        <f>IF($AI97,IF(LARGE($AG$41:$AH$107,IM$40)=$AG97,$AC97,""),"")</f>
        <v/>
      </c>
      <c r="IN97" s="1153"/>
      <c r="IO97" s="1153"/>
      <c r="IP97" s="1153"/>
      <c r="IQ97" s="1153" t="str">
        <f>IF($AI97,IF(LARGE($AG$41:$AH$107,IQ$40)=$AG97,$AC97,""),"")</f>
        <v/>
      </c>
      <c r="IR97" s="1153"/>
      <c r="IS97" s="1153"/>
      <c r="IT97" s="1153"/>
      <c r="IU97" s="1153" t="str">
        <f>IF($AI97,IF(LARGE($AG$41:$AH$107,IU$40)=$AG97,$AC97,""),"")</f>
        <v/>
      </c>
      <c r="IV97" s="1153"/>
      <c r="IW97" s="1153"/>
      <c r="IX97" s="1153"/>
      <c r="IY97" s="1153" t="str">
        <f>IF($AI97,IF(LARGE($AG$41:$AH$107,IY$40)=$AG97,$AC97,""),"")</f>
        <v/>
      </c>
      <c r="IZ97" s="1153"/>
      <c r="JA97" s="1153"/>
      <c r="JB97" s="1153"/>
      <c r="JC97" s="1153" t="str">
        <f>IF($AI97,IF(LARGE($AG$41:$AH$107,JC$40)=$AG97,$AC97,""),"")</f>
        <v/>
      </c>
      <c r="JD97" s="1153"/>
      <c r="JE97" s="1153"/>
      <c r="JF97" s="1153"/>
      <c r="JG97" s="1153" t="str">
        <f>IF($AI97,IF(LARGE($AG$41:$AH$107,JG$40)=$AG97,$AC97,""),"")</f>
        <v/>
      </c>
      <c r="JH97" s="1153"/>
      <c r="JI97" s="1153"/>
      <c r="JJ97" s="1153"/>
      <c r="JK97" s="1153" t="str">
        <f>IF($AI97,IF(LARGE($AG$41:$AH$107,JK$40)=$AG97,$AC97,""),"")</f>
        <v/>
      </c>
      <c r="JL97" s="1153"/>
      <c r="JM97" s="1153"/>
      <c r="JN97" s="1153"/>
      <c r="JO97" s="1153" t="str">
        <f>IF($AI97,IF(LARGE($AG$41:$AH$107,JO$40)=$AG97,$AC97,""),"")</f>
        <v/>
      </c>
      <c r="JP97" s="1153"/>
      <c r="JQ97" s="1153"/>
      <c r="JR97" s="1153"/>
      <c r="JS97" s="1153" t="str">
        <f>IF($AI97,IF(LARGE($AG$41:$AH$107,JS$40)=$AG97,$AC97,""),"")</f>
        <v/>
      </c>
      <c r="JT97" s="1153"/>
      <c r="JU97" s="1153"/>
      <c r="JV97" s="1153"/>
      <c r="JW97" s="1153" t="str">
        <f>IF($AI97,IF(LARGE($AG$41:$AH$107,JW$40)=$AG97,$AC97,""),"")</f>
        <v/>
      </c>
      <c r="JX97" s="1153"/>
      <c r="JY97" s="1153"/>
      <c r="JZ97" s="1153"/>
      <c r="KA97" s="1153" t="str">
        <f>IF($AI97,IF(LARGE($AG$41:$AH$107,KA$40)=$AG97,$AC97,""),"")</f>
        <v/>
      </c>
      <c r="KB97" s="1153"/>
      <c r="KC97" s="1153"/>
      <c r="KD97" s="1153"/>
      <c r="KE97" s="1153" t="str">
        <f>IF($AI97,IF(LARGE($AG$41:$AH$107,KE$40)=$AG97,$AC97,""),"")</f>
        <v/>
      </c>
      <c r="KF97" s="1153"/>
      <c r="KG97" s="1153"/>
      <c r="KH97" s="1153"/>
      <c r="KI97" s="1153" t="str">
        <f>IF($AI97,IF(LARGE($AG$41:$AH$107,KI$40)=$AG97,$AC97,""),"")</f>
        <v/>
      </c>
      <c r="KJ97" s="1153"/>
      <c r="KK97" s="1153"/>
      <c r="KL97" s="1153"/>
      <c r="KM97" s="1153" t="str">
        <f>IF($AI97,IF(LARGE($AG$41:$AH$107,KM$40)=$AG97,$AC97,""),"")</f>
        <v/>
      </c>
      <c r="KN97" s="1153"/>
      <c r="KO97" s="1153"/>
      <c r="KP97" s="1153"/>
      <c r="KQ97" s="1153" t="str">
        <f>IF($AI97,IF(LARGE($AG$41:$AH$107,KQ$40)=$AG97,$AC97,""),"")</f>
        <v/>
      </c>
      <c r="KR97" s="1153"/>
      <c r="KS97" s="1153"/>
      <c r="KT97" s="1153"/>
    </row>
    <row r="98" spans="8:8">
      <c r="C98" s="1153" t="str">
        <f>IF(Z28="","",CONCATENATE(" ",AR28,Z28,AB28))</f>
        <v> 🏀投掷</v>
      </c>
      <c r="D98" s="1153"/>
      <c r="E98" s="1153"/>
      <c r="F98" s="1153"/>
      <c r="G98" s="1155" t="str">
        <f>IF(AND(AF28=0,AH28=0),"",IF(ISNONTEXT(X28),"",AL28))</f>
        <v/>
      </c>
      <c r="H98" s="1155"/>
      <c r="I98" s="1153" t="str">
        <f>IF(G98=$G$40,C98,"")</f>
        <v/>
      </c>
      <c r="J98" s="1153"/>
      <c r="K98" s="1153"/>
      <c r="L98" s="1153"/>
      <c r="M98" s="1154">
        <f>IF(AND(NOT(AH28=0),ISNONTEXT(X28)),1,0)</f>
        <v>0.0</v>
      </c>
      <c r="N98" s="1122"/>
      <c r="O98" s="1122"/>
      <c r="P98" s="1153" t="str">
        <f>IF(Z28="","",CONCATENATE(" ",AR28,Z28,AB28))</f>
        <v> 🏀投掷</v>
      </c>
      <c r="Q98" s="1153"/>
      <c r="R98" s="1153"/>
      <c r="S98" s="1153"/>
      <c r="T98" s="1155" t="str">
        <f>IF(AND(AF28=0,AJ28=0),"",IF(ISNONTEXT(X28),AL28,""))</f>
        <v/>
      </c>
      <c r="U98" s="1155"/>
      <c r="V98" s="1153" t="str">
        <f>IF(T98=$T$40,P98,"")</f>
        <v/>
      </c>
      <c r="W98" s="1153"/>
      <c r="X98" s="1153"/>
      <c r="Y98" s="1153"/>
      <c r="AB98" s="1122"/>
      <c r="AC98" s="1153" t="str">
        <f>IF(Z28="","",CONCATENATE(AR28,Z28,AB28))</f>
        <v>🏀投掷</v>
      </c>
      <c r="AD98" s="1153"/>
      <c r="AE98" s="1153"/>
      <c r="AF98" s="1153"/>
      <c r="AG98" s="1155">
        <f>AL28</f>
        <v>20.0</v>
      </c>
      <c r="AH98" s="1155"/>
      <c r="AI98" s="1153" t="b">
        <f>IF(AND(OR(ISNUMBER(AF28),ISNUMBER(AH28),ISNUMBER(AJ28)),OR(AF28&gt;0,AH28&gt;0,AJ28&gt;0)),TRUE,FALSE)</f>
        <v>0</v>
      </c>
      <c r="AJ98" s="1153"/>
      <c r="AK98" s="1153"/>
      <c r="AL98" s="1153"/>
      <c r="AM98" s="1153" t="str">
        <f>IF($AI98,IF(LARGE($AG$41:$AH$107,AM$40)=$AG98,$AC98,""),"")</f>
        <v/>
      </c>
      <c r="AN98" s="1153"/>
      <c r="AO98" s="1153"/>
      <c r="AP98" s="1153"/>
      <c r="AQ98" s="1153" t="str">
        <f>IF($AI98,IF(LARGE($AG$41:$AH$107,AQ$40)=$AG98,$AC98,""),"")</f>
        <v/>
      </c>
      <c r="AR98" s="1153"/>
      <c r="AS98" s="1153"/>
      <c r="AT98" s="1153"/>
      <c r="AU98" s="1153" t="str">
        <f>IF($AI98,IF(LARGE($AG$41:$AH$107,AU$40)=$AG98,$AC98,""),"")</f>
        <v/>
      </c>
      <c r="AV98" s="1153"/>
      <c r="AW98" s="1153"/>
      <c r="AX98" s="1153"/>
      <c r="AY98" s="1153" t="str">
        <f>IF($AI98,IF(LARGE($AG$41:$AH$107,AY$40)=$AG98,$AC98,""),"")</f>
        <v/>
      </c>
      <c r="AZ98" s="1153"/>
      <c r="BA98" s="1153"/>
      <c r="BB98" s="1153"/>
      <c r="BC98" s="1153" t="str">
        <f>IF($AI98,IF(LARGE($AG$41:$AH$107,BC$40)=$AG98,$AC98,""),"")</f>
        <v/>
      </c>
      <c r="BD98" s="1153"/>
      <c r="BE98" s="1153"/>
      <c r="BF98" s="1153"/>
      <c r="BG98" s="1153" t="str">
        <f>IF($AI98,IF(LARGE($AG$41:$AH$107,BG$40)=$AG98,$AC98,""),"")</f>
        <v/>
      </c>
      <c r="BH98" s="1153"/>
      <c r="BI98" s="1153"/>
      <c r="BJ98" s="1153"/>
      <c r="BK98" s="1153" t="str">
        <f>IF($AI98,IF(LARGE($AG$41:$AH$107,BK$40)=$AG98,$AC98,""),"")</f>
        <v/>
      </c>
      <c r="BL98" s="1153"/>
      <c r="BM98" s="1153"/>
      <c r="BN98" s="1153"/>
      <c r="BO98" s="1153" t="str">
        <f>IF($AI98,IF(LARGE($AG$41:$AH$107,BO$40)=$AG98,$AC98,""),"")</f>
        <v/>
      </c>
      <c r="BP98" s="1153"/>
      <c r="BQ98" s="1153"/>
      <c r="BR98" s="1153"/>
      <c r="BS98" s="1153" t="str">
        <f>IF($AI98,IF(LARGE($AG$41:$AH$107,BS$40)=$AG98,$AC98,""),"")</f>
        <v/>
      </c>
      <c r="BT98" s="1153"/>
      <c r="BU98" s="1153"/>
      <c r="BV98" s="1153"/>
      <c r="BW98" s="1153" t="str">
        <f>IF($AI98,IF(LARGE($AG$41:$AH$107,BW$40)=$AG98,$AC98,""),"")</f>
        <v/>
      </c>
      <c r="BX98" s="1153"/>
      <c r="BY98" s="1153"/>
      <c r="BZ98" s="1153"/>
      <c r="CA98" s="1153" t="str">
        <f>IF($AI98,IF(LARGE($AG$41:$AH$107,CA$40)=$AG98,$AC98,""),"")</f>
        <v/>
      </c>
      <c r="CB98" s="1153"/>
      <c r="CC98" s="1153"/>
      <c r="CD98" s="1153"/>
      <c r="CE98" s="1153" t="str">
        <f>IF($AI98,IF(LARGE($AG$41:$AH$107,CE$40)=$AG98,$AC98,""),"")</f>
        <v/>
      </c>
      <c r="CF98" s="1153"/>
      <c r="CG98" s="1153"/>
      <c r="CH98" s="1153"/>
      <c r="CI98" s="1153" t="str">
        <f>IF($AI98,IF(LARGE($AG$41:$AH$107,CI$40)=$AG98,$AC98,""),"")</f>
        <v/>
      </c>
      <c r="CJ98" s="1153"/>
      <c r="CK98" s="1153"/>
      <c r="CL98" s="1153"/>
      <c r="CM98" s="1153" t="str">
        <f>IF($AI98,IF(LARGE($AG$41:$AH$107,CM$40)=$AG98,$AC98,""),"")</f>
        <v/>
      </c>
      <c r="CN98" s="1153"/>
      <c r="CO98" s="1153"/>
      <c r="CP98" s="1153"/>
      <c r="CQ98" s="1153" t="str">
        <f>IF($AI98,IF(LARGE($AG$41:$AH$107,CQ$40)=$AG98,$AC98,""),"")</f>
        <v/>
      </c>
      <c r="CR98" s="1153"/>
      <c r="CS98" s="1153"/>
      <c r="CT98" s="1153"/>
      <c r="CU98" s="1153" t="str">
        <f>IF($AI98,IF(LARGE($AG$41:$AH$107,CU$40)=$AG98,$AC98,""),"")</f>
        <v/>
      </c>
      <c r="CV98" s="1153"/>
      <c r="CW98" s="1153"/>
      <c r="CX98" s="1153"/>
      <c r="CY98" s="1153" t="str">
        <f>IF($AI98,IF(LARGE($AG$41:$AH$107,CY$40)=$AG98,$AC98,""),"")</f>
        <v/>
      </c>
      <c r="CZ98" s="1153"/>
      <c r="DA98" s="1153"/>
      <c r="DB98" s="1153"/>
      <c r="DC98" s="1153" t="str">
        <f>IF($AI98,IF(LARGE($AG$41:$AH$107,DC$40)=$AG98,$AC98,""),"")</f>
        <v/>
      </c>
      <c r="DD98" s="1153"/>
      <c r="DE98" s="1153"/>
      <c r="DF98" s="1153"/>
      <c r="DG98" s="1153" t="str">
        <f>IF($AI98,IF(LARGE($AG$41:$AH$107,DG$40)=$AG98,$AC98,""),"")</f>
        <v/>
      </c>
      <c r="DH98" s="1153"/>
      <c r="DI98" s="1153"/>
      <c r="DJ98" s="1153"/>
      <c r="DK98" s="1153" t="str">
        <f>IF($AI98,IF(LARGE($AG$41:$AH$107,DK$40)=$AG98,$AC98,""),"")</f>
        <v/>
      </c>
      <c r="DL98" s="1153"/>
      <c r="DM98" s="1153"/>
      <c r="DN98" s="1153"/>
      <c r="DO98" s="1153" t="str">
        <f>IF($AI98,IF(LARGE($AG$41:$AH$107,DO$40)=$AG98,$AC98,""),"")</f>
        <v/>
      </c>
      <c r="DP98" s="1153"/>
      <c r="DQ98" s="1153"/>
      <c r="DR98" s="1153"/>
      <c r="DS98" s="1153" t="str">
        <f>IF($AI98,IF(LARGE($AG$41:$AH$107,DS$40)=$AG98,$AC98,""),"")</f>
        <v/>
      </c>
      <c r="DT98" s="1153"/>
      <c r="DU98" s="1153"/>
      <c r="DV98" s="1153"/>
      <c r="DW98" s="1153" t="str">
        <f>IF($AI98,IF(LARGE($AG$41:$AH$107,DW$40)=$AG98,$AC98,""),"")</f>
        <v/>
      </c>
      <c r="DX98" s="1153"/>
      <c r="DY98" s="1153"/>
      <c r="DZ98" s="1153"/>
      <c r="EA98" s="1153" t="str">
        <f>IF($AI98,IF(LARGE($AG$41:$AH$107,EA$40)=$AG98,$AC98,""),"")</f>
        <v/>
      </c>
      <c r="EB98" s="1153"/>
      <c r="EC98" s="1153"/>
      <c r="ED98" s="1153"/>
      <c r="EE98" s="1153" t="str">
        <f>IF($AI98,IF(LARGE($AG$41:$AH$107,EE$40)=$AG98,$AC98,""),"")</f>
        <v/>
      </c>
      <c r="EF98" s="1153"/>
      <c r="EG98" s="1153"/>
      <c r="EH98" s="1153"/>
      <c r="EI98" s="1153" t="str">
        <f>IF($AI98,IF(LARGE($AG$41:$AH$107,EI$40)=$AG98,$AC98,""),"")</f>
        <v/>
      </c>
      <c r="EJ98" s="1153"/>
      <c r="EK98" s="1153"/>
      <c r="EL98" s="1153"/>
      <c r="EM98" s="1153" t="str">
        <f>IF($AI98,IF(LARGE($AG$41:$AH$107,EM$40)=$AG98,$AC98,""),"")</f>
        <v/>
      </c>
      <c r="EN98" s="1153"/>
      <c r="EO98" s="1153"/>
      <c r="EP98" s="1153"/>
      <c r="EQ98" s="1153" t="str">
        <f>IF($AI98,IF(LARGE($AG$41:$AH$107,EQ$40)=$AG98,$AC98,""),"")</f>
        <v/>
      </c>
      <c r="ER98" s="1153"/>
      <c r="ES98" s="1153"/>
      <c r="ET98" s="1153"/>
      <c r="EU98" s="1153" t="str">
        <f>IF($AI98,IF(LARGE($AG$41:$AH$107,EU$40)=$AG98,$AC98,""),"")</f>
        <v/>
      </c>
      <c r="EV98" s="1153"/>
      <c r="EW98" s="1153"/>
      <c r="EX98" s="1153"/>
      <c r="EY98" s="1153" t="str">
        <f>IF($AI98,IF(LARGE($AG$41:$AH$107,EY$40)=$AG98,$AC98,""),"")</f>
        <v/>
      </c>
      <c r="EZ98" s="1153"/>
      <c r="FA98" s="1153"/>
      <c r="FB98" s="1153"/>
      <c r="FC98" s="1153" t="str">
        <f>IF($AI98,IF(LARGE($AG$41:$AH$107,FC$40)=$AG98,$AC98,""),"")</f>
        <v/>
      </c>
      <c r="FD98" s="1153"/>
      <c r="FE98" s="1153"/>
      <c r="FF98" s="1153"/>
      <c r="FG98" s="1153" t="str">
        <f>IF($AI98,IF(LARGE($AG$41:$AH$107,FG$40)=$AG98,$AC98,""),"")</f>
        <v/>
      </c>
      <c r="FH98" s="1153"/>
      <c r="FI98" s="1153"/>
      <c r="FJ98" s="1153"/>
      <c r="FK98" s="1153" t="str">
        <f>IF($AI98,IF(LARGE($AG$41:$AH$107,FK$40)=$AG98,$AC98,""),"")</f>
        <v/>
      </c>
      <c r="FL98" s="1153"/>
      <c r="FM98" s="1153"/>
      <c r="FN98" s="1153"/>
      <c r="FO98" s="1153" t="str">
        <f>IF($AI98,IF(LARGE($AG$41:$AH$107,FO$40)=$AG98,$AC98,""),"")</f>
        <v/>
      </c>
      <c r="FP98" s="1153"/>
      <c r="FQ98" s="1153"/>
      <c r="FR98" s="1153"/>
      <c r="FS98" s="1153" t="str">
        <f>IF($AI98,IF(LARGE($AG$41:$AH$107,FS$40)=$AG98,$AC98,""),"")</f>
        <v/>
      </c>
      <c r="FT98" s="1153"/>
      <c r="FU98" s="1153"/>
      <c r="FV98" s="1153"/>
      <c r="FW98" s="1153" t="str">
        <f>IF($AI98,IF(LARGE($AG$41:$AH$107,FW$40)=$AG98,$AC98,""),"")</f>
        <v/>
      </c>
      <c r="FX98" s="1153"/>
      <c r="FY98" s="1153"/>
      <c r="FZ98" s="1153"/>
      <c r="GA98" s="1153" t="str">
        <f>IF($AI98,IF(LARGE($AG$41:$AH$107,GA$40)=$AG98,$AC98,""),"")</f>
        <v/>
      </c>
      <c r="GB98" s="1153"/>
      <c r="GC98" s="1153"/>
      <c r="GD98" s="1153"/>
      <c r="GE98" s="1153" t="str">
        <f>IF($AI98,IF(LARGE($AG$41:$AH$107,GE$40)=$AG98,$AC98,""),"")</f>
        <v/>
      </c>
      <c r="GF98" s="1153"/>
      <c r="GG98" s="1153"/>
      <c r="GH98" s="1153"/>
      <c r="GI98" s="1153" t="str">
        <f>IF($AI98,IF(LARGE($AG$41:$AH$107,GI$40)=$AG98,$AC98,""),"")</f>
        <v/>
      </c>
      <c r="GJ98" s="1153"/>
      <c r="GK98" s="1153"/>
      <c r="GL98" s="1153"/>
      <c r="GM98" s="1153" t="str">
        <f>IF($AI98,IF(LARGE($AG$41:$AH$107,GM$40)=$AG98,$AC98,""),"")</f>
        <v/>
      </c>
      <c r="GN98" s="1153"/>
      <c r="GO98" s="1153"/>
      <c r="GP98" s="1153"/>
      <c r="GQ98" s="1153" t="str">
        <f>IF($AI98,IF(LARGE($AG$41:$AH$107,GQ$40)=$AG98,$AC98,""),"")</f>
        <v/>
      </c>
      <c r="GR98" s="1153"/>
      <c r="GS98" s="1153"/>
      <c r="GT98" s="1153"/>
      <c r="GU98" s="1153" t="str">
        <f>IF($AI98,IF(LARGE($AG$41:$AH$107,GU$40)=$AG98,$AC98,""),"")</f>
        <v/>
      </c>
      <c r="GV98" s="1153"/>
      <c r="GW98" s="1153"/>
      <c r="GX98" s="1153"/>
      <c r="GY98" s="1153" t="str">
        <f>IF($AI98,IF(LARGE($AG$41:$AH$107,GY$40)=$AG98,$AC98,""),"")</f>
        <v/>
      </c>
      <c r="GZ98" s="1153"/>
      <c r="HA98" s="1153"/>
      <c r="HB98" s="1153"/>
      <c r="HC98" s="1153" t="str">
        <f>IF($AI98,IF(LARGE($AG$41:$AH$107,HC$40)=$AG98,$AC98,""),"")</f>
        <v/>
      </c>
      <c r="HD98" s="1153"/>
      <c r="HE98" s="1153"/>
      <c r="HF98" s="1153"/>
      <c r="HG98" s="1153" t="str">
        <f>IF($AI98,IF(LARGE($AG$41:$AH$107,HG$40)=$AG98,$AC98,""),"")</f>
        <v/>
      </c>
      <c r="HH98" s="1153"/>
      <c r="HI98" s="1153"/>
      <c r="HJ98" s="1153"/>
      <c r="HK98" s="1153" t="str">
        <f>IF($AI98,IF(LARGE($AG$41:$AH$107,HK$40)=$AG98,$AC98,""),"")</f>
        <v/>
      </c>
      <c r="HL98" s="1153"/>
      <c r="HM98" s="1153"/>
      <c r="HN98" s="1153"/>
      <c r="HO98" s="1153" t="str">
        <f>IF($AI98,IF(LARGE($AG$41:$AH$107,HO$40)=$AG98,$AC98,""),"")</f>
        <v/>
      </c>
      <c r="HP98" s="1153"/>
      <c r="HQ98" s="1153"/>
      <c r="HR98" s="1153"/>
      <c r="HS98" s="1153" t="str">
        <f>IF($AI98,IF(LARGE($AG$41:$AH$107,HS$40)=$AG98,$AC98,""),"")</f>
        <v/>
      </c>
      <c r="HT98" s="1153"/>
      <c r="HU98" s="1153"/>
      <c r="HV98" s="1153"/>
      <c r="HW98" s="1153" t="str">
        <f>IF($AI98,IF(LARGE($AG$41:$AH$107,HW$40)=$AG98,$AC98,""),"")</f>
        <v/>
      </c>
      <c r="HX98" s="1153"/>
      <c r="HY98" s="1153"/>
      <c r="HZ98" s="1153"/>
      <c r="IA98" s="1153" t="str">
        <f>IF($AI98,IF(LARGE($AG$41:$AH$107,IA$40)=$AG98,$AC98,""),"")</f>
        <v/>
      </c>
      <c r="IB98" s="1153"/>
      <c r="IC98" s="1153"/>
      <c r="ID98" s="1153"/>
      <c r="IE98" s="1153" t="str">
        <f>IF($AI98,IF(LARGE($AG$41:$AH$107,IE$40)=$AG98,$AC98,""),"")</f>
        <v/>
      </c>
      <c r="IF98" s="1153"/>
      <c r="IG98" s="1153"/>
      <c r="IH98" s="1153"/>
      <c r="II98" s="1153" t="str">
        <f>IF($AI98,IF(LARGE($AG$41:$AH$107,II$40)=$AG98,$AC98,""),"")</f>
        <v/>
      </c>
      <c r="IJ98" s="1153"/>
      <c r="IK98" s="1153"/>
      <c r="IL98" s="1153"/>
      <c r="IM98" s="1153" t="str">
        <f>IF($AI98,IF(LARGE($AG$41:$AH$107,IM$40)=$AG98,$AC98,""),"")</f>
        <v/>
      </c>
      <c r="IN98" s="1153"/>
      <c r="IO98" s="1153"/>
      <c r="IP98" s="1153"/>
      <c r="IQ98" s="1153" t="str">
        <f>IF($AI98,IF(LARGE($AG$41:$AH$107,IQ$40)=$AG98,$AC98,""),"")</f>
        <v/>
      </c>
      <c r="IR98" s="1153"/>
      <c r="IS98" s="1153"/>
      <c r="IT98" s="1153"/>
      <c r="IU98" s="1153" t="str">
        <f>IF($AI98,IF(LARGE($AG$41:$AH$107,IU$40)=$AG98,$AC98,""),"")</f>
        <v/>
      </c>
      <c r="IV98" s="1153"/>
      <c r="IW98" s="1153"/>
      <c r="IX98" s="1153"/>
      <c r="IY98" s="1153" t="str">
        <f>IF($AI98,IF(LARGE($AG$41:$AH$107,IY$40)=$AG98,$AC98,""),"")</f>
        <v/>
      </c>
      <c r="IZ98" s="1153"/>
      <c r="JA98" s="1153"/>
      <c r="JB98" s="1153"/>
      <c r="JC98" s="1153" t="str">
        <f>IF($AI98,IF(LARGE($AG$41:$AH$107,JC$40)=$AG98,$AC98,""),"")</f>
        <v/>
      </c>
      <c r="JD98" s="1153"/>
      <c r="JE98" s="1153"/>
      <c r="JF98" s="1153"/>
      <c r="JG98" s="1153" t="str">
        <f>IF($AI98,IF(LARGE($AG$41:$AH$107,JG$40)=$AG98,$AC98,""),"")</f>
        <v/>
      </c>
      <c r="JH98" s="1153"/>
      <c r="JI98" s="1153"/>
      <c r="JJ98" s="1153"/>
      <c r="JK98" s="1153" t="str">
        <f>IF($AI98,IF(LARGE($AG$41:$AH$107,JK$40)=$AG98,$AC98,""),"")</f>
        <v/>
      </c>
      <c r="JL98" s="1153"/>
      <c r="JM98" s="1153"/>
      <c r="JN98" s="1153"/>
      <c r="JO98" s="1153" t="str">
        <f>IF($AI98,IF(LARGE($AG$41:$AH$107,JO$40)=$AG98,$AC98,""),"")</f>
        <v/>
      </c>
      <c r="JP98" s="1153"/>
      <c r="JQ98" s="1153"/>
      <c r="JR98" s="1153"/>
      <c r="JS98" s="1153" t="str">
        <f>IF($AI98,IF(LARGE($AG$41:$AH$107,JS$40)=$AG98,$AC98,""),"")</f>
        <v/>
      </c>
      <c r="JT98" s="1153"/>
      <c r="JU98" s="1153"/>
      <c r="JV98" s="1153"/>
      <c r="JW98" s="1153" t="str">
        <f>IF($AI98,IF(LARGE($AG$41:$AH$107,JW$40)=$AG98,$AC98,""),"")</f>
        <v/>
      </c>
      <c r="JX98" s="1153"/>
      <c r="JY98" s="1153"/>
      <c r="JZ98" s="1153"/>
      <c r="KA98" s="1153" t="str">
        <f>IF($AI98,IF(LARGE($AG$41:$AH$107,KA$40)=$AG98,$AC98,""),"")</f>
        <v/>
      </c>
      <c r="KB98" s="1153"/>
      <c r="KC98" s="1153"/>
      <c r="KD98" s="1153"/>
      <c r="KE98" s="1153" t="str">
        <f>IF($AI98,IF(LARGE($AG$41:$AH$107,KE$40)=$AG98,$AC98,""),"")</f>
        <v/>
      </c>
      <c r="KF98" s="1153"/>
      <c r="KG98" s="1153"/>
      <c r="KH98" s="1153"/>
      <c r="KI98" s="1153" t="str">
        <f>IF($AI98,IF(LARGE($AG$41:$AH$107,KI$40)=$AG98,$AC98,""),"")</f>
        <v/>
      </c>
      <c r="KJ98" s="1153"/>
      <c r="KK98" s="1153"/>
      <c r="KL98" s="1153"/>
      <c r="KM98" s="1153" t="str">
        <f>IF($AI98,IF(LARGE($AG$41:$AH$107,KM$40)=$AG98,$AC98,""),"")</f>
        <v/>
      </c>
      <c r="KN98" s="1153"/>
      <c r="KO98" s="1153"/>
      <c r="KP98" s="1153"/>
      <c r="KQ98" s="1153" t="str">
        <f>IF($AI98,IF(LARGE($AG$41:$AH$107,KQ$40)=$AG98,$AC98,""),"")</f>
        <v/>
      </c>
      <c r="KR98" s="1153"/>
      <c r="KS98" s="1153"/>
      <c r="KT98" s="1153"/>
    </row>
    <row r="99" spans="8:8">
      <c r="C99" s="1153" t="str">
        <f>IF(Z29="","",CONCATENATE(" ",AR29,Z29,AB29))</f>
        <v> 🐾追踪</v>
      </c>
      <c r="D99" s="1153"/>
      <c r="E99" s="1153"/>
      <c r="F99" s="1153"/>
      <c r="G99" s="1155" t="str">
        <f>IF(AND(AF29=0,AH29=0),"",IF(ISNONTEXT(X29),"",AL29))</f>
        <v/>
      </c>
      <c r="H99" s="1155"/>
      <c r="I99" s="1153" t="str">
        <f>IF(G99=$G$40,C99,"")</f>
        <v/>
      </c>
      <c r="J99" s="1153"/>
      <c r="K99" s="1153"/>
      <c r="L99" s="1153"/>
      <c r="M99" s="1154">
        <f>IF(AND(NOT(AH29=0),ISNONTEXT(X29)),1,0)</f>
        <v>0.0</v>
      </c>
      <c r="N99" s="1122"/>
      <c r="O99" s="1122"/>
      <c r="P99" s="1153" t="str">
        <f>IF(Z29="","",CONCATENATE(" ",AR29,Z29,AB29))</f>
        <v> 🐾追踪</v>
      </c>
      <c r="Q99" s="1153"/>
      <c r="R99" s="1153"/>
      <c r="S99" s="1153"/>
      <c r="T99" s="1155" t="str">
        <f>IF(AND(AF29=0,AJ29=0),"",IF(ISNONTEXT(X29),AL29,""))</f>
        <v/>
      </c>
      <c r="U99" s="1155"/>
      <c r="V99" s="1153" t="str">
        <f>IF(T99=$T$40,P99,"")</f>
        <v/>
      </c>
      <c r="W99" s="1153"/>
      <c r="X99" s="1153"/>
      <c r="Y99" s="1153"/>
      <c r="AB99" s="1122"/>
      <c r="AC99" s="1153" t="str">
        <f>IF(Z29="","",CONCATENATE(AR29,Z29,AB29))</f>
        <v>🐾追踪</v>
      </c>
      <c r="AD99" s="1153"/>
      <c r="AE99" s="1153"/>
      <c r="AF99" s="1153"/>
      <c r="AG99" s="1155">
        <f>AL29</f>
        <v>10.0</v>
      </c>
      <c r="AH99" s="1155"/>
      <c r="AI99" s="1153" t="b">
        <f>IF(AND(OR(ISNUMBER(AF29),ISNUMBER(AH29),ISNUMBER(AJ29)),OR(AF29&gt;0,AH29&gt;0,AJ29&gt;0)),TRUE,FALSE)</f>
        <v>0</v>
      </c>
      <c r="AJ99" s="1153"/>
      <c r="AK99" s="1153"/>
      <c r="AL99" s="1153"/>
      <c r="AM99" s="1153" t="str">
        <f>IF($AI99,IF(LARGE($AG$41:$AH$107,AM$40)=$AG99,$AC99,""),"")</f>
        <v/>
      </c>
      <c r="AN99" s="1153"/>
      <c r="AO99" s="1153"/>
      <c r="AP99" s="1153"/>
      <c r="AQ99" s="1153" t="str">
        <f>IF($AI99,IF(LARGE($AG$41:$AH$107,AQ$40)=$AG99,$AC99,""),"")</f>
        <v/>
      </c>
      <c r="AR99" s="1153"/>
      <c r="AS99" s="1153"/>
      <c r="AT99" s="1153"/>
      <c r="AU99" s="1153" t="str">
        <f>IF($AI99,IF(LARGE($AG$41:$AH$107,AU$40)=$AG99,$AC99,""),"")</f>
        <v/>
      </c>
      <c r="AV99" s="1153"/>
      <c r="AW99" s="1153"/>
      <c r="AX99" s="1153"/>
      <c r="AY99" s="1153" t="str">
        <f>IF($AI99,IF(LARGE($AG$41:$AH$107,AY$40)=$AG99,$AC99,""),"")</f>
        <v/>
      </c>
      <c r="AZ99" s="1153"/>
      <c r="BA99" s="1153"/>
      <c r="BB99" s="1153"/>
      <c r="BC99" s="1153" t="str">
        <f>IF($AI99,IF(LARGE($AG$41:$AH$107,BC$40)=$AG99,$AC99,""),"")</f>
        <v/>
      </c>
      <c r="BD99" s="1153"/>
      <c r="BE99" s="1153"/>
      <c r="BF99" s="1153"/>
      <c r="BG99" s="1153" t="str">
        <f>IF($AI99,IF(LARGE($AG$41:$AH$107,BG$40)=$AG99,$AC99,""),"")</f>
        <v/>
      </c>
      <c r="BH99" s="1153"/>
      <c r="BI99" s="1153"/>
      <c r="BJ99" s="1153"/>
      <c r="BK99" s="1153" t="str">
        <f>IF($AI99,IF(LARGE($AG$41:$AH$107,BK$40)=$AG99,$AC99,""),"")</f>
        <v/>
      </c>
      <c r="BL99" s="1153"/>
      <c r="BM99" s="1153"/>
      <c r="BN99" s="1153"/>
      <c r="BO99" s="1153" t="str">
        <f>IF($AI99,IF(LARGE($AG$41:$AH$107,BO$40)=$AG99,$AC99,""),"")</f>
        <v/>
      </c>
      <c r="BP99" s="1153"/>
      <c r="BQ99" s="1153"/>
      <c r="BR99" s="1153"/>
      <c r="BS99" s="1153" t="str">
        <f>IF($AI99,IF(LARGE($AG$41:$AH$107,BS$40)=$AG99,$AC99,""),"")</f>
        <v/>
      </c>
      <c r="BT99" s="1153"/>
      <c r="BU99" s="1153"/>
      <c r="BV99" s="1153"/>
      <c r="BW99" s="1153" t="str">
        <f>IF($AI99,IF(LARGE($AG$41:$AH$107,BW$40)=$AG99,$AC99,""),"")</f>
        <v/>
      </c>
      <c r="BX99" s="1153"/>
      <c r="BY99" s="1153"/>
      <c r="BZ99" s="1153"/>
      <c r="CA99" s="1153" t="str">
        <f>IF($AI99,IF(LARGE($AG$41:$AH$107,CA$40)=$AG99,$AC99,""),"")</f>
        <v/>
      </c>
      <c r="CB99" s="1153"/>
      <c r="CC99" s="1153"/>
      <c r="CD99" s="1153"/>
      <c r="CE99" s="1153" t="str">
        <f>IF($AI99,IF(LARGE($AG$41:$AH$107,CE$40)=$AG99,$AC99,""),"")</f>
        <v/>
      </c>
      <c r="CF99" s="1153"/>
      <c r="CG99" s="1153"/>
      <c r="CH99" s="1153"/>
      <c r="CI99" s="1153" t="str">
        <f>IF($AI99,IF(LARGE($AG$41:$AH$107,CI$40)=$AG99,$AC99,""),"")</f>
        <v/>
      </c>
      <c r="CJ99" s="1153"/>
      <c r="CK99" s="1153"/>
      <c r="CL99" s="1153"/>
      <c r="CM99" s="1153" t="str">
        <f>IF($AI99,IF(LARGE($AG$41:$AH$107,CM$40)=$AG99,$AC99,""),"")</f>
        <v/>
      </c>
      <c r="CN99" s="1153"/>
      <c r="CO99" s="1153"/>
      <c r="CP99" s="1153"/>
      <c r="CQ99" s="1153" t="str">
        <f>IF($AI99,IF(LARGE($AG$41:$AH$107,CQ$40)=$AG99,$AC99,""),"")</f>
        <v/>
      </c>
      <c r="CR99" s="1153"/>
      <c r="CS99" s="1153"/>
      <c r="CT99" s="1153"/>
      <c r="CU99" s="1153" t="str">
        <f>IF($AI99,IF(LARGE($AG$41:$AH$107,CU$40)=$AG99,$AC99,""),"")</f>
        <v/>
      </c>
      <c r="CV99" s="1153"/>
      <c r="CW99" s="1153"/>
      <c r="CX99" s="1153"/>
      <c r="CY99" s="1153" t="str">
        <f>IF($AI99,IF(LARGE($AG$41:$AH$107,CY$40)=$AG99,$AC99,""),"")</f>
        <v/>
      </c>
      <c r="CZ99" s="1153"/>
      <c r="DA99" s="1153"/>
      <c r="DB99" s="1153"/>
      <c r="DC99" s="1153" t="str">
        <f>IF($AI99,IF(LARGE($AG$41:$AH$107,DC$40)=$AG99,$AC99,""),"")</f>
        <v/>
      </c>
      <c r="DD99" s="1153"/>
      <c r="DE99" s="1153"/>
      <c r="DF99" s="1153"/>
      <c r="DG99" s="1153" t="str">
        <f>IF($AI99,IF(LARGE($AG$41:$AH$107,DG$40)=$AG99,$AC99,""),"")</f>
        <v/>
      </c>
      <c r="DH99" s="1153"/>
      <c r="DI99" s="1153"/>
      <c r="DJ99" s="1153"/>
      <c r="DK99" s="1153" t="str">
        <f>IF($AI99,IF(LARGE($AG$41:$AH$107,DK$40)=$AG99,$AC99,""),"")</f>
        <v/>
      </c>
      <c r="DL99" s="1153"/>
      <c r="DM99" s="1153"/>
      <c r="DN99" s="1153"/>
      <c r="DO99" s="1153" t="str">
        <f>IF($AI99,IF(LARGE($AG$41:$AH$107,DO$40)=$AG99,$AC99,""),"")</f>
        <v/>
      </c>
      <c r="DP99" s="1153"/>
      <c r="DQ99" s="1153"/>
      <c r="DR99" s="1153"/>
      <c r="DS99" s="1153" t="str">
        <f>IF($AI99,IF(LARGE($AG$41:$AH$107,DS$40)=$AG99,$AC99,""),"")</f>
        <v/>
      </c>
      <c r="DT99" s="1153"/>
      <c r="DU99" s="1153"/>
      <c r="DV99" s="1153"/>
      <c r="DW99" s="1153" t="str">
        <f>IF($AI99,IF(LARGE($AG$41:$AH$107,DW$40)=$AG99,$AC99,""),"")</f>
        <v/>
      </c>
      <c r="DX99" s="1153"/>
      <c r="DY99" s="1153"/>
      <c r="DZ99" s="1153"/>
      <c r="EA99" s="1153" t="str">
        <f>IF($AI99,IF(LARGE($AG$41:$AH$107,EA$40)=$AG99,$AC99,""),"")</f>
        <v/>
      </c>
      <c r="EB99" s="1153"/>
      <c r="EC99" s="1153"/>
      <c r="ED99" s="1153"/>
      <c r="EE99" s="1153" t="str">
        <f>IF($AI99,IF(LARGE($AG$41:$AH$107,EE$40)=$AG99,$AC99,""),"")</f>
        <v/>
      </c>
      <c r="EF99" s="1153"/>
      <c r="EG99" s="1153"/>
      <c r="EH99" s="1153"/>
      <c r="EI99" s="1153" t="str">
        <f>IF($AI99,IF(LARGE($AG$41:$AH$107,EI$40)=$AG99,$AC99,""),"")</f>
        <v/>
      </c>
      <c r="EJ99" s="1153"/>
      <c r="EK99" s="1153"/>
      <c r="EL99" s="1153"/>
      <c r="EM99" s="1153" t="str">
        <f>IF($AI99,IF(LARGE($AG$41:$AH$107,EM$40)=$AG99,$AC99,""),"")</f>
        <v/>
      </c>
      <c r="EN99" s="1153"/>
      <c r="EO99" s="1153"/>
      <c r="EP99" s="1153"/>
      <c r="EQ99" s="1153" t="str">
        <f>IF($AI99,IF(LARGE($AG$41:$AH$107,EQ$40)=$AG99,$AC99,""),"")</f>
        <v/>
      </c>
      <c r="ER99" s="1153"/>
      <c r="ES99" s="1153"/>
      <c r="ET99" s="1153"/>
      <c r="EU99" s="1153" t="str">
        <f>IF($AI99,IF(LARGE($AG$41:$AH$107,EU$40)=$AG99,$AC99,""),"")</f>
        <v/>
      </c>
      <c r="EV99" s="1153"/>
      <c r="EW99" s="1153"/>
      <c r="EX99" s="1153"/>
      <c r="EY99" s="1153" t="str">
        <f>IF($AI99,IF(LARGE($AG$41:$AH$107,EY$40)=$AG99,$AC99,""),"")</f>
        <v/>
      </c>
      <c r="EZ99" s="1153"/>
      <c r="FA99" s="1153"/>
      <c r="FB99" s="1153"/>
      <c r="FC99" s="1153" t="str">
        <f>IF($AI99,IF(LARGE($AG$41:$AH$107,FC$40)=$AG99,$AC99,""),"")</f>
        <v/>
      </c>
      <c r="FD99" s="1153"/>
      <c r="FE99" s="1153"/>
      <c r="FF99" s="1153"/>
      <c r="FG99" s="1153" t="str">
        <f>IF($AI99,IF(LARGE($AG$41:$AH$107,FG$40)=$AG99,$AC99,""),"")</f>
        <v/>
      </c>
      <c r="FH99" s="1153"/>
      <c r="FI99" s="1153"/>
      <c r="FJ99" s="1153"/>
      <c r="FK99" s="1153" t="str">
        <f>IF($AI99,IF(LARGE($AG$41:$AH$107,FK$40)=$AG99,$AC99,""),"")</f>
        <v/>
      </c>
      <c r="FL99" s="1153"/>
      <c r="FM99" s="1153"/>
      <c r="FN99" s="1153"/>
      <c r="FO99" s="1153" t="str">
        <f>IF($AI99,IF(LARGE($AG$41:$AH$107,FO$40)=$AG99,$AC99,""),"")</f>
        <v/>
      </c>
      <c r="FP99" s="1153"/>
      <c r="FQ99" s="1153"/>
      <c r="FR99" s="1153"/>
      <c r="FS99" s="1153" t="str">
        <f>IF($AI99,IF(LARGE($AG$41:$AH$107,FS$40)=$AG99,$AC99,""),"")</f>
        <v/>
      </c>
      <c r="FT99" s="1153"/>
      <c r="FU99" s="1153"/>
      <c r="FV99" s="1153"/>
      <c r="FW99" s="1153" t="str">
        <f>IF($AI99,IF(LARGE($AG$41:$AH$107,FW$40)=$AG99,$AC99,""),"")</f>
        <v/>
      </c>
      <c r="FX99" s="1153"/>
      <c r="FY99" s="1153"/>
      <c r="FZ99" s="1153"/>
      <c r="GA99" s="1153" t="str">
        <f>IF($AI99,IF(LARGE($AG$41:$AH$107,GA$40)=$AG99,$AC99,""),"")</f>
        <v/>
      </c>
      <c r="GB99" s="1153"/>
      <c r="GC99" s="1153"/>
      <c r="GD99" s="1153"/>
      <c r="GE99" s="1153" t="str">
        <f>IF($AI99,IF(LARGE($AG$41:$AH$107,GE$40)=$AG99,$AC99,""),"")</f>
        <v/>
      </c>
      <c r="GF99" s="1153"/>
      <c r="GG99" s="1153"/>
      <c r="GH99" s="1153"/>
      <c r="GI99" s="1153" t="str">
        <f>IF($AI99,IF(LARGE($AG$41:$AH$107,GI$40)=$AG99,$AC99,""),"")</f>
        <v/>
      </c>
      <c r="GJ99" s="1153"/>
      <c r="GK99" s="1153"/>
      <c r="GL99" s="1153"/>
      <c r="GM99" s="1153" t="str">
        <f>IF($AI99,IF(LARGE($AG$41:$AH$107,GM$40)=$AG99,$AC99,""),"")</f>
        <v/>
      </c>
      <c r="GN99" s="1153"/>
      <c r="GO99" s="1153"/>
      <c r="GP99" s="1153"/>
      <c r="GQ99" s="1153" t="str">
        <f>IF($AI99,IF(LARGE($AG$41:$AH$107,GQ$40)=$AG99,$AC99,""),"")</f>
        <v/>
      </c>
      <c r="GR99" s="1153"/>
      <c r="GS99" s="1153"/>
      <c r="GT99" s="1153"/>
      <c r="GU99" s="1153" t="str">
        <f>IF($AI99,IF(LARGE($AG$41:$AH$107,GU$40)=$AG99,$AC99,""),"")</f>
        <v/>
      </c>
      <c r="GV99" s="1153"/>
      <c r="GW99" s="1153"/>
      <c r="GX99" s="1153"/>
      <c r="GY99" s="1153" t="str">
        <f>IF($AI99,IF(LARGE($AG$41:$AH$107,GY$40)=$AG99,$AC99,""),"")</f>
        <v/>
      </c>
      <c r="GZ99" s="1153"/>
      <c r="HA99" s="1153"/>
      <c r="HB99" s="1153"/>
      <c r="HC99" s="1153" t="str">
        <f>IF($AI99,IF(LARGE($AG$41:$AH$107,HC$40)=$AG99,$AC99,""),"")</f>
        <v/>
      </c>
      <c r="HD99" s="1153"/>
      <c r="HE99" s="1153"/>
      <c r="HF99" s="1153"/>
      <c r="HG99" s="1153" t="str">
        <f>IF($AI99,IF(LARGE($AG$41:$AH$107,HG$40)=$AG99,$AC99,""),"")</f>
        <v/>
      </c>
      <c r="HH99" s="1153"/>
      <c r="HI99" s="1153"/>
      <c r="HJ99" s="1153"/>
      <c r="HK99" s="1153" t="str">
        <f>IF($AI99,IF(LARGE($AG$41:$AH$107,HK$40)=$AG99,$AC99,""),"")</f>
        <v/>
      </c>
      <c r="HL99" s="1153"/>
      <c r="HM99" s="1153"/>
      <c r="HN99" s="1153"/>
      <c r="HO99" s="1153" t="str">
        <f>IF($AI99,IF(LARGE($AG$41:$AH$107,HO$40)=$AG99,$AC99,""),"")</f>
        <v/>
      </c>
      <c r="HP99" s="1153"/>
      <c r="HQ99" s="1153"/>
      <c r="HR99" s="1153"/>
      <c r="HS99" s="1153" t="str">
        <f>IF($AI99,IF(LARGE($AG$41:$AH$107,HS$40)=$AG99,$AC99,""),"")</f>
        <v/>
      </c>
      <c r="HT99" s="1153"/>
      <c r="HU99" s="1153"/>
      <c r="HV99" s="1153"/>
      <c r="HW99" s="1153" t="str">
        <f>IF($AI99,IF(LARGE($AG$41:$AH$107,HW$40)=$AG99,$AC99,""),"")</f>
        <v/>
      </c>
      <c r="HX99" s="1153"/>
      <c r="HY99" s="1153"/>
      <c r="HZ99" s="1153"/>
      <c r="IA99" s="1153" t="str">
        <f>IF($AI99,IF(LARGE($AG$41:$AH$107,IA$40)=$AG99,$AC99,""),"")</f>
        <v/>
      </c>
      <c r="IB99" s="1153"/>
      <c r="IC99" s="1153"/>
      <c r="ID99" s="1153"/>
      <c r="IE99" s="1153" t="str">
        <f>IF($AI99,IF(LARGE($AG$41:$AH$107,IE$40)=$AG99,$AC99,""),"")</f>
        <v/>
      </c>
      <c r="IF99" s="1153"/>
      <c r="IG99" s="1153"/>
      <c r="IH99" s="1153"/>
      <c r="II99" s="1153" t="str">
        <f>IF($AI99,IF(LARGE($AG$41:$AH$107,II$40)=$AG99,$AC99,""),"")</f>
        <v/>
      </c>
      <c r="IJ99" s="1153"/>
      <c r="IK99" s="1153"/>
      <c r="IL99" s="1153"/>
      <c r="IM99" s="1153" t="str">
        <f>IF($AI99,IF(LARGE($AG$41:$AH$107,IM$40)=$AG99,$AC99,""),"")</f>
        <v/>
      </c>
      <c r="IN99" s="1153"/>
      <c r="IO99" s="1153"/>
      <c r="IP99" s="1153"/>
      <c r="IQ99" s="1153" t="str">
        <f>IF($AI99,IF(LARGE($AG$41:$AH$107,IQ$40)=$AG99,$AC99,""),"")</f>
        <v/>
      </c>
      <c r="IR99" s="1153"/>
      <c r="IS99" s="1153"/>
      <c r="IT99" s="1153"/>
      <c r="IU99" s="1153" t="str">
        <f>IF($AI99,IF(LARGE($AG$41:$AH$107,IU$40)=$AG99,$AC99,""),"")</f>
        <v/>
      </c>
      <c r="IV99" s="1153"/>
      <c r="IW99" s="1153"/>
      <c r="IX99" s="1153"/>
      <c r="IY99" s="1153" t="str">
        <f>IF($AI99,IF(LARGE($AG$41:$AH$107,IY$40)=$AG99,$AC99,""),"")</f>
        <v/>
      </c>
      <c r="IZ99" s="1153"/>
      <c r="JA99" s="1153"/>
      <c r="JB99" s="1153"/>
      <c r="JC99" s="1153" t="str">
        <f>IF($AI99,IF(LARGE($AG$41:$AH$107,JC$40)=$AG99,$AC99,""),"")</f>
        <v/>
      </c>
      <c r="JD99" s="1153"/>
      <c r="JE99" s="1153"/>
      <c r="JF99" s="1153"/>
      <c r="JG99" s="1153" t="str">
        <f>IF($AI99,IF(LARGE($AG$41:$AH$107,JG$40)=$AG99,$AC99,""),"")</f>
        <v/>
      </c>
      <c r="JH99" s="1153"/>
      <c r="JI99" s="1153"/>
      <c r="JJ99" s="1153"/>
      <c r="JK99" s="1153" t="str">
        <f>IF($AI99,IF(LARGE($AG$41:$AH$107,JK$40)=$AG99,$AC99,""),"")</f>
        <v/>
      </c>
      <c r="JL99" s="1153"/>
      <c r="JM99" s="1153"/>
      <c r="JN99" s="1153"/>
      <c r="JO99" s="1153" t="str">
        <f>IF($AI99,IF(LARGE($AG$41:$AH$107,JO$40)=$AG99,$AC99,""),"")</f>
        <v/>
      </c>
      <c r="JP99" s="1153"/>
      <c r="JQ99" s="1153"/>
      <c r="JR99" s="1153"/>
      <c r="JS99" s="1153" t="str">
        <f>IF($AI99,IF(LARGE($AG$41:$AH$107,JS$40)=$AG99,$AC99,""),"")</f>
        <v/>
      </c>
      <c r="JT99" s="1153"/>
      <c r="JU99" s="1153"/>
      <c r="JV99" s="1153"/>
      <c r="JW99" s="1153" t="str">
        <f>IF($AI99,IF(LARGE($AG$41:$AH$107,JW$40)=$AG99,$AC99,""),"")</f>
        <v/>
      </c>
      <c r="JX99" s="1153"/>
      <c r="JY99" s="1153"/>
      <c r="JZ99" s="1153"/>
      <c r="KA99" s="1153" t="str">
        <f>IF($AI99,IF(LARGE($AG$41:$AH$107,KA$40)=$AG99,$AC99,""),"")</f>
        <v/>
      </c>
      <c r="KB99" s="1153"/>
      <c r="KC99" s="1153"/>
      <c r="KD99" s="1153"/>
      <c r="KE99" s="1153" t="str">
        <f>IF($AI99,IF(LARGE($AG$41:$AH$107,KE$40)=$AG99,$AC99,""),"")</f>
        <v/>
      </c>
      <c r="KF99" s="1153"/>
      <c r="KG99" s="1153"/>
      <c r="KH99" s="1153"/>
      <c r="KI99" s="1153" t="str">
        <f>IF($AI99,IF(LARGE($AG$41:$AH$107,KI$40)=$AG99,$AC99,""),"")</f>
        <v/>
      </c>
      <c r="KJ99" s="1153"/>
      <c r="KK99" s="1153"/>
      <c r="KL99" s="1153"/>
      <c r="KM99" s="1153" t="str">
        <f>IF($AI99,IF(LARGE($AG$41:$AH$107,KM$40)=$AG99,$AC99,""),"")</f>
        <v/>
      </c>
      <c r="KN99" s="1153"/>
      <c r="KO99" s="1153"/>
      <c r="KP99" s="1153"/>
      <c r="KQ99" s="1153" t="str">
        <f>IF($AI99,IF(LARGE($AG$41:$AH$107,KQ$40)=$AG99,$AC99,""),"")</f>
        <v/>
      </c>
      <c r="KR99" s="1153"/>
      <c r="KS99" s="1153"/>
      <c r="KT99" s="1153"/>
    </row>
    <row r="100" spans="8:8">
      <c r="C100" s="1153" t="str">
        <f>IF(Z30="","",CONCATENATE(" ",AR30,Z30,AB30))</f>
        <v> 🐶动物驯养</v>
      </c>
      <c r="D100" s="1153"/>
      <c r="E100" s="1153"/>
      <c r="F100" s="1153"/>
      <c r="G100" s="1155" t="str">
        <f>IF(AND(AF30=0,AH30=0),"",IF(ISNONTEXT(X30),"",AL30))</f>
        <v/>
      </c>
      <c r="H100" s="1155"/>
      <c r="I100" s="1153" t="str">
        <f>IF(G100=$G$40,C100,"")</f>
        <v/>
      </c>
      <c r="J100" s="1153"/>
      <c r="K100" s="1153"/>
      <c r="L100" s="1153"/>
      <c r="M100" s="1154">
        <f>IF(AND(NOT(AH30=0),ISNONTEXT(X30)),1,0)</f>
        <v>0.0</v>
      </c>
      <c r="N100" s="1122"/>
      <c r="O100" s="1122"/>
      <c r="P100" s="1153" t="str">
        <f>IF(Z30="","",CONCATENATE(" ",AR30,Z30,AB30))</f>
        <v> 🐶动物驯养</v>
      </c>
      <c r="Q100" s="1153"/>
      <c r="R100" s="1153"/>
      <c r="S100" s="1153"/>
      <c r="T100" s="1155" t="str">
        <f>IF(AND(AF30=0,AJ30=0),"",IF(ISNONTEXT(X30),AL30,""))</f>
        <v/>
      </c>
      <c r="U100" s="1155"/>
      <c r="V100" s="1153" t="str">
        <f>IF(T100=$T$40,P100,"")</f>
        <v/>
      </c>
      <c r="W100" s="1153"/>
      <c r="X100" s="1153"/>
      <c r="Y100" s="1153"/>
      <c r="AB100" s="1122"/>
      <c r="AC100" s="1153" t="str">
        <f>IF(Z30="","",CONCATENATE(AR30,Z30,AB30))</f>
        <v>🐶动物驯养</v>
      </c>
      <c r="AD100" s="1153"/>
      <c r="AE100" s="1153"/>
      <c r="AF100" s="1153"/>
      <c r="AG100" s="1155">
        <f>AL30</f>
        <v>5.0</v>
      </c>
      <c r="AH100" s="1155"/>
      <c r="AI100" s="1153" t="b">
        <f>IF(AND(OR(ISNUMBER(AF30),ISNUMBER(AH30),ISNUMBER(AJ30)),OR(AF30&gt;0,AH30&gt;0,AJ30&gt;0)),TRUE,FALSE)</f>
        <v>0</v>
      </c>
      <c r="AJ100" s="1153"/>
      <c r="AK100" s="1153"/>
      <c r="AL100" s="1153"/>
      <c r="AM100" s="1153" t="str">
        <f>IF($AI100,IF(LARGE($AG$41:$AH$107,AM$40)=$AG100,$AC100,""),"")</f>
        <v/>
      </c>
      <c r="AN100" s="1153"/>
      <c r="AO100" s="1153"/>
      <c r="AP100" s="1153"/>
      <c r="AQ100" s="1153" t="str">
        <f>IF($AI100,IF(LARGE($AG$41:$AH$107,AQ$40)=$AG100,$AC100,""),"")</f>
        <v/>
      </c>
      <c r="AR100" s="1153"/>
      <c r="AS100" s="1153"/>
      <c r="AT100" s="1153"/>
      <c r="AU100" s="1153" t="str">
        <f>IF($AI100,IF(LARGE($AG$41:$AH$107,AU$40)=$AG100,$AC100,""),"")</f>
        <v/>
      </c>
      <c r="AV100" s="1153"/>
      <c r="AW100" s="1153"/>
      <c r="AX100" s="1153"/>
      <c r="AY100" s="1153" t="str">
        <f>IF($AI100,IF(LARGE($AG$41:$AH$107,AY$40)=$AG100,$AC100,""),"")</f>
        <v/>
      </c>
      <c r="AZ100" s="1153"/>
      <c r="BA100" s="1153"/>
      <c r="BB100" s="1153"/>
      <c r="BC100" s="1153" t="str">
        <f>IF($AI100,IF(LARGE($AG$41:$AH$107,BC$40)=$AG100,$AC100,""),"")</f>
        <v/>
      </c>
      <c r="BD100" s="1153"/>
      <c r="BE100" s="1153"/>
      <c r="BF100" s="1153"/>
      <c r="BG100" s="1153" t="str">
        <f>IF($AI100,IF(LARGE($AG$41:$AH$107,BG$40)=$AG100,$AC100,""),"")</f>
        <v/>
      </c>
      <c r="BH100" s="1153"/>
      <c r="BI100" s="1153"/>
      <c r="BJ100" s="1153"/>
      <c r="BK100" s="1153" t="str">
        <f>IF($AI100,IF(LARGE($AG$41:$AH$107,BK$40)=$AG100,$AC100,""),"")</f>
        <v/>
      </c>
      <c r="BL100" s="1153"/>
      <c r="BM100" s="1153"/>
      <c r="BN100" s="1153"/>
      <c r="BO100" s="1153" t="str">
        <f>IF($AI100,IF(LARGE($AG$41:$AH$107,BO$40)=$AG100,$AC100,""),"")</f>
        <v/>
      </c>
      <c r="BP100" s="1153"/>
      <c r="BQ100" s="1153"/>
      <c r="BR100" s="1153"/>
      <c r="BS100" s="1153" t="str">
        <f>IF($AI100,IF(LARGE($AG$41:$AH$107,BS$40)=$AG100,$AC100,""),"")</f>
        <v/>
      </c>
      <c r="BT100" s="1153"/>
      <c r="BU100" s="1153"/>
      <c r="BV100" s="1153"/>
      <c r="BW100" s="1153" t="str">
        <f>IF($AI100,IF(LARGE($AG$41:$AH$107,BW$40)=$AG100,$AC100,""),"")</f>
        <v/>
      </c>
      <c r="BX100" s="1153"/>
      <c r="BY100" s="1153"/>
      <c r="BZ100" s="1153"/>
      <c r="CA100" s="1153" t="str">
        <f>IF($AI100,IF(LARGE($AG$41:$AH$107,CA$40)=$AG100,$AC100,""),"")</f>
        <v/>
      </c>
      <c r="CB100" s="1153"/>
      <c r="CC100" s="1153"/>
      <c r="CD100" s="1153"/>
      <c r="CE100" s="1153" t="str">
        <f>IF($AI100,IF(LARGE($AG$41:$AH$107,CE$40)=$AG100,$AC100,""),"")</f>
        <v/>
      </c>
      <c r="CF100" s="1153"/>
      <c r="CG100" s="1153"/>
      <c r="CH100" s="1153"/>
      <c r="CI100" s="1153" t="str">
        <f>IF($AI100,IF(LARGE($AG$41:$AH$107,CI$40)=$AG100,$AC100,""),"")</f>
        <v/>
      </c>
      <c r="CJ100" s="1153"/>
      <c r="CK100" s="1153"/>
      <c r="CL100" s="1153"/>
      <c r="CM100" s="1153" t="str">
        <f>IF($AI100,IF(LARGE($AG$41:$AH$107,CM$40)=$AG100,$AC100,""),"")</f>
        <v/>
      </c>
      <c r="CN100" s="1153"/>
      <c r="CO100" s="1153"/>
      <c r="CP100" s="1153"/>
      <c r="CQ100" s="1153" t="str">
        <f>IF($AI100,IF(LARGE($AG$41:$AH$107,CQ$40)=$AG100,$AC100,""),"")</f>
        <v/>
      </c>
      <c r="CR100" s="1153"/>
      <c r="CS100" s="1153"/>
      <c r="CT100" s="1153"/>
      <c r="CU100" s="1153" t="str">
        <f>IF($AI100,IF(LARGE($AG$41:$AH$107,CU$40)=$AG100,$AC100,""),"")</f>
        <v/>
      </c>
      <c r="CV100" s="1153"/>
      <c r="CW100" s="1153"/>
      <c r="CX100" s="1153"/>
      <c r="CY100" s="1153" t="str">
        <f>IF($AI100,IF(LARGE($AG$41:$AH$107,CY$40)=$AG100,$AC100,""),"")</f>
        <v/>
      </c>
      <c r="CZ100" s="1153"/>
      <c r="DA100" s="1153"/>
      <c r="DB100" s="1153"/>
      <c r="DC100" s="1153" t="str">
        <f>IF($AI100,IF(LARGE($AG$41:$AH$107,DC$40)=$AG100,$AC100,""),"")</f>
        <v/>
      </c>
      <c r="DD100" s="1153"/>
      <c r="DE100" s="1153"/>
      <c r="DF100" s="1153"/>
      <c r="DG100" s="1153" t="str">
        <f>IF($AI100,IF(LARGE($AG$41:$AH$107,DG$40)=$AG100,$AC100,""),"")</f>
        <v/>
      </c>
      <c r="DH100" s="1153"/>
      <c r="DI100" s="1153"/>
      <c r="DJ100" s="1153"/>
      <c r="DK100" s="1153" t="str">
        <f>IF($AI100,IF(LARGE($AG$41:$AH$107,DK$40)=$AG100,$AC100,""),"")</f>
        <v/>
      </c>
      <c r="DL100" s="1153"/>
      <c r="DM100" s="1153"/>
      <c r="DN100" s="1153"/>
      <c r="DO100" s="1153" t="str">
        <f>IF($AI100,IF(LARGE($AG$41:$AH$107,DO$40)=$AG100,$AC100,""),"")</f>
        <v/>
      </c>
      <c r="DP100" s="1153"/>
      <c r="DQ100" s="1153"/>
      <c r="DR100" s="1153"/>
      <c r="DS100" s="1153" t="str">
        <f>IF($AI100,IF(LARGE($AG$41:$AH$107,DS$40)=$AG100,$AC100,""),"")</f>
        <v/>
      </c>
      <c r="DT100" s="1153"/>
      <c r="DU100" s="1153"/>
      <c r="DV100" s="1153"/>
      <c r="DW100" s="1153" t="str">
        <f>IF($AI100,IF(LARGE($AG$41:$AH$107,DW$40)=$AG100,$AC100,""),"")</f>
        <v/>
      </c>
      <c r="DX100" s="1153"/>
      <c r="DY100" s="1153"/>
      <c r="DZ100" s="1153"/>
      <c r="EA100" s="1153" t="str">
        <f>IF($AI100,IF(LARGE($AG$41:$AH$107,EA$40)=$AG100,$AC100,""),"")</f>
        <v/>
      </c>
      <c r="EB100" s="1153"/>
      <c r="EC100" s="1153"/>
      <c r="ED100" s="1153"/>
      <c r="EE100" s="1153" t="str">
        <f>IF($AI100,IF(LARGE($AG$41:$AH$107,EE$40)=$AG100,$AC100,""),"")</f>
        <v/>
      </c>
      <c r="EF100" s="1153"/>
      <c r="EG100" s="1153"/>
      <c r="EH100" s="1153"/>
      <c r="EI100" s="1153" t="str">
        <f>IF($AI100,IF(LARGE($AG$41:$AH$107,EI$40)=$AG100,$AC100,""),"")</f>
        <v/>
      </c>
      <c r="EJ100" s="1153"/>
      <c r="EK100" s="1153"/>
      <c r="EL100" s="1153"/>
      <c r="EM100" s="1153" t="str">
        <f>IF($AI100,IF(LARGE($AG$41:$AH$107,EM$40)=$AG100,$AC100,""),"")</f>
        <v/>
      </c>
      <c r="EN100" s="1153"/>
      <c r="EO100" s="1153"/>
      <c r="EP100" s="1153"/>
      <c r="EQ100" s="1153" t="str">
        <f>IF($AI100,IF(LARGE($AG$41:$AH$107,EQ$40)=$AG100,$AC100,""),"")</f>
        <v/>
      </c>
      <c r="ER100" s="1153"/>
      <c r="ES100" s="1153"/>
      <c r="ET100" s="1153"/>
      <c r="EU100" s="1153" t="str">
        <f>IF($AI100,IF(LARGE($AG$41:$AH$107,EU$40)=$AG100,$AC100,""),"")</f>
        <v/>
      </c>
      <c r="EV100" s="1153"/>
      <c r="EW100" s="1153"/>
      <c r="EX100" s="1153"/>
      <c r="EY100" s="1153" t="str">
        <f>IF($AI100,IF(LARGE($AG$41:$AH$107,EY$40)=$AG100,$AC100,""),"")</f>
        <v/>
      </c>
      <c r="EZ100" s="1153"/>
      <c r="FA100" s="1153"/>
      <c r="FB100" s="1153"/>
      <c r="FC100" s="1153" t="str">
        <f>IF($AI100,IF(LARGE($AG$41:$AH$107,FC$40)=$AG100,$AC100,""),"")</f>
        <v/>
      </c>
      <c r="FD100" s="1153"/>
      <c r="FE100" s="1153"/>
      <c r="FF100" s="1153"/>
      <c r="FG100" s="1153" t="str">
        <f>IF($AI100,IF(LARGE($AG$41:$AH$107,FG$40)=$AG100,$AC100,""),"")</f>
        <v/>
      </c>
      <c r="FH100" s="1153"/>
      <c r="FI100" s="1153"/>
      <c r="FJ100" s="1153"/>
      <c r="FK100" s="1153" t="str">
        <f>IF($AI100,IF(LARGE($AG$41:$AH$107,FK$40)=$AG100,$AC100,""),"")</f>
        <v/>
      </c>
      <c r="FL100" s="1153"/>
      <c r="FM100" s="1153"/>
      <c r="FN100" s="1153"/>
      <c r="FO100" s="1153" t="str">
        <f>IF($AI100,IF(LARGE($AG$41:$AH$107,FO$40)=$AG100,$AC100,""),"")</f>
        <v/>
      </c>
      <c r="FP100" s="1153"/>
      <c r="FQ100" s="1153"/>
      <c r="FR100" s="1153"/>
      <c r="FS100" s="1153" t="str">
        <f>IF($AI100,IF(LARGE($AG$41:$AH$107,FS$40)=$AG100,$AC100,""),"")</f>
        <v/>
      </c>
      <c r="FT100" s="1153"/>
      <c r="FU100" s="1153"/>
      <c r="FV100" s="1153"/>
      <c r="FW100" s="1153" t="str">
        <f>IF($AI100,IF(LARGE($AG$41:$AH$107,FW$40)=$AG100,$AC100,""),"")</f>
        <v/>
      </c>
      <c r="FX100" s="1153"/>
      <c r="FY100" s="1153"/>
      <c r="FZ100" s="1153"/>
      <c r="GA100" s="1153" t="str">
        <f>IF($AI100,IF(LARGE($AG$41:$AH$107,GA$40)=$AG100,$AC100,""),"")</f>
        <v/>
      </c>
      <c r="GB100" s="1153"/>
      <c r="GC100" s="1153"/>
      <c r="GD100" s="1153"/>
      <c r="GE100" s="1153" t="str">
        <f>IF($AI100,IF(LARGE($AG$41:$AH$107,GE$40)=$AG100,$AC100,""),"")</f>
        <v/>
      </c>
      <c r="GF100" s="1153"/>
      <c r="GG100" s="1153"/>
      <c r="GH100" s="1153"/>
      <c r="GI100" s="1153" t="str">
        <f>IF($AI100,IF(LARGE($AG$41:$AH$107,GI$40)=$AG100,$AC100,""),"")</f>
        <v/>
      </c>
      <c r="GJ100" s="1153"/>
      <c r="GK100" s="1153"/>
      <c r="GL100" s="1153"/>
      <c r="GM100" s="1153" t="str">
        <f>IF($AI100,IF(LARGE($AG$41:$AH$107,GM$40)=$AG100,$AC100,""),"")</f>
        <v/>
      </c>
      <c r="GN100" s="1153"/>
      <c r="GO100" s="1153"/>
      <c r="GP100" s="1153"/>
      <c r="GQ100" s="1153" t="str">
        <f>IF($AI100,IF(LARGE($AG$41:$AH$107,GQ$40)=$AG100,$AC100,""),"")</f>
        <v/>
      </c>
      <c r="GR100" s="1153"/>
      <c r="GS100" s="1153"/>
      <c r="GT100" s="1153"/>
      <c r="GU100" s="1153" t="str">
        <f>IF($AI100,IF(LARGE($AG$41:$AH$107,GU$40)=$AG100,$AC100,""),"")</f>
        <v/>
      </c>
      <c r="GV100" s="1153"/>
      <c r="GW100" s="1153"/>
      <c r="GX100" s="1153"/>
      <c r="GY100" s="1153" t="str">
        <f>IF($AI100,IF(LARGE($AG$41:$AH$107,GY$40)=$AG100,$AC100,""),"")</f>
        <v/>
      </c>
      <c r="GZ100" s="1153"/>
      <c r="HA100" s="1153"/>
      <c r="HB100" s="1153"/>
      <c r="HC100" s="1153" t="str">
        <f>IF($AI100,IF(LARGE($AG$41:$AH$107,HC$40)=$AG100,$AC100,""),"")</f>
        <v/>
      </c>
      <c r="HD100" s="1153"/>
      <c r="HE100" s="1153"/>
      <c r="HF100" s="1153"/>
      <c r="HG100" s="1153" t="str">
        <f>IF($AI100,IF(LARGE($AG$41:$AH$107,HG$40)=$AG100,$AC100,""),"")</f>
        <v/>
      </c>
      <c r="HH100" s="1153"/>
      <c r="HI100" s="1153"/>
      <c r="HJ100" s="1153"/>
      <c r="HK100" s="1153" t="str">
        <f>IF($AI100,IF(LARGE($AG$41:$AH$107,HK$40)=$AG100,$AC100,""),"")</f>
        <v/>
      </c>
      <c r="HL100" s="1153"/>
      <c r="HM100" s="1153"/>
      <c r="HN100" s="1153"/>
      <c r="HO100" s="1153" t="str">
        <f>IF($AI100,IF(LARGE($AG$41:$AH$107,HO$40)=$AG100,$AC100,""),"")</f>
        <v/>
      </c>
      <c r="HP100" s="1153"/>
      <c r="HQ100" s="1153"/>
      <c r="HR100" s="1153"/>
      <c r="HS100" s="1153" t="str">
        <f>IF($AI100,IF(LARGE($AG$41:$AH$107,HS$40)=$AG100,$AC100,""),"")</f>
        <v/>
      </c>
      <c r="HT100" s="1153"/>
      <c r="HU100" s="1153"/>
      <c r="HV100" s="1153"/>
      <c r="HW100" s="1153" t="str">
        <f>IF($AI100,IF(LARGE($AG$41:$AH$107,HW$40)=$AG100,$AC100,""),"")</f>
        <v/>
      </c>
      <c r="HX100" s="1153"/>
      <c r="HY100" s="1153"/>
      <c r="HZ100" s="1153"/>
      <c r="IA100" s="1153" t="str">
        <f>IF($AI100,IF(LARGE($AG$41:$AH$107,IA$40)=$AG100,$AC100,""),"")</f>
        <v/>
      </c>
      <c r="IB100" s="1153"/>
      <c r="IC100" s="1153"/>
      <c r="ID100" s="1153"/>
      <c r="IE100" s="1153" t="str">
        <f>IF($AI100,IF(LARGE($AG$41:$AH$107,IE$40)=$AG100,$AC100,""),"")</f>
        <v/>
      </c>
      <c r="IF100" s="1153"/>
      <c r="IG100" s="1153"/>
      <c r="IH100" s="1153"/>
      <c r="II100" s="1153" t="str">
        <f>IF($AI100,IF(LARGE($AG$41:$AH$107,II$40)=$AG100,$AC100,""),"")</f>
        <v/>
      </c>
      <c r="IJ100" s="1153"/>
      <c r="IK100" s="1153"/>
      <c r="IL100" s="1153"/>
      <c r="IM100" s="1153" t="str">
        <f>IF($AI100,IF(LARGE($AG$41:$AH$107,IM$40)=$AG100,$AC100,""),"")</f>
        <v/>
      </c>
      <c r="IN100" s="1153"/>
      <c r="IO100" s="1153"/>
      <c r="IP100" s="1153"/>
      <c r="IQ100" s="1153" t="str">
        <f>IF($AI100,IF(LARGE($AG$41:$AH$107,IQ$40)=$AG100,$AC100,""),"")</f>
        <v/>
      </c>
      <c r="IR100" s="1153"/>
      <c r="IS100" s="1153"/>
      <c r="IT100" s="1153"/>
      <c r="IU100" s="1153" t="str">
        <f>IF($AI100,IF(LARGE($AG$41:$AH$107,IU$40)=$AG100,$AC100,""),"")</f>
        <v/>
      </c>
      <c r="IV100" s="1153"/>
      <c r="IW100" s="1153"/>
      <c r="IX100" s="1153"/>
      <c r="IY100" s="1153" t="str">
        <f>IF($AI100,IF(LARGE($AG$41:$AH$107,IY$40)=$AG100,$AC100,""),"")</f>
        <v/>
      </c>
      <c r="IZ100" s="1153"/>
      <c r="JA100" s="1153"/>
      <c r="JB100" s="1153"/>
      <c r="JC100" s="1153" t="str">
        <f>IF($AI100,IF(LARGE($AG$41:$AH$107,JC$40)=$AG100,$AC100,""),"")</f>
        <v/>
      </c>
      <c r="JD100" s="1153"/>
      <c r="JE100" s="1153"/>
      <c r="JF100" s="1153"/>
      <c r="JG100" s="1153" t="str">
        <f>IF($AI100,IF(LARGE($AG$41:$AH$107,JG$40)=$AG100,$AC100,""),"")</f>
        <v/>
      </c>
      <c r="JH100" s="1153"/>
      <c r="JI100" s="1153"/>
      <c r="JJ100" s="1153"/>
      <c r="JK100" s="1153" t="str">
        <f>IF($AI100,IF(LARGE($AG$41:$AH$107,JK$40)=$AG100,$AC100,""),"")</f>
        <v/>
      </c>
      <c r="JL100" s="1153"/>
      <c r="JM100" s="1153"/>
      <c r="JN100" s="1153"/>
      <c r="JO100" s="1153" t="str">
        <f>IF($AI100,IF(LARGE($AG$41:$AH$107,JO$40)=$AG100,$AC100,""),"")</f>
        <v/>
      </c>
      <c r="JP100" s="1153"/>
      <c r="JQ100" s="1153"/>
      <c r="JR100" s="1153"/>
      <c r="JS100" s="1153" t="str">
        <f>IF($AI100,IF(LARGE($AG$41:$AH$107,JS$40)=$AG100,$AC100,""),"")</f>
        <v/>
      </c>
      <c r="JT100" s="1153"/>
      <c r="JU100" s="1153"/>
      <c r="JV100" s="1153"/>
      <c r="JW100" s="1153" t="str">
        <f>IF($AI100,IF(LARGE($AG$41:$AH$107,JW$40)=$AG100,$AC100,""),"")</f>
        <v/>
      </c>
      <c r="JX100" s="1153"/>
      <c r="JY100" s="1153"/>
      <c r="JZ100" s="1153"/>
      <c r="KA100" s="1153" t="str">
        <f>IF($AI100,IF(LARGE($AG$41:$AH$107,KA$40)=$AG100,$AC100,""),"")</f>
        <v/>
      </c>
      <c r="KB100" s="1153"/>
      <c r="KC100" s="1153"/>
      <c r="KD100" s="1153"/>
      <c r="KE100" s="1153" t="str">
        <f>IF($AI100,IF(LARGE($AG$41:$AH$107,KE$40)=$AG100,$AC100,""),"")</f>
        <v/>
      </c>
      <c r="KF100" s="1153"/>
      <c r="KG100" s="1153"/>
      <c r="KH100" s="1153"/>
      <c r="KI100" s="1153" t="str">
        <f>IF($AI100,IF(LARGE($AG$41:$AH$107,KI$40)=$AG100,$AC100,""),"")</f>
        <v/>
      </c>
      <c r="KJ100" s="1153"/>
      <c r="KK100" s="1153"/>
      <c r="KL100" s="1153"/>
      <c r="KM100" s="1153" t="str">
        <f>IF($AI100,IF(LARGE($AG$41:$AH$107,KM$40)=$AG100,$AC100,""),"")</f>
        <v/>
      </c>
      <c r="KN100" s="1153"/>
      <c r="KO100" s="1153"/>
      <c r="KP100" s="1153"/>
      <c r="KQ100" s="1153" t="str">
        <f>IF($AI100,IF(LARGE($AG$41:$AH$107,KQ$40)=$AG100,$AC100,""),"")</f>
        <v/>
      </c>
      <c r="KR100" s="1153"/>
      <c r="KS100" s="1153"/>
      <c r="KT100" s="1153"/>
    </row>
    <row r="101" spans="8:8">
      <c r="C101" s="1153" t="str">
        <f>IF(Z31="","",CONCATENATE(" ",AR31,Z31,AB31))</f>
        <v> 🐠潜水</v>
      </c>
      <c r="D101" s="1153"/>
      <c r="E101" s="1153"/>
      <c r="F101" s="1153"/>
      <c r="G101" s="1155" t="str">
        <f>IF(AND(AF31=0,AH31=0),"",IF(ISNONTEXT(X31),"",AL31))</f>
        <v/>
      </c>
      <c r="H101" s="1155"/>
      <c r="I101" s="1153" t="str">
        <f>IF(G101=$G$40,C101,"")</f>
        <v/>
      </c>
      <c r="J101" s="1153"/>
      <c r="K101" s="1153"/>
      <c r="L101" s="1153"/>
      <c r="M101" s="1154">
        <f>IF(AND(NOT(AH31=0),ISNONTEXT(X31)),1,0)</f>
        <v>0.0</v>
      </c>
      <c r="N101" s="1122"/>
      <c r="O101" s="1122"/>
      <c r="P101" s="1153" t="str">
        <f>IF(Z31="","",CONCATENATE(" ",AR31,Z31,AB31))</f>
        <v> 🐠潜水</v>
      </c>
      <c r="Q101" s="1153"/>
      <c r="R101" s="1153"/>
      <c r="S101" s="1153"/>
      <c r="T101" s="1155" t="str">
        <f>IF(AND(AF31=0,AJ31=0),"",IF(ISNONTEXT(X31),AL31,""))</f>
        <v/>
      </c>
      <c r="U101" s="1155"/>
      <c r="V101" s="1153" t="str">
        <f>IF(T101=$T$40,P101,"")</f>
        <v/>
      </c>
      <c r="W101" s="1153"/>
      <c r="X101" s="1153"/>
      <c r="Y101" s="1153"/>
      <c r="AB101" s="1122"/>
      <c r="AC101" s="1153" t="str">
        <f>IF(Z31="","",CONCATENATE(AR31,Z31,AB31))</f>
        <v>🐠潜水</v>
      </c>
      <c r="AD101" s="1153"/>
      <c r="AE101" s="1153"/>
      <c r="AF101" s="1153"/>
      <c r="AG101" s="1155">
        <f>AL31</f>
        <v>1.0</v>
      </c>
      <c r="AH101" s="1155"/>
      <c r="AI101" s="1153" t="b">
        <f>IF(AND(OR(ISNUMBER(AF31),ISNUMBER(AH31),ISNUMBER(AJ31)),OR(AF31&gt;0,AH31&gt;0,AJ31&gt;0)),TRUE,FALSE)</f>
        <v>0</v>
      </c>
      <c r="AJ101" s="1153"/>
      <c r="AK101" s="1153"/>
      <c r="AL101" s="1153"/>
      <c r="AM101" s="1153" t="str">
        <f>IF($AI101,IF(LARGE($AG$41:$AH$107,AM$40)=$AG101,$AC101,""),"")</f>
        <v/>
      </c>
      <c r="AN101" s="1153"/>
      <c r="AO101" s="1153"/>
      <c r="AP101" s="1153"/>
      <c r="AQ101" s="1153" t="str">
        <f>IF($AI101,IF(LARGE($AG$41:$AH$107,AQ$40)=$AG101,$AC101,""),"")</f>
        <v/>
      </c>
      <c r="AR101" s="1153"/>
      <c r="AS101" s="1153"/>
      <c r="AT101" s="1153"/>
      <c r="AU101" s="1153" t="str">
        <f>IF($AI101,IF(LARGE($AG$41:$AH$107,AU$40)=$AG101,$AC101,""),"")</f>
        <v/>
      </c>
      <c r="AV101" s="1153"/>
      <c r="AW101" s="1153"/>
      <c r="AX101" s="1153"/>
      <c r="AY101" s="1153" t="str">
        <f>IF($AI101,IF(LARGE($AG$41:$AH$107,AY$40)=$AG101,$AC101,""),"")</f>
        <v/>
      </c>
      <c r="AZ101" s="1153"/>
      <c r="BA101" s="1153"/>
      <c r="BB101" s="1153"/>
      <c r="BC101" s="1153" t="str">
        <f>IF($AI101,IF(LARGE($AG$41:$AH$107,BC$40)=$AG101,$AC101,""),"")</f>
        <v/>
      </c>
      <c r="BD101" s="1153"/>
      <c r="BE101" s="1153"/>
      <c r="BF101" s="1153"/>
      <c r="BG101" s="1153" t="str">
        <f>IF($AI101,IF(LARGE($AG$41:$AH$107,BG$40)=$AG101,$AC101,""),"")</f>
        <v/>
      </c>
      <c r="BH101" s="1153"/>
      <c r="BI101" s="1153"/>
      <c r="BJ101" s="1153"/>
      <c r="BK101" s="1153" t="str">
        <f>IF($AI101,IF(LARGE($AG$41:$AH$107,BK$40)=$AG101,$AC101,""),"")</f>
        <v/>
      </c>
      <c r="BL101" s="1153"/>
      <c r="BM101" s="1153"/>
      <c r="BN101" s="1153"/>
      <c r="BO101" s="1153" t="str">
        <f>IF($AI101,IF(LARGE($AG$41:$AH$107,BO$40)=$AG101,$AC101,""),"")</f>
        <v/>
      </c>
      <c r="BP101" s="1153"/>
      <c r="BQ101" s="1153"/>
      <c r="BR101" s="1153"/>
      <c r="BS101" s="1153" t="str">
        <f>IF($AI101,IF(LARGE($AG$41:$AH$107,BS$40)=$AG101,$AC101,""),"")</f>
        <v/>
      </c>
      <c r="BT101" s="1153"/>
      <c r="BU101" s="1153"/>
      <c r="BV101" s="1153"/>
      <c r="BW101" s="1153" t="str">
        <f>IF($AI101,IF(LARGE($AG$41:$AH$107,BW$40)=$AG101,$AC101,""),"")</f>
        <v/>
      </c>
      <c r="BX101" s="1153"/>
      <c r="BY101" s="1153"/>
      <c r="BZ101" s="1153"/>
      <c r="CA101" s="1153" t="str">
        <f>IF($AI101,IF(LARGE($AG$41:$AH$107,CA$40)=$AG101,$AC101,""),"")</f>
        <v/>
      </c>
      <c r="CB101" s="1153"/>
      <c r="CC101" s="1153"/>
      <c r="CD101" s="1153"/>
      <c r="CE101" s="1153" t="str">
        <f>IF($AI101,IF(LARGE($AG$41:$AH$107,CE$40)=$AG101,$AC101,""),"")</f>
        <v/>
      </c>
      <c r="CF101" s="1153"/>
      <c r="CG101" s="1153"/>
      <c r="CH101" s="1153"/>
      <c r="CI101" s="1153" t="str">
        <f>IF($AI101,IF(LARGE($AG$41:$AH$107,CI$40)=$AG101,$AC101,""),"")</f>
        <v/>
      </c>
      <c r="CJ101" s="1153"/>
      <c r="CK101" s="1153"/>
      <c r="CL101" s="1153"/>
      <c r="CM101" s="1153" t="str">
        <f>IF($AI101,IF(LARGE($AG$41:$AH$107,CM$40)=$AG101,$AC101,""),"")</f>
        <v/>
      </c>
      <c r="CN101" s="1153"/>
      <c r="CO101" s="1153"/>
      <c r="CP101" s="1153"/>
      <c r="CQ101" s="1153" t="str">
        <f>IF($AI101,IF(LARGE($AG$41:$AH$107,CQ$40)=$AG101,$AC101,""),"")</f>
        <v/>
      </c>
      <c r="CR101" s="1153"/>
      <c r="CS101" s="1153"/>
      <c r="CT101" s="1153"/>
      <c r="CU101" s="1153" t="str">
        <f>IF($AI101,IF(LARGE($AG$41:$AH$107,CU$40)=$AG101,$AC101,""),"")</f>
        <v/>
      </c>
      <c r="CV101" s="1153"/>
      <c r="CW101" s="1153"/>
      <c r="CX101" s="1153"/>
      <c r="CY101" s="1153" t="str">
        <f>IF($AI101,IF(LARGE($AG$41:$AH$107,CY$40)=$AG101,$AC101,""),"")</f>
        <v/>
      </c>
      <c r="CZ101" s="1153"/>
      <c r="DA101" s="1153"/>
      <c r="DB101" s="1153"/>
      <c r="DC101" s="1153" t="str">
        <f>IF($AI101,IF(LARGE($AG$41:$AH$107,DC$40)=$AG101,$AC101,""),"")</f>
        <v/>
      </c>
      <c r="DD101" s="1153"/>
      <c r="DE101" s="1153"/>
      <c r="DF101" s="1153"/>
      <c r="DG101" s="1153" t="str">
        <f>IF($AI101,IF(LARGE($AG$41:$AH$107,DG$40)=$AG101,$AC101,""),"")</f>
        <v/>
      </c>
      <c r="DH101" s="1153"/>
      <c r="DI101" s="1153"/>
      <c r="DJ101" s="1153"/>
      <c r="DK101" s="1153" t="str">
        <f>IF($AI101,IF(LARGE($AG$41:$AH$107,DK$40)=$AG101,$AC101,""),"")</f>
        <v/>
      </c>
      <c r="DL101" s="1153"/>
      <c r="DM101" s="1153"/>
      <c r="DN101" s="1153"/>
      <c r="DO101" s="1153" t="str">
        <f>IF($AI101,IF(LARGE($AG$41:$AH$107,DO$40)=$AG101,$AC101,""),"")</f>
        <v/>
      </c>
      <c r="DP101" s="1153"/>
      <c r="DQ101" s="1153"/>
      <c r="DR101" s="1153"/>
      <c r="DS101" s="1153" t="str">
        <f>IF($AI101,IF(LARGE($AG$41:$AH$107,DS$40)=$AG101,$AC101,""),"")</f>
        <v/>
      </c>
      <c r="DT101" s="1153"/>
      <c r="DU101" s="1153"/>
      <c r="DV101" s="1153"/>
      <c r="DW101" s="1153" t="str">
        <f>IF($AI101,IF(LARGE($AG$41:$AH$107,DW$40)=$AG101,$AC101,""),"")</f>
        <v/>
      </c>
      <c r="DX101" s="1153"/>
      <c r="DY101" s="1153"/>
      <c r="DZ101" s="1153"/>
      <c r="EA101" s="1153" t="str">
        <f>IF($AI101,IF(LARGE($AG$41:$AH$107,EA$40)=$AG101,$AC101,""),"")</f>
        <v/>
      </c>
      <c r="EB101" s="1153"/>
      <c r="EC101" s="1153"/>
      <c r="ED101" s="1153"/>
      <c r="EE101" s="1153" t="str">
        <f>IF($AI101,IF(LARGE($AG$41:$AH$107,EE$40)=$AG101,$AC101,""),"")</f>
        <v/>
      </c>
      <c r="EF101" s="1153"/>
      <c r="EG101" s="1153"/>
      <c r="EH101" s="1153"/>
      <c r="EI101" s="1153" t="str">
        <f>IF($AI101,IF(LARGE($AG$41:$AH$107,EI$40)=$AG101,$AC101,""),"")</f>
        <v/>
      </c>
      <c r="EJ101" s="1153"/>
      <c r="EK101" s="1153"/>
      <c r="EL101" s="1153"/>
      <c r="EM101" s="1153" t="str">
        <f>IF($AI101,IF(LARGE($AG$41:$AH$107,EM$40)=$AG101,$AC101,""),"")</f>
        <v/>
      </c>
      <c r="EN101" s="1153"/>
      <c r="EO101" s="1153"/>
      <c r="EP101" s="1153"/>
      <c r="EQ101" s="1153" t="str">
        <f>IF($AI101,IF(LARGE($AG$41:$AH$107,EQ$40)=$AG101,$AC101,""),"")</f>
        <v/>
      </c>
      <c r="ER101" s="1153"/>
      <c r="ES101" s="1153"/>
      <c r="ET101" s="1153"/>
      <c r="EU101" s="1153" t="str">
        <f>IF($AI101,IF(LARGE($AG$41:$AH$107,EU$40)=$AG101,$AC101,""),"")</f>
        <v/>
      </c>
      <c r="EV101" s="1153"/>
      <c r="EW101" s="1153"/>
      <c r="EX101" s="1153"/>
      <c r="EY101" s="1153" t="str">
        <f>IF($AI101,IF(LARGE($AG$41:$AH$107,EY$40)=$AG101,$AC101,""),"")</f>
        <v/>
      </c>
      <c r="EZ101" s="1153"/>
      <c r="FA101" s="1153"/>
      <c r="FB101" s="1153"/>
      <c r="FC101" s="1153" t="str">
        <f>IF($AI101,IF(LARGE($AG$41:$AH$107,FC$40)=$AG101,$AC101,""),"")</f>
        <v/>
      </c>
      <c r="FD101" s="1153"/>
      <c r="FE101" s="1153"/>
      <c r="FF101" s="1153"/>
      <c r="FG101" s="1153" t="str">
        <f>IF($AI101,IF(LARGE($AG$41:$AH$107,FG$40)=$AG101,$AC101,""),"")</f>
        <v/>
      </c>
      <c r="FH101" s="1153"/>
      <c r="FI101" s="1153"/>
      <c r="FJ101" s="1153"/>
      <c r="FK101" s="1153" t="str">
        <f>IF($AI101,IF(LARGE($AG$41:$AH$107,FK$40)=$AG101,$AC101,""),"")</f>
        <v/>
      </c>
      <c r="FL101" s="1153"/>
      <c r="FM101" s="1153"/>
      <c r="FN101" s="1153"/>
      <c r="FO101" s="1153" t="str">
        <f>IF($AI101,IF(LARGE($AG$41:$AH$107,FO$40)=$AG101,$AC101,""),"")</f>
        <v/>
      </c>
      <c r="FP101" s="1153"/>
      <c r="FQ101" s="1153"/>
      <c r="FR101" s="1153"/>
      <c r="FS101" s="1153" t="str">
        <f>IF($AI101,IF(LARGE($AG$41:$AH$107,FS$40)=$AG101,$AC101,""),"")</f>
        <v/>
      </c>
      <c r="FT101" s="1153"/>
      <c r="FU101" s="1153"/>
      <c r="FV101" s="1153"/>
      <c r="FW101" s="1153" t="str">
        <f>IF($AI101,IF(LARGE($AG$41:$AH$107,FW$40)=$AG101,$AC101,""),"")</f>
        <v/>
      </c>
      <c r="FX101" s="1153"/>
      <c r="FY101" s="1153"/>
      <c r="FZ101" s="1153"/>
      <c r="GA101" s="1153" t="str">
        <f>IF($AI101,IF(LARGE($AG$41:$AH$107,GA$40)=$AG101,$AC101,""),"")</f>
        <v/>
      </c>
      <c r="GB101" s="1153"/>
      <c r="GC101" s="1153"/>
      <c r="GD101" s="1153"/>
      <c r="GE101" s="1153" t="str">
        <f>IF($AI101,IF(LARGE($AG$41:$AH$107,GE$40)=$AG101,$AC101,""),"")</f>
        <v/>
      </c>
      <c r="GF101" s="1153"/>
      <c r="GG101" s="1153"/>
      <c r="GH101" s="1153"/>
      <c r="GI101" s="1153" t="str">
        <f>IF($AI101,IF(LARGE($AG$41:$AH$107,GI$40)=$AG101,$AC101,""),"")</f>
        <v/>
      </c>
      <c r="GJ101" s="1153"/>
      <c r="GK101" s="1153"/>
      <c r="GL101" s="1153"/>
      <c r="GM101" s="1153" t="str">
        <f>IF($AI101,IF(LARGE($AG$41:$AH$107,GM$40)=$AG101,$AC101,""),"")</f>
        <v/>
      </c>
      <c r="GN101" s="1153"/>
      <c r="GO101" s="1153"/>
      <c r="GP101" s="1153"/>
      <c r="GQ101" s="1153" t="str">
        <f>IF($AI101,IF(LARGE($AG$41:$AH$107,GQ$40)=$AG101,$AC101,""),"")</f>
        <v/>
      </c>
      <c r="GR101" s="1153"/>
      <c r="GS101" s="1153"/>
      <c r="GT101" s="1153"/>
      <c r="GU101" s="1153" t="str">
        <f>IF($AI101,IF(LARGE($AG$41:$AH$107,GU$40)=$AG101,$AC101,""),"")</f>
        <v/>
      </c>
      <c r="GV101" s="1153"/>
      <c r="GW101" s="1153"/>
      <c r="GX101" s="1153"/>
      <c r="GY101" s="1153" t="str">
        <f>IF($AI101,IF(LARGE($AG$41:$AH$107,GY$40)=$AG101,$AC101,""),"")</f>
        <v/>
      </c>
      <c r="GZ101" s="1153"/>
      <c r="HA101" s="1153"/>
      <c r="HB101" s="1153"/>
      <c r="HC101" s="1153" t="str">
        <f>IF($AI101,IF(LARGE($AG$41:$AH$107,HC$40)=$AG101,$AC101,""),"")</f>
        <v/>
      </c>
      <c r="HD101" s="1153"/>
      <c r="HE101" s="1153"/>
      <c r="HF101" s="1153"/>
      <c r="HG101" s="1153" t="str">
        <f>IF($AI101,IF(LARGE($AG$41:$AH$107,HG$40)=$AG101,$AC101,""),"")</f>
        <v/>
      </c>
      <c r="HH101" s="1153"/>
      <c r="HI101" s="1153"/>
      <c r="HJ101" s="1153"/>
      <c r="HK101" s="1153" t="str">
        <f>IF($AI101,IF(LARGE($AG$41:$AH$107,HK$40)=$AG101,$AC101,""),"")</f>
        <v/>
      </c>
      <c r="HL101" s="1153"/>
      <c r="HM101" s="1153"/>
      <c r="HN101" s="1153"/>
      <c r="HO101" s="1153" t="str">
        <f>IF($AI101,IF(LARGE($AG$41:$AH$107,HO$40)=$AG101,$AC101,""),"")</f>
        <v/>
      </c>
      <c r="HP101" s="1153"/>
      <c r="HQ101" s="1153"/>
      <c r="HR101" s="1153"/>
      <c r="HS101" s="1153" t="str">
        <f>IF($AI101,IF(LARGE($AG$41:$AH$107,HS$40)=$AG101,$AC101,""),"")</f>
        <v/>
      </c>
      <c r="HT101" s="1153"/>
      <c r="HU101" s="1153"/>
      <c r="HV101" s="1153"/>
      <c r="HW101" s="1153" t="str">
        <f>IF($AI101,IF(LARGE($AG$41:$AH$107,HW$40)=$AG101,$AC101,""),"")</f>
        <v/>
      </c>
      <c r="HX101" s="1153"/>
      <c r="HY101" s="1153"/>
      <c r="HZ101" s="1153"/>
      <c r="IA101" s="1153" t="str">
        <f>IF($AI101,IF(LARGE($AG$41:$AH$107,IA$40)=$AG101,$AC101,""),"")</f>
        <v/>
      </c>
      <c r="IB101" s="1153"/>
      <c r="IC101" s="1153"/>
      <c r="ID101" s="1153"/>
      <c r="IE101" s="1153" t="str">
        <f>IF($AI101,IF(LARGE($AG$41:$AH$107,IE$40)=$AG101,$AC101,""),"")</f>
        <v/>
      </c>
      <c r="IF101" s="1153"/>
      <c r="IG101" s="1153"/>
      <c r="IH101" s="1153"/>
      <c r="II101" s="1153" t="str">
        <f>IF($AI101,IF(LARGE($AG$41:$AH$107,II$40)=$AG101,$AC101,""),"")</f>
        <v/>
      </c>
      <c r="IJ101" s="1153"/>
      <c r="IK101" s="1153"/>
      <c r="IL101" s="1153"/>
      <c r="IM101" s="1153" t="str">
        <f>IF($AI101,IF(LARGE($AG$41:$AH$107,IM$40)=$AG101,$AC101,""),"")</f>
        <v/>
      </c>
      <c r="IN101" s="1153"/>
      <c r="IO101" s="1153"/>
      <c r="IP101" s="1153"/>
      <c r="IQ101" s="1153" t="str">
        <f>IF($AI101,IF(LARGE($AG$41:$AH$107,IQ$40)=$AG101,$AC101,""),"")</f>
        <v/>
      </c>
      <c r="IR101" s="1153"/>
      <c r="IS101" s="1153"/>
      <c r="IT101" s="1153"/>
      <c r="IU101" s="1153" t="str">
        <f>IF($AI101,IF(LARGE($AG$41:$AH$107,IU$40)=$AG101,$AC101,""),"")</f>
        <v/>
      </c>
      <c r="IV101" s="1153"/>
      <c r="IW101" s="1153"/>
      <c r="IX101" s="1153"/>
      <c r="IY101" s="1153" t="str">
        <f>IF($AI101,IF(LARGE($AG$41:$AH$107,IY$40)=$AG101,$AC101,""),"")</f>
        <v/>
      </c>
      <c r="IZ101" s="1153"/>
      <c r="JA101" s="1153"/>
      <c r="JB101" s="1153"/>
      <c r="JC101" s="1153" t="str">
        <f>IF($AI101,IF(LARGE($AG$41:$AH$107,JC$40)=$AG101,$AC101,""),"")</f>
        <v/>
      </c>
      <c r="JD101" s="1153"/>
      <c r="JE101" s="1153"/>
      <c r="JF101" s="1153"/>
      <c r="JG101" s="1153" t="str">
        <f>IF($AI101,IF(LARGE($AG$41:$AH$107,JG$40)=$AG101,$AC101,""),"")</f>
        <v/>
      </c>
      <c r="JH101" s="1153"/>
      <c r="JI101" s="1153"/>
      <c r="JJ101" s="1153"/>
      <c r="JK101" s="1153" t="str">
        <f>IF($AI101,IF(LARGE($AG$41:$AH$107,JK$40)=$AG101,$AC101,""),"")</f>
        <v/>
      </c>
      <c r="JL101" s="1153"/>
      <c r="JM101" s="1153"/>
      <c r="JN101" s="1153"/>
      <c r="JO101" s="1153" t="str">
        <f>IF($AI101,IF(LARGE($AG$41:$AH$107,JO$40)=$AG101,$AC101,""),"")</f>
        <v/>
      </c>
      <c r="JP101" s="1153"/>
      <c r="JQ101" s="1153"/>
      <c r="JR101" s="1153"/>
      <c r="JS101" s="1153" t="str">
        <f>IF($AI101,IF(LARGE($AG$41:$AH$107,JS$40)=$AG101,$AC101,""),"")</f>
        <v/>
      </c>
      <c r="JT101" s="1153"/>
      <c r="JU101" s="1153"/>
      <c r="JV101" s="1153"/>
      <c r="JW101" s="1153" t="str">
        <f>IF($AI101,IF(LARGE($AG$41:$AH$107,JW$40)=$AG101,$AC101,""),"")</f>
        <v/>
      </c>
      <c r="JX101" s="1153"/>
      <c r="JY101" s="1153"/>
      <c r="JZ101" s="1153"/>
      <c r="KA101" s="1153" t="str">
        <f>IF($AI101,IF(LARGE($AG$41:$AH$107,KA$40)=$AG101,$AC101,""),"")</f>
        <v/>
      </c>
      <c r="KB101" s="1153"/>
      <c r="KC101" s="1153"/>
      <c r="KD101" s="1153"/>
      <c r="KE101" s="1153" t="str">
        <f>IF($AI101,IF(LARGE($AG$41:$AH$107,KE$40)=$AG101,$AC101,""),"")</f>
        <v/>
      </c>
      <c r="KF101" s="1153"/>
      <c r="KG101" s="1153"/>
      <c r="KH101" s="1153"/>
      <c r="KI101" s="1153" t="str">
        <f>IF($AI101,IF(LARGE($AG$41:$AH$107,KI$40)=$AG101,$AC101,""),"")</f>
        <v/>
      </c>
      <c r="KJ101" s="1153"/>
      <c r="KK101" s="1153"/>
      <c r="KL101" s="1153"/>
      <c r="KM101" s="1153" t="str">
        <f>IF($AI101,IF(LARGE($AG$41:$AH$107,KM$40)=$AG101,$AC101,""),"")</f>
        <v/>
      </c>
      <c r="KN101" s="1153"/>
      <c r="KO101" s="1153"/>
      <c r="KP101" s="1153"/>
      <c r="KQ101" s="1153" t="str">
        <f>IF($AI101,IF(LARGE($AG$41:$AH$107,KQ$40)=$AG101,$AC101,""),"")</f>
        <v/>
      </c>
      <c r="KR101" s="1153"/>
      <c r="KS101" s="1153"/>
      <c r="KT101" s="1153"/>
    </row>
    <row r="102" spans="8:8">
      <c r="C102" s="1153" t="str">
        <f>IF(Z32="","",CONCATENATE(" ",AR32,Z32,AB32))</f>
        <v> 💣爆破</v>
      </c>
      <c r="D102" s="1153"/>
      <c r="E102" s="1153"/>
      <c r="F102" s="1153"/>
      <c r="G102" s="1155" t="str">
        <f>IF(AND(AF32=0,AH32=0),"",IF(ISNONTEXT(X32),"",AL32))</f>
        <v/>
      </c>
      <c r="H102" s="1155"/>
      <c r="I102" s="1153" t="str">
        <f>IF(G102=$G$40,C102,"")</f>
        <v/>
      </c>
      <c r="J102" s="1153"/>
      <c r="K102" s="1153"/>
      <c r="L102" s="1153"/>
      <c r="M102" s="1154">
        <f>IF(AND(NOT(AH32=0),ISNONTEXT(X32)),1,0)</f>
        <v>0.0</v>
      </c>
      <c r="N102" s="1122"/>
      <c r="O102" s="1122"/>
      <c r="P102" s="1153" t="str">
        <f>IF(Z32="","",CONCATENATE(" ",AR32,Z32,AB32))</f>
        <v> 💣爆破</v>
      </c>
      <c r="Q102" s="1153"/>
      <c r="R102" s="1153"/>
      <c r="S102" s="1153"/>
      <c r="T102" s="1155" t="str">
        <f>IF(AND(AF32=0,AJ32=0),"",IF(ISNONTEXT(X32),AL32,""))</f>
        <v/>
      </c>
      <c r="U102" s="1155"/>
      <c r="V102" s="1153" t="str">
        <f>IF(T102=$T$40,P102,"")</f>
        <v/>
      </c>
      <c r="W102" s="1153"/>
      <c r="X102" s="1153"/>
      <c r="Y102" s="1153"/>
      <c r="AB102" s="1122"/>
      <c r="AC102" s="1153" t="str">
        <f>IF(Z32="","",CONCATENATE(AR32,Z32,AB32))</f>
        <v>💣爆破</v>
      </c>
      <c r="AD102" s="1153"/>
      <c r="AE102" s="1153"/>
      <c r="AF102" s="1153"/>
      <c r="AG102" s="1155">
        <f>AL32</f>
        <v>1.0</v>
      </c>
      <c r="AH102" s="1155"/>
      <c r="AI102" s="1153" t="b">
        <f>IF(AND(OR(ISNUMBER(AF32),ISNUMBER(AH32),ISNUMBER(AJ32)),OR(AF32&gt;0,AH32&gt;0,AJ32&gt;0)),TRUE,FALSE)</f>
        <v>0</v>
      </c>
      <c r="AJ102" s="1153"/>
      <c r="AK102" s="1153"/>
      <c r="AL102" s="1153"/>
      <c r="AM102" s="1153" t="str">
        <f>IF($AI102,IF(LARGE($AG$41:$AH$107,AM$40)=$AG102,$AC102,""),"")</f>
        <v/>
      </c>
      <c r="AN102" s="1153"/>
      <c r="AO102" s="1153"/>
      <c r="AP102" s="1153"/>
      <c r="AQ102" s="1153" t="str">
        <f>IF($AI102,IF(LARGE($AG$41:$AH$107,AQ$40)=$AG102,$AC102,""),"")</f>
        <v/>
      </c>
      <c r="AR102" s="1153"/>
      <c r="AS102" s="1153"/>
      <c r="AT102" s="1153"/>
      <c r="AU102" s="1153" t="str">
        <f>IF($AI102,IF(LARGE($AG$41:$AH$107,AU$40)=$AG102,$AC102,""),"")</f>
        <v/>
      </c>
      <c r="AV102" s="1153"/>
      <c r="AW102" s="1153"/>
      <c r="AX102" s="1153"/>
      <c r="AY102" s="1153" t="str">
        <f>IF($AI102,IF(LARGE($AG$41:$AH$107,AY$40)=$AG102,$AC102,""),"")</f>
        <v/>
      </c>
      <c r="AZ102" s="1153"/>
      <c r="BA102" s="1153"/>
      <c r="BB102" s="1153"/>
      <c r="BC102" s="1153" t="str">
        <f>IF($AI102,IF(LARGE($AG$41:$AH$107,BC$40)=$AG102,$AC102,""),"")</f>
        <v/>
      </c>
      <c r="BD102" s="1153"/>
      <c r="BE102" s="1153"/>
      <c r="BF102" s="1153"/>
      <c r="BG102" s="1153" t="str">
        <f>IF($AI102,IF(LARGE($AG$41:$AH$107,BG$40)=$AG102,$AC102,""),"")</f>
        <v/>
      </c>
      <c r="BH102" s="1153"/>
      <c r="BI102" s="1153"/>
      <c r="BJ102" s="1153"/>
      <c r="BK102" s="1153" t="str">
        <f>IF($AI102,IF(LARGE($AG$41:$AH$107,BK$40)=$AG102,$AC102,""),"")</f>
        <v/>
      </c>
      <c r="BL102" s="1153"/>
      <c r="BM102" s="1153"/>
      <c r="BN102" s="1153"/>
      <c r="BO102" s="1153" t="str">
        <f>IF($AI102,IF(LARGE($AG$41:$AH$107,BO$40)=$AG102,$AC102,""),"")</f>
        <v/>
      </c>
      <c r="BP102" s="1153"/>
      <c r="BQ102" s="1153"/>
      <c r="BR102" s="1153"/>
      <c r="BS102" s="1153" t="str">
        <f>IF($AI102,IF(LARGE($AG$41:$AH$107,BS$40)=$AG102,$AC102,""),"")</f>
        <v/>
      </c>
      <c r="BT102" s="1153"/>
      <c r="BU102" s="1153"/>
      <c r="BV102" s="1153"/>
      <c r="BW102" s="1153" t="str">
        <f>IF($AI102,IF(LARGE($AG$41:$AH$107,BW$40)=$AG102,$AC102,""),"")</f>
        <v/>
      </c>
      <c r="BX102" s="1153"/>
      <c r="BY102" s="1153"/>
      <c r="BZ102" s="1153"/>
      <c r="CA102" s="1153" t="str">
        <f>IF($AI102,IF(LARGE($AG$41:$AH$107,CA$40)=$AG102,$AC102,""),"")</f>
        <v/>
      </c>
      <c r="CB102" s="1153"/>
      <c r="CC102" s="1153"/>
      <c r="CD102" s="1153"/>
      <c r="CE102" s="1153" t="str">
        <f>IF($AI102,IF(LARGE($AG$41:$AH$107,CE$40)=$AG102,$AC102,""),"")</f>
        <v/>
      </c>
      <c r="CF102" s="1153"/>
      <c r="CG102" s="1153"/>
      <c r="CH102" s="1153"/>
      <c r="CI102" s="1153" t="str">
        <f>IF($AI102,IF(LARGE($AG$41:$AH$107,CI$40)=$AG102,$AC102,""),"")</f>
        <v/>
      </c>
      <c r="CJ102" s="1153"/>
      <c r="CK102" s="1153"/>
      <c r="CL102" s="1153"/>
      <c r="CM102" s="1153" t="str">
        <f>IF($AI102,IF(LARGE($AG$41:$AH$107,CM$40)=$AG102,$AC102,""),"")</f>
        <v/>
      </c>
      <c r="CN102" s="1153"/>
      <c r="CO102" s="1153"/>
      <c r="CP102" s="1153"/>
      <c r="CQ102" s="1153" t="str">
        <f>IF($AI102,IF(LARGE($AG$41:$AH$107,CQ$40)=$AG102,$AC102,""),"")</f>
        <v/>
      </c>
      <c r="CR102" s="1153"/>
      <c r="CS102" s="1153"/>
      <c r="CT102" s="1153"/>
      <c r="CU102" s="1153" t="str">
        <f>IF($AI102,IF(LARGE($AG$41:$AH$107,CU$40)=$AG102,$AC102,""),"")</f>
        <v/>
      </c>
      <c r="CV102" s="1153"/>
      <c r="CW102" s="1153"/>
      <c r="CX102" s="1153"/>
      <c r="CY102" s="1153" t="str">
        <f>IF($AI102,IF(LARGE($AG$41:$AH$107,CY$40)=$AG102,$AC102,""),"")</f>
        <v/>
      </c>
      <c r="CZ102" s="1153"/>
      <c r="DA102" s="1153"/>
      <c r="DB102" s="1153"/>
      <c r="DC102" s="1153" t="str">
        <f>IF($AI102,IF(LARGE($AG$41:$AH$107,DC$40)=$AG102,$AC102,""),"")</f>
        <v/>
      </c>
      <c r="DD102" s="1153"/>
      <c r="DE102" s="1153"/>
      <c r="DF102" s="1153"/>
      <c r="DG102" s="1153" t="str">
        <f>IF($AI102,IF(LARGE($AG$41:$AH$107,DG$40)=$AG102,$AC102,""),"")</f>
        <v/>
      </c>
      <c r="DH102" s="1153"/>
      <c r="DI102" s="1153"/>
      <c r="DJ102" s="1153"/>
      <c r="DK102" s="1153" t="str">
        <f>IF($AI102,IF(LARGE($AG$41:$AH$107,DK$40)=$AG102,$AC102,""),"")</f>
        <v/>
      </c>
      <c r="DL102" s="1153"/>
      <c r="DM102" s="1153"/>
      <c r="DN102" s="1153"/>
      <c r="DO102" s="1153" t="str">
        <f>IF($AI102,IF(LARGE($AG$41:$AH$107,DO$40)=$AG102,$AC102,""),"")</f>
        <v/>
      </c>
      <c r="DP102" s="1153"/>
      <c r="DQ102" s="1153"/>
      <c r="DR102" s="1153"/>
      <c r="DS102" s="1153" t="str">
        <f>IF($AI102,IF(LARGE($AG$41:$AH$107,DS$40)=$AG102,$AC102,""),"")</f>
        <v/>
      </c>
      <c r="DT102" s="1153"/>
      <c r="DU102" s="1153"/>
      <c r="DV102" s="1153"/>
      <c r="DW102" s="1153" t="str">
        <f>IF($AI102,IF(LARGE($AG$41:$AH$107,DW$40)=$AG102,$AC102,""),"")</f>
        <v/>
      </c>
      <c r="DX102" s="1153"/>
      <c r="DY102" s="1153"/>
      <c r="DZ102" s="1153"/>
      <c r="EA102" s="1153" t="str">
        <f>IF($AI102,IF(LARGE($AG$41:$AH$107,EA$40)=$AG102,$AC102,""),"")</f>
        <v/>
      </c>
      <c r="EB102" s="1153"/>
      <c r="EC102" s="1153"/>
      <c r="ED102" s="1153"/>
      <c r="EE102" s="1153" t="str">
        <f>IF($AI102,IF(LARGE($AG$41:$AH$107,EE$40)=$AG102,$AC102,""),"")</f>
        <v/>
      </c>
      <c r="EF102" s="1153"/>
      <c r="EG102" s="1153"/>
      <c r="EH102" s="1153"/>
      <c r="EI102" s="1153" t="str">
        <f>IF($AI102,IF(LARGE($AG$41:$AH$107,EI$40)=$AG102,$AC102,""),"")</f>
        <v/>
      </c>
      <c r="EJ102" s="1153"/>
      <c r="EK102" s="1153"/>
      <c r="EL102" s="1153"/>
      <c r="EM102" s="1153" t="str">
        <f>IF($AI102,IF(LARGE($AG$41:$AH$107,EM$40)=$AG102,$AC102,""),"")</f>
        <v/>
      </c>
      <c r="EN102" s="1153"/>
      <c r="EO102" s="1153"/>
      <c r="EP102" s="1153"/>
      <c r="EQ102" s="1153" t="str">
        <f>IF($AI102,IF(LARGE($AG$41:$AH$107,EQ$40)=$AG102,$AC102,""),"")</f>
        <v/>
      </c>
      <c r="ER102" s="1153"/>
      <c r="ES102" s="1153"/>
      <c r="ET102" s="1153"/>
      <c r="EU102" s="1153" t="str">
        <f>IF($AI102,IF(LARGE($AG$41:$AH$107,EU$40)=$AG102,$AC102,""),"")</f>
        <v/>
      </c>
      <c r="EV102" s="1153"/>
      <c r="EW102" s="1153"/>
      <c r="EX102" s="1153"/>
      <c r="EY102" s="1153" t="str">
        <f>IF($AI102,IF(LARGE($AG$41:$AH$107,EY$40)=$AG102,$AC102,""),"")</f>
        <v/>
      </c>
      <c r="EZ102" s="1153"/>
      <c r="FA102" s="1153"/>
      <c r="FB102" s="1153"/>
      <c r="FC102" s="1153" t="str">
        <f>IF($AI102,IF(LARGE($AG$41:$AH$107,FC$40)=$AG102,$AC102,""),"")</f>
        <v/>
      </c>
      <c r="FD102" s="1153"/>
      <c r="FE102" s="1153"/>
      <c r="FF102" s="1153"/>
      <c r="FG102" s="1153" t="str">
        <f>IF($AI102,IF(LARGE($AG$41:$AH$107,FG$40)=$AG102,$AC102,""),"")</f>
        <v/>
      </c>
      <c r="FH102" s="1153"/>
      <c r="FI102" s="1153"/>
      <c r="FJ102" s="1153"/>
      <c r="FK102" s="1153" t="str">
        <f>IF($AI102,IF(LARGE($AG$41:$AH$107,FK$40)=$AG102,$AC102,""),"")</f>
        <v/>
      </c>
      <c r="FL102" s="1153"/>
      <c r="FM102" s="1153"/>
      <c r="FN102" s="1153"/>
      <c r="FO102" s="1153" t="str">
        <f>IF($AI102,IF(LARGE($AG$41:$AH$107,FO$40)=$AG102,$AC102,""),"")</f>
        <v/>
      </c>
      <c r="FP102" s="1153"/>
      <c r="FQ102" s="1153"/>
      <c r="FR102" s="1153"/>
      <c r="FS102" s="1153" t="str">
        <f>IF($AI102,IF(LARGE($AG$41:$AH$107,FS$40)=$AG102,$AC102,""),"")</f>
        <v/>
      </c>
      <c r="FT102" s="1153"/>
      <c r="FU102" s="1153"/>
      <c r="FV102" s="1153"/>
      <c r="FW102" s="1153" t="str">
        <f>IF($AI102,IF(LARGE($AG$41:$AH$107,FW$40)=$AG102,$AC102,""),"")</f>
        <v/>
      </c>
      <c r="FX102" s="1153"/>
      <c r="FY102" s="1153"/>
      <c r="FZ102" s="1153"/>
      <c r="GA102" s="1153" t="str">
        <f>IF($AI102,IF(LARGE($AG$41:$AH$107,GA$40)=$AG102,$AC102,""),"")</f>
        <v/>
      </c>
      <c r="GB102" s="1153"/>
      <c r="GC102" s="1153"/>
      <c r="GD102" s="1153"/>
      <c r="GE102" s="1153" t="str">
        <f>IF($AI102,IF(LARGE($AG$41:$AH$107,GE$40)=$AG102,$AC102,""),"")</f>
        <v/>
      </c>
      <c r="GF102" s="1153"/>
      <c r="GG102" s="1153"/>
      <c r="GH102" s="1153"/>
      <c r="GI102" s="1153" t="str">
        <f>IF($AI102,IF(LARGE($AG$41:$AH$107,GI$40)=$AG102,$AC102,""),"")</f>
        <v/>
      </c>
      <c r="GJ102" s="1153"/>
      <c r="GK102" s="1153"/>
      <c r="GL102" s="1153"/>
      <c r="GM102" s="1153" t="str">
        <f>IF($AI102,IF(LARGE($AG$41:$AH$107,GM$40)=$AG102,$AC102,""),"")</f>
        <v/>
      </c>
      <c r="GN102" s="1153"/>
      <c r="GO102" s="1153"/>
      <c r="GP102" s="1153"/>
      <c r="GQ102" s="1153" t="str">
        <f>IF($AI102,IF(LARGE($AG$41:$AH$107,GQ$40)=$AG102,$AC102,""),"")</f>
        <v/>
      </c>
      <c r="GR102" s="1153"/>
      <c r="GS102" s="1153"/>
      <c r="GT102" s="1153"/>
      <c r="GU102" s="1153" t="str">
        <f>IF($AI102,IF(LARGE($AG$41:$AH$107,GU$40)=$AG102,$AC102,""),"")</f>
        <v/>
      </c>
      <c r="GV102" s="1153"/>
      <c r="GW102" s="1153"/>
      <c r="GX102" s="1153"/>
      <c r="GY102" s="1153" t="str">
        <f>IF($AI102,IF(LARGE($AG$41:$AH$107,GY$40)=$AG102,$AC102,""),"")</f>
        <v/>
      </c>
      <c r="GZ102" s="1153"/>
      <c r="HA102" s="1153"/>
      <c r="HB102" s="1153"/>
      <c r="HC102" s="1153" t="str">
        <f>IF($AI102,IF(LARGE($AG$41:$AH$107,HC$40)=$AG102,$AC102,""),"")</f>
        <v/>
      </c>
      <c r="HD102" s="1153"/>
      <c r="HE102" s="1153"/>
      <c r="HF102" s="1153"/>
      <c r="HG102" s="1153" t="str">
        <f>IF($AI102,IF(LARGE($AG$41:$AH$107,HG$40)=$AG102,$AC102,""),"")</f>
        <v/>
      </c>
      <c r="HH102" s="1153"/>
      <c r="HI102" s="1153"/>
      <c r="HJ102" s="1153"/>
      <c r="HK102" s="1153" t="str">
        <f>IF($AI102,IF(LARGE($AG$41:$AH$107,HK$40)=$AG102,$AC102,""),"")</f>
        <v/>
      </c>
      <c r="HL102" s="1153"/>
      <c r="HM102" s="1153"/>
      <c r="HN102" s="1153"/>
      <c r="HO102" s="1153" t="str">
        <f>IF($AI102,IF(LARGE($AG$41:$AH$107,HO$40)=$AG102,$AC102,""),"")</f>
        <v/>
      </c>
      <c r="HP102" s="1153"/>
      <c r="HQ102" s="1153"/>
      <c r="HR102" s="1153"/>
      <c r="HS102" s="1153" t="str">
        <f>IF($AI102,IF(LARGE($AG$41:$AH$107,HS$40)=$AG102,$AC102,""),"")</f>
        <v/>
      </c>
      <c r="HT102" s="1153"/>
      <c r="HU102" s="1153"/>
      <c r="HV102" s="1153"/>
      <c r="HW102" s="1153" t="str">
        <f>IF($AI102,IF(LARGE($AG$41:$AH$107,HW$40)=$AG102,$AC102,""),"")</f>
        <v/>
      </c>
      <c r="HX102" s="1153"/>
      <c r="HY102" s="1153"/>
      <c r="HZ102" s="1153"/>
      <c r="IA102" s="1153" t="str">
        <f>IF($AI102,IF(LARGE($AG$41:$AH$107,IA$40)=$AG102,$AC102,""),"")</f>
        <v/>
      </c>
      <c r="IB102" s="1153"/>
      <c r="IC102" s="1153"/>
      <c r="ID102" s="1153"/>
      <c r="IE102" s="1153" t="str">
        <f>IF($AI102,IF(LARGE($AG$41:$AH$107,IE$40)=$AG102,$AC102,""),"")</f>
        <v/>
      </c>
      <c r="IF102" s="1153"/>
      <c r="IG102" s="1153"/>
      <c r="IH102" s="1153"/>
      <c r="II102" s="1153" t="str">
        <f>IF($AI102,IF(LARGE($AG$41:$AH$107,II$40)=$AG102,$AC102,""),"")</f>
        <v/>
      </c>
      <c r="IJ102" s="1153"/>
      <c r="IK102" s="1153"/>
      <c r="IL102" s="1153"/>
      <c r="IM102" s="1153" t="str">
        <f>IF($AI102,IF(LARGE($AG$41:$AH$107,IM$40)=$AG102,$AC102,""),"")</f>
        <v/>
      </c>
      <c r="IN102" s="1153"/>
      <c r="IO102" s="1153"/>
      <c r="IP102" s="1153"/>
      <c r="IQ102" s="1153" t="str">
        <f>IF($AI102,IF(LARGE($AG$41:$AH$107,IQ$40)=$AG102,$AC102,""),"")</f>
        <v/>
      </c>
      <c r="IR102" s="1153"/>
      <c r="IS102" s="1153"/>
      <c r="IT102" s="1153"/>
      <c r="IU102" s="1153" t="str">
        <f>IF($AI102,IF(LARGE($AG$41:$AH$107,IU$40)=$AG102,$AC102,""),"")</f>
        <v/>
      </c>
      <c r="IV102" s="1153"/>
      <c r="IW102" s="1153"/>
      <c r="IX102" s="1153"/>
      <c r="IY102" s="1153" t="str">
        <f>IF($AI102,IF(LARGE($AG$41:$AH$107,IY$40)=$AG102,$AC102,""),"")</f>
        <v/>
      </c>
      <c r="IZ102" s="1153"/>
      <c r="JA102" s="1153"/>
      <c r="JB102" s="1153"/>
      <c r="JC102" s="1153" t="str">
        <f>IF($AI102,IF(LARGE($AG$41:$AH$107,JC$40)=$AG102,$AC102,""),"")</f>
        <v/>
      </c>
      <c r="JD102" s="1153"/>
      <c r="JE102" s="1153"/>
      <c r="JF102" s="1153"/>
      <c r="JG102" s="1153" t="str">
        <f>IF($AI102,IF(LARGE($AG$41:$AH$107,JG$40)=$AG102,$AC102,""),"")</f>
        <v/>
      </c>
      <c r="JH102" s="1153"/>
      <c r="JI102" s="1153"/>
      <c r="JJ102" s="1153"/>
      <c r="JK102" s="1153" t="str">
        <f>IF($AI102,IF(LARGE($AG$41:$AH$107,JK$40)=$AG102,$AC102,""),"")</f>
        <v/>
      </c>
      <c r="JL102" s="1153"/>
      <c r="JM102" s="1153"/>
      <c r="JN102" s="1153"/>
      <c r="JO102" s="1153" t="str">
        <f>IF($AI102,IF(LARGE($AG$41:$AH$107,JO$40)=$AG102,$AC102,""),"")</f>
        <v/>
      </c>
      <c r="JP102" s="1153"/>
      <c r="JQ102" s="1153"/>
      <c r="JR102" s="1153"/>
      <c r="JS102" s="1153" t="str">
        <f>IF($AI102,IF(LARGE($AG$41:$AH$107,JS$40)=$AG102,$AC102,""),"")</f>
        <v/>
      </c>
      <c r="JT102" s="1153"/>
      <c r="JU102" s="1153"/>
      <c r="JV102" s="1153"/>
      <c r="JW102" s="1153" t="str">
        <f>IF($AI102,IF(LARGE($AG$41:$AH$107,JW$40)=$AG102,$AC102,""),"")</f>
        <v/>
      </c>
      <c r="JX102" s="1153"/>
      <c r="JY102" s="1153"/>
      <c r="JZ102" s="1153"/>
      <c r="KA102" s="1153" t="str">
        <f>IF($AI102,IF(LARGE($AG$41:$AH$107,KA$40)=$AG102,$AC102,""),"")</f>
        <v/>
      </c>
      <c r="KB102" s="1153"/>
      <c r="KC102" s="1153"/>
      <c r="KD102" s="1153"/>
      <c r="KE102" s="1153" t="str">
        <f>IF($AI102,IF(LARGE($AG$41:$AH$107,KE$40)=$AG102,$AC102,""),"")</f>
        <v/>
      </c>
      <c r="KF102" s="1153"/>
      <c r="KG102" s="1153"/>
      <c r="KH102" s="1153"/>
      <c r="KI102" s="1153" t="str">
        <f>IF($AI102,IF(LARGE($AG$41:$AH$107,KI$40)=$AG102,$AC102,""),"")</f>
        <v/>
      </c>
      <c r="KJ102" s="1153"/>
      <c r="KK102" s="1153"/>
      <c r="KL102" s="1153"/>
      <c r="KM102" s="1153" t="str">
        <f>IF($AI102,IF(LARGE($AG$41:$AH$107,KM$40)=$AG102,$AC102,""),"")</f>
        <v/>
      </c>
      <c r="KN102" s="1153"/>
      <c r="KO102" s="1153"/>
      <c r="KP102" s="1153"/>
      <c r="KQ102" s="1153" t="str">
        <f>IF($AI102,IF(LARGE($AG$41:$AH$107,KQ$40)=$AG102,$AC102,""),"")</f>
        <v/>
      </c>
      <c r="KR102" s="1153"/>
      <c r="KS102" s="1153"/>
      <c r="KT102" s="1153"/>
    </row>
    <row r="103" spans="8:8">
      <c r="C103" s="1153" t="str">
        <f>IF(Z33="","",CONCATENATE(" ",AR33,Z33,AB33))</f>
        <v> 👄读唇</v>
      </c>
      <c r="D103" s="1153"/>
      <c r="E103" s="1153"/>
      <c r="F103" s="1153"/>
      <c r="G103" s="1155" t="str">
        <f>IF(AND(AF33=0,AH33=0),"",IF(ISNONTEXT(X33),"",AL33))</f>
        <v/>
      </c>
      <c r="H103" s="1155"/>
      <c r="I103" s="1153" t="str">
        <f>IF(G103=$G$40,C103,"")</f>
        <v/>
      </c>
      <c r="J103" s="1153"/>
      <c r="K103" s="1153"/>
      <c r="L103" s="1153"/>
      <c r="M103" s="1154">
        <f>IF(AND(NOT(AH33=0),ISNONTEXT(X33)),1,0)</f>
        <v>0.0</v>
      </c>
      <c r="N103" s="1122"/>
      <c r="O103" s="1122"/>
      <c r="P103" s="1153" t="str">
        <f>IF(Z33="","",CONCATENATE(" ",AR33,Z33,AB33))</f>
        <v> 👄读唇</v>
      </c>
      <c r="Q103" s="1153"/>
      <c r="R103" s="1153"/>
      <c r="S103" s="1153"/>
      <c r="T103" s="1155" t="str">
        <f>IF(AND(AF33=0,AJ33=0),"",IF(ISNONTEXT(X33),AL33,""))</f>
        <v/>
      </c>
      <c r="U103" s="1155"/>
      <c r="V103" s="1153" t="str">
        <f>IF(T103=$T$40,P103,"")</f>
        <v/>
      </c>
      <c r="W103" s="1153"/>
      <c r="X103" s="1153"/>
      <c r="Y103" s="1153"/>
      <c r="AB103" s="1122"/>
      <c r="AC103" s="1153" t="str">
        <f>IF(Z33="","",CONCATENATE(AR33,Z33,AB33))</f>
        <v>👄读唇</v>
      </c>
      <c r="AD103" s="1153"/>
      <c r="AE103" s="1153"/>
      <c r="AF103" s="1153"/>
      <c r="AG103" s="1155">
        <f>AL33</f>
        <v>1.0</v>
      </c>
      <c r="AH103" s="1155"/>
      <c r="AI103" s="1153" t="b">
        <f>IF(AND(OR(ISNUMBER(AF33),ISNUMBER(AH33),ISNUMBER(AJ33)),OR(AF33&gt;0,AH33&gt;0,AJ33&gt;0)),TRUE,FALSE)</f>
        <v>0</v>
      </c>
      <c r="AJ103" s="1153"/>
      <c r="AK103" s="1153"/>
      <c r="AL103" s="1153"/>
      <c r="AM103" s="1153" t="str">
        <f>IF($AI103,IF(LARGE($AG$41:$AH$107,AM$40)=$AG103,$AC103,""),"")</f>
        <v/>
      </c>
      <c r="AN103" s="1153"/>
      <c r="AO103" s="1153"/>
      <c r="AP103" s="1153"/>
      <c r="AQ103" s="1153" t="str">
        <f>IF($AI103,IF(LARGE($AG$41:$AH$107,AQ$40)=$AG103,$AC103,""),"")</f>
        <v/>
      </c>
      <c r="AR103" s="1153"/>
      <c r="AS103" s="1153"/>
      <c r="AT103" s="1153"/>
      <c r="AU103" s="1153" t="str">
        <f>IF($AI103,IF(LARGE($AG$41:$AH$107,AU$40)=$AG103,$AC103,""),"")</f>
        <v/>
      </c>
      <c r="AV103" s="1153"/>
      <c r="AW103" s="1153"/>
      <c r="AX103" s="1153"/>
      <c r="AY103" s="1153" t="str">
        <f>IF($AI103,IF(LARGE($AG$41:$AH$107,AY$40)=$AG103,$AC103,""),"")</f>
        <v/>
      </c>
      <c r="AZ103" s="1153"/>
      <c r="BA103" s="1153"/>
      <c r="BB103" s="1153"/>
      <c r="BC103" s="1153" t="str">
        <f>IF($AI103,IF(LARGE($AG$41:$AH$107,BC$40)=$AG103,$AC103,""),"")</f>
        <v/>
      </c>
      <c r="BD103" s="1153"/>
      <c r="BE103" s="1153"/>
      <c r="BF103" s="1153"/>
      <c r="BG103" s="1153" t="str">
        <f>IF($AI103,IF(LARGE($AG$41:$AH$107,BG$40)=$AG103,$AC103,""),"")</f>
        <v/>
      </c>
      <c r="BH103" s="1153"/>
      <c r="BI103" s="1153"/>
      <c r="BJ103" s="1153"/>
      <c r="BK103" s="1153" t="str">
        <f>IF($AI103,IF(LARGE($AG$41:$AH$107,BK$40)=$AG103,$AC103,""),"")</f>
        <v/>
      </c>
      <c r="BL103" s="1153"/>
      <c r="BM103" s="1153"/>
      <c r="BN103" s="1153"/>
      <c r="BO103" s="1153" t="str">
        <f>IF($AI103,IF(LARGE($AG$41:$AH$107,BO$40)=$AG103,$AC103,""),"")</f>
        <v/>
      </c>
      <c r="BP103" s="1153"/>
      <c r="BQ103" s="1153"/>
      <c r="BR103" s="1153"/>
      <c r="BS103" s="1153" t="str">
        <f>IF($AI103,IF(LARGE($AG$41:$AH$107,BS$40)=$AG103,$AC103,""),"")</f>
        <v/>
      </c>
      <c r="BT103" s="1153"/>
      <c r="BU103" s="1153"/>
      <c r="BV103" s="1153"/>
      <c r="BW103" s="1153" t="str">
        <f>IF($AI103,IF(LARGE($AG$41:$AH$107,BW$40)=$AG103,$AC103,""),"")</f>
        <v/>
      </c>
      <c r="BX103" s="1153"/>
      <c r="BY103" s="1153"/>
      <c r="BZ103" s="1153"/>
      <c r="CA103" s="1153" t="str">
        <f>IF($AI103,IF(LARGE($AG$41:$AH$107,CA$40)=$AG103,$AC103,""),"")</f>
        <v/>
      </c>
      <c r="CB103" s="1153"/>
      <c r="CC103" s="1153"/>
      <c r="CD103" s="1153"/>
      <c r="CE103" s="1153" t="str">
        <f>IF($AI103,IF(LARGE($AG$41:$AH$107,CE$40)=$AG103,$AC103,""),"")</f>
        <v/>
      </c>
      <c r="CF103" s="1153"/>
      <c r="CG103" s="1153"/>
      <c r="CH103" s="1153"/>
      <c r="CI103" s="1153" t="str">
        <f>IF($AI103,IF(LARGE($AG$41:$AH$107,CI$40)=$AG103,$AC103,""),"")</f>
        <v/>
      </c>
      <c r="CJ103" s="1153"/>
      <c r="CK103" s="1153"/>
      <c r="CL103" s="1153"/>
      <c r="CM103" s="1153" t="str">
        <f>IF($AI103,IF(LARGE($AG$41:$AH$107,CM$40)=$AG103,$AC103,""),"")</f>
        <v/>
      </c>
      <c r="CN103" s="1153"/>
      <c r="CO103" s="1153"/>
      <c r="CP103" s="1153"/>
      <c r="CQ103" s="1153" t="str">
        <f>IF($AI103,IF(LARGE($AG$41:$AH$107,CQ$40)=$AG103,$AC103,""),"")</f>
        <v/>
      </c>
      <c r="CR103" s="1153"/>
      <c r="CS103" s="1153"/>
      <c r="CT103" s="1153"/>
      <c r="CU103" s="1153" t="str">
        <f>IF($AI103,IF(LARGE($AG$41:$AH$107,CU$40)=$AG103,$AC103,""),"")</f>
        <v/>
      </c>
      <c r="CV103" s="1153"/>
      <c r="CW103" s="1153"/>
      <c r="CX103" s="1153"/>
      <c r="CY103" s="1153" t="str">
        <f>IF($AI103,IF(LARGE($AG$41:$AH$107,CY$40)=$AG103,$AC103,""),"")</f>
        <v/>
      </c>
      <c r="CZ103" s="1153"/>
      <c r="DA103" s="1153"/>
      <c r="DB103" s="1153"/>
      <c r="DC103" s="1153" t="str">
        <f>IF($AI103,IF(LARGE($AG$41:$AH$107,DC$40)=$AG103,$AC103,""),"")</f>
        <v/>
      </c>
      <c r="DD103" s="1153"/>
      <c r="DE103" s="1153"/>
      <c r="DF103" s="1153"/>
      <c r="DG103" s="1153" t="str">
        <f>IF($AI103,IF(LARGE($AG$41:$AH$107,DG$40)=$AG103,$AC103,""),"")</f>
        <v/>
      </c>
      <c r="DH103" s="1153"/>
      <c r="DI103" s="1153"/>
      <c r="DJ103" s="1153"/>
      <c r="DK103" s="1153" t="str">
        <f>IF($AI103,IF(LARGE($AG$41:$AH$107,DK$40)=$AG103,$AC103,""),"")</f>
        <v/>
      </c>
      <c r="DL103" s="1153"/>
      <c r="DM103" s="1153"/>
      <c r="DN103" s="1153"/>
      <c r="DO103" s="1153" t="str">
        <f>IF($AI103,IF(LARGE($AG$41:$AH$107,DO$40)=$AG103,$AC103,""),"")</f>
        <v/>
      </c>
      <c r="DP103" s="1153"/>
      <c r="DQ103" s="1153"/>
      <c r="DR103" s="1153"/>
      <c r="DS103" s="1153" t="str">
        <f>IF($AI103,IF(LARGE($AG$41:$AH$107,DS$40)=$AG103,$AC103,""),"")</f>
        <v/>
      </c>
      <c r="DT103" s="1153"/>
      <c r="DU103" s="1153"/>
      <c r="DV103" s="1153"/>
      <c r="DW103" s="1153" t="str">
        <f>IF($AI103,IF(LARGE($AG$41:$AH$107,DW$40)=$AG103,$AC103,""),"")</f>
        <v/>
      </c>
      <c r="DX103" s="1153"/>
      <c r="DY103" s="1153"/>
      <c r="DZ103" s="1153"/>
      <c r="EA103" s="1153" t="str">
        <f>IF($AI103,IF(LARGE($AG$41:$AH$107,EA$40)=$AG103,$AC103,""),"")</f>
        <v/>
      </c>
      <c r="EB103" s="1153"/>
      <c r="EC103" s="1153"/>
      <c r="ED103" s="1153"/>
      <c r="EE103" s="1153" t="str">
        <f>IF($AI103,IF(LARGE($AG$41:$AH$107,EE$40)=$AG103,$AC103,""),"")</f>
        <v/>
      </c>
      <c r="EF103" s="1153"/>
      <c r="EG103" s="1153"/>
      <c r="EH103" s="1153"/>
      <c r="EI103" s="1153" t="str">
        <f>IF($AI103,IF(LARGE($AG$41:$AH$107,EI$40)=$AG103,$AC103,""),"")</f>
        <v/>
      </c>
      <c r="EJ103" s="1153"/>
      <c r="EK103" s="1153"/>
      <c r="EL103" s="1153"/>
      <c r="EM103" s="1153" t="str">
        <f>IF($AI103,IF(LARGE($AG$41:$AH$107,EM$40)=$AG103,$AC103,""),"")</f>
        <v/>
      </c>
      <c r="EN103" s="1153"/>
      <c r="EO103" s="1153"/>
      <c r="EP103" s="1153"/>
      <c r="EQ103" s="1153" t="str">
        <f>IF($AI103,IF(LARGE($AG$41:$AH$107,EQ$40)=$AG103,$AC103,""),"")</f>
        <v/>
      </c>
      <c r="ER103" s="1153"/>
      <c r="ES103" s="1153"/>
      <c r="ET103" s="1153"/>
      <c r="EU103" s="1153" t="str">
        <f>IF($AI103,IF(LARGE($AG$41:$AH$107,EU$40)=$AG103,$AC103,""),"")</f>
        <v/>
      </c>
      <c r="EV103" s="1153"/>
      <c r="EW103" s="1153"/>
      <c r="EX103" s="1153"/>
      <c r="EY103" s="1153" t="str">
        <f>IF($AI103,IF(LARGE($AG$41:$AH$107,EY$40)=$AG103,$AC103,""),"")</f>
        <v/>
      </c>
      <c r="EZ103" s="1153"/>
      <c r="FA103" s="1153"/>
      <c r="FB103" s="1153"/>
      <c r="FC103" s="1153" t="str">
        <f>IF($AI103,IF(LARGE($AG$41:$AH$107,FC$40)=$AG103,$AC103,""),"")</f>
        <v/>
      </c>
      <c r="FD103" s="1153"/>
      <c r="FE103" s="1153"/>
      <c r="FF103" s="1153"/>
      <c r="FG103" s="1153" t="str">
        <f>IF($AI103,IF(LARGE($AG$41:$AH$107,FG$40)=$AG103,$AC103,""),"")</f>
        <v/>
      </c>
      <c r="FH103" s="1153"/>
      <c r="FI103" s="1153"/>
      <c r="FJ103" s="1153"/>
      <c r="FK103" s="1153" t="str">
        <f>IF($AI103,IF(LARGE($AG$41:$AH$107,FK$40)=$AG103,$AC103,""),"")</f>
        <v/>
      </c>
      <c r="FL103" s="1153"/>
      <c r="FM103" s="1153"/>
      <c r="FN103" s="1153"/>
      <c r="FO103" s="1153" t="str">
        <f>IF($AI103,IF(LARGE($AG$41:$AH$107,FO$40)=$AG103,$AC103,""),"")</f>
        <v/>
      </c>
      <c r="FP103" s="1153"/>
      <c r="FQ103" s="1153"/>
      <c r="FR103" s="1153"/>
      <c r="FS103" s="1153" t="str">
        <f>IF($AI103,IF(LARGE($AG$41:$AH$107,FS$40)=$AG103,$AC103,""),"")</f>
        <v/>
      </c>
      <c r="FT103" s="1153"/>
      <c r="FU103" s="1153"/>
      <c r="FV103" s="1153"/>
      <c r="FW103" s="1153" t="str">
        <f>IF($AI103,IF(LARGE($AG$41:$AH$107,FW$40)=$AG103,$AC103,""),"")</f>
        <v/>
      </c>
      <c r="FX103" s="1153"/>
      <c r="FY103" s="1153"/>
      <c r="FZ103" s="1153"/>
      <c r="GA103" s="1153" t="str">
        <f>IF($AI103,IF(LARGE($AG$41:$AH$107,GA$40)=$AG103,$AC103,""),"")</f>
        <v/>
      </c>
      <c r="GB103" s="1153"/>
      <c r="GC103" s="1153"/>
      <c r="GD103" s="1153"/>
      <c r="GE103" s="1153" t="str">
        <f>IF($AI103,IF(LARGE($AG$41:$AH$107,GE$40)=$AG103,$AC103,""),"")</f>
        <v/>
      </c>
      <c r="GF103" s="1153"/>
      <c r="GG103" s="1153"/>
      <c r="GH103" s="1153"/>
      <c r="GI103" s="1153" t="str">
        <f>IF($AI103,IF(LARGE($AG$41:$AH$107,GI$40)=$AG103,$AC103,""),"")</f>
        <v/>
      </c>
      <c r="GJ103" s="1153"/>
      <c r="GK103" s="1153"/>
      <c r="GL103" s="1153"/>
      <c r="GM103" s="1153" t="str">
        <f>IF($AI103,IF(LARGE($AG$41:$AH$107,GM$40)=$AG103,$AC103,""),"")</f>
        <v/>
      </c>
      <c r="GN103" s="1153"/>
      <c r="GO103" s="1153"/>
      <c r="GP103" s="1153"/>
      <c r="GQ103" s="1153" t="str">
        <f>IF($AI103,IF(LARGE($AG$41:$AH$107,GQ$40)=$AG103,$AC103,""),"")</f>
        <v/>
      </c>
      <c r="GR103" s="1153"/>
      <c r="GS103" s="1153"/>
      <c r="GT103" s="1153"/>
      <c r="GU103" s="1153" t="str">
        <f>IF($AI103,IF(LARGE($AG$41:$AH$107,GU$40)=$AG103,$AC103,""),"")</f>
        <v/>
      </c>
      <c r="GV103" s="1153"/>
      <c r="GW103" s="1153"/>
      <c r="GX103" s="1153"/>
      <c r="GY103" s="1153" t="str">
        <f>IF($AI103,IF(LARGE($AG$41:$AH$107,GY$40)=$AG103,$AC103,""),"")</f>
        <v/>
      </c>
      <c r="GZ103" s="1153"/>
      <c r="HA103" s="1153"/>
      <c r="HB103" s="1153"/>
      <c r="HC103" s="1153" t="str">
        <f>IF($AI103,IF(LARGE($AG$41:$AH$107,HC$40)=$AG103,$AC103,""),"")</f>
        <v/>
      </c>
      <c r="HD103" s="1153"/>
      <c r="HE103" s="1153"/>
      <c r="HF103" s="1153"/>
      <c r="HG103" s="1153" t="str">
        <f>IF($AI103,IF(LARGE($AG$41:$AH$107,HG$40)=$AG103,$AC103,""),"")</f>
        <v/>
      </c>
      <c r="HH103" s="1153"/>
      <c r="HI103" s="1153"/>
      <c r="HJ103" s="1153"/>
      <c r="HK103" s="1153" t="str">
        <f>IF($AI103,IF(LARGE($AG$41:$AH$107,HK$40)=$AG103,$AC103,""),"")</f>
        <v/>
      </c>
      <c r="HL103" s="1153"/>
      <c r="HM103" s="1153"/>
      <c r="HN103" s="1153"/>
      <c r="HO103" s="1153" t="str">
        <f>IF($AI103,IF(LARGE($AG$41:$AH$107,HO$40)=$AG103,$AC103,""),"")</f>
        <v/>
      </c>
      <c r="HP103" s="1153"/>
      <c r="HQ103" s="1153"/>
      <c r="HR103" s="1153"/>
      <c r="HS103" s="1153" t="str">
        <f>IF($AI103,IF(LARGE($AG$41:$AH$107,HS$40)=$AG103,$AC103,""),"")</f>
        <v/>
      </c>
      <c r="HT103" s="1153"/>
      <c r="HU103" s="1153"/>
      <c r="HV103" s="1153"/>
      <c r="HW103" s="1153" t="str">
        <f>IF($AI103,IF(LARGE($AG$41:$AH$107,HW$40)=$AG103,$AC103,""),"")</f>
        <v/>
      </c>
      <c r="HX103" s="1153"/>
      <c r="HY103" s="1153"/>
      <c r="HZ103" s="1153"/>
      <c r="IA103" s="1153" t="str">
        <f>IF($AI103,IF(LARGE($AG$41:$AH$107,IA$40)=$AG103,$AC103,""),"")</f>
        <v/>
      </c>
      <c r="IB103" s="1153"/>
      <c r="IC103" s="1153"/>
      <c r="ID103" s="1153"/>
      <c r="IE103" s="1153" t="str">
        <f>IF($AI103,IF(LARGE($AG$41:$AH$107,IE$40)=$AG103,$AC103,""),"")</f>
        <v/>
      </c>
      <c r="IF103" s="1153"/>
      <c r="IG103" s="1153"/>
      <c r="IH103" s="1153"/>
      <c r="II103" s="1153" t="str">
        <f>IF($AI103,IF(LARGE($AG$41:$AH$107,II$40)=$AG103,$AC103,""),"")</f>
        <v/>
      </c>
      <c r="IJ103" s="1153"/>
      <c r="IK103" s="1153"/>
      <c r="IL103" s="1153"/>
      <c r="IM103" s="1153" t="str">
        <f>IF($AI103,IF(LARGE($AG$41:$AH$107,IM$40)=$AG103,$AC103,""),"")</f>
        <v/>
      </c>
      <c r="IN103" s="1153"/>
      <c r="IO103" s="1153"/>
      <c r="IP103" s="1153"/>
      <c r="IQ103" s="1153" t="str">
        <f>IF($AI103,IF(LARGE($AG$41:$AH$107,IQ$40)=$AG103,$AC103,""),"")</f>
        <v/>
      </c>
      <c r="IR103" s="1153"/>
      <c r="IS103" s="1153"/>
      <c r="IT103" s="1153"/>
      <c r="IU103" s="1153" t="str">
        <f>IF($AI103,IF(LARGE($AG$41:$AH$107,IU$40)=$AG103,$AC103,""),"")</f>
        <v/>
      </c>
      <c r="IV103" s="1153"/>
      <c r="IW103" s="1153"/>
      <c r="IX103" s="1153"/>
      <c r="IY103" s="1153" t="str">
        <f>IF($AI103,IF(LARGE($AG$41:$AH$107,IY$40)=$AG103,$AC103,""),"")</f>
        <v/>
      </c>
      <c r="IZ103" s="1153"/>
      <c r="JA103" s="1153"/>
      <c r="JB103" s="1153"/>
      <c r="JC103" s="1153" t="str">
        <f>IF($AI103,IF(LARGE($AG$41:$AH$107,JC$40)=$AG103,$AC103,""),"")</f>
        <v/>
      </c>
      <c r="JD103" s="1153"/>
      <c r="JE103" s="1153"/>
      <c r="JF103" s="1153"/>
      <c r="JG103" s="1153" t="str">
        <f>IF($AI103,IF(LARGE($AG$41:$AH$107,JG$40)=$AG103,$AC103,""),"")</f>
        <v/>
      </c>
      <c r="JH103" s="1153"/>
      <c r="JI103" s="1153"/>
      <c r="JJ103" s="1153"/>
      <c r="JK103" s="1153" t="str">
        <f>IF($AI103,IF(LARGE($AG$41:$AH$107,JK$40)=$AG103,$AC103,""),"")</f>
        <v/>
      </c>
      <c r="JL103" s="1153"/>
      <c r="JM103" s="1153"/>
      <c r="JN103" s="1153"/>
      <c r="JO103" s="1153" t="str">
        <f>IF($AI103,IF(LARGE($AG$41:$AH$107,JO$40)=$AG103,$AC103,""),"")</f>
        <v/>
      </c>
      <c r="JP103" s="1153"/>
      <c r="JQ103" s="1153"/>
      <c r="JR103" s="1153"/>
      <c r="JS103" s="1153" t="str">
        <f>IF($AI103,IF(LARGE($AG$41:$AH$107,JS$40)=$AG103,$AC103,""),"")</f>
        <v/>
      </c>
      <c r="JT103" s="1153"/>
      <c r="JU103" s="1153"/>
      <c r="JV103" s="1153"/>
      <c r="JW103" s="1153" t="str">
        <f>IF($AI103,IF(LARGE($AG$41:$AH$107,JW$40)=$AG103,$AC103,""),"")</f>
        <v/>
      </c>
      <c r="JX103" s="1153"/>
      <c r="JY103" s="1153"/>
      <c r="JZ103" s="1153"/>
      <c r="KA103" s="1153" t="str">
        <f>IF($AI103,IF(LARGE($AG$41:$AH$107,KA$40)=$AG103,$AC103,""),"")</f>
        <v/>
      </c>
      <c r="KB103" s="1153"/>
      <c r="KC103" s="1153"/>
      <c r="KD103" s="1153"/>
      <c r="KE103" s="1153" t="str">
        <f>IF($AI103,IF(LARGE($AG$41:$AH$107,KE$40)=$AG103,$AC103,""),"")</f>
        <v/>
      </c>
      <c r="KF103" s="1153"/>
      <c r="KG103" s="1153"/>
      <c r="KH103" s="1153"/>
      <c r="KI103" s="1153" t="str">
        <f>IF($AI103,IF(LARGE($AG$41:$AH$107,KI$40)=$AG103,$AC103,""),"")</f>
        <v/>
      </c>
      <c r="KJ103" s="1153"/>
      <c r="KK103" s="1153"/>
      <c r="KL103" s="1153"/>
      <c r="KM103" s="1153" t="str">
        <f>IF($AI103,IF(LARGE($AG$41:$AH$107,KM$40)=$AG103,$AC103,""),"")</f>
        <v/>
      </c>
      <c r="KN103" s="1153"/>
      <c r="KO103" s="1153"/>
      <c r="KP103" s="1153"/>
      <c r="KQ103" s="1153" t="str">
        <f>IF($AI103,IF(LARGE($AG$41:$AH$107,KQ$40)=$AG103,$AC103,""),"")</f>
        <v/>
      </c>
      <c r="KR103" s="1153"/>
      <c r="KS103" s="1153"/>
      <c r="KT103" s="1153"/>
    </row>
    <row r="104" spans="8:8">
      <c r="C104" s="1153" t="str">
        <f>IF(Z34="","",CONCATENATE(" ",AR34,Z34,AB34))</f>
        <v> 💤催眠</v>
      </c>
      <c r="D104" s="1153"/>
      <c r="E104" s="1153"/>
      <c r="F104" s="1153"/>
      <c r="G104" s="1155" t="str">
        <f>IF(AND(AF34=0,AH34=0),"",IF(ISNONTEXT(X34),"",AL34))</f>
        <v/>
      </c>
      <c r="H104" s="1155"/>
      <c r="I104" s="1153" t="str">
        <f>IF(G104=$G$40,C104,"")</f>
        <v/>
      </c>
      <c r="J104" s="1153"/>
      <c r="K104" s="1153"/>
      <c r="L104" s="1153"/>
      <c r="M104" s="1154">
        <f>IF(AND(NOT(AH34=0),ISNONTEXT(X34)),1,0)</f>
        <v>0.0</v>
      </c>
      <c r="N104" s="1122"/>
      <c r="O104" s="1122"/>
      <c r="P104" s="1153" t="str">
        <f>IF(Z34="","",CONCATENATE(" ",AR34,Z34,AB34))</f>
        <v> 💤催眠</v>
      </c>
      <c r="Q104" s="1153"/>
      <c r="R104" s="1153"/>
      <c r="S104" s="1153"/>
      <c r="T104" s="1155" t="str">
        <f>IF(AND(AF34=0,AJ34=0),"",IF(ISNONTEXT(X34),AL34,""))</f>
        <v/>
      </c>
      <c r="U104" s="1155"/>
      <c r="V104" s="1153" t="str">
        <f>IF(T104=$T$40,P104,"")</f>
        <v/>
      </c>
      <c r="W104" s="1153"/>
      <c r="X104" s="1153"/>
      <c r="Y104" s="1153"/>
      <c r="AB104" s="1122"/>
      <c r="AC104" s="1153" t="str">
        <f>IF(Z34="","",CONCATENATE(AR34,Z34,AB34))</f>
        <v>💤催眠</v>
      </c>
      <c r="AD104" s="1153"/>
      <c r="AE104" s="1153"/>
      <c r="AF104" s="1153"/>
      <c r="AG104" s="1155">
        <f>AL34</f>
        <v>1.0</v>
      </c>
      <c r="AH104" s="1155"/>
      <c r="AI104" s="1153" t="b">
        <f>IF(AND(OR(ISNUMBER(AF34),ISNUMBER(AH34),ISNUMBER(AJ34)),OR(AF34&gt;0,AH34&gt;0,AJ34&gt;0)),TRUE,FALSE)</f>
        <v>0</v>
      </c>
      <c r="AJ104" s="1153"/>
      <c r="AK104" s="1153"/>
      <c r="AL104" s="1153"/>
      <c r="AM104" s="1153" t="str">
        <f>IF($AI104,IF(LARGE($AG$41:$AH$107,AM$40)=$AG104,$AC104,""),"")</f>
        <v/>
      </c>
      <c r="AN104" s="1153"/>
      <c r="AO104" s="1153"/>
      <c r="AP104" s="1153"/>
      <c r="AQ104" s="1153" t="str">
        <f>IF($AI104,IF(LARGE($AG$41:$AH$107,AQ$40)=$AG104,$AC104,""),"")</f>
        <v/>
      </c>
      <c r="AR104" s="1153"/>
      <c r="AS104" s="1153"/>
      <c r="AT104" s="1153"/>
      <c r="AU104" s="1153" t="str">
        <f>IF($AI104,IF(LARGE($AG$41:$AH$107,AU$40)=$AG104,$AC104,""),"")</f>
        <v/>
      </c>
      <c r="AV104" s="1153"/>
      <c r="AW104" s="1153"/>
      <c r="AX104" s="1153"/>
      <c r="AY104" s="1153" t="str">
        <f>IF($AI104,IF(LARGE($AG$41:$AH$107,AY$40)=$AG104,$AC104,""),"")</f>
        <v/>
      </c>
      <c r="AZ104" s="1153"/>
      <c r="BA104" s="1153"/>
      <c r="BB104" s="1153"/>
      <c r="BC104" s="1153" t="str">
        <f>IF($AI104,IF(LARGE($AG$41:$AH$107,BC$40)=$AG104,$AC104,""),"")</f>
        <v/>
      </c>
      <c r="BD104" s="1153"/>
      <c r="BE104" s="1153"/>
      <c r="BF104" s="1153"/>
      <c r="BG104" s="1153" t="str">
        <f>IF($AI104,IF(LARGE($AG$41:$AH$107,BG$40)=$AG104,$AC104,""),"")</f>
        <v/>
      </c>
      <c r="BH104" s="1153"/>
      <c r="BI104" s="1153"/>
      <c r="BJ104" s="1153"/>
      <c r="BK104" s="1153" t="str">
        <f>IF($AI104,IF(LARGE($AG$41:$AH$107,BK$40)=$AG104,$AC104,""),"")</f>
        <v/>
      </c>
      <c r="BL104" s="1153"/>
      <c r="BM104" s="1153"/>
      <c r="BN104" s="1153"/>
      <c r="BO104" s="1153" t="str">
        <f>IF($AI104,IF(LARGE($AG$41:$AH$107,BO$40)=$AG104,$AC104,""),"")</f>
        <v/>
      </c>
      <c r="BP104" s="1153"/>
      <c r="BQ104" s="1153"/>
      <c r="BR104" s="1153"/>
      <c r="BS104" s="1153" t="str">
        <f>IF($AI104,IF(LARGE($AG$41:$AH$107,BS$40)=$AG104,$AC104,""),"")</f>
        <v/>
      </c>
      <c r="BT104" s="1153"/>
      <c r="BU104" s="1153"/>
      <c r="BV104" s="1153"/>
      <c r="BW104" s="1153" t="str">
        <f>IF($AI104,IF(LARGE($AG$41:$AH$107,BW$40)=$AG104,$AC104,""),"")</f>
        <v/>
      </c>
      <c r="BX104" s="1153"/>
      <c r="BY104" s="1153"/>
      <c r="BZ104" s="1153"/>
      <c r="CA104" s="1153" t="str">
        <f>IF($AI104,IF(LARGE($AG$41:$AH$107,CA$40)=$AG104,$AC104,""),"")</f>
        <v/>
      </c>
      <c r="CB104" s="1153"/>
      <c r="CC104" s="1153"/>
      <c r="CD104" s="1153"/>
      <c r="CE104" s="1153" t="str">
        <f>IF($AI104,IF(LARGE($AG$41:$AH$107,CE$40)=$AG104,$AC104,""),"")</f>
        <v/>
      </c>
      <c r="CF104" s="1153"/>
      <c r="CG104" s="1153"/>
      <c r="CH104" s="1153"/>
      <c r="CI104" s="1153" t="str">
        <f>IF($AI104,IF(LARGE($AG$41:$AH$107,CI$40)=$AG104,$AC104,""),"")</f>
        <v/>
      </c>
      <c r="CJ104" s="1153"/>
      <c r="CK104" s="1153"/>
      <c r="CL104" s="1153"/>
      <c r="CM104" s="1153" t="str">
        <f>IF($AI104,IF(LARGE($AG$41:$AH$107,CM$40)=$AG104,$AC104,""),"")</f>
        <v/>
      </c>
      <c r="CN104" s="1153"/>
      <c r="CO104" s="1153"/>
      <c r="CP104" s="1153"/>
      <c r="CQ104" s="1153" t="str">
        <f>IF($AI104,IF(LARGE($AG$41:$AH$107,CQ$40)=$AG104,$AC104,""),"")</f>
        <v/>
      </c>
      <c r="CR104" s="1153"/>
      <c r="CS104" s="1153"/>
      <c r="CT104" s="1153"/>
      <c r="CU104" s="1153" t="str">
        <f>IF($AI104,IF(LARGE($AG$41:$AH$107,CU$40)=$AG104,$AC104,""),"")</f>
        <v/>
      </c>
      <c r="CV104" s="1153"/>
      <c r="CW104" s="1153"/>
      <c r="CX104" s="1153"/>
      <c r="CY104" s="1153" t="str">
        <f>IF($AI104,IF(LARGE($AG$41:$AH$107,CY$40)=$AG104,$AC104,""),"")</f>
        <v/>
      </c>
      <c r="CZ104" s="1153"/>
      <c r="DA104" s="1153"/>
      <c r="DB104" s="1153"/>
      <c r="DC104" s="1153" t="str">
        <f>IF($AI104,IF(LARGE($AG$41:$AH$107,DC$40)=$AG104,$AC104,""),"")</f>
        <v/>
      </c>
      <c r="DD104" s="1153"/>
      <c r="DE104" s="1153"/>
      <c r="DF104" s="1153"/>
      <c r="DG104" s="1153" t="str">
        <f>IF($AI104,IF(LARGE($AG$41:$AH$107,DG$40)=$AG104,$AC104,""),"")</f>
        <v/>
      </c>
      <c r="DH104" s="1153"/>
      <c r="DI104" s="1153"/>
      <c r="DJ104" s="1153"/>
      <c r="DK104" s="1153" t="str">
        <f>IF($AI104,IF(LARGE($AG$41:$AH$107,DK$40)=$AG104,$AC104,""),"")</f>
        <v/>
      </c>
      <c r="DL104" s="1153"/>
      <c r="DM104" s="1153"/>
      <c r="DN104" s="1153"/>
      <c r="DO104" s="1153" t="str">
        <f>IF($AI104,IF(LARGE($AG$41:$AH$107,DO$40)=$AG104,$AC104,""),"")</f>
        <v/>
      </c>
      <c r="DP104" s="1153"/>
      <c r="DQ104" s="1153"/>
      <c r="DR104" s="1153"/>
      <c r="DS104" s="1153" t="str">
        <f>IF($AI104,IF(LARGE($AG$41:$AH$107,DS$40)=$AG104,$AC104,""),"")</f>
        <v/>
      </c>
      <c r="DT104" s="1153"/>
      <c r="DU104" s="1153"/>
      <c r="DV104" s="1153"/>
      <c r="DW104" s="1153" t="str">
        <f>IF($AI104,IF(LARGE($AG$41:$AH$107,DW$40)=$AG104,$AC104,""),"")</f>
        <v/>
      </c>
      <c r="DX104" s="1153"/>
      <c r="DY104" s="1153"/>
      <c r="DZ104" s="1153"/>
      <c r="EA104" s="1153" t="str">
        <f>IF($AI104,IF(LARGE($AG$41:$AH$107,EA$40)=$AG104,$AC104,""),"")</f>
        <v/>
      </c>
      <c r="EB104" s="1153"/>
      <c r="EC104" s="1153"/>
      <c r="ED104" s="1153"/>
      <c r="EE104" s="1153" t="str">
        <f>IF($AI104,IF(LARGE($AG$41:$AH$107,EE$40)=$AG104,$AC104,""),"")</f>
        <v/>
      </c>
      <c r="EF104" s="1153"/>
      <c r="EG104" s="1153"/>
      <c r="EH104" s="1153"/>
      <c r="EI104" s="1153" t="str">
        <f>IF($AI104,IF(LARGE($AG$41:$AH$107,EI$40)=$AG104,$AC104,""),"")</f>
        <v/>
      </c>
      <c r="EJ104" s="1153"/>
      <c r="EK104" s="1153"/>
      <c r="EL104" s="1153"/>
      <c r="EM104" s="1153" t="str">
        <f>IF($AI104,IF(LARGE($AG$41:$AH$107,EM$40)=$AG104,$AC104,""),"")</f>
        <v/>
      </c>
      <c r="EN104" s="1153"/>
      <c r="EO104" s="1153"/>
      <c r="EP104" s="1153"/>
      <c r="EQ104" s="1153" t="str">
        <f>IF($AI104,IF(LARGE($AG$41:$AH$107,EQ$40)=$AG104,$AC104,""),"")</f>
        <v/>
      </c>
      <c r="ER104" s="1153"/>
      <c r="ES104" s="1153"/>
      <c r="ET104" s="1153"/>
      <c r="EU104" s="1153" t="str">
        <f>IF($AI104,IF(LARGE($AG$41:$AH$107,EU$40)=$AG104,$AC104,""),"")</f>
        <v/>
      </c>
      <c r="EV104" s="1153"/>
      <c r="EW104" s="1153"/>
      <c r="EX104" s="1153"/>
      <c r="EY104" s="1153" t="str">
        <f>IF($AI104,IF(LARGE($AG$41:$AH$107,EY$40)=$AG104,$AC104,""),"")</f>
        <v/>
      </c>
      <c r="EZ104" s="1153"/>
      <c r="FA104" s="1153"/>
      <c r="FB104" s="1153"/>
      <c r="FC104" s="1153" t="str">
        <f>IF($AI104,IF(LARGE($AG$41:$AH$107,FC$40)=$AG104,$AC104,""),"")</f>
        <v/>
      </c>
      <c r="FD104" s="1153"/>
      <c r="FE104" s="1153"/>
      <c r="FF104" s="1153"/>
      <c r="FG104" s="1153" t="str">
        <f>IF($AI104,IF(LARGE($AG$41:$AH$107,FG$40)=$AG104,$AC104,""),"")</f>
        <v/>
      </c>
      <c r="FH104" s="1153"/>
      <c r="FI104" s="1153"/>
      <c r="FJ104" s="1153"/>
      <c r="FK104" s="1153" t="str">
        <f>IF($AI104,IF(LARGE($AG$41:$AH$107,FK$40)=$AG104,$AC104,""),"")</f>
        <v/>
      </c>
      <c r="FL104" s="1153"/>
      <c r="FM104" s="1153"/>
      <c r="FN104" s="1153"/>
      <c r="FO104" s="1153" t="str">
        <f>IF($AI104,IF(LARGE($AG$41:$AH$107,FO$40)=$AG104,$AC104,""),"")</f>
        <v/>
      </c>
      <c r="FP104" s="1153"/>
      <c r="FQ104" s="1153"/>
      <c r="FR104" s="1153"/>
      <c r="FS104" s="1153" t="str">
        <f>IF($AI104,IF(LARGE($AG$41:$AH$107,FS$40)=$AG104,$AC104,""),"")</f>
        <v/>
      </c>
      <c r="FT104" s="1153"/>
      <c r="FU104" s="1153"/>
      <c r="FV104" s="1153"/>
      <c r="FW104" s="1153" t="str">
        <f>IF($AI104,IF(LARGE($AG$41:$AH$107,FW$40)=$AG104,$AC104,""),"")</f>
        <v/>
      </c>
      <c r="FX104" s="1153"/>
      <c r="FY104" s="1153"/>
      <c r="FZ104" s="1153"/>
      <c r="GA104" s="1153" t="str">
        <f>IF($AI104,IF(LARGE($AG$41:$AH$107,GA$40)=$AG104,$AC104,""),"")</f>
        <v/>
      </c>
      <c r="GB104" s="1153"/>
      <c r="GC104" s="1153"/>
      <c r="GD104" s="1153"/>
      <c r="GE104" s="1153" t="str">
        <f>IF($AI104,IF(LARGE($AG$41:$AH$107,GE$40)=$AG104,$AC104,""),"")</f>
        <v/>
      </c>
      <c r="GF104" s="1153"/>
      <c r="GG104" s="1153"/>
      <c r="GH104" s="1153"/>
      <c r="GI104" s="1153" t="str">
        <f>IF($AI104,IF(LARGE($AG$41:$AH$107,GI$40)=$AG104,$AC104,""),"")</f>
        <v/>
      </c>
      <c r="GJ104" s="1153"/>
      <c r="GK104" s="1153"/>
      <c r="GL104" s="1153"/>
      <c r="GM104" s="1153" t="str">
        <f>IF($AI104,IF(LARGE($AG$41:$AH$107,GM$40)=$AG104,$AC104,""),"")</f>
        <v/>
      </c>
      <c r="GN104" s="1153"/>
      <c r="GO104" s="1153"/>
      <c r="GP104" s="1153"/>
      <c r="GQ104" s="1153" t="str">
        <f>IF($AI104,IF(LARGE($AG$41:$AH$107,GQ$40)=$AG104,$AC104,""),"")</f>
        <v/>
      </c>
      <c r="GR104" s="1153"/>
      <c r="GS104" s="1153"/>
      <c r="GT104" s="1153"/>
      <c r="GU104" s="1153" t="str">
        <f>IF($AI104,IF(LARGE($AG$41:$AH$107,GU$40)=$AG104,$AC104,""),"")</f>
        <v/>
      </c>
      <c r="GV104" s="1153"/>
      <c r="GW104" s="1153"/>
      <c r="GX104" s="1153"/>
      <c r="GY104" s="1153" t="str">
        <f>IF($AI104,IF(LARGE($AG$41:$AH$107,GY$40)=$AG104,$AC104,""),"")</f>
        <v/>
      </c>
      <c r="GZ104" s="1153"/>
      <c r="HA104" s="1153"/>
      <c r="HB104" s="1153"/>
      <c r="HC104" s="1153" t="str">
        <f>IF($AI104,IF(LARGE($AG$41:$AH$107,HC$40)=$AG104,$AC104,""),"")</f>
        <v/>
      </c>
      <c r="HD104" s="1153"/>
      <c r="HE104" s="1153"/>
      <c r="HF104" s="1153"/>
      <c r="HG104" s="1153" t="str">
        <f>IF($AI104,IF(LARGE($AG$41:$AH$107,HG$40)=$AG104,$AC104,""),"")</f>
        <v/>
      </c>
      <c r="HH104" s="1153"/>
      <c r="HI104" s="1153"/>
      <c r="HJ104" s="1153"/>
      <c r="HK104" s="1153" t="str">
        <f>IF($AI104,IF(LARGE($AG$41:$AH$107,HK$40)=$AG104,$AC104,""),"")</f>
        <v/>
      </c>
      <c r="HL104" s="1153"/>
      <c r="HM104" s="1153"/>
      <c r="HN104" s="1153"/>
      <c r="HO104" s="1153" t="str">
        <f>IF($AI104,IF(LARGE($AG$41:$AH$107,HO$40)=$AG104,$AC104,""),"")</f>
        <v/>
      </c>
      <c r="HP104" s="1153"/>
      <c r="HQ104" s="1153"/>
      <c r="HR104" s="1153"/>
      <c r="HS104" s="1153" t="str">
        <f>IF($AI104,IF(LARGE($AG$41:$AH$107,HS$40)=$AG104,$AC104,""),"")</f>
        <v/>
      </c>
      <c r="HT104" s="1153"/>
      <c r="HU104" s="1153"/>
      <c r="HV104" s="1153"/>
      <c r="HW104" s="1153" t="str">
        <f>IF($AI104,IF(LARGE($AG$41:$AH$107,HW$40)=$AG104,$AC104,""),"")</f>
        <v/>
      </c>
      <c r="HX104" s="1153"/>
      <c r="HY104" s="1153"/>
      <c r="HZ104" s="1153"/>
      <c r="IA104" s="1153" t="str">
        <f>IF($AI104,IF(LARGE($AG$41:$AH$107,IA$40)=$AG104,$AC104,""),"")</f>
        <v/>
      </c>
      <c r="IB104" s="1153"/>
      <c r="IC104" s="1153"/>
      <c r="ID104" s="1153"/>
      <c r="IE104" s="1153" t="str">
        <f>IF($AI104,IF(LARGE($AG$41:$AH$107,IE$40)=$AG104,$AC104,""),"")</f>
        <v/>
      </c>
      <c r="IF104" s="1153"/>
      <c r="IG104" s="1153"/>
      <c r="IH104" s="1153"/>
      <c r="II104" s="1153" t="str">
        <f>IF($AI104,IF(LARGE($AG$41:$AH$107,II$40)=$AG104,$AC104,""),"")</f>
        <v/>
      </c>
      <c r="IJ104" s="1153"/>
      <c r="IK104" s="1153"/>
      <c r="IL104" s="1153"/>
      <c r="IM104" s="1153" t="str">
        <f>IF($AI104,IF(LARGE($AG$41:$AH$107,IM$40)=$AG104,$AC104,""),"")</f>
        <v/>
      </c>
      <c r="IN104" s="1153"/>
      <c r="IO104" s="1153"/>
      <c r="IP104" s="1153"/>
      <c r="IQ104" s="1153" t="str">
        <f>IF($AI104,IF(LARGE($AG$41:$AH$107,IQ$40)=$AG104,$AC104,""),"")</f>
        <v/>
      </c>
      <c r="IR104" s="1153"/>
      <c r="IS104" s="1153"/>
      <c r="IT104" s="1153"/>
      <c r="IU104" s="1153" t="str">
        <f>IF($AI104,IF(LARGE($AG$41:$AH$107,IU$40)=$AG104,$AC104,""),"")</f>
        <v/>
      </c>
      <c r="IV104" s="1153"/>
      <c r="IW104" s="1153"/>
      <c r="IX104" s="1153"/>
      <c r="IY104" s="1153" t="str">
        <f>IF($AI104,IF(LARGE($AG$41:$AH$107,IY$40)=$AG104,$AC104,""),"")</f>
        <v/>
      </c>
      <c r="IZ104" s="1153"/>
      <c r="JA104" s="1153"/>
      <c r="JB104" s="1153"/>
      <c r="JC104" s="1153" t="str">
        <f>IF($AI104,IF(LARGE($AG$41:$AH$107,JC$40)=$AG104,$AC104,""),"")</f>
        <v/>
      </c>
      <c r="JD104" s="1153"/>
      <c r="JE104" s="1153"/>
      <c r="JF104" s="1153"/>
      <c r="JG104" s="1153" t="str">
        <f>IF($AI104,IF(LARGE($AG$41:$AH$107,JG$40)=$AG104,$AC104,""),"")</f>
        <v/>
      </c>
      <c r="JH104" s="1153"/>
      <c r="JI104" s="1153"/>
      <c r="JJ104" s="1153"/>
      <c r="JK104" s="1153" t="str">
        <f>IF($AI104,IF(LARGE($AG$41:$AH$107,JK$40)=$AG104,$AC104,""),"")</f>
        <v/>
      </c>
      <c r="JL104" s="1153"/>
      <c r="JM104" s="1153"/>
      <c r="JN104" s="1153"/>
      <c r="JO104" s="1153" t="str">
        <f>IF($AI104,IF(LARGE($AG$41:$AH$107,JO$40)=$AG104,$AC104,""),"")</f>
        <v/>
      </c>
      <c r="JP104" s="1153"/>
      <c r="JQ104" s="1153"/>
      <c r="JR104" s="1153"/>
      <c r="JS104" s="1153" t="str">
        <f>IF($AI104,IF(LARGE($AG$41:$AH$107,JS$40)=$AG104,$AC104,""),"")</f>
        <v/>
      </c>
      <c r="JT104" s="1153"/>
      <c r="JU104" s="1153"/>
      <c r="JV104" s="1153"/>
      <c r="JW104" s="1153" t="str">
        <f>IF($AI104,IF(LARGE($AG$41:$AH$107,JW$40)=$AG104,$AC104,""),"")</f>
        <v/>
      </c>
      <c r="JX104" s="1153"/>
      <c r="JY104" s="1153"/>
      <c r="JZ104" s="1153"/>
      <c r="KA104" s="1153" t="str">
        <f>IF($AI104,IF(LARGE($AG$41:$AH$107,KA$40)=$AG104,$AC104,""),"")</f>
        <v/>
      </c>
      <c r="KB104" s="1153"/>
      <c r="KC104" s="1153"/>
      <c r="KD104" s="1153"/>
      <c r="KE104" s="1153" t="str">
        <f>IF($AI104,IF(LARGE($AG$41:$AH$107,KE$40)=$AG104,$AC104,""),"")</f>
        <v/>
      </c>
      <c r="KF104" s="1153"/>
      <c r="KG104" s="1153"/>
      <c r="KH104" s="1153"/>
      <c r="KI104" s="1153" t="str">
        <f>IF($AI104,IF(LARGE($AG$41:$AH$107,KI$40)=$AG104,$AC104,""),"")</f>
        <v/>
      </c>
      <c r="KJ104" s="1153"/>
      <c r="KK104" s="1153"/>
      <c r="KL104" s="1153"/>
      <c r="KM104" s="1153" t="str">
        <f>IF($AI104,IF(LARGE($AG$41:$AH$107,KM$40)=$AG104,$AC104,""),"")</f>
        <v/>
      </c>
      <c r="KN104" s="1153"/>
      <c r="KO104" s="1153"/>
      <c r="KP104" s="1153"/>
      <c r="KQ104" s="1153" t="str">
        <f>IF($AI104,IF(LARGE($AG$41:$AH$107,KQ$40)=$AG104,$AC104,""),"")</f>
        <v/>
      </c>
      <c r="KR104" s="1153"/>
      <c r="KS104" s="1153"/>
      <c r="KT104" s="1153"/>
    </row>
    <row r="105" spans="8:8">
      <c r="C105" s="1153" t="str">
        <f>IF(Z35="","",CONCATENATE(" ",AR35,Z35,AB35))</f>
        <v> ☄️炮术</v>
      </c>
      <c r="D105" s="1153"/>
      <c r="E105" s="1153"/>
      <c r="F105" s="1153"/>
      <c r="G105" s="1155" t="str">
        <f>IF(AND(AF35=0,AH35=0),"",IF(ISNONTEXT(X35),"",AL35))</f>
        <v/>
      </c>
      <c r="H105" s="1155"/>
      <c r="I105" s="1153" t="str">
        <f>IF(G105=$G$40,C105,"")</f>
        <v/>
      </c>
      <c r="J105" s="1153"/>
      <c r="K105" s="1153"/>
      <c r="L105" s="1153"/>
      <c r="M105" s="1154">
        <f>IF(AND(NOT(AH35=0),ISNONTEXT(X35)),1,0)</f>
        <v>0.0</v>
      </c>
      <c r="N105" s="1122"/>
      <c r="O105" s="1122"/>
      <c r="P105" s="1153" t="str">
        <f>IF(Z35="","",CONCATENATE(" ",AR35,Z35,AB35))</f>
        <v> ☄️炮术</v>
      </c>
      <c r="Q105" s="1153"/>
      <c r="R105" s="1153"/>
      <c r="S105" s="1153"/>
      <c r="T105" s="1155" t="str">
        <f>IF(AND(AF35=0,AJ35=0),"",IF(ISNONTEXT(X35),AL35,""))</f>
        <v/>
      </c>
      <c r="U105" s="1155"/>
      <c r="V105" s="1153" t="str">
        <f>IF(T105=$T$40,P105,"")</f>
        <v/>
      </c>
      <c r="W105" s="1153"/>
      <c r="X105" s="1153"/>
      <c r="Y105" s="1153"/>
      <c r="AB105" s="1122"/>
      <c r="AC105" s="1153" t="str">
        <f>IF(Z35="","",CONCATENATE(AR35,Z35,AB35))</f>
        <v>☄️炮术</v>
      </c>
      <c r="AD105" s="1153"/>
      <c r="AE105" s="1153"/>
      <c r="AF105" s="1153"/>
      <c r="AG105" s="1155">
        <f>AL35</f>
        <v>1.0</v>
      </c>
      <c r="AH105" s="1155"/>
      <c r="AI105" s="1153" t="b">
        <f>IF(AND(OR(ISNUMBER(AF35),ISNUMBER(AH35),ISNUMBER(AJ35)),OR(AF35&gt;0,AH35&gt;0,AJ35&gt;0)),TRUE,FALSE)</f>
        <v>0</v>
      </c>
      <c r="AJ105" s="1153"/>
      <c r="AK105" s="1153"/>
      <c r="AL105" s="1153"/>
      <c r="AM105" s="1153" t="str">
        <f>IF($AI105,IF(LARGE($AG$41:$AH$107,AM$40)=$AG105,$AC105,""),"")</f>
        <v/>
      </c>
      <c r="AN105" s="1153"/>
      <c r="AO105" s="1153"/>
      <c r="AP105" s="1153"/>
      <c r="AQ105" s="1153" t="str">
        <f>IF($AI105,IF(LARGE($AG$41:$AH$107,AQ$40)=$AG105,$AC105,""),"")</f>
        <v/>
      </c>
      <c r="AR105" s="1153"/>
      <c r="AS105" s="1153"/>
      <c r="AT105" s="1153"/>
      <c r="AU105" s="1153" t="str">
        <f>IF($AI105,IF(LARGE($AG$41:$AH$107,AU$40)=$AG105,$AC105,""),"")</f>
        <v/>
      </c>
      <c r="AV105" s="1153"/>
      <c r="AW105" s="1153"/>
      <c r="AX105" s="1153"/>
      <c r="AY105" s="1153" t="str">
        <f>IF($AI105,IF(LARGE($AG$41:$AH$107,AY$40)=$AG105,$AC105,""),"")</f>
        <v/>
      </c>
      <c r="AZ105" s="1153"/>
      <c r="BA105" s="1153"/>
      <c r="BB105" s="1153"/>
      <c r="BC105" s="1153" t="str">
        <f>IF($AI105,IF(LARGE($AG$41:$AH$107,BC$40)=$AG105,$AC105,""),"")</f>
        <v/>
      </c>
      <c r="BD105" s="1153"/>
      <c r="BE105" s="1153"/>
      <c r="BF105" s="1153"/>
      <c r="BG105" s="1153" t="str">
        <f>IF($AI105,IF(LARGE($AG$41:$AH$107,BG$40)=$AG105,$AC105,""),"")</f>
        <v/>
      </c>
      <c r="BH105" s="1153"/>
      <c r="BI105" s="1153"/>
      <c r="BJ105" s="1153"/>
      <c r="BK105" s="1153" t="str">
        <f>IF($AI105,IF(LARGE($AG$41:$AH$107,BK$40)=$AG105,$AC105,""),"")</f>
        <v/>
      </c>
      <c r="BL105" s="1153"/>
      <c r="BM105" s="1153"/>
      <c r="BN105" s="1153"/>
      <c r="BO105" s="1153" t="str">
        <f>IF($AI105,IF(LARGE($AG$41:$AH$107,BO$40)=$AG105,$AC105,""),"")</f>
        <v/>
      </c>
      <c r="BP105" s="1153"/>
      <c r="BQ105" s="1153"/>
      <c r="BR105" s="1153"/>
      <c r="BS105" s="1153" t="str">
        <f>IF($AI105,IF(LARGE($AG$41:$AH$107,BS$40)=$AG105,$AC105,""),"")</f>
        <v/>
      </c>
      <c r="BT105" s="1153"/>
      <c r="BU105" s="1153"/>
      <c r="BV105" s="1153"/>
      <c r="BW105" s="1153" t="str">
        <f>IF($AI105,IF(LARGE($AG$41:$AH$107,BW$40)=$AG105,$AC105,""),"")</f>
        <v/>
      </c>
      <c r="BX105" s="1153"/>
      <c r="BY105" s="1153"/>
      <c r="BZ105" s="1153"/>
      <c r="CA105" s="1153" t="str">
        <f>IF($AI105,IF(LARGE($AG$41:$AH$107,CA$40)=$AG105,$AC105,""),"")</f>
        <v/>
      </c>
      <c r="CB105" s="1153"/>
      <c r="CC105" s="1153"/>
      <c r="CD105" s="1153"/>
      <c r="CE105" s="1153" t="str">
        <f>IF($AI105,IF(LARGE($AG$41:$AH$107,CE$40)=$AG105,$AC105,""),"")</f>
        <v/>
      </c>
      <c r="CF105" s="1153"/>
      <c r="CG105" s="1153"/>
      <c r="CH105" s="1153"/>
      <c r="CI105" s="1153" t="str">
        <f>IF($AI105,IF(LARGE($AG$41:$AH$107,CI$40)=$AG105,$AC105,""),"")</f>
        <v/>
      </c>
      <c r="CJ105" s="1153"/>
      <c r="CK105" s="1153"/>
      <c r="CL105" s="1153"/>
      <c r="CM105" s="1153" t="str">
        <f>IF($AI105,IF(LARGE($AG$41:$AH$107,CM$40)=$AG105,$AC105,""),"")</f>
        <v/>
      </c>
      <c r="CN105" s="1153"/>
      <c r="CO105" s="1153"/>
      <c r="CP105" s="1153"/>
      <c r="CQ105" s="1153" t="str">
        <f>IF($AI105,IF(LARGE($AG$41:$AH$107,CQ$40)=$AG105,$AC105,""),"")</f>
        <v/>
      </c>
      <c r="CR105" s="1153"/>
      <c r="CS105" s="1153"/>
      <c r="CT105" s="1153"/>
      <c r="CU105" s="1153" t="str">
        <f>IF($AI105,IF(LARGE($AG$41:$AH$107,CU$40)=$AG105,$AC105,""),"")</f>
        <v/>
      </c>
      <c r="CV105" s="1153"/>
      <c r="CW105" s="1153"/>
      <c r="CX105" s="1153"/>
      <c r="CY105" s="1153" t="str">
        <f>IF($AI105,IF(LARGE($AG$41:$AH$107,CY$40)=$AG105,$AC105,""),"")</f>
        <v/>
      </c>
      <c r="CZ105" s="1153"/>
      <c r="DA105" s="1153"/>
      <c r="DB105" s="1153"/>
      <c r="DC105" s="1153" t="str">
        <f>IF($AI105,IF(LARGE($AG$41:$AH$107,DC$40)=$AG105,$AC105,""),"")</f>
        <v/>
      </c>
      <c r="DD105" s="1153"/>
      <c r="DE105" s="1153"/>
      <c r="DF105" s="1153"/>
      <c r="DG105" s="1153" t="str">
        <f>IF($AI105,IF(LARGE($AG$41:$AH$107,DG$40)=$AG105,$AC105,""),"")</f>
        <v/>
      </c>
      <c r="DH105" s="1153"/>
      <c r="DI105" s="1153"/>
      <c r="DJ105" s="1153"/>
      <c r="DK105" s="1153" t="str">
        <f>IF($AI105,IF(LARGE($AG$41:$AH$107,DK$40)=$AG105,$AC105,""),"")</f>
        <v/>
      </c>
      <c r="DL105" s="1153"/>
      <c r="DM105" s="1153"/>
      <c r="DN105" s="1153"/>
      <c r="DO105" s="1153" t="str">
        <f>IF($AI105,IF(LARGE($AG$41:$AH$107,DO$40)=$AG105,$AC105,""),"")</f>
        <v/>
      </c>
      <c r="DP105" s="1153"/>
      <c r="DQ105" s="1153"/>
      <c r="DR105" s="1153"/>
      <c r="DS105" s="1153" t="str">
        <f>IF($AI105,IF(LARGE($AG$41:$AH$107,DS$40)=$AG105,$AC105,""),"")</f>
        <v/>
      </c>
      <c r="DT105" s="1153"/>
      <c r="DU105" s="1153"/>
      <c r="DV105" s="1153"/>
      <c r="DW105" s="1153" t="str">
        <f>IF($AI105,IF(LARGE($AG$41:$AH$107,DW$40)=$AG105,$AC105,""),"")</f>
        <v/>
      </c>
      <c r="DX105" s="1153"/>
      <c r="DY105" s="1153"/>
      <c r="DZ105" s="1153"/>
      <c r="EA105" s="1153" t="str">
        <f>IF($AI105,IF(LARGE($AG$41:$AH$107,EA$40)=$AG105,$AC105,""),"")</f>
        <v/>
      </c>
      <c r="EB105" s="1153"/>
      <c r="EC105" s="1153"/>
      <c r="ED105" s="1153"/>
      <c r="EE105" s="1153" t="str">
        <f>IF($AI105,IF(LARGE($AG$41:$AH$107,EE$40)=$AG105,$AC105,""),"")</f>
        <v/>
      </c>
      <c r="EF105" s="1153"/>
      <c r="EG105" s="1153"/>
      <c r="EH105" s="1153"/>
      <c r="EI105" s="1153" t="str">
        <f>IF($AI105,IF(LARGE($AG$41:$AH$107,EI$40)=$AG105,$AC105,""),"")</f>
        <v/>
      </c>
      <c r="EJ105" s="1153"/>
      <c r="EK105" s="1153"/>
      <c r="EL105" s="1153"/>
      <c r="EM105" s="1153" t="str">
        <f>IF($AI105,IF(LARGE($AG$41:$AH$107,EM$40)=$AG105,$AC105,""),"")</f>
        <v/>
      </c>
      <c r="EN105" s="1153"/>
      <c r="EO105" s="1153"/>
      <c r="EP105" s="1153"/>
      <c r="EQ105" s="1153" t="str">
        <f>IF($AI105,IF(LARGE($AG$41:$AH$107,EQ$40)=$AG105,$AC105,""),"")</f>
        <v/>
      </c>
      <c r="ER105" s="1153"/>
      <c r="ES105" s="1153"/>
      <c r="ET105" s="1153"/>
      <c r="EU105" s="1153" t="str">
        <f>IF($AI105,IF(LARGE($AG$41:$AH$107,EU$40)=$AG105,$AC105,""),"")</f>
        <v/>
      </c>
      <c r="EV105" s="1153"/>
      <c r="EW105" s="1153"/>
      <c r="EX105" s="1153"/>
      <c r="EY105" s="1153" t="str">
        <f>IF($AI105,IF(LARGE($AG$41:$AH$107,EY$40)=$AG105,$AC105,""),"")</f>
        <v/>
      </c>
      <c r="EZ105" s="1153"/>
      <c r="FA105" s="1153"/>
      <c r="FB105" s="1153"/>
      <c r="FC105" s="1153" t="str">
        <f>IF($AI105,IF(LARGE($AG$41:$AH$107,FC$40)=$AG105,$AC105,""),"")</f>
        <v/>
      </c>
      <c r="FD105" s="1153"/>
      <c r="FE105" s="1153"/>
      <c r="FF105" s="1153"/>
      <c r="FG105" s="1153" t="str">
        <f>IF($AI105,IF(LARGE($AG$41:$AH$107,FG$40)=$AG105,$AC105,""),"")</f>
        <v/>
      </c>
      <c r="FH105" s="1153"/>
      <c r="FI105" s="1153"/>
      <c r="FJ105" s="1153"/>
      <c r="FK105" s="1153" t="str">
        <f>IF($AI105,IF(LARGE($AG$41:$AH$107,FK$40)=$AG105,$AC105,""),"")</f>
        <v/>
      </c>
      <c r="FL105" s="1153"/>
      <c r="FM105" s="1153"/>
      <c r="FN105" s="1153"/>
      <c r="FO105" s="1153" t="str">
        <f>IF($AI105,IF(LARGE($AG$41:$AH$107,FO$40)=$AG105,$AC105,""),"")</f>
        <v/>
      </c>
      <c r="FP105" s="1153"/>
      <c r="FQ105" s="1153"/>
      <c r="FR105" s="1153"/>
      <c r="FS105" s="1153" t="str">
        <f>IF($AI105,IF(LARGE($AG$41:$AH$107,FS$40)=$AG105,$AC105,""),"")</f>
        <v/>
      </c>
      <c r="FT105" s="1153"/>
      <c r="FU105" s="1153"/>
      <c r="FV105" s="1153"/>
      <c r="FW105" s="1153" t="str">
        <f>IF($AI105,IF(LARGE($AG$41:$AH$107,FW$40)=$AG105,$AC105,""),"")</f>
        <v/>
      </c>
      <c r="FX105" s="1153"/>
      <c r="FY105" s="1153"/>
      <c r="FZ105" s="1153"/>
      <c r="GA105" s="1153" t="str">
        <f>IF($AI105,IF(LARGE($AG$41:$AH$107,GA$40)=$AG105,$AC105,""),"")</f>
        <v/>
      </c>
      <c r="GB105" s="1153"/>
      <c r="GC105" s="1153"/>
      <c r="GD105" s="1153"/>
      <c r="GE105" s="1153" t="str">
        <f>IF($AI105,IF(LARGE($AG$41:$AH$107,GE$40)=$AG105,$AC105,""),"")</f>
        <v/>
      </c>
      <c r="GF105" s="1153"/>
      <c r="GG105" s="1153"/>
      <c r="GH105" s="1153"/>
      <c r="GI105" s="1153" t="str">
        <f>IF($AI105,IF(LARGE($AG$41:$AH$107,GI$40)=$AG105,$AC105,""),"")</f>
        <v/>
      </c>
      <c r="GJ105" s="1153"/>
      <c r="GK105" s="1153"/>
      <c r="GL105" s="1153"/>
      <c r="GM105" s="1153" t="str">
        <f>IF($AI105,IF(LARGE($AG$41:$AH$107,GM$40)=$AG105,$AC105,""),"")</f>
        <v/>
      </c>
      <c r="GN105" s="1153"/>
      <c r="GO105" s="1153"/>
      <c r="GP105" s="1153"/>
      <c r="GQ105" s="1153" t="str">
        <f>IF($AI105,IF(LARGE($AG$41:$AH$107,GQ$40)=$AG105,$AC105,""),"")</f>
        <v/>
      </c>
      <c r="GR105" s="1153"/>
      <c r="GS105" s="1153"/>
      <c r="GT105" s="1153"/>
      <c r="GU105" s="1153" t="str">
        <f>IF($AI105,IF(LARGE($AG$41:$AH$107,GU$40)=$AG105,$AC105,""),"")</f>
        <v/>
      </c>
      <c r="GV105" s="1153"/>
      <c r="GW105" s="1153"/>
      <c r="GX105" s="1153"/>
      <c r="GY105" s="1153" t="str">
        <f>IF($AI105,IF(LARGE($AG$41:$AH$107,GY$40)=$AG105,$AC105,""),"")</f>
        <v/>
      </c>
      <c r="GZ105" s="1153"/>
      <c r="HA105" s="1153"/>
      <c r="HB105" s="1153"/>
      <c r="HC105" s="1153" t="str">
        <f>IF($AI105,IF(LARGE($AG$41:$AH$107,HC$40)=$AG105,$AC105,""),"")</f>
        <v/>
      </c>
      <c r="HD105" s="1153"/>
      <c r="HE105" s="1153"/>
      <c r="HF105" s="1153"/>
      <c r="HG105" s="1153" t="str">
        <f>IF($AI105,IF(LARGE($AG$41:$AH$107,HG$40)=$AG105,$AC105,""),"")</f>
        <v/>
      </c>
      <c r="HH105" s="1153"/>
      <c r="HI105" s="1153"/>
      <c r="HJ105" s="1153"/>
      <c r="HK105" s="1153" t="str">
        <f>IF($AI105,IF(LARGE($AG$41:$AH$107,HK$40)=$AG105,$AC105,""),"")</f>
        <v/>
      </c>
      <c r="HL105" s="1153"/>
      <c r="HM105" s="1153"/>
      <c r="HN105" s="1153"/>
      <c r="HO105" s="1153" t="str">
        <f>IF($AI105,IF(LARGE($AG$41:$AH$107,HO$40)=$AG105,$AC105,""),"")</f>
        <v/>
      </c>
      <c r="HP105" s="1153"/>
      <c r="HQ105" s="1153"/>
      <c r="HR105" s="1153"/>
      <c r="HS105" s="1153" t="str">
        <f>IF($AI105,IF(LARGE($AG$41:$AH$107,HS$40)=$AG105,$AC105,""),"")</f>
        <v/>
      </c>
      <c r="HT105" s="1153"/>
      <c r="HU105" s="1153"/>
      <c r="HV105" s="1153"/>
      <c r="HW105" s="1153" t="str">
        <f>IF($AI105,IF(LARGE($AG$41:$AH$107,HW$40)=$AG105,$AC105,""),"")</f>
        <v/>
      </c>
      <c r="HX105" s="1153"/>
      <c r="HY105" s="1153"/>
      <c r="HZ105" s="1153"/>
      <c r="IA105" s="1153" t="str">
        <f>IF($AI105,IF(LARGE($AG$41:$AH$107,IA$40)=$AG105,$AC105,""),"")</f>
        <v/>
      </c>
      <c r="IB105" s="1153"/>
      <c r="IC105" s="1153"/>
      <c r="ID105" s="1153"/>
      <c r="IE105" s="1153" t="str">
        <f>IF($AI105,IF(LARGE($AG$41:$AH$107,IE$40)=$AG105,$AC105,""),"")</f>
        <v/>
      </c>
      <c r="IF105" s="1153"/>
      <c r="IG105" s="1153"/>
      <c r="IH105" s="1153"/>
      <c r="II105" s="1153" t="str">
        <f>IF($AI105,IF(LARGE($AG$41:$AH$107,II$40)=$AG105,$AC105,""),"")</f>
        <v/>
      </c>
      <c r="IJ105" s="1153"/>
      <c r="IK105" s="1153"/>
      <c r="IL105" s="1153"/>
      <c r="IM105" s="1153" t="str">
        <f>IF($AI105,IF(LARGE($AG$41:$AH$107,IM$40)=$AG105,$AC105,""),"")</f>
        <v/>
      </c>
      <c r="IN105" s="1153"/>
      <c r="IO105" s="1153"/>
      <c r="IP105" s="1153"/>
      <c r="IQ105" s="1153" t="str">
        <f>IF($AI105,IF(LARGE($AG$41:$AH$107,IQ$40)=$AG105,$AC105,""),"")</f>
        <v/>
      </c>
      <c r="IR105" s="1153"/>
      <c r="IS105" s="1153"/>
      <c r="IT105" s="1153"/>
      <c r="IU105" s="1153" t="str">
        <f>IF($AI105,IF(LARGE($AG$41:$AH$107,IU$40)=$AG105,$AC105,""),"")</f>
        <v/>
      </c>
      <c r="IV105" s="1153"/>
      <c r="IW105" s="1153"/>
      <c r="IX105" s="1153"/>
      <c r="IY105" s="1153" t="str">
        <f>IF($AI105,IF(LARGE($AG$41:$AH$107,IY$40)=$AG105,$AC105,""),"")</f>
        <v/>
      </c>
      <c r="IZ105" s="1153"/>
      <c r="JA105" s="1153"/>
      <c r="JB105" s="1153"/>
      <c r="JC105" s="1153" t="str">
        <f>IF($AI105,IF(LARGE($AG$41:$AH$107,JC$40)=$AG105,$AC105,""),"")</f>
        <v/>
      </c>
      <c r="JD105" s="1153"/>
      <c r="JE105" s="1153"/>
      <c r="JF105" s="1153"/>
      <c r="JG105" s="1153" t="str">
        <f>IF($AI105,IF(LARGE($AG$41:$AH$107,JG$40)=$AG105,$AC105,""),"")</f>
        <v/>
      </c>
      <c r="JH105" s="1153"/>
      <c r="JI105" s="1153"/>
      <c r="JJ105" s="1153"/>
      <c r="JK105" s="1153" t="str">
        <f>IF($AI105,IF(LARGE($AG$41:$AH$107,JK$40)=$AG105,$AC105,""),"")</f>
        <v/>
      </c>
      <c r="JL105" s="1153"/>
      <c r="JM105" s="1153"/>
      <c r="JN105" s="1153"/>
      <c r="JO105" s="1153" t="str">
        <f>IF($AI105,IF(LARGE($AG$41:$AH$107,JO$40)=$AG105,$AC105,""),"")</f>
        <v/>
      </c>
      <c r="JP105" s="1153"/>
      <c r="JQ105" s="1153"/>
      <c r="JR105" s="1153"/>
      <c r="JS105" s="1153" t="str">
        <f>IF($AI105,IF(LARGE($AG$41:$AH$107,JS$40)=$AG105,$AC105,""),"")</f>
        <v/>
      </c>
      <c r="JT105" s="1153"/>
      <c r="JU105" s="1153"/>
      <c r="JV105" s="1153"/>
      <c r="JW105" s="1153" t="str">
        <f>IF($AI105,IF(LARGE($AG$41:$AH$107,JW$40)=$AG105,$AC105,""),"")</f>
        <v/>
      </c>
      <c r="JX105" s="1153"/>
      <c r="JY105" s="1153"/>
      <c r="JZ105" s="1153"/>
      <c r="KA105" s="1153" t="str">
        <f>IF($AI105,IF(LARGE($AG$41:$AH$107,KA$40)=$AG105,$AC105,""),"")</f>
        <v/>
      </c>
      <c r="KB105" s="1153"/>
      <c r="KC105" s="1153"/>
      <c r="KD105" s="1153"/>
      <c r="KE105" s="1153" t="str">
        <f>IF($AI105,IF(LARGE($AG$41:$AH$107,KE$40)=$AG105,$AC105,""),"")</f>
        <v/>
      </c>
      <c r="KF105" s="1153"/>
      <c r="KG105" s="1153"/>
      <c r="KH105" s="1153"/>
      <c r="KI105" s="1153" t="str">
        <f>IF($AI105,IF(LARGE($AG$41:$AH$107,KI$40)=$AG105,$AC105,""),"")</f>
        <v/>
      </c>
      <c r="KJ105" s="1153"/>
      <c r="KK105" s="1153"/>
      <c r="KL105" s="1153"/>
      <c r="KM105" s="1153" t="str">
        <f>IF($AI105,IF(LARGE($AG$41:$AH$107,KM$40)=$AG105,$AC105,""),"")</f>
        <v/>
      </c>
      <c r="KN105" s="1153"/>
      <c r="KO105" s="1153"/>
      <c r="KP105" s="1153"/>
      <c r="KQ105" s="1153" t="str">
        <f>IF($AI105,IF(LARGE($AG$41:$AH$107,KQ$40)=$AG105,$AC105,""),"")</f>
        <v/>
      </c>
      <c r="KR105" s="1153"/>
      <c r="KS105" s="1153"/>
      <c r="KT105" s="1153"/>
    </row>
    <row r="106" spans="8:8">
      <c r="C106" s="1153" t="str">
        <f>IF(Z36="","",CONCATENATE(" ",AR36,Z36,AB36))</f>
        <v> 👽学识：</v>
      </c>
      <c r="D106" s="1153"/>
      <c r="E106" s="1153"/>
      <c r="F106" s="1153"/>
      <c r="G106" s="1155" t="str">
        <f>IF(AND(AF36=0,AH36=0),"",IF(ISNONTEXT(X36),"",AL36))</f>
        <v/>
      </c>
      <c r="H106" s="1155"/>
      <c r="I106" s="1153" t="str">
        <f>IF(G106=$G$40,C106,"")</f>
        <v/>
      </c>
      <c r="J106" s="1153"/>
      <c r="K106" s="1153"/>
      <c r="L106" s="1153"/>
      <c r="M106" s="1154">
        <f>IF(AND(NOT(AH36=0),ISNONTEXT(X36)),1,0)</f>
        <v>0.0</v>
      </c>
      <c r="N106" s="1122"/>
      <c r="O106" s="1122"/>
      <c r="P106" s="1153" t="str">
        <f>IF(Z36="","",CONCATENATE(" ",AR36,Z36,AB36))</f>
        <v> 👽学识：</v>
      </c>
      <c r="Q106" s="1153"/>
      <c r="R106" s="1153"/>
      <c r="S106" s="1153"/>
      <c r="T106" s="1155" t="str">
        <f>IF(AND(AF36=0,AJ36=0),"",IF(ISNONTEXT(X36),AL36,""))</f>
        <v/>
      </c>
      <c r="U106" s="1155"/>
      <c r="V106" s="1153" t="str">
        <f>IF(T106=$T$40,P106,"")</f>
        <v/>
      </c>
      <c r="W106" s="1153"/>
      <c r="X106" s="1153"/>
      <c r="Y106" s="1153"/>
      <c r="AB106" s="1122"/>
      <c r="AC106" s="1153" t="str">
        <f>IF(Z36="","",CONCATENATE(AR36,Z36,AB36))</f>
        <v>👽学识：</v>
      </c>
      <c r="AD106" s="1153"/>
      <c r="AE106" s="1153"/>
      <c r="AF106" s="1153"/>
      <c r="AG106" s="1155">
        <f>AL36</f>
        <v>1.0</v>
      </c>
      <c r="AH106" s="1155"/>
      <c r="AI106" s="1153" t="b">
        <f>IF(AND(OR(ISNUMBER(AF36),ISNUMBER(AH36),ISNUMBER(AJ36)),OR(AF36&gt;0,AH36&gt;0,AJ36&gt;0)),TRUE,FALSE)</f>
        <v>0</v>
      </c>
      <c r="AJ106" s="1153"/>
      <c r="AK106" s="1153"/>
      <c r="AL106" s="1153"/>
      <c r="AM106" s="1153" t="str">
        <f>IF($AI106,IF(LARGE($AG$41:$AH$107,AM$40)=$AG106,$AC106,""),"")</f>
        <v/>
      </c>
      <c r="AN106" s="1153"/>
      <c r="AO106" s="1153"/>
      <c r="AP106" s="1153"/>
      <c r="AQ106" s="1153" t="str">
        <f>IF($AI106,IF(LARGE($AG$41:$AH$107,AQ$40)=$AG106,$AC106,""),"")</f>
        <v/>
      </c>
      <c r="AR106" s="1153"/>
      <c r="AS106" s="1153"/>
      <c r="AT106" s="1153"/>
      <c r="AU106" s="1153" t="str">
        <f>IF($AI106,IF(LARGE($AG$41:$AH$107,AU$40)=$AG106,$AC106,""),"")</f>
        <v/>
      </c>
      <c r="AV106" s="1153"/>
      <c r="AW106" s="1153"/>
      <c r="AX106" s="1153"/>
      <c r="AY106" s="1153" t="str">
        <f>IF($AI106,IF(LARGE($AG$41:$AH$107,AY$40)=$AG106,$AC106,""),"")</f>
        <v/>
      </c>
      <c r="AZ106" s="1153"/>
      <c r="BA106" s="1153"/>
      <c r="BB106" s="1153"/>
      <c r="BC106" s="1153" t="str">
        <f>IF($AI106,IF(LARGE($AG$41:$AH$107,BC$40)=$AG106,$AC106,""),"")</f>
        <v/>
      </c>
      <c r="BD106" s="1153"/>
      <c r="BE106" s="1153"/>
      <c r="BF106" s="1153"/>
      <c r="BG106" s="1153" t="str">
        <f>IF($AI106,IF(LARGE($AG$41:$AH$107,BG$40)=$AG106,$AC106,""),"")</f>
        <v/>
      </c>
      <c r="BH106" s="1153"/>
      <c r="BI106" s="1153"/>
      <c r="BJ106" s="1153"/>
      <c r="BK106" s="1153" t="str">
        <f>IF($AI106,IF(LARGE($AG$41:$AH$107,BK$40)=$AG106,$AC106,""),"")</f>
        <v/>
      </c>
      <c r="BL106" s="1153"/>
      <c r="BM106" s="1153"/>
      <c r="BN106" s="1153"/>
      <c r="BO106" s="1153" t="str">
        <f>IF($AI106,IF(LARGE($AG$41:$AH$107,BO$40)=$AG106,$AC106,""),"")</f>
        <v/>
      </c>
      <c r="BP106" s="1153"/>
      <c r="BQ106" s="1153"/>
      <c r="BR106" s="1153"/>
      <c r="BS106" s="1153" t="str">
        <f>IF($AI106,IF(LARGE($AG$41:$AH$107,BS$40)=$AG106,$AC106,""),"")</f>
        <v/>
      </c>
      <c r="BT106" s="1153"/>
      <c r="BU106" s="1153"/>
      <c r="BV106" s="1153"/>
      <c r="BW106" s="1153" t="str">
        <f>IF($AI106,IF(LARGE($AG$41:$AH$107,BW$40)=$AG106,$AC106,""),"")</f>
        <v/>
      </c>
      <c r="BX106" s="1153"/>
      <c r="BY106" s="1153"/>
      <c r="BZ106" s="1153"/>
      <c r="CA106" s="1153" t="str">
        <f>IF($AI106,IF(LARGE($AG$41:$AH$107,CA$40)=$AG106,$AC106,""),"")</f>
        <v/>
      </c>
      <c r="CB106" s="1153"/>
      <c r="CC106" s="1153"/>
      <c r="CD106" s="1153"/>
      <c r="CE106" s="1153" t="str">
        <f>IF($AI106,IF(LARGE($AG$41:$AH$107,CE$40)=$AG106,$AC106,""),"")</f>
        <v/>
      </c>
      <c r="CF106" s="1153"/>
      <c r="CG106" s="1153"/>
      <c r="CH106" s="1153"/>
      <c r="CI106" s="1153" t="str">
        <f>IF($AI106,IF(LARGE($AG$41:$AH$107,CI$40)=$AG106,$AC106,""),"")</f>
        <v/>
      </c>
      <c r="CJ106" s="1153"/>
      <c r="CK106" s="1153"/>
      <c r="CL106" s="1153"/>
      <c r="CM106" s="1153" t="str">
        <f>IF($AI106,IF(LARGE($AG$41:$AH$107,CM$40)=$AG106,$AC106,""),"")</f>
        <v/>
      </c>
      <c r="CN106" s="1153"/>
      <c r="CO106" s="1153"/>
      <c r="CP106" s="1153"/>
      <c r="CQ106" s="1153" t="str">
        <f>IF($AI106,IF(LARGE($AG$41:$AH$107,CQ$40)=$AG106,$AC106,""),"")</f>
        <v/>
      </c>
      <c r="CR106" s="1153"/>
      <c r="CS106" s="1153"/>
      <c r="CT106" s="1153"/>
      <c r="CU106" s="1153" t="str">
        <f>IF($AI106,IF(LARGE($AG$41:$AH$107,CU$40)=$AG106,$AC106,""),"")</f>
        <v/>
      </c>
      <c r="CV106" s="1153"/>
      <c r="CW106" s="1153"/>
      <c r="CX106" s="1153"/>
      <c r="CY106" s="1153" t="str">
        <f>IF($AI106,IF(LARGE($AG$41:$AH$107,CY$40)=$AG106,$AC106,""),"")</f>
        <v/>
      </c>
      <c r="CZ106" s="1153"/>
      <c r="DA106" s="1153"/>
      <c r="DB106" s="1153"/>
      <c r="DC106" s="1153" t="str">
        <f>IF($AI106,IF(LARGE($AG$41:$AH$107,DC$40)=$AG106,$AC106,""),"")</f>
        <v/>
      </c>
      <c r="DD106" s="1153"/>
      <c r="DE106" s="1153"/>
      <c r="DF106" s="1153"/>
      <c r="DG106" s="1153" t="str">
        <f>IF($AI106,IF(LARGE($AG$41:$AH$107,DG$40)=$AG106,$AC106,""),"")</f>
        <v/>
      </c>
      <c r="DH106" s="1153"/>
      <c r="DI106" s="1153"/>
      <c r="DJ106" s="1153"/>
      <c r="DK106" s="1153" t="str">
        <f>IF($AI106,IF(LARGE($AG$41:$AH$107,DK$40)=$AG106,$AC106,""),"")</f>
        <v/>
      </c>
      <c r="DL106" s="1153"/>
      <c r="DM106" s="1153"/>
      <c r="DN106" s="1153"/>
      <c r="DO106" s="1153" t="str">
        <f>IF($AI106,IF(LARGE($AG$41:$AH$107,DO$40)=$AG106,$AC106,""),"")</f>
        <v/>
      </c>
      <c r="DP106" s="1153"/>
      <c r="DQ106" s="1153"/>
      <c r="DR106" s="1153"/>
      <c r="DS106" s="1153" t="str">
        <f>IF($AI106,IF(LARGE($AG$41:$AH$107,DS$40)=$AG106,$AC106,""),"")</f>
        <v/>
      </c>
      <c r="DT106" s="1153"/>
      <c r="DU106" s="1153"/>
      <c r="DV106" s="1153"/>
      <c r="DW106" s="1153" t="str">
        <f>IF($AI106,IF(LARGE($AG$41:$AH$107,DW$40)=$AG106,$AC106,""),"")</f>
        <v/>
      </c>
      <c r="DX106" s="1153"/>
      <c r="DY106" s="1153"/>
      <c r="DZ106" s="1153"/>
      <c r="EA106" s="1153" t="str">
        <f>IF($AI106,IF(LARGE($AG$41:$AH$107,EA$40)=$AG106,$AC106,""),"")</f>
        <v/>
      </c>
      <c r="EB106" s="1153"/>
      <c r="EC106" s="1153"/>
      <c r="ED106" s="1153"/>
      <c r="EE106" s="1153" t="str">
        <f>IF($AI106,IF(LARGE($AG$41:$AH$107,EE$40)=$AG106,$AC106,""),"")</f>
        <v/>
      </c>
      <c r="EF106" s="1153"/>
      <c r="EG106" s="1153"/>
      <c r="EH106" s="1153"/>
      <c r="EI106" s="1153" t="str">
        <f>IF($AI106,IF(LARGE($AG$41:$AH$107,EI$40)=$AG106,$AC106,""),"")</f>
        <v/>
      </c>
      <c r="EJ106" s="1153"/>
      <c r="EK106" s="1153"/>
      <c r="EL106" s="1153"/>
      <c r="EM106" s="1153" t="str">
        <f>IF($AI106,IF(LARGE($AG$41:$AH$107,EM$40)=$AG106,$AC106,""),"")</f>
        <v/>
      </c>
      <c r="EN106" s="1153"/>
      <c r="EO106" s="1153"/>
      <c r="EP106" s="1153"/>
      <c r="EQ106" s="1153" t="str">
        <f>IF($AI106,IF(LARGE($AG$41:$AH$107,EQ$40)=$AG106,$AC106,""),"")</f>
        <v/>
      </c>
      <c r="ER106" s="1153"/>
      <c r="ES106" s="1153"/>
      <c r="ET106" s="1153"/>
      <c r="EU106" s="1153" t="str">
        <f>IF($AI106,IF(LARGE($AG$41:$AH$107,EU$40)=$AG106,$AC106,""),"")</f>
        <v/>
      </c>
      <c r="EV106" s="1153"/>
      <c r="EW106" s="1153"/>
      <c r="EX106" s="1153"/>
      <c r="EY106" s="1153" t="str">
        <f>IF($AI106,IF(LARGE($AG$41:$AH$107,EY$40)=$AG106,$AC106,""),"")</f>
        <v/>
      </c>
      <c r="EZ106" s="1153"/>
      <c r="FA106" s="1153"/>
      <c r="FB106" s="1153"/>
      <c r="FC106" s="1153" t="str">
        <f>IF($AI106,IF(LARGE($AG$41:$AH$107,FC$40)=$AG106,$AC106,""),"")</f>
        <v/>
      </c>
      <c r="FD106" s="1153"/>
      <c r="FE106" s="1153"/>
      <c r="FF106" s="1153"/>
      <c r="FG106" s="1153" t="str">
        <f>IF($AI106,IF(LARGE($AG$41:$AH$107,FG$40)=$AG106,$AC106,""),"")</f>
        <v/>
      </c>
      <c r="FH106" s="1153"/>
      <c r="FI106" s="1153"/>
      <c r="FJ106" s="1153"/>
      <c r="FK106" s="1153" t="str">
        <f>IF($AI106,IF(LARGE($AG$41:$AH$107,FK$40)=$AG106,$AC106,""),"")</f>
        <v/>
      </c>
      <c r="FL106" s="1153"/>
      <c r="FM106" s="1153"/>
      <c r="FN106" s="1153"/>
      <c r="FO106" s="1153" t="str">
        <f>IF($AI106,IF(LARGE($AG$41:$AH$107,FO$40)=$AG106,$AC106,""),"")</f>
        <v/>
      </c>
      <c r="FP106" s="1153"/>
      <c r="FQ106" s="1153"/>
      <c r="FR106" s="1153"/>
      <c r="FS106" s="1153" t="str">
        <f>IF($AI106,IF(LARGE($AG$41:$AH$107,FS$40)=$AG106,$AC106,""),"")</f>
        <v/>
      </c>
      <c r="FT106" s="1153"/>
      <c r="FU106" s="1153"/>
      <c r="FV106" s="1153"/>
      <c r="FW106" s="1153" t="str">
        <f>IF($AI106,IF(LARGE($AG$41:$AH$107,FW$40)=$AG106,$AC106,""),"")</f>
        <v/>
      </c>
      <c r="FX106" s="1153"/>
      <c r="FY106" s="1153"/>
      <c r="FZ106" s="1153"/>
      <c r="GA106" s="1153" t="str">
        <f>IF($AI106,IF(LARGE($AG$41:$AH$107,GA$40)=$AG106,$AC106,""),"")</f>
        <v/>
      </c>
      <c r="GB106" s="1153"/>
      <c r="GC106" s="1153"/>
      <c r="GD106" s="1153"/>
      <c r="GE106" s="1153" t="str">
        <f>IF($AI106,IF(LARGE($AG$41:$AH$107,GE$40)=$AG106,$AC106,""),"")</f>
        <v/>
      </c>
      <c r="GF106" s="1153"/>
      <c r="GG106" s="1153"/>
      <c r="GH106" s="1153"/>
      <c r="GI106" s="1153" t="str">
        <f>IF($AI106,IF(LARGE($AG$41:$AH$107,GI$40)=$AG106,$AC106,""),"")</f>
        <v/>
      </c>
      <c r="GJ106" s="1153"/>
      <c r="GK106" s="1153"/>
      <c r="GL106" s="1153"/>
      <c r="GM106" s="1153" t="str">
        <f>IF($AI106,IF(LARGE($AG$41:$AH$107,GM$40)=$AG106,$AC106,""),"")</f>
        <v/>
      </c>
      <c r="GN106" s="1153"/>
      <c r="GO106" s="1153"/>
      <c r="GP106" s="1153"/>
      <c r="GQ106" s="1153" t="str">
        <f>IF($AI106,IF(LARGE($AG$41:$AH$107,GQ$40)=$AG106,$AC106,""),"")</f>
        <v/>
      </c>
      <c r="GR106" s="1153"/>
      <c r="GS106" s="1153"/>
      <c r="GT106" s="1153"/>
      <c r="GU106" s="1153" t="str">
        <f>IF($AI106,IF(LARGE($AG$41:$AH$107,GU$40)=$AG106,$AC106,""),"")</f>
        <v/>
      </c>
      <c r="GV106" s="1153"/>
      <c r="GW106" s="1153"/>
      <c r="GX106" s="1153"/>
      <c r="GY106" s="1153" t="str">
        <f>IF($AI106,IF(LARGE($AG$41:$AH$107,GY$40)=$AG106,$AC106,""),"")</f>
        <v/>
      </c>
      <c r="GZ106" s="1153"/>
      <c r="HA106" s="1153"/>
      <c r="HB106" s="1153"/>
      <c r="HC106" s="1153" t="str">
        <f>IF($AI106,IF(LARGE($AG$41:$AH$107,HC$40)=$AG106,$AC106,""),"")</f>
        <v/>
      </c>
      <c r="HD106" s="1153"/>
      <c r="HE106" s="1153"/>
      <c r="HF106" s="1153"/>
      <c r="HG106" s="1153" t="str">
        <f>IF($AI106,IF(LARGE($AG$41:$AH$107,HG$40)=$AG106,$AC106,""),"")</f>
        <v/>
      </c>
      <c r="HH106" s="1153"/>
      <c r="HI106" s="1153"/>
      <c r="HJ106" s="1153"/>
      <c r="HK106" s="1153" t="str">
        <f>IF($AI106,IF(LARGE($AG$41:$AH$107,HK$40)=$AG106,$AC106,""),"")</f>
        <v/>
      </c>
      <c r="HL106" s="1153"/>
      <c r="HM106" s="1153"/>
      <c r="HN106" s="1153"/>
      <c r="HO106" s="1153" t="str">
        <f>IF($AI106,IF(LARGE($AG$41:$AH$107,HO$40)=$AG106,$AC106,""),"")</f>
        <v/>
      </c>
      <c r="HP106" s="1153"/>
      <c r="HQ106" s="1153"/>
      <c r="HR106" s="1153"/>
      <c r="HS106" s="1153" t="str">
        <f>IF($AI106,IF(LARGE($AG$41:$AH$107,HS$40)=$AG106,$AC106,""),"")</f>
        <v/>
      </c>
      <c r="HT106" s="1153"/>
      <c r="HU106" s="1153"/>
      <c r="HV106" s="1153"/>
      <c r="HW106" s="1153" t="str">
        <f>IF($AI106,IF(LARGE($AG$41:$AH$107,HW$40)=$AG106,$AC106,""),"")</f>
        <v/>
      </c>
      <c r="HX106" s="1153"/>
      <c r="HY106" s="1153"/>
      <c r="HZ106" s="1153"/>
      <c r="IA106" s="1153" t="str">
        <f>IF($AI106,IF(LARGE($AG$41:$AH$107,IA$40)=$AG106,$AC106,""),"")</f>
        <v/>
      </c>
      <c r="IB106" s="1153"/>
      <c r="IC106" s="1153"/>
      <c r="ID106" s="1153"/>
      <c r="IE106" s="1153" t="str">
        <f>IF($AI106,IF(LARGE($AG$41:$AH$107,IE$40)=$AG106,$AC106,""),"")</f>
        <v/>
      </c>
      <c r="IF106" s="1153"/>
      <c r="IG106" s="1153"/>
      <c r="IH106" s="1153"/>
      <c r="II106" s="1153" t="str">
        <f>IF($AI106,IF(LARGE($AG$41:$AH$107,II$40)=$AG106,$AC106,""),"")</f>
        <v/>
      </c>
      <c r="IJ106" s="1153"/>
      <c r="IK106" s="1153"/>
      <c r="IL106" s="1153"/>
      <c r="IM106" s="1153" t="str">
        <f>IF($AI106,IF(LARGE($AG$41:$AH$107,IM$40)=$AG106,$AC106,""),"")</f>
        <v/>
      </c>
      <c r="IN106" s="1153"/>
      <c r="IO106" s="1153"/>
      <c r="IP106" s="1153"/>
      <c r="IQ106" s="1153" t="str">
        <f>IF($AI106,IF(LARGE($AG$41:$AH$107,IQ$40)=$AG106,$AC106,""),"")</f>
        <v/>
      </c>
      <c r="IR106" s="1153"/>
      <c r="IS106" s="1153"/>
      <c r="IT106" s="1153"/>
      <c r="IU106" s="1153" t="str">
        <f>IF($AI106,IF(LARGE($AG$41:$AH$107,IU$40)=$AG106,$AC106,""),"")</f>
        <v/>
      </c>
      <c r="IV106" s="1153"/>
      <c r="IW106" s="1153"/>
      <c r="IX106" s="1153"/>
      <c r="IY106" s="1153" t="str">
        <f>IF($AI106,IF(LARGE($AG$41:$AH$107,IY$40)=$AG106,$AC106,""),"")</f>
        <v/>
      </c>
      <c r="IZ106" s="1153"/>
      <c r="JA106" s="1153"/>
      <c r="JB106" s="1153"/>
      <c r="JC106" s="1153" t="str">
        <f>IF($AI106,IF(LARGE($AG$41:$AH$107,JC$40)=$AG106,$AC106,""),"")</f>
        <v/>
      </c>
      <c r="JD106" s="1153"/>
      <c r="JE106" s="1153"/>
      <c r="JF106" s="1153"/>
      <c r="JG106" s="1153" t="str">
        <f>IF($AI106,IF(LARGE($AG$41:$AH$107,JG$40)=$AG106,$AC106,""),"")</f>
        <v/>
      </c>
      <c r="JH106" s="1153"/>
      <c r="JI106" s="1153"/>
      <c r="JJ106" s="1153"/>
      <c r="JK106" s="1153" t="str">
        <f>IF($AI106,IF(LARGE($AG$41:$AH$107,JK$40)=$AG106,$AC106,""),"")</f>
        <v/>
      </c>
      <c r="JL106" s="1153"/>
      <c r="JM106" s="1153"/>
      <c r="JN106" s="1153"/>
      <c r="JO106" s="1153" t="str">
        <f>IF($AI106,IF(LARGE($AG$41:$AH$107,JO$40)=$AG106,$AC106,""),"")</f>
        <v/>
      </c>
      <c r="JP106" s="1153"/>
      <c r="JQ106" s="1153"/>
      <c r="JR106" s="1153"/>
      <c r="JS106" s="1153" t="str">
        <f>IF($AI106,IF(LARGE($AG$41:$AH$107,JS$40)=$AG106,$AC106,""),"")</f>
        <v/>
      </c>
      <c r="JT106" s="1153"/>
      <c r="JU106" s="1153"/>
      <c r="JV106" s="1153"/>
      <c r="JW106" s="1153" t="str">
        <f>IF($AI106,IF(LARGE($AG$41:$AH$107,JW$40)=$AG106,$AC106,""),"")</f>
        <v/>
      </c>
      <c r="JX106" s="1153"/>
      <c r="JY106" s="1153"/>
      <c r="JZ106" s="1153"/>
      <c r="KA106" s="1153" t="str">
        <f>IF($AI106,IF(LARGE($AG$41:$AH$107,KA$40)=$AG106,$AC106,""),"")</f>
        <v/>
      </c>
      <c r="KB106" s="1153"/>
      <c r="KC106" s="1153"/>
      <c r="KD106" s="1153"/>
      <c r="KE106" s="1153" t="str">
        <f>IF($AI106,IF(LARGE($AG$41:$AH$107,KE$40)=$AG106,$AC106,""),"")</f>
        <v/>
      </c>
      <c r="KF106" s="1153"/>
      <c r="KG106" s="1153"/>
      <c r="KH106" s="1153"/>
      <c r="KI106" s="1153" t="str">
        <f>IF($AI106,IF(LARGE($AG$41:$AH$107,KI$40)=$AG106,$AC106,""),"")</f>
        <v/>
      </c>
      <c r="KJ106" s="1153"/>
      <c r="KK106" s="1153"/>
      <c r="KL106" s="1153"/>
      <c r="KM106" s="1153" t="str">
        <f>IF($AI106,IF(LARGE($AG$41:$AH$107,KM$40)=$AG106,$AC106,""),"")</f>
        <v/>
      </c>
      <c r="KN106" s="1153"/>
      <c r="KO106" s="1153"/>
      <c r="KP106" s="1153"/>
      <c r="KQ106" s="1153" t="str">
        <f>IF($AI106,IF(LARGE($AG$41:$AH$107,KQ$40)=$AG106,$AC106,""),"")</f>
        <v/>
      </c>
      <c r="KR106" s="1153"/>
      <c r="KS106" s="1153"/>
      <c r="KT106" s="1153"/>
    </row>
    <row r="107" spans="8:8">
      <c r="C107" s="1153" t="str">
        <f>IF(Z37="","",CONCATENATE(" ",AR37,Z37,AB37))</f>
        <v> ❓自定义技能</v>
      </c>
      <c r="D107" s="1153"/>
      <c r="E107" s="1153"/>
      <c r="F107" s="1153"/>
      <c r="G107" s="1155" t="str">
        <f>IF(AND(AF37=0,AH37=0),"",IF(ISNONTEXT(X37),"",AL37))</f>
        <v/>
      </c>
      <c r="H107" s="1155"/>
      <c r="I107" s="1153" t="str">
        <f>IF(G107=$G$40,C107,"")</f>
        <v/>
      </c>
      <c r="J107" s="1153"/>
      <c r="K107" s="1153"/>
      <c r="L107" s="1153"/>
      <c r="M107" s="1154">
        <f>IF(AND(NOT(AH37=0),ISNONTEXT(X37)),1,0)</f>
        <v>0.0</v>
      </c>
      <c r="N107" s="1122"/>
      <c r="O107" s="1122"/>
      <c r="P107" s="1153" t="str">
        <f>IF(Z37="","",CONCATENATE(" ",AR37,Z37,AB37))</f>
        <v> ❓自定义技能</v>
      </c>
      <c r="Q107" s="1153"/>
      <c r="R107" s="1153"/>
      <c r="S107" s="1153"/>
      <c r="T107" s="1155" t="str">
        <f>IF(AND(AF37=0,AJ37=0),"",IF(ISNONTEXT(X37),AL37,""))</f>
        <v/>
      </c>
      <c r="U107" s="1155"/>
      <c r="V107" s="1153" t="str">
        <f>IF(T107=$T$40,P107,"")</f>
        <v/>
      </c>
      <c r="W107" s="1153"/>
      <c r="X107" s="1153"/>
      <c r="Y107" s="1153"/>
      <c r="AB107" s="1122"/>
      <c r="AC107" s="1153" t="str">
        <f>IF(Z37="","",CONCATENATE(AR37,Z37,AB37))</f>
        <v>❓自定义技能</v>
      </c>
      <c r="AD107" s="1153"/>
      <c r="AE107" s="1153"/>
      <c r="AF107" s="1153"/>
      <c r="AG107" s="1155">
        <f>AL37</f>
        <v>0.0</v>
      </c>
      <c r="AH107" s="1155"/>
      <c r="AI107" s="1153" t="b">
        <f>IF(AND(OR(ISNUMBER(AF37),ISNUMBER(AH37),ISNUMBER(AJ37)),OR(AF37&gt;0,AH37&gt;0,AJ37&gt;0)),TRUE,FALSE)</f>
        <v>0</v>
      </c>
      <c r="AJ107" s="1153"/>
      <c r="AK107" s="1153"/>
      <c r="AL107" s="1153"/>
      <c r="AM107" s="1153" t="str">
        <f>IF($AI107,IF(LARGE($AG$41:$AH$107,AM$40)=$AG107,$AC107,""),"")</f>
        <v/>
      </c>
      <c r="AN107" s="1153"/>
      <c r="AO107" s="1153"/>
      <c r="AP107" s="1153"/>
      <c r="AQ107" s="1153" t="str">
        <f>IF($AI107,IF(LARGE($AG$41:$AH$107,AQ$40)=$AG107,$AC107,""),"")</f>
        <v/>
      </c>
      <c r="AR107" s="1153"/>
      <c r="AS107" s="1153"/>
      <c r="AT107" s="1153"/>
      <c r="AU107" s="1153" t="str">
        <f>IF($AI107,IF(LARGE($AG$41:$AH$107,AU$40)=$AG107,$AC107,""),"")</f>
        <v/>
      </c>
      <c r="AV107" s="1153"/>
      <c r="AW107" s="1153"/>
      <c r="AX107" s="1153"/>
      <c r="AY107" s="1153" t="str">
        <f>IF($AI107,IF(LARGE($AG$41:$AH$107,AY$40)=$AG107,$AC107,""),"")</f>
        <v/>
      </c>
      <c r="AZ107" s="1153"/>
      <c r="BA107" s="1153"/>
      <c r="BB107" s="1153"/>
      <c r="BC107" s="1153" t="str">
        <f>IF($AI107,IF(LARGE($AG$41:$AH$107,BC$40)=$AG107,$AC107,""),"")</f>
        <v/>
      </c>
      <c r="BD107" s="1153"/>
      <c r="BE107" s="1153"/>
      <c r="BF107" s="1153"/>
      <c r="BG107" s="1153" t="str">
        <f>IF($AI107,IF(LARGE($AG$41:$AH$107,BG$40)=$AG107,$AC107,""),"")</f>
        <v/>
      </c>
      <c r="BH107" s="1153"/>
      <c r="BI107" s="1153"/>
      <c r="BJ107" s="1153"/>
      <c r="BK107" s="1153" t="str">
        <f>IF($AI107,IF(LARGE($AG$41:$AH$107,BK$40)=$AG107,$AC107,""),"")</f>
        <v/>
      </c>
      <c r="BL107" s="1153"/>
      <c r="BM107" s="1153"/>
      <c r="BN107" s="1153"/>
      <c r="BO107" s="1153" t="str">
        <f>IF($AI107,IF(LARGE($AG$41:$AH$107,BO$40)=$AG107,$AC107,""),"")</f>
        <v/>
      </c>
      <c r="BP107" s="1153"/>
      <c r="BQ107" s="1153"/>
      <c r="BR107" s="1153"/>
      <c r="BS107" s="1153" t="str">
        <f>IF($AI107,IF(LARGE($AG$41:$AH$107,BS$40)=$AG107,$AC107,""),"")</f>
        <v/>
      </c>
      <c r="BT107" s="1153"/>
      <c r="BU107" s="1153"/>
      <c r="BV107" s="1153"/>
      <c r="BW107" s="1153" t="str">
        <f>IF($AI107,IF(LARGE($AG$41:$AH$107,BW$40)=$AG107,$AC107,""),"")</f>
        <v/>
      </c>
      <c r="BX107" s="1153"/>
      <c r="BY107" s="1153"/>
      <c r="BZ107" s="1153"/>
      <c r="CA107" s="1153" t="str">
        <f>IF($AI107,IF(LARGE($AG$41:$AH$107,CA$40)=$AG107,$AC107,""),"")</f>
        <v/>
      </c>
      <c r="CB107" s="1153"/>
      <c r="CC107" s="1153"/>
      <c r="CD107" s="1153"/>
      <c r="CE107" s="1153" t="str">
        <f>IF($AI107,IF(LARGE($AG$41:$AH$107,CE$40)=$AG107,$AC107,""),"")</f>
        <v/>
      </c>
      <c r="CF107" s="1153"/>
      <c r="CG107" s="1153"/>
      <c r="CH107" s="1153"/>
      <c r="CI107" s="1153" t="str">
        <f>IF($AI107,IF(LARGE($AG$41:$AH$107,CI$40)=$AG107,$AC107,""),"")</f>
        <v/>
      </c>
      <c r="CJ107" s="1153"/>
      <c r="CK107" s="1153"/>
      <c r="CL107" s="1153"/>
      <c r="CM107" s="1153" t="str">
        <f>IF($AI107,IF(LARGE($AG$41:$AH$107,CM$40)=$AG107,$AC107,""),"")</f>
        <v/>
      </c>
      <c r="CN107" s="1153"/>
      <c r="CO107" s="1153"/>
      <c r="CP107" s="1153"/>
      <c r="CQ107" s="1153" t="str">
        <f>IF($AI107,IF(LARGE($AG$41:$AH$107,CQ$40)=$AG107,$AC107,""),"")</f>
        <v/>
      </c>
      <c r="CR107" s="1153"/>
      <c r="CS107" s="1153"/>
      <c r="CT107" s="1153"/>
      <c r="CU107" s="1153" t="str">
        <f>IF($AI107,IF(LARGE($AG$41:$AH$107,CU$40)=$AG107,$AC107,""),"")</f>
        <v/>
      </c>
      <c r="CV107" s="1153"/>
      <c r="CW107" s="1153"/>
      <c r="CX107" s="1153"/>
      <c r="CY107" s="1153" t="str">
        <f>IF($AI107,IF(LARGE($AG$41:$AH$107,CY$40)=$AG107,$AC107,""),"")</f>
        <v/>
      </c>
      <c r="CZ107" s="1153"/>
      <c r="DA107" s="1153"/>
      <c r="DB107" s="1153"/>
      <c r="DC107" s="1153" t="str">
        <f>IF($AI107,IF(LARGE($AG$41:$AH$107,DC$40)=$AG107,$AC107,""),"")</f>
        <v/>
      </c>
      <c r="DD107" s="1153"/>
      <c r="DE107" s="1153"/>
      <c r="DF107" s="1153"/>
      <c r="DG107" s="1153" t="str">
        <f>IF($AI107,IF(LARGE($AG$41:$AH$107,DG$40)=$AG107,$AC107,""),"")</f>
        <v/>
      </c>
      <c r="DH107" s="1153"/>
      <c r="DI107" s="1153"/>
      <c r="DJ107" s="1153"/>
      <c r="DK107" s="1153" t="str">
        <f>IF($AI107,IF(LARGE($AG$41:$AH$107,DK$40)=$AG107,$AC107,""),"")</f>
        <v/>
      </c>
      <c r="DL107" s="1153"/>
      <c r="DM107" s="1153"/>
      <c r="DN107" s="1153"/>
      <c r="DO107" s="1153" t="str">
        <f>IF($AI107,IF(LARGE($AG$41:$AH$107,DO$40)=$AG107,$AC107,""),"")</f>
        <v/>
      </c>
      <c r="DP107" s="1153"/>
      <c r="DQ107" s="1153"/>
      <c r="DR107" s="1153"/>
      <c r="DS107" s="1153" t="str">
        <f>IF($AI107,IF(LARGE($AG$41:$AH$107,DS$40)=$AG107,$AC107,""),"")</f>
        <v/>
      </c>
      <c r="DT107" s="1153"/>
      <c r="DU107" s="1153"/>
      <c r="DV107" s="1153"/>
      <c r="DW107" s="1153" t="str">
        <f>IF($AI107,IF(LARGE($AG$41:$AH$107,DW$40)=$AG107,$AC107,""),"")</f>
        <v/>
      </c>
      <c r="DX107" s="1153"/>
      <c r="DY107" s="1153"/>
      <c r="DZ107" s="1153"/>
      <c r="EA107" s="1153" t="str">
        <f>IF($AI107,IF(LARGE($AG$41:$AH$107,EA$40)=$AG107,$AC107,""),"")</f>
        <v/>
      </c>
      <c r="EB107" s="1153"/>
      <c r="EC107" s="1153"/>
      <c r="ED107" s="1153"/>
      <c r="EE107" s="1153" t="str">
        <f>IF($AI107,IF(LARGE($AG$41:$AH$107,EE$40)=$AG107,$AC107,""),"")</f>
        <v/>
      </c>
      <c r="EF107" s="1153"/>
      <c r="EG107" s="1153"/>
      <c r="EH107" s="1153"/>
      <c r="EI107" s="1153" t="str">
        <f>IF($AI107,IF(LARGE($AG$41:$AH$107,EI$40)=$AG107,$AC107,""),"")</f>
        <v/>
      </c>
      <c r="EJ107" s="1153"/>
      <c r="EK107" s="1153"/>
      <c r="EL107" s="1153"/>
      <c r="EM107" s="1153" t="str">
        <f>IF($AI107,IF(LARGE($AG$41:$AH$107,EM$40)=$AG107,$AC107,""),"")</f>
        <v/>
      </c>
      <c r="EN107" s="1153"/>
      <c r="EO107" s="1153"/>
      <c r="EP107" s="1153"/>
      <c r="EQ107" s="1153" t="str">
        <f>IF($AI107,IF(LARGE($AG$41:$AH$107,EQ$40)=$AG107,$AC107,""),"")</f>
        <v/>
      </c>
      <c r="ER107" s="1153"/>
      <c r="ES107" s="1153"/>
      <c r="ET107" s="1153"/>
      <c r="EU107" s="1153" t="str">
        <f>IF($AI107,IF(LARGE($AG$41:$AH$107,EU$40)=$AG107,$AC107,""),"")</f>
        <v/>
      </c>
      <c r="EV107" s="1153"/>
      <c r="EW107" s="1153"/>
      <c r="EX107" s="1153"/>
      <c r="EY107" s="1153" t="str">
        <f>IF($AI107,IF(LARGE($AG$41:$AH$107,EY$40)=$AG107,$AC107,""),"")</f>
        <v/>
      </c>
      <c r="EZ107" s="1153"/>
      <c r="FA107" s="1153"/>
      <c r="FB107" s="1153"/>
      <c r="FC107" s="1153" t="str">
        <f>IF($AI107,IF(LARGE($AG$41:$AH$107,FC$40)=$AG107,$AC107,""),"")</f>
        <v/>
      </c>
      <c r="FD107" s="1153"/>
      <c r="FE107" s="1153"/>
      <c r="FF107" s="1153"/>
      <c r="FG107" s="1153" t="str">
        <f>IF($AI107,IF(LARGE($AG$41:$AH$107,FG$40)=$AG107,$AC107,""),"")</f>
        <v/>
      </c>
      <c r="FH107" s="1153"/>
      <c r="FI107" s="1153"/>
      <c r="FJ107" s="1153"/>
      <c r="FK107" s="1153" t="str">
        <f>IF($AI107,IF(LARGE($AG$41:$AH$107,FK$40)=$AG107,$AC107,""),"")</f>
        <v/>
      </c>
      <c r="FL107" s="1153"/>
      <c r="FM107" s="1153"/>
      <c r="FN107" s="1153"/>
      <c r="FO107" s="1153" t="str">
        <f>IF($AI107,IF(LARGE($AG$41:$AH$107,FO$40)=$AG107,$AC107,""),"")</f>
        <v/>
      </c>
      <c r="FP107" s="1153"/>
      <c r="FQ107" s="1153"/>
      <c r="FR107" s="1153"/>
      <c r="FS107" s="1153" t="str">
        <f>IF($AI107,IF(LARGE($AG$41:$AH$107,FS$40)=$AG107,$AC107,""),"")</f>
        <v/>
      </c>
      <c r="FT107" s="1153"/>
      <c r="FU107" s="1153"/>
      <c r="FV107" s="1153"/>
      <c r="FW107" s="1153" t="str">
        <f>IF($AI107,IF(LARGE($AG$41:$AH$107,FW$40)=$AG107,$AC107,""),"")</f>
        <v/>
      </c>
      <c r="FX107" s="1153"/>
      <c r="FY107" s="1153"/>
      <c r="FZ107" s="1153"/>
      <c r="GA107" s="1153" t="str">
        <f>IF($AI107,IF(LARGE($AG$41:$AH$107,GA$40)=$AG107,$AC107,""),"")</f>
        <v/>
      </c>
      <c r="GB107" s="1153"/>
      <c r="GC107" s="1153"/>
      <c r="GD107" s="1153"/>
      <c r="GE107" s="1153" t="str">
        <f>IF($AI107,IF(LARGE($AG$41:$AH$107,GE$40)=$AG107,$AC107,""),"")</f>
        <v/>
      </c>
      <c r="GF107" s="1153"/>
      <c r="GG107" s="1153"/>
      <c r="GH107" s="1153"/>
      <c r="GI107" s="1153" t="str">
        <f>IF($AI107,IF(LARGE($AG$41:$AH$107,GI$40)=$AG107,$AC107,""),"")</f>
        <v/>
      </c>
      <c r="GJ107" s="1153"/>
      <c r="GK107" s="1153"/>
      <c r="GL107" s="1153"/>
      <c r="GM107" s="1153" t="str">
        <f>IF($AI107,IF(LARGE($AG$41:$AH$107,GM$40)=$AG107,$AC107,""),"")</f>
        <v/>
      </c>
      <c r="GN107" s="1153"/>
      <c r="GO107" s="1153"/>
      <c r="GP107" s="1153"/>
      <c r="GQ107" s="1153" t="str">
        <f>IF($AI107,IF(LARGE($AG$41:$AH$107,GQ$40)=$AG107,$AC107,""),"")</f>
        <v/>
      </c>
      <c r="GR107" s="1153"/>
      <c r="GS107" s="1153"/>
      <c r="GT107" s="1153"/>
      <c r="GU107" s="1153" t="str">
        <f>IF($AI107,IF(LARGE($AG$41:$AH$107,GU$40)=$AG107,$AC107,""),"")</f>
        <v/>
      </c>
      <c r="GV107" s="1153"/>
      <c r="GW107" s="1153"/>
      <c r="GX107" s="1153"/>
      <c r="GY107" s="1153" t="str">
        <f>IF($AI107,IF(LARGE($AG$41:$AH$107,GY$40)=$AG107,$AC107,""),"")</f>
        <v/>
      </c>
      <c r="GZ107" s="1153"/>
      <c r="HA107" s="1153"/>
      <c r="HB107" s="1153"/>
      <c r="HC107" s="1153" t="str">
        <f>IF($AI107,IF(LARGE($AG$41:$AH$107,HC$40)=$AG107,$AC107,""),"")</f>
        <v/>
      </c>
      <c r="HD107" s="1153"/>
      <c r="HE107" s="1153"/>
      <c r="HF107" s="1153"/>
      <c r="HG107" s="1153" t="str">
        <f>IF($AI107,IF(LARGE($AG$41:$AH$107,HG$40)=$AG107,$AC107,""),"")</f>
        <v/>
      </c>
      <c r="HH107" s="1153"/>
      <c r="HI107" s="1153"/>
      <c r="HJ107" s="1153"/>
      <c r="HK107" s="1153" t="str">
        <f>IF($AI107,IF(LARGE($AG$41:$AH$107,HK$40)=$AG107,$AC107,""),"")</f>
        <v/>
      </c>
      <c r="HL107" s="1153"/>
      <c r="HM107" s="1153"/>
      <c r="HN107" s="1153"/>
      <c r="HO107" s="1153" t="str">
        <f>IF($AI107,IF(LARGE($AG$41:$AH$107,HO$40)=$AG107,$AC107,""),"")</f>
        <v/>
      </c>
      <c r="HP107" s="1153"/>
      <c r="HQ107" s="1153"/>
      <c r="HR107" s="1153"/>
      <c r="HS107" s="1153" t="str">
        <f>IF($AI107,IF(LARGE($AG$41:$AH$107,HS$40)=$AG107,$AC107,""),"")</f>
        <v/>
      </c>
      <c r="HT107" s="1153"/>
      <c r="HU107" s="1153"/>
      <c r="HV107" s="1153"/>
      <c r="HW107" s="1153" t="str">
        <f>IF($AI107,IF(LARGE($AG$41:$AH$107,HW$40)=$AG107,$AC107,""),"")</f>
        <v/>
      </c>
      <c r="HX107" s="1153"/>
      <c r="HY107" s="1153"/>
      <c r="HZ107" s="1153"/>
      <c r="IA107" s="1153" t="str">
        <f>IF($AI107,IF(LARGE($AG$41:$AH$107,IA$40)=$AG107,$AC107,""),"")</f>
        <v/>
      </c>
      <c r="IB107" s="1153"/>
      <c r="IC107" s="1153"/>
      <c r="ID107" s="1153"/>
      <c r="IE107" s="1153" t="str">
        <f>IF($AI107,IF(LARGE($AG$41:$AH$107,IE$40)=$AG107,$AC107,""),"")</f>
        <v/>
      </c>
      <c r="IF107" s="1153"/>
      <c r="IG107" s="1153"/>
      <c r="IH107" s="1153"/>
      <c r="II107" s="1153" t="str">
        <f>IF($AI107,IF(LARGE($AG$41:$AH$107,II$40)=$AG107,$AC107,""),"")</f>
        <v/>
      </c>
      <c r="IJ107" s="1153"/>
      <c r="IK107" s="1153"/>
      <c r="IL107" s="1153"/>
      <c r="IM107" s="1153" t="str">
        <f>IF($AI107,IF(LARGE($AG$41:$AH$107,IM$40)=$AG107,$AC107,""),"")</f>
        <v/>
      </c>
      <c r="IN107" s="1153"/>
      <c r="IO107" s="1153"/>
      <c r="IP107" s="1153"/>
      <c r="IQ107" s="1153" t="str">
        <f>IF($AI107,IF(LARGE($AG$41:$AH$107,IQ$40)=$AG107,$AC107,""),"")</f>
        <v/>
      </c>
      <c r="IR107" s="1153"/>
      <c r="IS107" s="1153"/>
      <c r="IT107" s="1153"/>
      <c r="IU107" s="1153" t="str">
        <f>IF($AI107,IF(LARGE($AG$41:$AH$107,IU$40)=$AG107,$AC107,""),"")</f>
        <v/>
      </c>
      <c r="IV107" s="1153"/>
      <c r="IW107" s="1153"/>
      <c r="IX107" s="1153"/>
      <c r="IY107" s="1153" t="str">
        <f>IF($AI107,IF(LARGE($AG$41:$AH$107,IY$40)=$AG107,$AC107,""),"")</f>
        <v/>
      </c>
      <c r="IZ107" s="1153"/>
      <c r="JA107" s="1153"/>
      <c r="JB107" s="1153"/>
      <c r="JC107" s="1153" t="str">
        <f>IF($AI107,IF(LARGE($AG$41:$AH$107,JC$40)=$AG107,$AC107,""),"")</f>
        <v/>
      </c>
      <c r="JD107" s="1153"/>
      <c r="JE107" s="1153"/>
      <c r="JF107" s="1153"/>
      <c r="JG107" s="1153" t="str">
        <f>IF($AI107,IF(LARGE($AG$41:$AH$107,JG$40)=$AG107,$AC107,""),"")</f>
        <v/>
      </c>
      <c r="JH107" s="1153"/>
      <c r="JI107" s="1153"/>
      <c r="JJ107" s="1153"/>
      <c r="JK107" s="1153" t="str">
        <f>IF($AI107,IF(LARGE($AG$41:$AH$107,JK$40)=$AG107,$AC107,""),"")</f>
        <v/>
      </c>
      <c r="JL107" s="1153"/>
      <c r="JM107" s="1153"/>
      <c r="JN107" s="1153"/>
      <c r="JO107" s="1153" t="str">
        <f>IF($AI107,IF(LARGE($AG$41:$AH$107,JO$40)=$AG107,$AC107,""),"")</f>
        <v/>
      </c>
      <c r="JP107" s="1153"/>
      <c r="JQ107" s="1153"/>
      <c r="JR107" s="1153"/>
      <c r="JS107" s="1153" t="str">
        <f>IF($AI107,IF(LARGE($AG$41:$AH$107,JS$40)=$AG107,$AC107,""),"")</f>
        <v/>
      </c>
      <c r="JT107" s="1153"/>
      <c r="JU107" s="1153"/>
      <c r="JV107" s="1153"/>
      <c r="JW107" s="1153" t="str">
        <f>IF($AI107,IF(LARGE($AG$41:$AH$107,JW$40)=$AG107,$AC107,""),"")</f>
        <v/>
      </c>
      <c r="JX107" s="1153"/>
      <c r="JY107" s="1153"/>
      <c r="JZ107" s="1153"/>
      <c r="KA107" s="1153" t="str">
        <f>IF($AI107,IF(LARGE($AG$41:$AH$107,KA$40)=$AG107,$AC107,""),"")</f>
        <v/>
      </c>
      <c r="KB107" s="1153"/>
      <c r="KC107" s="1153"/>
      <c r="KD107" s="1153"/>
      <c r="KE107" s="1153" t="str">
        <f>IF($AI107,IF(LARGE($AG$41:$AH$107,KE$40)=$AG107,$AC107,""),"")</f>
        <v/>
      </c>
      <c r="KF107" s="1153"/>
      <c r="KG107" s="1153"/>
      <c r="KH107" s="1153"/>
      <c r="KI107" s="1153" t="str">
        <f>IF($AI107,IF(LARGE($AG$41:$AH$107,KI$40)=$AG107,$AC107,""),"")</f>
        <v/>
      </c>
      <c r="KJ107" s="1153"/>
      <c r="KK107" s="1153"/>
      <c r="KL107" s="1153"/>
      <c r="KM107" s="1153" t="str">
        <f>IF($AI107,IF(LARGE($AG$41:$AH$107,KM$40)=$AG107,$AC107,""),"")</f>
        <v/>
      </c>
      <c r="KN107" s="1153"/>
      <c r="KO107" s="1153"/>
      <c r="KP107" s="1153"/>
      <c r="KQ107" s="1153" t="str">
        <f>IF($AI107,IF(LARGE($AG$41:$AH$107,KQ$40)=$AG107,$AC107,""),"")</f>
        <v/>
      </c>
      <c r="KR107" s="1153"/>
      <c r="KS107" s="1153"/>
      <c r="KT107" s="1153"/>
    </row>
    <row r="108" spans="8:8">
      <c r="AM108" s="1155">
        <f>LARGE($AG$41:$AH$107,AM$40)</f>
        <v>30.0</v>
      </c>
      <c r="AN108" s="1155"/>
      <c r="AO108" s="1155"/>
      <c r="AP108" s="1155"/>
      <c r="AQ108" s="1155">
        <f>LARGE($AG$41:$AH$107,AQ$40)</f>
        <v>25.0</v>
      </c>
      <c r="AR108" s="1155"/>
      <c r="AS108" s="1155"/>
      <c r="AT108" s="1155"/>
      <c r="AU108" s="1155">
        <f>LARGE($AG$41:$AH$107,AU$40)</f>
        <v>25.0</v>
      </c>
      <c r="AV108" s="1155"/>
      <c r="AW108" s="1155"/>
      <c r="AX108" s="1155"/>
      <c r="AY108" s="1155">
        <f>LARGE($AG$41:$AH$107,AY$40)</f>
        <v>20.0</v>
      </c>
      <c r="AZ108" s="1155"/>
      <c r="BA108" s="1155"/>
      <c r="BB108" s="1155"/>
      <c r="BC108" s="1155">
        <f>LARGE($AG$41:$AH$107,BC$40)</f>
        <v>20.0</v>
      </c>
      <c r="BD108" s="1155"/>
      <c r="BE108" s="1155"/>
      <c r="BF108" s="1155"/>
      <c r="BG108" s="1155">
        <f>LARGE($AG$41:$AH$107,BG$40)</f>
        <v>20.0</v>
      </c>
      <c r="BH108" s="1155"/>
      <c r="BI108" s="1155"/>
      <c r="BJ108" s="1155"/>
      <c r="BK108" s="1155">
        <f>LARGE($AG$41:$AH$107,BK$40)</f>
        <v>20.0</v>
      </c>
      <c r="BL108" s="1155"/>
      <c r="BM108" s="1155"/>
      <c r="BN108" s="1155"/>
      <c r="BO108" s="1155">
        <f>LARGE($AG$41:$AH$107,BO$40)</f>
        <v>20.0</v>
      </c>
      <c r="BP108" s="1155"/>
      <c r="BQ108" s="1155"/>
      <c r="BR108" s="1155"/>
      <c r="BS108" s="1155">
        <f>LARGE($AG$41:$AH$107,BS$40)</f>
        <v>20.0</v>
      </c>
      <c r="BT108" s="1155"/>
      <c r="BU108" s="1155"/>
      <c r="BV108" s="1155"/>
      <c r="BW108" s="1155">
        <f>LARGE($AG$41:$AH$107,BW$40)</f>
        <v>20.0</v>
      </c>
      <c r="BX108" s="1155"/>
      <c r="BY108" s="1155"/>
      <c r="BZ108" s="1155"/>
      <c r="CA108" s="1155">
        <f>LARGE($AG$41:$AH$107,CA$40)</f>
        <v>20.0</v>
      </c>
      <c r="CB108" s="1155"/>
      <c r="CC108" s="1155"/>
      <c r="CD108" s="1155"/>
      <c r="CE108" s="1155">
        <f>LARGE($AG$41:$AH$107,CE$40)</f>
        <v>20.0</v>
      </c>
      <c r="CF108" s="1155"/>
      <c r="CG108" s="1155"/>
      <c r="CH108" s="1155"/>
      <c r="CI108" s="1155">
        <f>LARGE($AG$41:$AH$107,CI$40)</f>
        <v>15.0</v>
      </c>
      <c r="CJ108" s="1155"/>
      <c r="CK108" s="1155"/>
      <c r="CL108" s="1155"/>
      <c r="CM108" s="1155">
        <f>LARGE($AG$41:$AH$107,CM$40)</f>
        <v>15.0</v>
      </c>
      <c r="CN108" s="1155"/>
      <c r="CO108" s="1155"/>
      <c r="CP108" s="1155"/>
      <c r="CQ108" s="1155">
        <f>LARGE($AG$41:$AH$107,CQ$40)</f>
        <v>10.0</v>
      </c>
      <c r="CR108" s="1155"/>
      <c r="CS108" s="1155"/>
      <c r="CT108" s="1155"/>
      <c r="CU108" s="1155">
        <f>LARGE($AG$41:$AH$107,CU$40)</f>
        <v>10.0</v>
      </c>
      <c r="CV108" s="1155"/>
      <c r="CW108" s="1155"/>
      <c r="CX108" s="1155"/>
      <c r="CY108" s="1155">
        <f>LARGE($AG$41:$AH$107,CY$40)</f>
        <v>10.0</v>
      </c>
      <c r="CZ108" s="1155"/>
      <c r="DA108" s="1155"/>
      <c r="DB108" s="1155"/>
      <c r="DC108" s="1155">
        <f>LARGE($AG$41:$AH$107,DC$40)</f>
        <v>10.0</v>
      </c>
      <c r="DD108" s="1155"/>
      <c r="DE108" s="1155"/>
      <c r="DF108" s="1155"/>
      <c r="DG108" s="1155">
        <f>LARGE($AG$41:$AH$107,DG$40)</f>
        <v>10.0</v>
      </c>
      <c r="DH108" s="1155"/>
      <c r="DI108" s="1155"/>
      <c r="DJ108" s="1155"/>
      <c r="DK108" s="1155">
        <f>LARGE($AG$41:$AH$107,DK$40)</f>
        <v>10.0</v>
      </c>
      <c r="DL108" s="1155"/>
      <c r="DM108" s="1155"/>
      <c r="DN108" s="1155"/>
      <c r="DO108" s="1155">
        <f>LARGE($AG$41:$AH$107,DO$40)</f>
        <v>10.0</v>
      </c>
      <c r="DP108" s="1155"/>
      <c r="DQ108" s="1155"/>
      <c r="DR108" s="1155"/>
      <c r="DS108" s="1155">
        <f>LARGE($AG$41:$AH$107,DS$40)</f>
        <v>10.0</v>
      </c>
      <c r="DT108" s="1155"/>
      <c r="DU108" s="1155"/>
      <c r="DV108" s="1155"/>
      <c r="DW108" s="1155">
        <f>LARGE($AG$41:$AH$107,DW$40)</f>
        <v>10.0</v>
      </c>
      <c r="DX108" s="1155"/>
      <c r="DY108" s="1155"/>
      <c r="DZ108" s="1155"/>
      <c r="EA108" s="1155">
        <f>LARGE($AG$41:$AH$107,EA$40)</f>
        <v>5.0</v>
      </c>
      <c r="EB108" s="1155"/>
      <c r="EC108" s="1155"/>
      <c r="ED108" s="1155"/>
      <c r="EE108" s="1155">
        <f>LARGE($AG$41:$AH$107,EE$40)</f>
        <v>5.0</v>
      </c>
      <c r="EF108" s="1155"/>
      <c r="EG108" s="1155"/>
      <c r="EH108" s="1155"/>
      <c r="EI108" s="1155">
        <f>LARGE($AG$41:$AH$107,EI$40)</f>
        <v>5.0</v>
      </c>
      <c r="EJ108" s="1155"/>
      <c r="EK108" s="1155"/>
      <c r="EL108" s="1155"/>
      <c r="EM108" s="1155">
        <f>LARGE($AG$41:$AH$107,EM$40)</f>
        <v>5.0</v>
      </c>
      <c r="EN108" s="1155"/>
      <c r="EO108" s="1155"/>
      <c r="EP108" s="1155"/>
      <c r="EQ108" s="1155">
        <f>LARGE($AG$41:$AH$107,EQ$40)</f>
        <v>5.0</v>
      </c>
      <c r="ER108" s="1155"/>
      <c r="ES108" s="1155"/>
      <c r="ET108" s="1155"/>
      <c r="EU108" s="1155">
        <f>LARGE($AG$41:$AH$107,EU$40)</f>
        <v>5.0</v>
      </c>
      <c r="EV108" s="1155"/>
      <c r="EW108" s="1155"/>
      <c r="EX108" s="1155"/>
      <c r="EY108" s="1155">
        <f>LARGE($AG$41:$AH$107,EY$40)</f>
        <v>5.0</v>
      </c>
      <c r="EZ108" s="1155"/>
      <c r="FA108" s="1155"/>
      <c r="FB108" s="1155"/>
      <c r="FC108" s="1155">
        <f>LARGE($AG$41:$AH$107,FC$40)</f>
        <v>5.0</v>
      </c>
      <c r="FD108" s="1155"/>
      <c r="FE108" s="1155"/>
      <c r="FF108" s="1155"/>
      <c r="FG108" s="1155">
        <f>LARGE($AG$41:$AH$107,FG$40)</f>
        <v>5.0</v>
      </c>
      <c r="FH108" s="1155"/>
      <c r="FI108" s="1155"/>
      <c r="FJ108" s="1155"/>
      <c r="FK108" s="1155">
        <f>LARGE($AG$41:$AH$107,FK$40)</f>
        <v>5.0</v>
      </c>
      <c r="FL108" s="1155"/>
      <c r="FM108" s="1155"/>
      <c r="FN108" s="1155"/>
      <c r="FO108" s="1155">
        <f>LARGE($AG$41:$AH$107,FO$40)</f>
        <v>5.0</v>
      </c>
      <c r="FP108" s="1155"/>
      <c r="FQ108" s="1155"/>
      <c r="FR108" s="1155"/>
      <c r="FS108" s="1155">
        <f>LARGE($AG$41:$AH$107,FS$40)</f>
        <v>5.0</v>
      </c>
      <c r="FT108" s="1155"/>
      <c r="FU108" s="1155"/>
      <c r="FV108" s="1155"/>
      <c r="FW108" s="1155">
        <f>LARGE($AG$41:$AH$107,FW$40)</f>
        <v>5.0</v>
      </c>
      <c r="FX108" s="1155"/>
      <c r="FY108" s="1155"/>
      <c r="FZ108" s="1155"/>
      <c r="GA108" s="1155">
        <f>LARGE($AG$41:$AH$107,GA$40)</f>
        <v>1.0</v>
      </c>
      <c r="GB108" s="1155"/>
      <c r="GC108" s="1155"/>
      <c r="GD108" s="1155"/>
      <c r="GE108" s="1155">
        <f>LARGE($AG$41:$AH$107,GE$40)</f>
        <v>1.0</v>
      </c>
      <c r="GF108" s="1155"/>
      <c r="GG108" s="1155"/>
      <c r="GH108" s="1155"/>
      <c r="GI108" s="1155">
        <f>LARGE($AG$41:$AH$107,GI$40)</f>
        <v>1.0</v>
      </c>
      <c r="GJ108" s="1155"/>
      <c r="GK108" s="1155"/>
      <c r="GL108" s="1155"/>
      <c r="GM108" s="1155">
        <f>LARGE($AG$41:$AH$107,GM$40)</f>
        <v>1.0</v>
      </c>
      <c r="GN108" s="1155"/>
      <c r="GO108" s="1155"/>
      <c r="GP108" s="1155"/>
      <c r="GQ108" s="1155">
        <f>LARGE($AG$41:$AH$107,GQ$40)</f>
        <v>1.0</v>
      </c>
      <c r="GR108" s="1155"/>
      <c r="GS108" s="1155"/>
      <c r="GT108" s="1155"/>
      <c r="GU108" s="1155">
        <f>LARGE($AG$41:$AH$107,GU$40)</f>
        <v>1.0</v>
      </c>
      <c r="GV108" s="1155"/>
      <c r="GW108" s="1155"/>
      <c r="GX108" s="1155"/>
      <c r="GY108" s="1155">
        <f>LARGE($AG$41:$AH$107,GY$40)</f>
        <v>1.0</v>
      </c>
      <c r="GZ108" s="1155"/>
      <c r="HA108" s="1155"/>
      <c r="HB108" s="1155"/>
      <c r="HC108" s="1155">
        <f>LARGE($AG$41:$AH$107,HC$40)</f>
        <v>1.0</v>
      </c>
      <c r="HD108" s="1155"/>
      <c r="HE108" s="1155"/>
      <c r="HF108" s="1155"/>
      <c r="HG108" s="1155">
        <f>LARGE($AG$41:$AH$107,HG$40)</f>
        <v>1.0</v>
      </c>
      <c r="HH108" s="1155"/>
      <c r="HI108" s="1155"/>
      <c r="HJ108" s="1155"/>
      <c r="HK108" s="1155">
        <f>LARGE($AG$41:$AH$107,HK$40)</f>
        <v>1.0</v>
      </c>
      <c r="HL108" s="1155"/>
      <c r="HM108" s="1155"/>
      <c r="HN108" s="1155"/>
      <c r="HO108" s="1155">
        <f>LARGE($AG$41:$AH$107,HO$40)</f>
        <v>1.0</v>
      </c>
      <c r="HP108" s="1155"/>
      <c r="HQ108" s="1155"/>
      <c r="HR108" s="1155"/>
      <c r="HS108" s="1155">
        <f>LARGE($AG$41:$AH$107,HS$40)</f>
        <v>1.0</v>
      </c>
      <c r="HT108" s="1155"/>
      <c r="HU108" s="1155"/>
      <c r="HV108" s="1155"/>
      <c r="HW108" s="1155">
        <f>LARGE($AG$41:$AH$107,HW$40)</f>
        <v>1.0</v>
      </c>
      <c r="HX108" s="1155"/>
      <c r="HY108" s="1155"/>
      <c r="HZ108" s="1155"/>
      <c r="IA108" s="1155">
        <f>LARGE($AG$41:$AH$107,IA$40)</f>
        <v>1.0</v>
      </c>
      <c r="IB108" s="1155"/>
      <c r="IC108" s="1155"/>
      <c r="ID108" s="1155"/>
      <c r="IE108" s="1155">
        <f>LARGE($AG$41:$AH$107,IE$40)</f>
        <v>1.0</v>
      </c>
      <c r="IF108" s="1155"/>
      <c r="IG108" s="1155"/>
      <c r="IH108" s="1155"/>
      <c r="II108" s="1155">
        <f>LARGE($AG$41:$AH$107,II$40)</f>
        <v>1.0</v>
      </c>
      <c r="IJ108" s="1155"/>
      <c r="IK108" s="1155"/>
      <c r="IL108" s="1155"/>
      <c r="IM108" s="1155">
        <f>LARGE($AG$41:$AH$107,IM$40)</f>
        <v>1.0</v>
      </c>
      <c r="IN108" s="1155"/>
      <c r="IO108" s="1155"/>
      <c r="IP108" s="1155"/>
      <c r="IQ108" s="1155">
        <f>LARGE($AG$41:$AH$107,IQ$40)</f>
        <v>1.0</v>
      </c>
      <c r="IR108" s="1155"/>
      <c r="IS108" s="1155"/>
      <c r="IT108" s="1155"/>
      <c r="IU108" s="1155">
        <f>LARGE($AG$41:$AH$107,IU$40)</f>
        <v>1.0</v>
      </c>
      <c r="IV108" s="1155"/>
      <c r="IW108" s="1155"/>
      <c r="IX108" s="1155"/>
      <c r="IY108" s="1155">
        <f>LARGE($AG$41:$AH$107,IY$40)</f>
        <v>1.0</v>
      </c>
      <c r="IZ108" s="1155"/>
      <c r="JA108" s="1155"/>
      <c r="JB108" s="1155"/>
      <c r="JC108" s="1155">
        <f>LARGE($AG$41:$AH$107,JC$40)</f>
        <v>0.0</v>
      </c>
      <c r="JD108" s="1155"/>
      <c r="JE108" s="1155"/>
      <c r="JF108" s="1155"/>
      <c r="JG108" s="1155">
        <f>LARGE($AG$41:$AH$107,JG$40)</f>
        <v>0.0</v>
      </c>
      <c r="JH108" s="1155"/>
      <c r="JI108" s="1155"/>
      <c r="JJ108" s="1155"/>
      <c r="JK108" s="1155">
        <f>LARGE($AG$41:$AH$107,JK$40)</f>
        <v>0.0</v>
      </c>
      <c r="JL108" s="1155"/>
      <c r="JM108" s="1155"/>
      <c r="JN108" s="1155"/>
      <c r="JO108" s="1155">
        <f>LARGE($AG$41:$AH$107,JO$40)</f>
        <v>0.0</v>
      </c>
      <c r="JP108" s="1155"/>
      <c r="JQ108" s="1155"/>
      <c r="JR108" s="1155"/>
      <c r="JS108" s="1155">
        <f>LARGE($AG$41:$AH$107,JS$40)</f>
        <v>0.0</v>
      </c>
      <c r="JT108" s="1155"/>
      <c r="JU108" s="1155"/>
      <c r="JV108" s="1155"/>
      <c r="JW108" s="1155">
        <f>LARGE($AG$41:$AH$107,JW$40)</f>
        <v>0.0</v>
      </c>
      <c r="JX108" s="1155"/>
      <c r="JY108" s="1155"/>
      <c r="JZ108" s="1155"/>
      <c r="KA108" s="1155">
        <f>LARGE($AG$41:$AH$107,KA$40)</f>
        <v>0.0</v>
      </c>
      <c r="KB108" s="1155"/>
      <c r="KC108" s="1155"/>
      <c r="KD108" s="1155"/>
      <c r="KE108" s="1155">
        <f>LARGE($AG$41:$AH$107,KE$40)</f>
        <v>0.0</v>
      </c>
      <c r="KF108" s="1155"/>
      <c r="KG108" s="1155"/>
      <c r="KH108" s="1155"/>
      <c r="KI108" s="1155">
        <f>LARGE($AG$41:$AH$107,KI$40)</f>
        <v>0.0</v>
      </c>
      <c r="KJ108" s="1155"/>
      <c r="KK108" s="1155"/>
      <c r="KL108" s="1155"/>
      <c r="KM108" s="1155">
        <f>LARGE($AG$41:$AH$107,KM$40)</f>
        <v>0.0</v>
      </c>
      <c r="KN108" s="1155"/>
      <c r="KO108" s="1155"/>
      <c r="KP108" s="1155"/>
      <c r="KQ108" s="1155">
        <f>LARGE($AG$41:$AH$107,KQ$40)</f>
        <v>0.0</v>
      </c>
      <c r="KR108" s="1155"/>
      <c r="KS108" s="1155"/>
      <c r="KT108" s="1155"/>
    </row>
    <row r="109" spans="8:8">
      <c r="AI109" s="1122"/>
      <c r="AM109" s="1157" t="str">
        <f>_xlfn.TEXTJOIN(CHAR(10),TRUE,AM41:AP107)</f>
        <v/>
      </c>
      <c r="AN109" s="1157"/>
      <c r="AO109" s="1157"/>
      <c r="AP109" s="1157"/>
      <c r="AQ109" s="1157" t="str">
        <f>IF(AM$108&gt;AQ$108,_xlfn.TEXTJOIN(CHAR(10),TRUE,AQ41:AT107),"")</f>
        <v/>
      </c>
      <c r="AR109" s="1157"/>
      <c r="AS109" s="1157"/>
      <c r="AT109" s="1157"/>
      <c r="AU109" s="1157" t="str">
        <f>IF(AQ$108&gt;AU$108,_xlfn.TEXTJOIN(CHAR(10),TRUE,AU41:AX107),"")</f>
        <v/>
      </c>
      <c r="AV109" s="1157"/>
      <c r="AW109" s="1157"/>
      <c r="AX109" s="1157"/>
      <c r="AY109" s="1157" t="str">
        <f>IF(AU$108&gt;AY$108,_xlfn.TEXTJOIN(CHAR(10),TRUE,AY41:BB107),"")</f>
        <v/>
      </c>
      <c r="AZ109" s="1157"/>
      <c r="BA109" s="1157"/>
      <c r="BB109" s="1157"/>
      <c r="BC109" s="1157" t="str">
        <f>IF(AY$108&gt;BC$108,_xlfn.TEXTJOIN(CHAR(10),TRUE,BC41:BF107),"")</f>
        <v/>
      </c>
      <c r="BD109" s="1157"/>
      <c r="BE109" s="1157"/>
      <c r="BF109" s="1157"/>
      <c r="BG109" s="1157" t="str">
        <f>IF(BC$108&gt;BG$108,_xlfn.TEXTJOIN(CHAR(10),TRUE,BG41:BJ107),"")</f>
        <v/>
      </c>
      <c r="BH109" s="1157"/>
      <c r="BI109" s="1157"/>
      <c r="BJ109" s="1157"/>
      <c r="BK109" s="1157" t="str">
        <f>IF(BG$108&gt;BK$108,_xlfn.TEXTJOIN(CHAR(10),TRUE,BK41:BN107),"")</f>
        <v/>
      </c>
      <c r="BL109" s="1157"/>
      <c r="BM109" s="1157"/>
      <c r="BN109" s="1157"/>
      <c r="BO109" s="1157" t="str">
        <f>IF(BK$108&gt;BO$108,_xlfn.TEXTJOIN(CHAR(10),TRUE,BO41:BR107),"")</f>
        <v/>
      </c>
      <c r="BP109" s="1157"/>
      <c r="BQ109" s="1157"/>
      <c r="BR109" s="1157"/>
      <c r="BS109" s="1157" t="str">
        <f>IF(BO$108&gt;BS$108,_xlfn.TEXTJOIN(CHAR(10),TRUE,BS41:BV107),"")</f>
        <v/>
      </c>
      <c r="BT109" s="1157"/>
      <c r="BU109" s="1157"/>
      <c r="BV109" s="1157"/>
      <c r="BW109" s="1157" t="str">
        <f>IF(BS$108&gt;BW$108,_xlfn.TEXTJOIN(CHAR(10),TRUE,BW41:BZ107),"")</f>
        <v/>
      </c>
      <c r="BX109" s="1157"/>
      <c r="BY109" s="1157"/>
      <c r="BZ109" s="1157"/>
      <c r="CA109" s="1157" t="str">
        <f>IF(BW$108&gt;CA$108,_xlfn.TEXTJOIN(CHAR(10),TRUE,CA41:CD107),"")</f>
        <v/>
      </c>
      <c r="CB109" s="1157"/>
      <c r="CC109" s="1157"/>
      <c r="CD109" s="1157"/>
      <c r="CE109" s="1157" t="str">
        <f>IF(CA$108&gt;CE$108,_xlfn.TEXTJOIN(CHAR(10),TRUE,CE41:CH107),"")</f>
        <v/>
      </c>
      <c r="CF109" s="1157"/>
      <c r="CG109" s="1157"/>
      <c r="CH109" s="1157"/>
      <c r="CI109" s="1157" t="str">
        <f>IF(CE$108&gt;CI$108,_xlfn.TEXTJOIN(CHAR(10),TRUE,CI41:CL107),"")</f>
        <v/>
      </c>
      <c r="CJ109" s="1157"/>
      <c r="CK109" s="1157"/>
      <c r="CL109" s="1157"/>
      <c r="CM109" s="1157" t="str">
        <f>IF(CI$108&gt;CM$108,_xlfn.TEXTJOIN(CHAR(10),TRUE,CM41:CP107),"")</f>
        <v/>
      </c>
      <c r="CN109" s="1157"/>
      <c r="CO109" s="1157"/>
      <c r="CP109" s="1157"/>
      <c r="CQ109" s="1157" t="str">
        <f>IF(CM$108&gt;CQ$108,_xlfn.TEXTJOIN(CHAR(10),TRUE,CQ41:CT107),"")</f>
        <v/>
      </c>
      <c r="CR109" s="1157"/>
      <c r="CS109" s="1157"/>
      <c r="CT109" s="1157"/>
      <c r="CU109" s="1157" t="str">
        <f>IF(CQ$108&gt;CU$108,_xlfn.TEXTJOIN(CHAR(10),TRUE,CU41:CX107),"")</f>
        <v/>
      </c>
      <c r="CV109" s="1157"/>
      <c r="CW109" s="1157"/>
      <c r="CX109" s="1157"/>
      <c r="CY109" s="1157" t="str">
        <f>IF(CU$108&gt;CY$108,_xlfn.TEXTJOIN(CHAR(10),TRUE,CY41:DB107),"")</f>
        <v/>
      </c>
      <c r="CZ109" s="1157"/>
      <c r="DA109" s="1157"/>
      <c r="DB109" s="1157"/>
      <c r="DC109" s="1157" t="str">
        <f>IF(CY$108&gt;DC$108,_xlfn.TEXTJOIN(CHAR(10),TRUE,DC41:DF107),"")</f>
        <v/>
      </c>
      <c r="DD109" s="1157"/>
      <c r="DE109" s="1157"/>
      <c r="DF109" s="1157"/>
      <c r="DG109" s="1157" t="str">
        <f>IF(DC$108&gt;DG$108,_xlfn.TEXTJOIN(CHAR(10),TRUE,DG41:DJ107),"")</f>
        <v/>
      </c>
      <c r="DH109" s="1157"/>
      <c r="DI109" s="1157"/>
      <c r="DJ109" s="1157"/>
      <c r="DK109" s="1157" t="str">
        <f>IF(DG$108&gt;DK$108,_xlfn.TEXTJOIN(CHAR(10),TRUE,DK41:DN107),"")</f>
        <v/>
      </c>
      <c r="DL109" s="1157"/>
      <c r="DM109" s="1157"/>
      <c r="DN109" s="1157"/>
      <c r="DO109" s="1157" t="str">
        <f>IF(DK$108&gt;DO$108,_xlfn.TEXTJOIN(CHAR(10),TRUE,DO41:DR107),"")</f>
        <v/>
      </c>
      <c r="DP109" s="1157"/>
      <c r="DQ109" s="1157"/>
      <c r="DR109" s="1157"/>
      <c r="DS109" s="1157" t="str">
        <f>IF(DO$108&gt;DS$108,_xlfn.TEXTJOIN(CHAR(10),TRUE,DS41:DV107),"")</f>
        <v/>
      </c>
      <c r="DT109" s="1157"/>
      <c r="DU109" s="1157"/>
      <c r="DV109" s="1157"/>
      <c r="DW109" s="1157" t="str">
        <f>IF(DS$108&gt;DW$108,_xlfn.TEXTJOIN(CHAR(10),TRUE,DW41:DZ107),"")</f>
        <v/>
      </c>
      <c r="DX109" s="1157"/>
      <c r="DY109" s="1157"/>
      <c r="DZ109" s="1157"/>
      <c r="EA109" s="1157" t="str">
        <f>IF(DW$108&gt;EA$108,_xlfn.TEXTJOIN(CHAR(10),TRUE,EA41:ED107),"")</f>
        <v/>
      </c>
      <c r="EB109" s="1157"/>
      <c r="EC109" s="1157"/>
      <c r="ED109" s="1157"/>
      <c r="EE109" s="1157" t="str">
        <f>IF(EA$108&gt;EE$108,_xlfn.TEXTJOIN(CHAR(10),TRUE,EE41:EH107),"")</f>
        <v/>
      </c>
      <c r="EF109" s="1157"/>
      <c r="EG109" s="1157"/>
      <c r="EH109" s="1157"/>
      <c r="EI109" s="1157" t="str">
        <f>IF(EE$108&gt;EI$108,_xlfn.TEXTJOIN(CHAR(10),TRUE,EI41:EL107),"")</f>
        <v/>
      </c>
      <c r="EJ109" s="1157"/>
      <c r="EK109" s="1157"/>
      <c r="EL109" s="1157"/>
      <c r="EM109" s="1157" t="str">
        <f>IF(EI$108&gt;EM$108,_xlfn.TEXTJOIN(CHAR(10),TRUE,EM41:EP107),"")</f>
        <v/>
      </c>
      <c r="EN109" s="1157"/>
      <c r="EO109" s="1157"/>
      <c r="EP109" s="1157"/>
      <c r="EQ109" s="1157" t="str">
        <f>IF(EM$108&gt;EQ$108,_xlfn.TEXTJOIN(CHAR(10),TRUE,EQ41:ET107),"")</f>
        <v/>
      </c>
      <c r="ER109" s="1157"/>
      <c r="ES109" s="1157"/>
      <c r="ET109" s="1157"/>
      <c r="EU109" s="1157" t="str">
        <f>IF(EQ$108&gt;EU$108,_xlfn.TEXTJOIN(CHAR(10),TRUE,EU41:EX107),"")</f>
        <v/>
      </c>
      <c r="EV109" s="1157"/>
      <c r="EW109" s="1157"/>
      <c r="EX109" s="1157"/>
      <c r="EY109" s="1157" t="str">
        <f>IF(EU$108&gt;EY$108,_xlfn.TEXTJOIN(CHAR(10),TRUE,EY41:FB107),"")</f>
        <v/>
      </c>
      <c r="EZ109" s="1157"/>
      <c r="FA109" s="1157"/>
      <c r="FB109" s="1157"/>
      <c r="FC109" s="1157" t="str">
        <f>IF(EY$108&gt;FC$108,_xlfn.TEXTJOIN(CHAR(10),TRUE,FC41:FF107),"")</f>
        <v/>
      </c>
      <c r="FD109" s="1157"/>
      <c r="FE109" s="1157"/>
      <c r="FF109" s="1157"/>
      <c r="FG109" s="1157" t="str">
        <f>IF(FC$108&gt;FG$108,_xlfn.TEXTJOIN(CHAR(10),TRUE,FG41:FJ107),"")</f>
        <v/>
      </c>
      <c r="FH109" s="1157"/>
      <c r="FI109" s="1157"/>
      <c r="FJ109" s="1157"/>
      <c r="FK109" s="1157" t="str">
        <f>IF(FG$108&gt;FK$108,_xlfn.TEXTJOIN(CHAR(10),TRUE,FK41:FN107),"")</f>
        <v/>
      </c>
      <c r="FL109" s="1157"/>
      <c r="FM109" s="1157"/>
      <c r="FN109" s="1157"/>
      <c r="FO109" s="1157" t="str">
        <f>IF(FK$108&gt;FO$108,_xlfn.TEXTJOIN(CHAR(10),TRUE,FO41:FR107),"")</f>
        <v/>
      </c>
      <c r="FP109" s="1157"/>
      <c r="FQ109" s="1157"/>
      <c r="FR109" s="1157"/>
      <c r="FS109" s="1157" t="str">
        <f>IF(FO$108&gt;FS$108,_xlfn.TEXTJOIN(CHAR(10),TRUE,FS41:FV107),"")</f>
        <v/>
      </c>
      <c r="FT109" s="1157"/>
      <c r="FU109" s="1157"/>
      <c r="FV109" s="1157"/>
      <c r="FW109" s="1157" t="str">
        <f>IF(FS$108&gt;FW$108,_xlfn.TEXTJOIN(CHAR(10),TRUE,FW41:FZ107),"")</f>
        <v/>
      </c>
      <c r="FX109" s="1157"/>
      <c r="FY109" s="1157"/>
      <c r="FZ109" s="1157"/>
      <c r="GA109" s="1157" t="str">
        <f>IF(FW$108&gt;GA$108,_xlfn.TEXTJOIN(CHAR(10),TRUE,GA41:GD107),"")</f>
        <v/>
      </c>
      <c r="GB109" s="1157"/>
      <c r="GC109" s="1157"/>
      <c r="GD109" s="1157"/>
      <c r="GE109" s="1157" t="str">
        <f>IF(GA$108&gt;GE$108,_xlfn.TEXTJOIN(CHAR(10),TRUE,GE41:GH107),"")</f>
        <v/>
      </c>
      <c r="GF109" s="1157"/>
      <c r="GG109" s="1157"/>
      <c r="GH109" s="1157"/>
      <c r="GI109" s="1157" t="str">
        <f>IF(GE$108&gt;GI$108,_xlfn.TEXTJOIN(CHAR(10),TRUE,GI41:GL107),"")</f>
        <v/>
      </c>
      <c r="GJ109" s="1157"/>
      <c r="GK109" s="1157"/>
      <c r="GL109" s="1157"/>
      <c r="GM109" s="1157" t="str">
        <f>IF(GI$108&gt;GM$108,_xlfn.TEXTJOIN(CHAR(10),TRUE,GM41:GP107),"")</f>
        <v/>
      </c>
      <c r="GN109" s="1157"/>
      <c r="GO109" s="1157"/>
      <c r="GP109" s="1157"/>
      <c r="GQ109" s="1157" t="str">
        <f>IF(GM$108&gt;GQ$108,_xlfn.TEXTJOIN(CHAR(10),TRUE,GQ41:GT107),"")</f>
        <v/>
      </c>
      <c r="GR109" s="1157"/>
      <c r="GS109" s="1157"/>
      <c r="GT109" s="1157"/>
      <c r="GU109" s="1157" t="str">
        <f>IF(GQ$108&gt;GU$108,_xlfn.TEXTJOIN(CHAR(10),TRUE,GU41:GX107),"")</f>
        <v/>
      </c>
      <c r="GV109" s="1157"/>
      <c r="GW109" s="1157"/>
      <c r="GX109" s="1157"/>
      <c r="GY109" s="1157" t="str">
        <f>IF(GU$108&gt;GY$108,_xlfn.TEXTJOIN(CHAR(10),TRUE,GY41:HB107),"")</f>
        <v/>
      </c>
      <c r="GZ109" s="1157"/>
      <c r="HA109" s="1157"/>
      <c r="HB109" s="1157"/>
      <c r="HC109" s="1157" t="str">
        <f>IF(GY$108&gt;HC$108,_xlfn.TEXTJOIN(CHAR(10),TRUE,HC41:HF107),"")</f>
        <v/>
      </c>
      <c r="HD109" s="1157"/>
      <c r="HE109" s="1157"/>
      <c r="HF109" s="1157"/>
      <c r="HG109" s="1157" t="str">
        <f>IF(HC$108&gt;HG$108,_xlfn.TEXTJOIN(CHAR(10),TRUE,HG41:HJ107),"")</f>
        <v/>
      </c>
      <c r="HH109" s="1157"/>
      <c r="HI109" s="1157"/>
      <c r="HJ109" s="1157"/>
      <c r="HK109" s="1157" t="str">
        <f>IF(HG$108&gt;HK$108,_xlfn.TEXTJOIN(CHAR(10),TRUE,HK41:HN107),"")</f>
        <v/>
      </c>
      <c r="HL109" s="1157"/>
      <c r="HM109" s="1157"/>
      <c r="HN109" s="1157"/>
      <c r="HO109" s="1157" t="str">
        <f>IF(HK$108&gt;HO$108,_xlfn.TEXTJOIN(CHAR(10),TRUE,HO41:HR107),"")</f>
        <v/>
      </c>
      <c r="HP109" s="1157"/>
      <c r="HQ109" s="1157"/>
      <c r="HR109" s="1157"/>
      <c r="HS109" s="1157" t="str">
        <f>IF(HO$108&gt;HS$108,_xlfn.TEXTJOIN(CHAR(10),TRUE,HS41:HV107),"")</f>
        <v/>
      </c>
      <c r="HT109" s="1157"/>
      <c r="HU109" s="1157"/>
      <c r="HV109" s="1157"/>
      <c r="HW109" s="1157" t="str">
        <f>IF(HS$108&gt;HW$108,_xlfn.TEXTJOIN(CHAR(10),TRUE,HW41:HZ107),"")</f>
        <v/>
      </c>
      <c r="HX109" s="1157"/>
      <c r="HY109" s="1157"/>
      <c r="HZ109" s="1157"/>
      <c r="IA109" s="1157" t="str">
        <f>IF(HW$108&gt;IA$108,_xlfn.TEXTJOIN(CHAR(10),TRUE,IA41:ID107),"")</f>
        <v/>
      </c>
      <c r="IB109" s="1157"/>
      <c r="IC109" s="1157"/>
      <c r="ID109" s="1157"/>
      <c r="IE109" s="1157" t="str">
        <f>IF(IA$108&gt;IE$108,_xlfn.TEXTJOIN(CHAR(10),TRUE,IE41:IH107),"")</f>
        <v/>
      </c>
      <c r="IF109" s="1157"/>
      <c r="IG109" s="1157"/>
      <c r="IH109" s="1157"/>
      <c r="II109" s="1157" t="str">
        <f>IF(IE$108&gt;II$108,_xlfn.TEXTJOIN(CHAR(10),TRUE,II41:IL107),"")</f>
        <v/>
      </c>
      <c r="IJ109" s="1157"/>
      <c r="IK109" s="1157"/>
      <c r="IL109" s="1157"/>
      <c r="IM109" s="1157" t="str">
        <f>IF(II$108&gt;IM$108,_xlfn.TEXTJOIN(CHAR(10),TRUE,IM41:IP107),"")</f>
        <v/>
      </c>
      <c r="IN109" s="1157"/>
      <c r="IO109" s="1157"/>
      <c r="IP109" s="1157"/>
      <c r="IQ109" s="1157" t="str">
        <f>IF(IM$108&gt;IQ$108,_xlfn.TEXTJOIN(CHAR(10),TRUE,IQ41:IT107),"")</f>
        <v/>
      </c>
      <c r="IR109" s="1157"/>
      <c r="IS109" s="1157"/>
      <c r="IT109" s="1157"/>
      <c r="IU109" s="1157" t="str">
        <f>IF(IQ$108&gt;IU$108,_xlfn.TEXTJOIN(CHAR(10),TRUE,IU41:IX107),"")</f>
        <v/>
      </c>
      <c r="IV109" s="1157"/>
      <c r="IW109" s="1157"/>
      <c r="IX109" s="1157"/>
      <c r="IY109" s="1157" t="str">
        <f>IF(IU$108&gt;IY$108,_xlfn.TEXTJOIN(CHAR(10),TRUE,IY41:JB107),"")</f>
        <v/>
      </c>
      <c r="IZ109" s="1157"/>
      <c r="JA109" s="1157"/>
      <c r="JB109" s="1157"/>
      <c r="JC109" s="1157" t="str">
        <f>IF(IY$108&gt;JC$108,_xlfn.TEXTJOIN(CHAR(10),TRUE,JC41:JF107),"")</f>
        <v/>
      </c>
      <c r="JD109" s="1157"/>
      <c r="JE109" s="1157"/>
      <c r="JF109" s="1157"/>
      <c r="JG109" s="1157" t="str">
        <f>IF(JC$108&gt;JG$108,_xlfn.TEXTJOIN(CHAR(10),TRUE,JG41:JJ107),"")</f>
        <v/>
      </c>
      <c r="JH109" s="1157"/>
      <c r="JI109" s="1157"/>
      <c r="JJ109" s="1157"/>
      <c r="JK109" s="1157" t="str">
        <f>IF(JG$108&gt;JK$108,_xlfn.TEXTJOIN(CHAR(10),TRUE,JK41:JN107),"")</f>
        <v/>
      </c>
      <c r="JL109" s="1157"/>
      <c r="JM109" s="1157"/>
      <c r="JN109" s="1157"/>
      <c r="JO109" s="1157" t="str">
        <f>IF(JK$108&gt;JO$108,_xlfn.TEXTJOIN(CHAR(10),TRUE,JO41:JR107),"")</f>
        <v/>
      </c>
      <c r="JP109" s="1157"/>
      <c r="JQ109" s="1157"/>
      <c r="JR109" s="1157"/>
      <c r="JS109" s="1157" t="str">
        <f>IF(JO$108&gt;JS$108,_xlfn.TEXTJOIN(CHAR(10),TRUE,JS41:JV107),"")</f>
        <v/>
      </c>
      <c r="JT109" s="1157"/>
      <c r="JU109" s="1157"/>
      <c r="JV109" s="1157"/>
      <c r="JW109" s="1157" t="str">
        <f>IF(JS$108&gt;JW$108,_xlfn.TEXTJOIN(CHAR(10),TRUE,JW41:JZ107),"")</f>
        <v/>
      </c>
      <c r="JX109" s="1157"/>
      <c r="JY109" s="1157"/>
      <c r="JZ109" s="1157"/>
      <c r="KA109" s="1157" t="str">
        <f>IF(JW$108&gt;KA$108,_xlfn.TEXTJOIN(CHAR(10),TRUE,KA41:KD107),"")</f>
        <v/>
      </c>
      <c r="KB109" s="1157"/>
      <c r="KC109" s="1157"/>
      <c r="KD109" s="1157"/>
      <c r="KE109" s="1157" t="str">
        <f>IF(KA$108&gt;KE$108,_xlfn.TEXTJOIN(CHAR(10),TRUE,KE41:KH107),"")</f>
        <v/>
      </c>
      <c r="KF109" s="1157"/>
      <c r="KG109" s="1157"/>
      <c r="KH109" s="1157"/>
      <c r="KI109" s="1157" t="str">
        <f>IF(KE$108&gt;KI$108,_xlfn.TEXTJOIN(CHAR(10),TRUE,KI41:KL107),"")</f>
        <v/>
      </c>
      <c r="KJ109" s="1157"/>
      <c r="KK109" s="1157"/>
      <c r="KL109" s="1157"/>
      <c r="KM109" s="1157" t="str">
        <f>IF(KI$108&gt;KM$108,_xlfn.TEXTJOIN(CHAR(10),TRUE,KM41:KP107),"")</f>
        <v/>
      </c>
      <c r="KN109" s="1157"/>
      <c r="KO109" s="1157"/>
      <c r="KP109" s="1157"/>
      <c r="KQ109" s="1157" t="str">
        <f>IF(KM$108&gt;KQ$108,_xlfn.TEXTJOIN(CHAR(10),TRUE,KQ41:KT107),"")</f>
        <v/>
      </c>
      <c r="KR109" s="1157"/>
      <c r="KS109" s="1157"/>
      <c r="KT109" s="1157"/>
    </row>
    <row r="110" spans="8:8">
      <c r="AM110" s="1158" t="str">
        <f>_xlfn.IFERROR(REPT(AM108&amp;CHAR(10),(66-COUNTBLANK(AM41:AM107))),"")&amp;IF(COUNTBLANK(AM41:AM107)&lt;67,AM108,"")</f>
        <v/>
      </c>
      <c r="AN110" s="1158"/>
      <c r="AO110" s="1158"/>
      <c r="AP110" s="1158"/>
      <c r="AQ110" s="1158" t="str">
        <f>IF(AM$108&gt;AQ$108,_xlfn.IFERROR(REPT(AQ108&amp;CHAR(10),(66-COUNTBLANK(AQ41:AQ107))),"")&amp;IF(COUNTBLANK(AQ41:AQ107)&lt;67,AQ108,""),"")</f>
        <v/>
      </c>
      <c r="AR110" s="1158"/>
      <c r="AS110" s="1158"/>
      <c r="AT110" s="1158"/>
      <c r="AU110" s="1158" t="str">
        <f>IF(AQ$108&gt;AU$108,_xlfn.IFERROR(REPT(AU108&amp;CHAR(10),(66-COUNTBLANK(AU41:AU107))),"")&amp;IF(COUNTBLANK(AU41:AU107)&lt;67,AU108,""),"")</f>
        <v/>
      </c>
      <c r="AV110" s="1158"/>
      <c r="AW110" s="1158"/>
      <c r="AX110" s="1158"/>
      <c r="AY110" s="1158" t="str">
        <f>IF(AU$108&gt;AY$108,_xlfn.IFERROR(REPT(AY108&amp;CHAR(10),(66-COUNTBLANK(AY41:AY107))),"")&amp;IF(COUNTBLANK(AY41:AY107)&lt;67,AY108,""),"")</f>
        <v/>
      </c>
      <c r="AZ110" s="1158"/>
      <c r="BA110" s="1158"/>
      <c r="BB110" s="1158"/>
      <c r="BC110" s="1158" t="str">
        <f>IF(AY$108&gt;BC$108,_xlfn.IFERROR(REPT(BC108&amp;CHAR(10),(66-COUNTBLANK(BC41:BC107))),"")&amp;IF(COUNTBLANK(BC41:BC107)&lt;67,BC108,""),"")</f>
        <v/>
      </c>
      <c r="BD110" s="1158"/>
      <c r="BE110" s="1158"/>
      <c r="BF110" s="1158"/>
      <c r="BG110" s="1158" t="str">
        <f>IF(BC$108&gt;BG$108,_xlfn.IFERROR(REPT(BG108&amp;CHAR(10),(66-COUNTBLANK(BG41:BG107))),"")&amp;IF(COUNTBLANK(BG41:BG107)&lt;67,BG108,""),"")</f>
        <v/>
      </c>
      <c r="BH110" s="1158"/>
      <c r="BI110" s="1158"/>
      <c r="BJ110" s="1158"/>
      <c r="BK110" s="1158" t="str">
        <f>IF(BG$108&gt;BK$108,_xlfn.IFERROR(REPT(BK108&amp;CHAR(10),(66-COUNTBLANK(BK41:BK107))),"")&amp;IF(COUNTBLANK(BK41:BK107)&lt;67,BK108,""),"")</f>
        <v/>
      </c>
      <c r="BL110" s="1158"/>
      <c r="BM110" s="1158"/>
      <c r="BN110" s="1158"/>
      <c r="BO110" s="1158" t="str">
        <f>IF(BK$108&gt;BO$108,_xlfn.IFERROR(REPT(BO108&amp;CHAR(10),(66-COUNTBLANK(BO41:BO107))),"")&amp;IF(COUNTBLANK(BO41:BO107)&lt;67,BO108,""),"")</f>
        <v/>
      </c>
      <c r="BP110" s="1158"/>
      <c r="BQ110" s="1158"/>
      <c r="BR110" s="1158"/>
      <c r="BS110" s="1158" t="str">
        <f>IF(BO$108&gt;BS$108,_xlfn.IFERROR(REPT(BS108&amp;CHAR(10),(66-COUNTBLANK(BS41:BS107))),"")&amp;IF(COUNTBLANK(BS41:BS107)&lt;67,BS108,""),"")</f>
        <v/>
      </c>
      <c r="BT110" s="1158"/>
      <c r="BU110" s="1158"/>
      <c r="BV110" s="1158"/>
      <c r="BW110" s="1158" t="str">
        <f>IF(BS$108&gt;BW$108,_xlfn.IFERROR(REPT(BW108&amp;CHAR(10),(66-COUNTBLANK(BW41:BW107))),"")&amp;IF(COUNTBLANK(BW41:BW107)&lt;67,BW108,""),"")</f>
        <v/>
      </c>
      <c r="BX110" s="1158"/>
      <c r="BY110" s="1158"/>
      <c r="BZ110" s="1158"/>
      <c r="CA110" s="1158" t="str">
        <f>IF(BW$108&gt;CA$108,_xlfn.IFERROR(REPT(CA108&amp;CHAR(10),(66-COUNTBLANK(CA41:CA107))),"")&amp;IF(COUNTBLANK(CA41:CA107)&lt;67,CA108,""),"")</f>
        <v/>
      </c>
      <c r="CB110" s="1158"/>
      <c r="CC110" s="1158"/>
      <c r="CD110" s="1158"/>
      <c r="CE110" s="1158" t="str">
        <f>IF(CA$108&gt;CE$108,_xlfn.IFERROR(REPT(CE108&amp;CHAR(10),(66-COUNTBLANK(CE41:CE107))),"")&amp;IF(COUNTBLANK(CE41:CE107)&lt;67,CE108,""),"")</f>
        <v/>
      </c>
      <c r="CF110" s="1158"/>
      <c r="CG110" s="1158"/>
      <c r="CH110" s="1158"/>
      <c r="CI110" s="1158" t="str">
        <f>IF(CE$108&gt;CI$108,_xlfn.IFERROR(REPT(CI108&amp;CHAR(10),(66-COUNTBLANK(CI41:CI107))),"")&amp;IF(COUNTBLANK(CI41:CI107)&lt;67,CI108,""),"")</f>
        <v/>
      </c>
      <c r="CJ110" s="1158"/>
      <c r="CK110" s="1158"/>
      <c r="CL110" s="1158"/>
      <c r="CM110" s="1158" t="str">
        <f>IF(CI$108&gt;CM$108,_xlfn.IFERROR(REPT(CM108&amp;CHAR(10),(66-COUNTBLANK(CM41:CM107))),"")&amp;IF(COUNTBLANK(CM41:CM107)&lt;67,CM108,""),"")</f>
        <v/>
      </c>
      <c r="CN110" s="1158"/>
      <c r="CO110" s="1158"/>
      <c r="CP110" s="1158"/>
      <c r="CQ110" s="1158" t="str">
        <f>IF(CM$108&gt;CQ$108,_xlfn.IFERROR(REPT(CQ108&amp;CHAR(10),(66-COUNTBLANK(CQ41:CQ107))),"")&amp;IF(COUNTBLANK(CQ41:CQ107)&lt;67,CQ108,""),"")</f>
        <v/>
      </c>
      <c r="CR110" s="1158"/>
      <c r="CS110" s="1158"/>
      <c r="CT110" s="1158"/>
      <c r="CU110" s="1158" t="str">
        <f>IF(CQ$108&gt;CU$108,_xlfn.IFERROR(REPT(CU108&amp;CHAR(10),(66-COUNTBLANK(CU41:CU107))),"")&amp;IF(COUNTBLANK(CU41:CU107)&lt;67,CU108,""),"")</f>
        <v/>
      </c>
      <c r="CV110" s="1158"/>
      <c r="CW110" s="1158"/>
      <c r="CX110" s="1158"/>
      <c r="CY110" s="1158" t="str">
        <f>IF(CU$108&gt;CY$108,_xlfn.IFERROR(REPT(CY108&amp;CHAR(10),(66-COUNTBLANK(CY41:CY107))),"")&amp;IF(COUNTBLANK(CY41:CY107)&lt;67,CY108,""),"")</f>
        <v/>
      </c>
      <c r="CZ110" s="1158"/>
      <c r="DA110" s="1158"/>
      <c r="DB110" s="1158"/>
      <c r="DC110" s="1158" t="str">
        <f>IF(CY$108&gt;DC$108,_xlfn.IFERROR(REPT(DC108&amp;CHAR(10),(66-COUNTBLANK(DC41:DC107))),"")&amp;IF(COUNTBLANK(DC41:DC107)&lt;67,DC108,""),"")</f>
        <v/>
      </c>
      <c r="DD110" s="1158"/>
      <c r="DE110" s="1158"/>
      <c r="DF110" s="1158"/>
      <c r="DG110" s="1158" t="str">
        <f>IF(DC$108&gt;DG$108,_xlfn.IFERROR(REPT(DG108&amp;CHAR(10),(66-COUNTBLANK(DG41:DG107))),"")&amp;IF(COUNTBLANK(DG41:DG107)&lt;67,DG108,""),"")</f>
        <v/>
      </c>
      <c r="DH110" s="1158"/>
      <c r="DI110" s="1158"/>
      <c r="DJ110" s="1158"/>
      <c r="DK110" s="1158" t="str">
        <f>IF(DG$108&gt;DK$108,_xlfn.IFERROR(REPT(DK108&amp;CHAR(10),(66-COUNTBLANK(DK41:DK107))),"")&amp;IF(COUNTBLANK(DK41:DK107)&lt;67,DK108,""),"")</f>
        <v/>
      </c>
      <c r="DL110" s="1158"/>
      <c r="DM110" s="1158"/>
      <c r="DN110" s="1158"/>
      <c r="DO110" s="1158" t="str">
        <f>IF(DK$108&gt;DO$108,_xlfn.IFERROR(REPT(DO108&amp;CHAR(10),(66-COUNTBLANK(DO41:DO107))),"")&amp;IF(COUNTBLANK(DO41:DO107)&lt;67,DO108,""),"")</f>
        <v/>
      </c>
      <c r="DP110" s="1158"/>
      <c r="DQ110" s="1158"/>
      <c r="DR110" s="1158"/>
      <c r="DS110" s="1158" t="str">
        <f>IF(DO$108&gt;DS$108,_xlfn.IFERROR(REPT(DS108&amp;CHAR(10),(66-COUNTBLANK(DS41:DS107))),"")&amp;IF(COUNTBLANK(DS41:DS107)&lt;67,DS108,""),"")</f>
        <v/>
      </c>
      <c r="DT110" s="1158"/>
      <c r="DU110" s="1158"/>
      <c r="DV110" s="1158"/>
      <c r="DW110" s="1158" t="str">
        <f>IF(DS$108&gt;DW$108,_xlfn.IFERROR(REPT(DW108&amp;CHAR(10),(66-COUNTBLANK(DW41:DW107))),"")&amp;IF(COUNTBLANK(DW41:DW107)&lt;67,DW108,""),"")</f>
        <v/>
      </c>
      <c r="DX110" s="1158"/>
      <c r="DY110" s="1158"/>
      <c r="DZ110" s="1158"/>
      <c r="EA110" s="1158" t="str">
        <f>IF(DW$108&gt;EA$108,_xlfn.IFERROR(REPT(EA108&amp;CHAR(10),(66-COUNTBLANK(EA41:EA107))),"")&amp;IF(COUNTBLANK(EA41:EA107)&lt;67,EA108,""),"")</f>
        <v/>
      </c>
      <c r="EB110" s="1158"/>
      <c r="EC110" s="1158"/>
      <c r="ED110" s="1158"/>
      <c r="EE110" s="1158" t="str">
        <f>IF(EA$108&gt;EE$108,_xlfn.IFERROR(REPT(EE108&amp;CHAR(10),(66-COUNTBLANK(EE41:EE107))),"")&amp;IF(COUNTBLANK(EE41:EE107)&lt;67,EE108,""),"")</f>
        <v/>
      </c>
      <c r="EF110" s="1158"/>
      <c r="EG110" s="1158"/>
      <c r="EH110" s="1158"/>
      <c r="EI110" s="1158" t="str">
        <f>IF(EE$108&gt;EI$108,_xlfn.IFERROR(REPT(EI108&amp;CHAR(10),(66-COUNTBLANK(EI41:EI107))),"")&amp;IF(COUNTBLANK(EI41:EI107)&lt;67,EI108,""),"")</f>
        <v/>
      </c>
      <c r="EJ110" s="1158"/>
      <c r="EK110" s="1158"/>
      <c r="EL110" s="1158"/>
      <c r="EM110" s="1158" t="str">
        <f>IF(EI$108&gt;EM$108,_xlfn.IFERROR(REPT(EM108&amp;CHAR(10),(66-COUNTBLANK(EM41:EM107))),"")&amp;IF(COUNTBLANK(EM41:EM107)&lt;67,EM108,""),"")</f>
        <v/>
      </c>
      <c r="EN110" s="1158"/>
      <c r="EO110" s="1158"/>
      <c r="EP110" s="1158"/>
      <c r="EQ110" s="1158" t="str">
        <f>IF(EM$108&gt;EQ$108,_xlfn.IFERROR(REPT(EQ108&amp;CHAR(10),(66-COUNTBLANK(EQ41:EQ107))),"")&amp;IF(COUNTBLANK(EQ41:EQ107)&lt;67,EQ108,""),"")</f>
        <v/>
      </c>
      <c r="ER110" s="1158"/>
      <c r="ES110" s="1158"/>
      <c r="ET110" s="1158"/>
      <c r="EU110" s="1158" t="str">
        <f>IF(EQ$108&gt;EU$108,_xlfn.IFERROR(REPT(EU108&amp;CHAR(10),(66-COUNTBLANK(EU41:EU107))),"")&amp;IF(COUNTBLANK(EU41:EU107)&lt;67,EU108,""),"")</f>
        <v/>
      </c>
      <c r="EV110" s="1158"/>
      <c r="EW110" s="1158"/>
      <c r="EX110" s="1158"/>
      <c r="EY110" s="1158" t="str">
        <f>IF(EU$108&gt;EY$108,_xlfn.IFERROR(REPT(EY108&amp;CHAR(10),(66-COUNTBLANK(EY41:EY107))),"")&amp;IF(COUNTBLANK(EY41:EY107)&lt;67,EY108,""),"")</f>
        <v/>
      </c>
      <c r="EZ110" s="1158"/>
      <c r="FA110" s="1158"/>
      <c r="FB110" s="1158"/>
      <c r="FC110" s="1158" t="str">
        <f>IF(EY$108&gt;FC$108,_xlfn.IFERROR(REPT(FC108&amp;CHAR(10),(66-COUNTBLANK(FC41:FC107))),"")&amp;IF(COUNTBLANK(FC41:FC107)&lt;67,FC108,""),"")</f>
        <v/>
      </c>
      <c r="FD110" s="1158"/>
      <c r="FE110" s="1158"/>
      <c r="FF110" s="1158"/>
      <c r="FG110" s="1158" t="str">
        <f>IF(FC$108&gt;FG$108,_xlfn.IFERROR(REPT(FG108&amp;CHAR(10),(66-COUNTBLANK(FG41:FG107))),"")&amp;IF(COUNTBLANK(FG41:FG107)&lt;67,FG108,""),"")</f>
        <v/>
      </c>
      <c r="FH110" s="1158"/>
      <c r="FI110" s="1158"/>
      <c r="FJ110" s="1158"/>
      <c r="FK110" s="1158" t="str">
        <f>IF(FG$108&gt;FK$108,_xlfn.IFERROR(REPT(FK108&amp;CHAR(10),(66-COUNTBLANK(FK41:FK107))),"")&amp;IF(COUNTBLANK(FK41:FK107)&lt;67,FK108,""),"")</f>
        <v/>
      </c>
      <c r="FL110" s="1158"/>
      <c r="FM110" s="1158"/>
      <c r="FN110" s="1158"/>
      <c r="FO110" s="1158" t="str">
        <f>IF(FK$108&gt;FO$108,_xlfn.IFERROR(REPT(FO108&amp;CHAR(10),(66-COUNTBLANK(FO41:FO107))),"")&amp;IF(COUNTBLANK(FO41:FO107)&lt;67,FO108,""),"")</f>
        <v/>
      </c>
      <c r="FP110" s="1158"/>
      <c r="FQ110" s="1158"/>
      <c r="FR110" s="1158"/>
      <c r="FS110" s="1158" t="str">
        <f>IF(FO$108&gt;FS$108,_xlfn.IFERROR(REPT(FS108&amp;CHAR(10),(66-COUNTBLANK(FS41:FS107))),"")&amp;IF(COUNTBLANK(FS41:FS107)&lt;67,FS108,""),"")</f>
        <v/>
      </c>
      <c r="FT110" s="1158"/>
      <c r="FU110" s="1158"/>
      <c r="FV110" s="1158"/>
      <c r="FW110" s="1158" t="str">
        <f>IF(FS$108&gt;FW$108,_xlfn.IFERROR(REPT(FW108&amp;CHAR(10),(66-COUNTBLANK(FW41:FW107))),"")&amp;IF(COUNTBLANK(FW41:FW107)&lt;67,FW108,""),"")</f>
        <v/>
      </c>
      <c r="FX110" s="1158"/>
      <c r="FY110" s="1158"/>
      <c r="FZ110" s="1158"/>
      <c r="GA110" s="1158" t="str">
        <f>IF(FW$108&gt;GA$108,_xlfn.IFERROR(REPT(GA108&amp;CHAR(10),(66-COUNTBLANK(GA41:GA107))),"")&amp;IF(COUNTBLANK(GA41:GA107)&lt;67,GA108,""),"")</f>
        <v/>
      </c>
      <c r="GB110" s="1158"/>
      <c r="GC110" s="1158"/>
      <c r="GD110" s="1158"/>
      <c r="GE110" s="1158" t="str">
        <f>IF(GA$108&gt;GE$108,_xlfn.IFERROR(REPT(GE108&amp;CHAR(10),(66-COUNTBLANK(GE41:GE107))),"")&amp;IF(COUNTBLANK(GE41:GE107)&lt;67,GE108,""),"")</f>
        <v/>
      </c>
      <c r="GF110" s="1158"/>
      <c r="GG110" s="1158"/>
      <c r="GH110" s="1158"/>
      <c r="GI110" s="1158" t="str">
        <f>IF(GE$108&gt;GI$108,_xlfn.IFERROR(REPT(GI108&amp;CHAR(10),(66-COUNTBLANK(GI41:GI107))),"")&amp;IF(COUNTBLANK(GI41:GI107)&lt;67,GI108,""),"")</f>
        <v/>
      </c>
      <c r="GJ110" s="1158"/>
      <c r="GK110" s="1158"/>
      <c r="GL110" s="1158"/>
      <c r="GM110" s="1158" t="str">
        <f>IF(GI$108&gt;GM$108,_xlfn.IFERROR(REPT(GM108&amp;CHAR(10),(66-COUNTBLANK(GM41:GM107))),"")&amp;IF(COUNTBLANK(GM41:GM107)&lt;67,GM108,""),"")</f>
        <v/>
      </c>
      <c r="GN110" s="1158"/>
      <c r="GO110" s="1158"/>
      <c r="GP110" s="1158"/>
      <c r="GQ110" s="1158" t="str">
        <f>IF(GM$108&gt;GQ$108,_xlfn.IFERROR(REPT(GQ108&amp;CHAR(10),(66-COUNTBLANK(GQ41:GQ107))),"")&amp;IF(COUNTBLANK(GQ41:GQ107)&lt;67,GQ108,""),"")</f>
        <v/>
      </c>
      <c r="GR110" s="1158"/>
      <c r="GS110" s="1158"/>
      <c r="GT110" s="1158"/>
      <c r="GU110" s="1158" t="str">
        <f>IF(GQ$108&gt;GU$108,_xlfn.IFERROR(REPT(GU108&amp;CHAR(10),(66-COUNTBLANK(GU41:GU107))),"")&amp;IF(COUNTBLANK(GU41:GU107)&lt;67,GU108,""),"")</f>
        <v/>
      </c>
      <c r="GV110" s="1158"/>
      <c r="GW110" s="1158"/>
      <c r="GX110" s="1158"/>
      <c r="GY110" s="1158" t="str">
        <f>IF(GU$108&gt;GY$108,_xlfn.IFERROR(REPT(GY108&amp;CHAR(10),(66-COUNTBLANK(GY41:GY107))),"")&amp;IF(COUNTBLANK(GY41:GY107)&lt;67,GY108,""),"")</f>
        <v/>
      </c>
      <c r="GZ110" s="1158"/>
      <c r="HA110" s="1158"/>
      <c r="HB110" s="1158"/>
      <c r="HC110" s="1158" t="str">
        <f>IF(GY$108&gt;HC$108,_xlfn.IFERROR(REPT(HC108&amp;CHAR(10),(66-COUNTBLANK(HC41:HC107))),"")&amp;IF(COUNTBLANK(HC41:HC107)&lt;67,HC108,""),"")</f>
        <v/>
      </c>
      <c r="HD110" s="1158"/>
      <c r="HE110" s="1158"/>
      <c r="HF110" s="1158"/>
      <c r="HG110" s="1158" t="str">
        <f>IF(HC$108&gt;HG$108,_xlfn.IFERROR(REPT(HG108&amp;CHAR(10),(66-COUNTBLANK(HG41:HG107))),"")&amp;IF(COUNTBLANK(HG41:HG107)&lt;67,HG108,""),"")</f>
        <v/>
      </c>
      <c r="HH110" s="1158"/>
      <c r="HI110" s="1158"/>
      <c r="HJ110" s="1158"/>
      <c r="HK110" s="1158" t="str">
        <f>IF(HG$108&gt;HK$108,_xlfn.IFERROR(REPT(HK108&amp;CHAR(10),(66-COUNTBLANK(HK41:HK107))),"")&amp;IF(COUNTBLANK(HK41:HK107)&lt;67,HK108,""),"")</f>
        <v/>
      </c>
      <c r="HL110" s="1158"/>
      <c r="HM110" s="1158"/>
      <c r="HN110" s="1158"/>
      <c r="HO110" s="1158" t="str">
        <f>IF(HK$108&gt;HO$108,_xlfn.IFERROR(REPT(HO108&amp;CHAR(10),(66-COUNTBLANK(HO41:HO107))),"")&amp;IF(COUNTBLANK(HO41:HO107)&lt;67,HO108,""),"")</f>
        <v/>
      </c>
      <c r="HP110" s="1158"/>
      <c r="HQ110" s="1158"/>
      <c r="HR110" s="1158"/>
      <c r="HS110" s="1158" t="str">
        <f>IF(HO$108&gt;HS$108,_xlfn.IFERROR(REPT(HS108&amp;CHAR(10),(66-COUNTBLANK(HS41:HS107))),"")&amp;IF(COUNTBLANK(HS41:HS107)&lt;67,HS108,""),"")</f>
        <v/>
      </c>
      <c r="HT110" s="1158"/>
      <c r="HU110" s="1158"/>
      <c r="HV110" s="1158"/>
      <c r="HW110" s="1158" t="str">
        <f>IF(HS$108&gt;HW$108,_xlfn.IFERROR(REPT(HW108&amp;CHAR(10),(66-COUNTBLANK(HW41:HW107))),"")&amp;IF(COUNTBLANK(HW41:HW107)&lt;67,HW108,""),"")</f>
        <v/>
      </c>
      <c r="HX110" s="1158"/>
      <c r="HY110" s="1158"/>
      <c r="HZ110" s="1158"/>
      <c r="IA110" s="1158" t="str">
        <f>IF(HW$108&gt;IA$108,_xlfn.IFERROR(REPT(IA108&amp;CHAR(10),(66-COUNTBLANK(IA41:IA107))),"")&amp;IF(COUNTBLANK(IA41:IA107)&lt;67,IA108,""),"")</f>
        <v/>
      </c>
      <c r="IB110" s="1158"/>
      <c r="IC110" s="1158"/>
      <c r="ID110" s="1158"/>
      <c r="IE110" s="1158" t="str">
        <f>IF(IA$108&gt;IE$108,_xlfn.IFERROR(REPT(IE108&amp;CHAR(10),(66-COUNTBLANK(IE41:IE107))),"")&amp;IF(COUNTBLANK(IE41:IE107)&lt;67,IE108,""),"")</f>
        <v/>
      </c>
      <c r="IF110" s="1158"/>
      <c r="IG110" s="1158"/>
      <c r="IH110" s="1158"/>
      <c r="II110" s="1158" t="str">
        <f>IF(IE$108&gt;II$108,_xlfn.IFERROR(REPT(II108&amp;CHAR(10),(66-COUNTBLANK(II41:II107))),"")&amp;IF(COUNTBLANK(II41:II107)&lt;67,II108,""),"")</f>
        <v/>
      </c>
      <c r="IJ110" s="1158"/>
      <c r="IK110" s="1158"/>
      <c r="IL110" s="1158"/>
      <c r="IM110" s="1158" t="str">
        <f>IF(II$108&gt;IM$108,_xlfn.IFERROR(REPT(IM108&amp;CHAR(10),(66-COUNTBLANK(IM41:IM107))),"")&amp;IF(COUNTBLANK(IM41:IM107)&lt;67,IM108,""),"")</f>
        <v/>
      </c>
      <c r="IN110" s="1158"/>
      <c r="IO110" s="1158"/>
      <c r="IP110" s="1158"/>
      <c r="IQ110" s="1158" t="str">
        <f>IF(IM$108&gt;IQ$108,_xlfn.IFERROR(REPT(IQ108&amp;CHAR(10),(66-COUNTBLANK(IQ41:IQ107))),"")&amp;IF(COUNTBLANK(IQ41:IQ107)&lt;67,IQ108,""),"")</f>
        <v/>
      </c>
      <c r="IR110" s="1158"/>
      <c r="IS110" s="1158"/>
      <c r="IT110" s="1158"/>
      <c r="IU110" s="1158" t="str">
        <f>IF(IQ$108&gt;IU$108,_xlfn.IFERROR(REPT(IU108&amp;CHAR(10),(66-COUNTBLANK(IU41:IU107))),"")&amp;IF(COUNTBLANK(IU41:IU107)&lt;67,IU108,""),"")</f>
        <v/>
      </c>
      <c r="IV110" s="1158"/>
      <c r="IW110" s="1158"/>
      <c r="IX110" s="1158"/>
      <c r="IY110" s="1158" t="str">
        <f>IF(IU$108&gt;IY$108,_xlfn.IFERROR(REPT(IY108&amp;CHAR(10),(66-COUNTBLANK(IY41:IY107))),"")&amp;IF(COUNTBLANK(IY41:IY107)&lt;67,IY108,""),"")</f>
        <v/>
      </c>
      <c r="IZ110" s="1158"/>
      <c r="JA110" s="1158"/>
      <c r="JB110" s="1158"/>
      <c r="JC110" s="1158" t="str">
        <f>IF(IY$108&gt;JC$108,_xlfn.IFERROR(REPT(JC108&amp;CHAR(10),(66-COUNTBLANK(JC41:JC107))),"")&amp;IF(COUNTBLANK(JC41:JC107)&lt;67,JC108,""),"")</f>
        <v/>
      </c>
      <c r="JD110" s="1158"/>
      <c r="JE110" s="1158"/>
      <c r="JF110" s="1158"/>
      <c r="JG110" s="1158" t="str">
        <f>IF(JC$108&gt;JG$108,_xlfn.IFERROR(REPT(JG108&amp;CHAR(10),(66-COUNTBLANK(JG41:JG107))),"")&amp;IF(COUNTBLANK(JG41:JG107)&lt;67,JG108,""),"")</f>
        <v/>
      </c>
      <c r="JH110" s="1158"/>
      <c r="JI110" s="1158"/>
      <c r="JJ110" s="1158"/>
      <c r="JK110" s="1158" t="str">
        <f>IF(JG$108&gt;JK$108,_xlfn.IFERROR(REPT(JK108&amp;CHAR(10),(66-COUNTBLANK(JK41:JK107))),"")&amp;IF(COUNTBLANK(JK41:JK107)&lt;67,JK108,""),"")</f>
        <v/>
      </c>
      <c r="JL110" s="1158"/>
      <c r="JM110" s="1158"/>
      <c r="JN110" s="1158"/>
      <c r="JO110" s="1158" t="str">
        <f>IF(JK$108&gt;JO$108,_xlfn.IFERROR(REPT(JO108&amp;CHAR(10),(66-COUNTBLANK(JO41:JO107))),"")&amp;IF(COUNTBLANK(JO41:JO107)&lt;67,JO108,""),"")</f>
        <v/>
      </c>
      <c r="JP110" s="1158"/>
      <c r="JQ110" s="1158"/>
      <c r="JR110" s="1158"/>
      <c r="JS110" s="1158" t="str">
        <f>IF(JO$108&gt;JS$108,_xlfn.IFERROR(REPT(JS108&amp;CHAR(10),(66-COUNTBLANK(JS41:JS107))),"")&amp;IF(COUNTBLANK(JS41:JS107)&lt;67,JS108,""),"")</f>
        <v/>
      </c>
      <c r="JT110" s="1158"/>
      <c r="JU110" s="1158"/>
      <c r="JV110" s="1158"/>
      <c r="JW110" s="1158" t="str">
        <f>IF(JS$108&gt;JW$108,_xlfn.IFERROR(REPT(JW108&amp;CHAR(10),(66-COUNTBLANK(JW41:JW107))),"")&amp;IF(COUNTBLANK(JW41:JW107)&lt;67,JW108,""),"")</f>
        <v/>
      </c>
      <c r="JX110" s="1158"/>
      <c r="JY110" s="1158"/>
      <c r="JZ110" s="1158"/>
      <c r="KA110" s="1158" t="str">
        <f>IF(JW$108&gt;KA$108,_xlfn.IFERROR(REPT(KA108&amp;CHAR(10),(66-COUNTBLANK(KA41:KA107))),"")&amp;IF(COUNTBLANK(KA41:KA107)&lt;67,KA108,""),"")</f>
        <v/>
      </c>
      <c r="KB110" s="1158"/>
      <c r="KC110" s="1158"/>
      <c r="KD110" s="1158"/>
      <c r="KE110" s="1158" t="str">
        <f>IF(KA$108&gt;KE$108,_xlfn.IFERROR(REPT(KE108&amp;CHAR(10),(66-COUNTBLANK(KE41:KE107))),"")&amp;IF(COUNTBLANK(KE41:KE107)&lt;67,KE108,""),"")</f>
        <v/>
      </c>
      <c r="KF110" s="1158"/>
      <c r="KG110" s="1158"/>
      <c r="KH110" s="1158"/>
      <c r="KI110" s="1158" t="str">
        <f>IF(KE$108&gt;KI$108,_xlfn.IFERROR(REPT(KI108&amp;CHAR(10),(66-COUNTBLANK(KI41:KI107))),"")&amp;IF(COUNTBLANK(KI41:KI107)&lt;67,KI108,""),"")</f>
        <v/>
      </c>
      <c r="KJ110" s="1158"/>
      <c r="KK110" s="1158"/>
      <c r="KL110" s="1158"/>
      <c r="KM110" s="1158" t="str">
        <f>IF(KI$108&gt;KM$108,_xlfn.IFERROR(REPT(KM108&amp;CHAR(10),(66-COUNTBLANK(KM41:KM107))),"")&amp;IF(COUNTBLANK(KM41:KM107)&lt;67,KM108,""),"")</f>
        <v/>
      </c>
      <c r="KN110" s="1158"/>
      <c r="KO110" s="1158"/>
      <c r="KP110" s="1158"/>
      <c r="KQ110" s="1158" t="str">
        <f>IF(KM$108&gt;KQ$108,_xlfn.IFERROR(REPT(KQ108&amp;CHAR(10),(66-COUNTBLANK(KQ41:KQ107))),"")&amp;IF(COUNTBLANK(KQ41:KQ107)&lt;67,KQ108,""),"")</f>
        <v/>
      </c>
      <c r="KR110" s="1158"/>
      <c r="KS110" s="1158"/>
      <c r="KT110" s="1158"/>
      <c r="KU110" s="1159"/>
      <c r="KV110" s="1159"/>
      <c r="KW110" s="1159"/>
      <c r="KX110" s="1159"/>
      <c r="KY110" s="1159"/>
      <c r="KZ110" s="1159"/>
      <c r="LA110" s="1159"/>
      <c r="LB110" s="1159"/>
      <c r="LC110" s="1159"/>
      <c r="LD110" s="1159"/>
      <c r="LE110" s="1159"/>
      <c r="LF110" s="1159"/>
      <c r="LG110" s="1159"/>
      <c r="LH110" s="1159"/>
      <c r="LI110" s="1159"/>
      <c r="LJ110" s="1159"/>
      <c r="LK110" s="1159"/>
      <c r="LL110" s="1159"/>
      <c r="LM110" s="1159"/>
      <c r="LN110" s="1159"/>
      <c r="LO110" s="1159"/>
      <c r="LP110" s="1159"/>
      <c r="LQ110" s="1159"/>
      <c r="LR110" s="1159"/>
      <c r="LS110" s="1159"/>
      <c r="LT110" s="1159"/>
      <c r="LU110" s="1159"/>
      <c r="LV110" s="1159"/>
      <c r="LW110" s="1159"/>
      <c r="LX110" s="1159"/>
      <c r="LY110" s="1159"/>
      <c r="LZ110" s="1159"/>
      <c r="MA110" s="1159"/>
      <c r="MB110" s="1159"/>
      <c r="MC110" s="1159"/>
      <c r="MD110" s="1159"/>
      <c r="ME110" s="1159"/>
      <c r="MF110" s="1159"/>
      <c r="MG110" s="1159"/>
      <c r="MH110" s="1159"/>
      <c r="MI110" s="1159"/>
      <c r="MJ110" s="1159"/>
      <c r="MK110" s="1159"/>
      <c r="ML110" s="1159"/>
      <c r="MM110" s="1159"/>
      <c r="MN110" s="1159"/>
      <c r="MO110" s="1159"/>
      <c r="MP110" s="1159"/>
      <c r="MQ110" s="1159"/>
      <c r="MR110" s="1159"/>
      <c r="MS110" s="1159"/>
      <c r="MT110" s="1159"/>
      <c r="MU110" s="1159"/>
      <c r="MV110" s="1159"/>
      <c r="MW110" s="1159"/>
      <c r="MX110" s="1159"/>
      <c r="MY110" s="1159"/>
      <c r="MZ110" s="1159"/>
      <c r="NA110" s="1159"/>
      <c r="NB110" s="1159"/>
      <c r="NC110" s="1159"/>
      <c r="ND110" s="1159"/>
      <c r="NE110" s="1159"/>
    </row>
    <row r="134" spans="8:8">
      <c r="C134" s="1160" t="str">
        <f>人物卡!B77</f>
        <v>                                      随身物品（使用右侧栏位需要背包）</v>
      </c>
      <c r="D134" s="1161"/>
      <c r="E134" s="1161"/>
      <c r="F134" s="1161"/>
      <c r="G134" s="1161"/>
      <c r="H134" s="1161"/>
      <c r="I134" s="1161"/>
      <c r="J134" s="1161"/>
      <c r="K134" s="1161"/>
      <c r="L134" s="1161"/>
      <c r="M134" s="1161"/>
      <c r="N134" s="1161"/>
      <c r="O134" s="1161"/>
      <c r="P134" s="1161"/>
      <c r="Q134" s="1161"/>
      <c r="R134" s="1161"/>
      <c r="S134" s="1161"/>
      <c r="T134" s="1161"/>
      <c r="U134" s="1161"/>
      <c r="V134" s="1162"/>
    </row>
    <row r="135" spans="8:8">
      <c r="C135" s="1163" t="str">
        <f>人物卡!B78</f>
        <v>状态</v>
      </c>
      <c r="D135" s="1164"/>
      <c r="E135" s="1164" t="str">
        <f>人物卡!D78</f>
        <v>部位</v>
      </c>
      <c r="F135" s="1164"/>
      <c r="G135" s="1164" t="str">
        <f>人物卡!F78</f>
        <v>物品名称</v>
      </c>
      <c r="H135" s="1164"/>
      <c r="I135" s="1164"/>
      <c r="J135" s="1164"/>
      <c r="K135" s="1164"/>
      <c r="L135" s="1164"/>
      <c r="M135" s="1164"/>
      <c r="N135" s="1164"/>
      <c r="O135" s="1165" t="str">
        <f>人物卡!N78</f>
        <v>背包格↓</v>
      </c>
      <c r="P135" s="1164"/>
      <c r="Q135" s="1164"/>
      <c r="R135" s="1164"/>
      <c r="S135" s="1164"/>
      <c r="T135" s="1164"/>
      <c r="U135" s="1164"/>
      <c r="V135" s="1166"/>
      <c r="W135" s="1167" t="str">
        <f>IF(COUNTBLANK(O136:O150)&lt;15,"————↓背包🎒↓————","")</f>
        <v/>
      </c>
      <c r="X135" s="1167"/>
      <c r="Y135" s="1167"/>
    </row>
    <row r="136" spans="8:8">
      <c r="C136" s="1168" t="str">
        <f>IF(人物卡!B79="","",人物卡!B79)</f>
        <v> </v>
      </c>
      <c r="D136" s="1169"/>
      <c r="E136" s="1168" t="str">
        <f>IF(人物卡!D79="","",人物卡!D79)</f>
        <v/>
      </c>
      <c r="F136" s="1169"/>
      <c r="G136" s="1170" t="str">
        <f>IF(人物卡!F79="","",人物卡!F79)</f>
        <v/>
      </c>
      <c r="H136" s="1171"/>
      <c r="I136" s="1171"/>
      <c r="J136" s="1171"/>
      <c r="K136" s="1171"/>
      <c r="L136" s="1171"/>
      <c r="M136" s="1171"/>
      <c r="N136" s="1172"/>
      <c r="O136" s="1170" t="str">
        <f>IF(人物卡!N79="","",人物卡!N79)</f>
        <v/>
      </c>
      <c r="P136" s="1171"/>
      <c r="Q136" s="1171"/>
      <c r="R136" s="1171"/>
      <c r="S136" s="1171"/>
      <c r="T136" s="1171"/>
      <c r="U136" s="1171"/>
      <c r="V136" s="1172"/>
      <c r="W136" s="1167" t="str">
        <f>_xlfn.TEXTJOIN(" ",TRUE,C136:N136)</f>
        <v> </v>
      </c>
      <c r="X136" s="1167"/>
      <c r="Y136" s="1167"/>
    </row>
    <row r="137" spans="8:8">
      <c r="C137" s="1168" t="str">
        <f>IF(人物卡!B80="","",人物卡!B80)</f>
        <v/>
      </c>
      <c r="D137" s="1169"/>
      <c r="E137" s="1168" t="str">
        <f>IF(人物卡!D80="","",人物卡!D80)</f>
        <v/>
      </c>
      <c r="F137" s="1169"/>
      <c r="G137" s="1170" t="str">
        <f>IF(人物卡!F80="","",人物卡!F80)</f>
        <v/>
      </c>
      <c r="H137" s="1171"/>
      <c r="I137" s="1171"/>
      <c r="J137" s="1171"/>
      <c r="K137" s="1171"/>
      <c r="L137" s="1171"/>
      <c r="M137" s="1171"/>
      <c r="N137" s="1172"/>
      <c r="O137" s="1170" t="str">
        <f>IF(人物卡!N80="","",人物卡!N80)</f>
        <v/>
      </c>
      <c r="P137" s="1171"/>
      <c r="Q137" s="1171"/>
      <c r="R137" s="1171"/>
      <c r="S137" s="1171"/>
      <c r="T137" s="1171"/>
      <c r="U137" s="1171"/>
      <c r="V137" s="1172"/>
      <c r="W137" s="1167" t="str">
        <f>_xlfn.TEXTJOIN(" ",TRUE,C137:N137)</f>
        <v/>
      </c>
      <c r="X137" s="1167"/>
      <c r="Y137" s="1167"/>
    </row>
    <row r="138" spans="8:8">
      <c r="C138" s="1168" t="str">
        <f>IF(人物卡!B81="","",人物卡!B81)</f>
        <v/>
      </c>
      <c r="D138" s="1169"/>
      <c r="E138" s="1168" t="str">
        <f>IF(人物卡!D81="","",人物卡!D81)</f>
        <v/>
      </c>
      <c r="F138" s="1169"/>
      <c r="G138" s="1170" t="str">
        <f>IF(人物卡!F81="","",人物卡!F81)</f>
        <v/>
      </c>
      <c r="H138" s="1171"/>
      <c r="I138" s="1171"/>
      <c r="J138" s="1171"/>
      <c r="K138" s="1171"/>
      <c r="L138" s="1171"/>
      <c r="M138" s="1171"/>
      <c r="N138" s="1172"/>
      <c r="O138" s="1170" t="str">
        <f>IF(人物卡!N81="","",人物卡!N81)</f>
        <v/>
      </c>
      <c r="P138" s="1171"/>
      <c r="Q138" s="1171"/>
      <c r="R138" s="1171"/>
      <c r="S138" s="1171"/>
      <c r="T138" s="1171"/>
      <c r="U138" s="1171"/>
      <c r="V138" s="1172"/>
      <c r="W138" s="1167" t="str">
        <f>_xlfn.TEXTJOIN(" ",TRUE,C138:N138)</f>
        <v/>
      </c>
      <c r="X138" s="1167"/>
      <c r="Y138" s="1167"/>
    </row>
    <row r="139" spans="8:8">
      <c r="C139" s="1168" t="str">
        <f>IF(人物卡!B82="","",人物卡!B82)</f>
        <v/>
      </c>
      <c r="D139" s="1169"/>
      <c r="E139" s="1168" t="str">
        <f>IF(人物卡!D82="","",人物卡!D82)</f>
        <v/>
      </c>
      <c r="F139" s="1169"/>
      <c r="G139" s="1170" t="str">
        <f>IF(人物卡!F82="","",人物卡!F82)</f>
        <v/>
      </c>
      <c r="H139" s="1171"/>
      <c r="I139" s="1171"/>
      <c r="J139" s="1171"/>
      <c r="K139" s="1171"/>
      <c r="L139" s="1171"/>
      <c r="M139" s="1171"/>
      <c r="N139" s="1172"/>
      <c r="O139" s="1170" t="str">
        <f>IF(人物卡!N82="","",人物卡!N82)</f>
        <v/>
      </c>
      <c r="P139" s="1171"/>
      <c r="Q139" s="1171"/>
      <c r="R139" s="1171"/>
      <c r="S139" s="1171"/>
      <c r="T139" s="1171"/>
      <c r="U139" s="1171"/>
      <c r="V139" s="1172"/>
      <c r="W139" s="1167" t="str">
        <f>_xlfn.TEXTJOIN(" ",TRUE,C139:N139)</f>
        <v/>
      </c>
      <c r="X139" s="1167"/>
      <c r="Y139" s="1167"/>
    </row>
    <row r="140" spans="8:8">
      <c r="C140" s="1168" t="str">
        <f>IF(人物卡!B83="","",人物卡!B83)</f>
        <v/>
      </c>
      <c r="D140" s="1169"/>
      <c r="E140" s="1168" t="str">
        <f>IF(人物卡!D83="","",人物卡!D83)</f>
        <v/>
      </c>
      <c r="F140" s="1169"/>
      <c r="G140" s="1170" t="str">
        <f>IF(人物卡!F83="","",人物卡!F83)</f>
        <v/>
      </c>
      <c r="H140" s="1171"/>
      <c r="I140" s="1171"/>
      <c r="J140" s="1171"/>
      <c r="K140" s="1171"/>
      <c r="L140" s="1171"/>
      <c r="M140" s="1171"/>
      <c r="N140" s="1172"/>
      <c r="O140" s="1170" t="str">
        <f>IF(人物卡!N83="","",人物卡!N83)</f>
        <v/>
      </c>
      <c r="P140" s="1171"/>
      <c r="Q140" s="1171"/>
      <c r="R140" s="1171"/>
      <c r="S140" s="1171"/>
      <c r="T140" s="1171"/>
      <c r="U140" s="1171"/>
      <c r="V140" s="1172"/>
      <c r="W140" s="1167" t="str">
        <f>_xlfn.TEXTJOIN(" ",TRUE,C140:N140)</f>
        <v/>
      </c>
      <c r="X140" s="1167"/>
      <c r="Y140" s="1167"/>
    </row>
    <row r="141" spans="8:8">
      <c r="C141" s="1168" t="str">
        <f>IF(人物卡!B84="","",人物卡!B84)</f>
        <v/>
      </c>
      <c r="D141" s="1169"/>
      <c r="E141" s="1168" t="str">
        <f>IF(人物卡!D84="","",人物卡!D84)</f>
        <v/>
      </c>
      <c r="F141" s="1169"/>
      <c r="G141" s="1170" t="str">
        <f>IF(人物卡!F84="","",人物卡!F84)</f>
        <v/>
      </c>
      <c r="H141" s="1171"/>
      <c r="I141" s="1171"/>
      <c r="J141" s="1171"/>
      <c r="K141" s="1171"/>
      <c r="L141" s="1171"/>
      <c r="M141" s="1171"/>
      <c r="N141" s="1172"/>
      <c r="O141" s="1170" t="str">
        <f>IF(人物卡!N84="","",人物卡!N84)</f>
        <v/>
      </c>
      <c r="P141" s="1171"/>
      <c r="Q141" s="1171"/>
      <c r="R141" s="1171"/>
      <c r="S141" s="1171"/>
      <c r="T141" s="1171"/>
      <c r="U141" s="1171"/>
      <c r="V141" s="1172"/>
      <c r="W141" s="1167" t="str">
        <f>_xlfn.TEXTJOIN(" ",TRUE,C141:N141)</f>
        <v/>
      </c>
      <c r="X141" s="1167"/>
      <c r="Y141" s="1167"/>
    </row>
    <row r="142" spans="8:8">
      <c r="C142" s="1168" t="str">
        <f>IF(人物卡!B85="","",人物卡!B85)</f>
        <v/>
      </c>
      <c r="D142" s="1169"/>
      <c r="E142" s="1168" t="str">
        <f>IF(人物卡!D85="","",人物卡!D85)</f>
        <v/>
      </c>
      <c r="F142" s="1169"/>
      <c r="G142" s="1170" t="str">
        <f>IF(人物卡!F85="","",人物卡!F85)</f>
        <v/>
      </c>
      <c r="H142" s="1171"/>
      <c r="I142" s="1171"/>
      <c r="J142" s="1171"/>
      <c r="K142" s="1171"/>
      <c r="L142" s="1171"/>
      <c r="M142" s="1171"/>
      <c r="N142" s="1172"/>
      <c r="O142" s="1170" t="str">
        <f>IF(人物卡!N85="","",人物卡!N85)</f>
        <v/>
      </c>
      <c r="P142" s="1171"/>
      <c r="Q142" s="1171"/>
      <c r="R142" s="1171"/>
      <c r="S142" s="1171"/>
      <c r="T142" s="1171"/>
      <c r="U142" s="1171"/>
      <c r="V142" s="1172"/>
      <c r="W142" s="1167" t="str">
        <f>_xlfn.TEXTJOIN(" ",TRUE,C142:N142)</f>
        <v/>
      </c>
      <c r="X142" s="1167"/>
      <c r="Y142" s="1167"/>
    </row>
    <row r="143" spans="8:8">
      <c r="C143" s="1168" t="str">
        <f>IF(人物卡!B86="","",人物卡!B86)</f>
        <v/>
      </c>
      <c r="D143" s="1169"/>
      <c r="E143" s="1168" t="str">
        <f>IF(人物卡!D86="","",人物卡!D86)</f>
        <v/>
      </c>
      <c r="F143" s="1169"/>
      <c r="G143" s="1170" t="str">
        <f>IF(人物卡!F86="","",人物卡!F86)</f>
        <v/>
      </c>
      <c r="H143" s="1171"/>
      <c r="I143" s="1171"/>
      <c r="J143" s="1171"/>
      <c r="K143" s="1171"/>
      <c r="L143" s="1171"/>
      <c r="M143" s="1171"/>
      <c r="N143" s="1172"/>
      <c r="O143" s="1170" t="str">
        <f>IF(人物卡!N86="","",人物卡!N86)</f>
        <v/>
      </c>
      <c r="P143" s="1171"/>
      <c r="Q143" s="1171"/>
      <c r="R143" s="1171"/>
      <c r="S143" s="1171"/>
      <c r="T143" s="1171"/>
      <c r="U143" s="1171"/>
      <c r="V143" s="1172"/>
      <c r="W143" s="1167" t="str">
        <f>_xlfn.TEXTJOIN(" ",TRUE,C143:N143)</f>
        <v/>
      </c>
      <c r="X143" s="1167"/>
      <c r="Y143" s="1167"/>
    </row>
    <row r="144" spans="8:8">
      <c r="C144" s="1168" t="str">
        <f>IF(人物卡!B87="","",人物卡!B87)</f>
        <v/>
      </c>
      <c r="D144" s="1169"/>
      <c r="E144" s="1168" t="str">
        <f>IF(人物卡!D87="","",人物卡!D87)</f>
        <v/>
      </c>
      <c r="F144" s="1169"/>
      <c r="G144" s="1170" t="str">
        <f>IF(人物卡!F87="","",人物卡!F87)</f>
        <v/>
      </c>
      <c r="H144" s="1171"/>
      <c r="I144" s="1171"/>
      <c r="J144" s="1171"/>
      <c r="K144" s="1171"/>
      <c r="L144" s="1171"/>
      <c r="M144" s="1171"/>
      <c r="N144" s="1172"/>
      <c r="O144" s="1170" t="str">
        <f>IF(人物卡!N87="","",人物卡!N87)</f>
        <v/>
      </c>
      <c r="P144" s="1171"/>
      <c r="Q144" s="1171"/>
      <c r="R144" s="1171"/>
      <c r="S144" s="1171"/>
      <c r="T144" s="1171"/>
      <c r="U144" s="1171"/>
      <c r="V144" s="1172"/>
      <c r="W144" s="1167" t="str">
        <f>_xlfn.TEXTJOIN(" ",TRUE,C144:N144)</f>
        <v/>
      </c>
      <c r="X144" s="1167"/>
      <c r="Y144" s="1167"/>
    </row>
    <row r="145" spans="8:8">
      <c r="C145" s="1168" t="str">
        <f>IF(人物卡!B88="","",人物卡!B88)</f>
        <v/>
      </c>
      <c r="D145" s="1169"/>
      <c r="E145" s="1168" t="str">
        <f>IF(人物卡!D88="","",人物卡!D88)</f>
        <v/>
      </c>
      <c r="F145" s="1169"/>
      <c r="G145" s="1170" t="str">
        <f>IF(人物卡!F88="","",人物卡!F88)</f>
        <v/>
      </c>
      <c r="H145" s="1171"/>
      <c r="I145" s="1171"/>
      <c r="J145" s="1171"/>
      <c r="K145" s="1171"/>
      <c r="L145" s="1171"/>
      <c r="M145" s="1171"/>
      <c r="N145" s="1172"/>
      <c r="O145" s="1170" t="str">
        <f>IF(人物卡!N88="","",人物卡!N88)</f>
        <v/>
      </c>
      <c r="P145" s="1171"/>
      <c r="Q145" s="1171"/>
      <c r="R145" s="1171"/>
      <c r="S145" s="1171"/>
      <c r="T145" s="1171"/>
      <c r="U145" s="1171"/>
      <c r="V145" s="1172"/>
      <c r="W145" s="1167" t="str">
        <f>_xlfn.TEXTJOIN(" ",TRUE,C145:N145)</f>
        <v/>
      </c>
      <c r="X145" s="1167"/>
      <c r="Y145" s="1167"/>
    </row>
    <row r="146" spans="8:8">
      <c r="C146" s="1168" t="str">
        <f>IF(人物卡!B89="","",人物卡!B89)</f>
        <v/>
      </c>
      <c r="D146" s="1169"/>
      <c r="E146" s="1168" t="str">
        <f>IF(人物卡!D89="","",人物卡!D89)</f>
        <v/>
      </c>
      <c r="F146" s="1169"/>
      <c r="G146" s="1170" t="str">
        <f>IF(人物卡!F89="","",人物卡!F89)</f>
        <v/>
      </c>
      <c r="H146" s="1171"/>
      <c r="I146" s="1171"/>
      <c r="J146" s="1171"/>
      <c r="K146" s="1171"/>
      <c r="L146" s="1171"/>
      <c r="M146" s="1171"/>
      <c r="N146" s="1172"/>
      <c r="O146" s="1170" t="str">
        <f>IF(人物卡!N89="","",人物卡!N89)</f>
        <v/>
      </c>
      <c r="P146" s="1171"/>
      <c r="Q146" s="1171"/>
      <c r="R146" s="1171"/>
      <c r="S146" s="1171"/>
      <c r="T146" s="1171"/>
      <c r="U146" s="1171"/>
      <c r="V146" s="1172"/>
      <c r="W146" s="1167" t="str">
        <f>_xlfn.TEXTJOIN(" ",TRUE,C146:N146)</f>
        <v/>
      </c>
      <c r="X146" s="1167"/>
      <c r="Y146" s="1167"/>
    </row>
    <row r="147" spans="8:8">
      <c r="C147" s="1168" t="str">
        <f>IF(人物卡!B90="","",人物卡!B90)</f>
        <v/>
      </c>
      <c r="D147" s="1169"/>
      <c r="E147" s="1168" t="str">
        <f>IF(人物卡!D90="","",人物卡!D90)</f>
        <v/>
      </c>
      <c r="F147" s="1169"/>
      <c r="G147" s="1170" t="str">
        <f>IF(人物卡!F90="","",人物卡!F90)</f>
        <v/>
      </c>
      <c r="H147" s="1171"/>
      <c r="I147" s="1171"/>
      <c r="J147" s="1171"/>
      <c r="K147" s="1171"/>
      <c r="L147" s="1171"/>
      <c r="M147" s="1171"/>
      <c r="N147" s="1172"/>
      <c r="O147" s="1170" t="str">
        <f>IF(人物卡!N90="","",人物卡!N90)</f>
        <v/>
      </c>
      <c r="P147" s="1171"/>
      <c r="Q147" s="1171"/>
      <c r="R147" s="1171"/>
      <c r="S147" s="1171"/>
      <c r="T147" s="1171"/>
      <c r="U147" s="1171"/>
      <c r="V147" s="1172"/>
      <c r="W147" s="1167" t="str">
        <f>_xlfn.TEXTJOIN(" ",TRUE,C147:N147)</f>
        <v/>
      </c>
      <c r="X147" s="1167"/>
      <c r="Y147" s="1167"/>
    </row>
    <row r="148" spans="8:8">
      <c r="C148" s="1168" t="str">
        <f>IF(人物卡!B91="","",人物卡!B91)</f>
        <v/>
      </c>
      <c r="D148" s="1169"/>
      <c r="E148" s="1168" t="str">
        <f>IF(人物卡!D91="","",人物卡!D91)</f>
        <v/>
      </c>
      <c r="F148" s="1169"/>
      <c r="G148" s="1170" t="str">
        <f>IF(人物卡!F91="","",人物卡!F91)</f>
        <v/>
      </c>
      <c r="H148" s="1171"/>
      <c r="I148" s="1171"/>
      <c r="J148" s="1171"/>
      <c r="K148" s="1171"/>
      <c r="L148" s="1171"/>
      <c r="M148" s="1171"/>
      <c r="N148" s="1172"/>
      <c r="O148" s="1170" t="str">
        <f>IF(人物卡!N91="","",人物卡!N91)</f>
        <v/>
      </c>
      <c r="P148" s="1171"/>
      <c r="Q148" s="1171"/>
      <c r="R148" s="1171"/>
      <c r="S148" s="1171"/>
      <c r="T148" s="1171"/>
      <c r="U148" s="1171"/>
      <c r="V148" s="1172"/>
      <c r="W148" s="1167" t="str">
        <f>_xlfn.TEXTJOIN(" ",TRUE,C148:N148)</f>
        <v/>
      </c>
      <c r="X148" s="1167"/>
      <c r="Y148" s="1167"/>
    </row>
    <row r="149" spans="8:8">
      <c r="C149" s="1168" t="str">
        <f>IF(人物卡!B92="","",人物卡!B92)</f>
        <v/>
      </c>
      <c r="D149" s="1169"/>
      <c r="E149" s="1168" t="str">
        <f>IF(人物卡!D92="","",人物卡!D92)</f>
        <v/>
      </c>
      <c r="F149" s="1169"/>
      <c r="G149" s="1170" t="str">
        <f>IF(人物卡!F92="","",人物卡!F92)</f>
        <v/>
      </c>
      <c r="H149" s="1171"/>
      <c r="I149" s="1171"/>
      <c r="J149" s="1171"/>
      <c r="K149" s="1171"/>
      <c r="L149" s="1171"/>
      <c r="M149" s="1171"/>
      <c r="N149" s="1172"/>
      <c r="O149" s="1170" t="str">
        <f>IF(人物卡!N92="","",人物卡!N92)</f>
        <v/>
      </c>
      <c r="P149" s="1171"/>
      <c r="Q149" s="1171"/>
      <c r="R149" s="1171"/>
      <c r="S149" s="1171"/>
      <c r="T149" s="1171"/>
      <c r="U149" s="1171"/>
      <c r="V149" s="1172"/>
      <c r="W149" s="1167" t="str">
        <f>_xlfn.TEXTJOIN(" ",TRUE,C149:N149)</f>
        <v/>
      </c>
      <c r="X149" s="1167"/>
      <c r="Y149" s="1167"/>
    </row>
    <row r="150" spans="8:8">
      <c r="C150" s="1168" t="str">
        <f>IF(人物卡!B93="","",人物卡!B93)</f>
        <v/>
      </c>
      <c r="D150" s="1169"/>
      <c r="E150" s="1168" t="str">
        <f>IF(人物卡!D93="","",人物卡!D93)</f>
        <v/>
      </c>
      <c r="F150" s="1169"/>
      <c r="G150" s="1170" t="str">
        <f>IF(人物卡!F93="","",人物卡!F93)</f>
        <v/>
      </c>
      <c r="H150" s="1171"/>
      <c r="I150" s="1171"/>
      <c r="J150" s="1171"/>
      <c r="K150" s="1171"/>
      <c r="L150" s="1171"/>
      <c r="M150" s="1171"/>
      <c r="N150" s="1172"/>
      <c r="O150" s="1170" t="str">
        <f>IF(人物卡!N93="","",人物卡!N93)</f>
        <v/>
      </c>
      <c r="P150" s="1171"/>
      <c r="Q150" s="1171"/>
      <c r="R150" s="1171"/>
      <c r="S150" s="1171"/>
      <c r="T150" s="1171"/>
      <c r="U150" s="1171"/>
      <c r="V150" s="1172"/>
      <c r="W150" s="1167" t="str">
        <f>_xlfn.TEXTJOIN(" ",TRUE,C150:N150)</f>
        <v/>
      </c>
      <c r="X150" s="1167"/>
      <c r="Y150" s="1167"/>
    </row>
    <row r="152" spans="8:8">
      <c r="C152" s="1160" t="str">
        <f>人物卡!B51</f>
        <v>武器表</v>
      </c>
      <c r="D152" s="1161"/>
      <c r="E152" s="1161"/>
      <c r="F152" s="1161"/>
      <c r="G152" s="1161"/>
      <c r="H152" s="1161"/>
      <c r="I152" s="1161"/>
      <c r="J152" s="1161"/>
      <c r="K152" s="1161"/>
      <c r="L152" s="1161"/>
      <c r="M152" s="1161"/>
      <c r="N152" s="1161"/>
      <c r="O152" s="1161"/>
      <c r="P152" s="1161"/>
      <c r="Q152" s="1161"/>
      <c r="R152" s="1161"/>
      <c r="S152" s="1161"/>
      <c r="T152" s="1161"/>
      <c r="U152" s="1161"/>
      <c r="V152" s="1161"/>
      <c r="W152" s="1161"/>
      <c r="X152" s="1161"/>
      <c r="Y152" s="1161"/>
      <c r="Z152" s="1161"/>
      <c r="AA152" s="1161"/>
      <c r="AB152" s="1161"/>
      <c r="AC152" s="1161"/>
      <c r="AD152" s="1161"/>
      <c r="AE152" s="1161"/>
      <c r="AF152" s="1161"/>
      <c r="AG152" s="1161"/>
      <c r="AH152" s="1161"/>
      <c r="AI152" s="1161"/>
      <c r="AJ152" s="1161"/>
      <c r="AK152" s="1161"/>
      <c r="AL152" s="1162"/>
    </row>
    <row r="153" spans="8:8">
      <c r="C153" s="1173" t="str">
        <f>人物卡!B52</f>
        <v>武器名称</v>
      </c>
      <c r="D153" s="1174"/>
      <c r="E153" s="1174"/>
      <c r="F153" s="1174"/>
      <c r="G153" s="1174"/>
      <c r="H153" s="1174" t="str">
        <f>人物卡!G52</f>
        <v>类型</v>
      </c>
      <c r="I153" s="1174"/>
      <c r="J153" s="1174"/>
      <c r="K153" s="1174"/>
      <c r="L153" s="1174"/>
      <c r="M153" s="1174"/>
      <c r="N153" s="1174" t="str">
        <f>人物卡!M52</f>
        <v>使用技能</v>
      </c>
      <c r="O153" s="1174"/>
      <c r="P153" s="1174"/>
      <c r="Q153" s="1174"/>
      <c r="R153" s="1174" t="str">
        <f>人物卡!Q52</f>
        <v>成功率</v>
      </c>
      <c r="S153" s="1174"/>
      <c r="T153" s="1174"/>
      <c r="U153" s="1174"/>
      <c r="V153" s="1174"/>
      <c r="W153" s="1174"/>
      <c r="X153" s="1174" t="str">
        <f>人物卡!W52</f>
        <v>伤害</v>
      </c>
      <c r="Y153" s="1174"/>
      <c r="Z153" s="1174"/>
      <c r="AA153" s="1174"/>
      <c r="AB153" s="1174" t="str">
        <f>人物卡!AA52</f>
        <v>基础射程</v>
      </c>
      <c r="AC153" s="1174"/>
      <c r="AD153" s="1174" t="str">
        <f>人物卡!AC52</f>
        <v>贯穿</v>
      </c>
      <c r="AE153" s="1174"/>
      <c r="AF153" s="1174" t="str">
        <f>人物卡!AE52</f>
        <v>次数</v>
      </c>
      <c r="AG153" s="1174"/>
      <c r="AH153" s="1174" t="str">
        <f>人物卡!AG52</f>
        <v>装弹量</v>
      </c>
      <c r="AI153" s="1174"/>
      <c r="AJ153" s="1174"/>
      <c r="AK153" s="1174" t="str">
        <f>人物卡!AJ52</f>
        <v>故障值</v>
      </c>
      <c r="AL153" s="1175"/>
    </row>
    <row r="154" spans="8:8">
      <c r="C154" s="1176" t="str">
        <f>人物卡!B53</f>
        <v>无</v>
      </c>
      <c r="D154" s="1177"/>
      <c r="E154" s="1177"/>
      <c r="F154" s="1177"/>
      <c r="G154" s="1177"/>
      <c r="H154" s="1178" t="str">
        <f>人物卡!G53</f>
        <v>肉搏</v>
      </c>
      <c r="I154" s="1178"/>
      <c r="J154" s="1178"/>
      <c r="K154" s="1178"/>
      <c r="L154" s="1178"/>
      <c r="M154" s="1178"/>
      <c r="N154" s="1178" t="str">
        <f>人物卡!M53</f>
        <v>斗殴</v>
      </c>
      <c r="O154" s="1178"/>
      <c r="P154" s="1178"/>
      <c r="Q154" s="1178"/>
      <c r="R154" s="1178">
        <f>人物卡!Q53</f>
        <v>25.0</v>
      </c>
      <c r="S154" s="1178"/>
      <c r="T154" s="1178">
        <f>人物卡!S53</f>
        <v>12.0</v>
      </c>
      <c r="U154" s="1178"/>
      <c r="V154" s="1178">
        <f>人物卡!U53</f>
        <v>5.0</v>
      </c>
      <c r="W154" s="1178"/>
      <c r="X154" s="1178" t="str">
        <f>人物卡!W53</f>
        <v>1D3+DB</v>
      </c>
      <c r="Y154" s="1178"/>
      <c r="Z154" s="1178"/>
      <c r="AA154" s="1178"/>
      <c r="AB154" s="1178" t="str">
        <f>人物卡!AA53</f>
        <v>——</v>
      </c>
      <c r="AC154" s="1178"/>
      <c r="AD154" s="1178" t="str">
        <f>人物卡!AC53</f>
        <v>×</v>
      </c>
      <c r="AE154" s="1178"/>
      <c r="AF154" s="1178">
        <f>人物卡!AE53</f>
        <v>1.0</v>
      </c>
      <c r="AG154" s="1178"/>
      <c r="AH154" s="1178" t="str">
        <f>人物卡!AG53</f>
        <v>——</v>
      </c>
      <c r="AI154" s="1178"/>
      <c r="AJ154" s="1178"/>
      <c r="AK154" s="1178" t="str">
        <f>人物卡!AJ53</f>
        <v>——</v>
      </c>
      <c r="AL154" s="1179"/>
    </row>
    <row r="155" spans="8:8">
      <c r="C155" s="1180" t="str">
        <f>IF(人物卡!B54="","",人物卡!B54)</f>
        <v/>
      </c>
      <c r="D155" s="1180"/>
      <c r="E155" s="1180"/>
      <c r="F155" s="1180"/>
      <c r="G155" s="1180"/>
      <c r="H155" s="1180" t="str">
        <f>IF(人物卡!G54="","",人物卡!G54)</f>
        <v/>
      </c>
      <c r="I155" s="1180"/>
      <c r="J155" s="1180"/>
      <c r="K155" s="1180"/>
      <c r="L155" s="1180"/>
      <c r="M155" s="1180"/>
      <c r="N155" s="1180" t="str">
        <f>IF(人物卡!M54="","",人物卡!M54)</f>
        <v>←请选择类型</v>
      </c>
      <c r="O155" s="1180"/>
      <c r="P155" s="1180"/>
      <c r="Q155" s="1180"/>
      <c r="R155" s="1180" t="str">
        <f>IF(人物卡!Q54="","",人物卡!Q54)</f>
        <v/>
      </c>
      <c r="S155" s="1180"/>
      <c r="T155" s="1180" t="str">
        <f>IF(人物卡!S54="","",人物卡!S54)</f>
        <v/>
      </c>
      <c r="U155" s="1180"/>
      <c r="V155" s="1180" t="str">
        <f>IF(人物卡!U54="","",人物卡!U54)</f>
        <v/>
      </c>
      <c r="W155" s="1180"/>
      <c r="X155" s="1180" t="str">
        <f>IF(人物卡!W54="","",人物卡!W54)</f>
        <v/>
      </c>
      <c r="Y155" s="1180"/>
      <c r="Z155" s="1180"/>
      <c r="AA155" s="1180"/>
      <c r="AB155" s="1180" t="str">
        <f>IF(人物卡!AA54="","",人物卡!AA54)</f>
        <v/>
      </c>
      <c r="AC155" s="1180"/>
      <c r="AD155" s="1180" t="str">
        <f>IF(人物卡!AC54="","",人物卡!AC54)</f>
        <v/>
      </c>
      <c r="AE155" s="1180"/>
      <c r="AF155" s="1180" t="str">
        <f>IF(人物卡!AE54="","",人物卡!AE54)</f>
        <v/>
      </c>
      <c r="AG155" s="1180"/>
      <c r="AH155" s="1180" t="str">
        <f>IF(人物卡!AG54="","",人物卡!AG54)</f>
        <v/>
      </c>
      <c r="AI155" s="1180"/>
      <c r="AJ155" s="1180"/>
      <c r="AK155" s="1180" t="str">
        <f>IF(人物卡!AJ54="","",人物卡!AJ54)</f>
        <v/>
      </c>
      <c r="AL155" s="1180"/>
      <c r="AM155" s="1167" t="str">
        <f>IF(H155="","",_xlfn.TEXTJOIN(" ",TRUE,C155&amp;"【"&amp;H155&amp;"】",N155,X155))</f>
        <v/>
      </c>
      <c r="AN155" s="1167"/>
      <c r="AO155" s="1167"/>
    </row>
    <row r="156" spans="8:8">
      <c r="C156" s="1180" t="str">
        <f>IF(人物卡!B55="","",人物卡!B55)</f>
        <v/>
      </c>
      <c r="D156" s="1180"/>
      <c r="E156" s="1180"/>
      <c r="F156" s="1180"/>
      <c r="G156" s="1180"/>
      <c r="H156" s="1180" t="str">
        <f>IF(人物卡!G55="","",人物卡!G55)</f>
        <v/>
      </c>
      <c r="I156" s="1180"/>
      <c r="J156" s="1180"/>
      <c r="K156" s="1180"/>
      <c r="L156" s="1180"/>
      <c r="M156" s="1180"/>
      <c r="N156" s="1180" t="str">
        <f>IF(人物卡!M55="","",人物卡!M55)</f>
        <v/>
      </c>
      <c r="O156" s="1180"/>
      <c r="P156" s="1180"/>
      <c r="Q156" s="1180"/>
      <c r="R156" s="1180" t="str">
        <f>IF(人物卡!Q55="","",人物卡!Q55)</f>
        <v/>
      </c>
      <c r="S156" s="1180"/>
      <c r="T156" s="1180" t="str">
        <f>IF(人物卡!S55="","",人物卡!S55)</f>
        <v/>
      </c>
      <c r="U156" s="1180"/>
      <c r="V156" s="1180" t="str">
        <f>IF(人物卡!U55="","",人物卡!U55)</f>
        <v/>
      </c>
      <c r="W156" s="1180"/>
      <c r="X156" s="1180" t="str">
        <f>IF(人物卡!W55="","",人物卡!W55)</f>
        <v/>
      </c>
      <c r="Y156" s="1180"/>
      <c r="Z156" s="1180"/>
      <c r="AA156" s="1180"/>
      <c r="AB156" s="1180" t="str">
        <f>IF(人物卡!AA55="","",人物卡!AA55)</f>
        <v/>
      </c>
      <c r="AC156" s="1180"/>
      <c r="AD156" s="1180" t="str">
        <f>IF(人物卡!AC55="","",人物卡!AC55)</f>
        <v/>
      </c>
      <c r="AE156" s="1180"/>
      <c r="AF156" s="1180" t="str">
        <f>IF(人物卡!AE55="","",人物卡!AE55)</f>
        <v/>
      </c>
      <c r="AG156" s="1180"/>
      <c r="AH156" s="1180" t="str">
        <f>IF(人物卡!AG55="","",人物卡!AG55)</f>
        <v/>
      </c>
      <c r="AI156" s="1180"/>
      <c r="AJ156" s="1180"/>
      <c r="AK156" s="1180" t="str">
        <f>IF(人物卡!AJ55="","",人物卡!AJ55)</f>
        <v/>
      </c>
      <c r="AL156" s="1180"/>
      <c r="AM156" s="1167" t="str">
        <f>IF(H156="","",_xlfn.TEXTJOIN(" ",TRUE,C156&amp;"【"&amp;H156&amp;"】",N156,X156))</f>
        <v/>
      </c>
      <c r="AN156" s="1167"/>
      <c r="AO156" s="1167"/>
    </row>
    <row r="157" spans="8:8">
      <c r="C157" s="1180" t="str">
        <f>IF(人物卡!B56="","",人物卡!B56)</f>
        <v/>
      </c>
      <c r="D157" s="1180"/>
      <c r="E157" s="1180"/>
      <c r="F157" s="1180"/>
      <c r="G157" s="1180"/>
      <c r="H157" s="1180" t="str">
        <f>IF(人物卡!G56="","",人物卡!G56)</f>
        <v/>
      </c>
      <c r="I157" s="1180"/>
      <c r="J157" s="1180"/>
      <c r="K157" s="1180"/>
      <c r="L157" s="1180"/>
      <c r="M157" s="1180"/>
      <c r="N157" s="1180" t="str">
        <f>IF(人物卡!M56="","",人物卡!M56)</f>
        <v/>
      </c>
      <c r="O157" s="1180"/>
      <c r="P157" s="1180"/>
      <c r="Q157" s="1180"/>
      <c r="R157" s="1180" t="str">
        <f>IF(人物卡!Q56="","",人物卡!Q56)</f>
        <v/>
      </c>
      <c r="S157" s="1180"/>
      <c r="T157" s="1180" t="str">
        <f>IF(人物卡!S56="","",人物卡!S56)</f>
        <v/>
      </c>
      <c r="U157" s="1180"/>
      <c r="V157" s="1180" t="str">
        <f>IF(人物卡!U56="","",人物卡!U56)</f>
        <v/>
      </c>
      <c r="W157" s="1180"/>
      <c r="X157" s="1180" t="str">
        <f>IF(人物卡!W56="","",人物卡!W56)</f>
        <v/>
      </c>
      <c r="Y157" s="1180"/>
      <c r="Z157" s="1180"/>
      <c r="AA157" s="1180"/>
      <c r="AB157" s="1180" t="str">
        <f>IF(人物卡!AA56="","",人物卡!AA56)</f>
        <v/>
      </c>
      <c r="AC157" s="1180"/>
      <c r="AD157" s="1180" t="str">
        <f>IF(人物卡!AC56="","",人物卡!AC56)</f>
        <v/>
      </c>
      <c r="AE157" s="1180"/>
      <c r="AF157" s="1180" t="str">
        <f>IF(人物卡!AE56="","",人物卡!AE56)</f>
        <v/>
      </c>
      <c r="AG157" s="1180"/>
      <c r="AH157" s="1180" t="str">
        <f>IF(人物卡!AG56="","",人物卡!AG56)</f>
        <v/>
      </c>
      <c r="AI157" s="1180"/>
      <c r="AJ157" s="1180"/>
      <c r="AK157" s="1180" t="str">
        <f>IF(人物卡!AJ56="","",人物卡!AJ56)</f>
        <v/>
      </c>
      <c r="AL157" s="1180"/>
      <c r="AM157" s="1167" t="str">
        <f>IF(H157="","",_xlfn.TEXTJOIN(" ",TRUE,C157&amp;"【"&amp;H157&amp;"】",N157,X157))</f>
        <v/>
      </c>
      <c r="AN157" s="1167"/>
      <c r="AO157" s="1167"/>
    </row>
    <row r="158" spans="8:8">
      <c r="C158" s="1180" t="str">
        <f>IF(人物卡!B57="","",人物卡!B57)</f>
        <v/>
      </c>
      <c r="D158" s="1180"/>
      <c r="E158" s="1180"/>
      <c r="F158" s="1180"/>
      <c r="G158" s="1180"/>
      <c r="H158" s="1180" t="str">
        <f>IF(人物卡!G57="","",人物卡!G57)</f>
        <v/>
      </c>
      <c r="I158" s="1180"/>
      <c r="J158" s="1180"/>
      <c r="K158" s="1180"/>
      <c r="L158" s="1180"/>
      <c r="M158" s="1180"/>
      <c r="N158" s="1180" t="str">
        <f>IF(人物卡!M57="","",人物卡!M57)</f>
        <v/>
      </c>
      <c r="O158" s="1180"/>
      <c r="P158" s="1180"/>
      <c r="Q158" s="1180"/>
      <c r="R158" s="1180" t="str">
        <f>IF(人物卡!Q57="","",人物卡!Q57)</f>
        <v/>
      </c>
      <c r="S158" s="1180"/>
      <c r="T158" s="1180" t="str">
        <f>IF(人物卡!S57="","",人物卡!S57)</f>
        <v/>
      </c>
      <c r="U158" s="1180"/>
      <c r="V158" s="1180" t="str">
        <f>IF(人物卡!U57="","",人物卡!U57)</f>
        <v/>
      </c>
      <c r="W158" s="1180"/>
      <c r="X158" s="1180" t="str">
        <f>IF(人物卡!W57="","",人物卡!W57)</f>
        <v/>
      </c>
      <c r="Y158" s="1180"/>
      <c r="Z158" s="1180"/>
      <c r="AA158" s="1180"/>
      <c r="AB158" s="1180" t="str">
        <f>IF(人物卡!AA57="","",人物卡!AA57)</f>
        <v/>
      </c>
      <c r="AC158" s="1180"/>
      <c r="AD158" s="1180" t="str">
        <f>IF(人物卡!AC57="","",人物卡!AC57)</f>
        <v/>
      </c>
      <c r="AE158" s="1180"/>
      <c r="AF158" s="1180" t="str">
        <f>IF(人物卡!AE57="","",人物卡!AE57)</f>
        <v/>
      </c>
      <c r="AG158" s="1180"/>
      <c r="AH158" s="1180" t="str">
        <f>IF(人物卡!AG57="","",人物卡!AG57)</f>
        <v/>
      </c>
      <c r="AI158" s="1180"/>
      <c r="AJ158" s="1180"/>
      <c r="AK158" s="1180" t="str">
        <f>IF(人物卡!AJ57="","",人物卡!AJ57)</f>
        <v/>
      </c>
      <c r="AL158" s="1180"/>
      <c r="AM158" s="1167" t="str">
        <f>IF(H158="","",_xlfn.TEXTJOIN(" ",TRUE,C158&amp;"【"&amp;H158&amp;"】",N158,X158))</f>
        <v/>
      </c>
      <c r="AN158" s="1167"/>
      <c r="AO158" s="1167"/>
    </row>
    <row r="159" spans="8:8">
      <c r="C159" s="1180" t="str">
        <f>IF(人物卡!B58="","",人物卡!B58)</f>
        <v/>
      </c>
      <c r="D159" s="1180"/>
      <c r="E159" s="1180"/>
      <c r="F159" s="1180"/>
      <c r="G159" s="1180"/>
      <c r="H159" s="1180" t="str">
        <f>IF(人物卡!G58="","",人物卡!G58)</f>
        <v/>
      </c>
      <c r="I159" s="1180"/>
      <c r="J159" s="1180"/>
      <c r="K159" s="1180"/>
      <c r="L159" s="1180"/>
      <c r="M159" s="1180"/>
      <c r="N159" s="1180" t="str">
        <f>IF(人物卡!M58="","",人物卡!M58)</f>
        <v/>
      </c>
      <c r="O159" s="1180"/>
      <c r="P159" s="1180"/>
      <c r="Q159" s="1180"/>
      <c r="R159" s="1180" t="str">
        <f>IF(人物卡!Q58="","",人物卡!Q58)</f>
        <v/>
      </c>
      <c r="S159" s="1180"/>
      <c r="T159" s="1180" t="str">
        <f>IF(人物卡!S58="","",人物卡!S58)</f>
        <v/>
      </c>
      <c r="U159" s="1180"/>
      <c r="V159" s="1180" t="str">
        <f>IF(人物卡!U58="","",人物卡!U58)</f>
        <v/>
      </c>
      <c r="W159" s="1180"/>
      <c r="X159" s="1180" t="str">
        <f>IF(人物卡!W58="","",人物卡!W58)</f>
        <v/>
      </c>
      <c r="Y159" s="1180"/>
      <c r="Z159" s="1180"/>
      <c r="AA159" s="1180"/>
      <c r="AB159" s="1180" t="str">
        <f>IF(人物卡!AA58="","",人物卡!AA58)</f>
        <v/>
      </c>
      <c r="AC159" s="1180"/>
      <c r="AD159" s="1180" t="str">
        <f>IF(人物卡!AC58="","",人物卡!AC58)</f>
        <v/>
      </c>
      <c r="AE159" s="1180"/>
      <c r="AF159" s="1180" t="str">
        <f>IF(人物卡!AE58="","",人物卡!AE58)</f>
        <v/>
      </c>
      <c r="AG159" s="1180"/>
      <c r="AH159" s="1180" t="str">
        <f>IF(人物卡!AG58="","",人物卡!AG58)</f>
        <v/>
      </c>
      <c r="AI159" s="1180"/>
      <c r="AJ159" s="1180"/>
      <c r="AK159" s="1180" t="str">
        <f>IF(人物卡!AJ58="","",人物卡!AJ58)</f>
        <v/>
      </c>
      <c r="AL159" s="1180"/>
      <c r="AM159" s="1167" t="str">
        <f>IF(H159="","",_xlfn.TEXTJOIN(" ",TRUE,C159&amp;"【"&amp;H159&amp;"】",N159,X159))</f>
        <v/>
      </c>
      <c r="AN159" s="1167"/>
      <c r="AO159" s="1167"/>
    </row>
  </sheetData>
  <mergeCells count="6186">
    <mergeCell ref="AH31:AI31"/>
    <mergeCell ref="GM57:GP57"/>
    <mergeCell ref="CM65:CP65"/>
    <mergeCell ref="AI41:AL41"/>
    <mergeCell ref="AH28:AI28"/>
    <mergeCell ref="AQ92:AT92"/>
    <mergeCell ref="GI80:GL80"/>
    <mergeCell ref="AU72:AX72"/>
    <mergeCell ref="IQ87:IT87"/>
    <mergeCell ref="CE94:CH94"/>
    <mergeCell ref="DS90:DV90"/>
    <mergeCell ref="JC68:JF68"/>
    <mergeCell ref="AG48:AH48"/>
    <mergeCell ref="AC50:AF50"/>
    <mergeCell ref="KM57:KP57"/>
    <mergeCell ref="KI47:KL47"/>
    <mergeCell ref="KE60:KH60"/>
    <mergeCell ref="HG47:HJ47"/>
    <mergeCell ref="AG61:AH61"/>
    <mergeCell ref="EY65:FB65"/>
    <mergeCell ref="EY60:FB60"/>
    <mergeCell ref="EA50:ED50"/>
    <mergeCell ref="EM52:EP52"/>
    <mergeCell ref="DS71:DV71"/>
    <mergeCell ref="DC44:DF44"/>
    <mergeCell ref="FW75:FZ75"/>
    <mergeCell ref="IA50:ID50"/>
    <mergeCell ref="HW56:HZ56"/>
    <mergeCell ref="FG52:FJ52"/>
    <mergeCell ref="GE46:GH46"/>
    <mergeCell ref="BO43:BR43"/>
    <mergeCell ref="KE72:KH72"/>
    <mergeCell ref="AI91:AL91"/>
    <mergeCell ref="DC95:DF95"/>
    <mergeCell ref="BW99:BZ99"/>
    <mergeCell ref="Z14:AC14"/>
    <mergeCell ref="V57:Y57"/>
    <mergeCell ref="BG42:BJ42"/>
    <mergeCell ref="AG58:AH58"/>
    <mergeCell ref="BS77:BV77"/>
    <mergeCell ref="AC95:AF95"/>
    <mergeCell ref="DS109:DV109"/>
    <mergeCell ref="JS82:JV82"/>
    <mergeCell ref="HC76:HF76"/>
    <mergeCell ref="EA107:ED107"/>
    <mergeCell ref="HW95:HZ95"/>
    <mergeCell ref="GA78:GD78"/>
    <mergeCell ref="IY56:JB56"/>
    <mergeCell ref="IQ46:IT46"/>
    <mergeCell ref="CA95:CD95"/>
    <mergeCell ref="EE65:EH65"/>
    <mergeCell ref="BC52:BF52"/>
    <mergeCell ref="CI62:CL62"/>
    <mergeCell ref="BO62:BR62"/>
    <mergeCell ref="EU64:EX64"/>
    <mergeCell ref="FO64:FR64"/>
    <mergeCell ref="AG91:AH91"/>
    <mergeCell ref="BK50:BN50"/>
    <mergeCell ref="BS79:BV79"/>
    <mergeCell ref="CA87:CD87"/>
    <mergeCell ref="BO55:BR55"/>
    <mergeCell ref="AI80:AL80"/>
    <mergeCell ref="EU51:EX51"/>
    <mergeCell ref="FS109:FV109"/>
    <mergeCell ref="HS68:HV68"/>
    <mergeCell ref="HW87:HZ87"/>
    <mergeCell ref="FO87:FR87"/>
    <mergeCell ref="GU68:GX68"/>
    <mergeCell ref="JO41:JR41"/>
    <mergeCell ref="FS100:FV100"/>
    <mergeCell ref="HC109:HF109"/>
    <mergeCell ref="EQ90:ET90"/>
    <mergeCell ref="N15:O15"/>
    <mergeCell ref="BW96:BZ96"/>
    <mergeCell ref="JO48:JR48"/>
    <mergeCell ref="CM54:CP54"/>
    <mergeCell ref="KE57:KH57"/>
    <mergeCell ref="IA52:ID52"/>
    <mergeCell ref="FK51:FN51"/>
    <mergeCell ref="FK63:FN63"/>
    <mergeCell ref="AD158:AE158"/>
    <mergeCell ref="O148:V148"/>
    <mergeCell ref="BW66:BZ66"/>
    <mergeCell ref="GY40:HB40"/>
    <mergeCell ref="G49:H49"/>
    <mergeCell ref="N159:Q159"/>
    <mergeCell ref="EA43:ED43"/>
    <mergeCell ref="BC90:BF90"/>
    <mergeCell ref="AQ65:AT65"/>
    <mergeCell ref="P85:S85"/>
    <mergeCell ref="P77:S77"/>
    <mergeCell ref="AK158:AL158"/>
    <mergeCell ref="T158:U158"/>
    <mergeCell ref="KE81:KH81"/>
    <mergeCell ref="BK100:BN100"/>
    <mergeCell ref="CM74:CP74"/>
    <mergeCell ref="DO104:DR104"/>
    <mergeCell ref="CA102:CD102"/>
    <mergeCell ref="IE80:IH80"/>
    <mergeCell ref="EU77:EX77"/>
    <mergeCell ref="CM86:CP86"/>
    <mergeCell ref="DW80:DZ80"/>
    <mergeCell ref="E143:F143"/>
    <mergeCell ref="E148:F148"/>
    <mergeCell ref="C149:D149"/>
    <mergeCell ref="CQ62:CT62"/>
    <mergeCell ref="IY52:JB52"/>
    <mergeCell ref="FS49:FV49"/>
    <mergeCell ref="BS52:BV52"/>
    <mergeCell ref="AU45:AX45"/>
    <mergeCell ref="KE51:KH51"/>
    <mergeCell ref="EM55:EP55"/>
    <mergeCell ref="IY44:JB44"/>
    <mergeCell ref="KA74:KD74"/>
    <mergeCell ref="EI97:EL97"/>
    <mergeCell ref="IQ108:IT108"/>
    <mergeCell ref="DO79:DR79"/>
    <mergeCell ref="GA96:GD96"/>
    <mergeCell ref="GA80:GD80"/>
    <mergeCell ref="FS108:FV108"/>
    <mergeCell ref="GU110:GX110"/>
    <mergeCell ref="IM97:IP97"/>
    <mergeCell ref="GU40:GX40"/>
    <mergeCell ref="JW70:JZ70"/>
    <mergeCell ref="HO104:HR104"/>
    <mergeCell ref="IM107:IP107"/>
    <mergeCell ref="EY88:FB88"/>
    <mergeCell ref="HO110:HR110"/>
    <mergeCell ref="GI90:GL90"/>
    <mergeCell ref="AF157:AG157"/>
    <mergeCell ref="AY62:BB62"/>
    <mergeCell ref="KI44:KL44"/>
    <mergeCell ref="EE77:EH77"/>
    <mergeCell ref="GU53:GX53"/>
    <mergeCell ref="IA58:ID58"/>
    <mergeCell ref="HW59:HZ59"/>
    <mergeCell ref="GQ51:GT51"/>
    <mergeCell ref="HK67:HN67"/>
    <mergeCell ref="IM52:IP52"/>
    <mergeCell ref="FG73:FJ73"/>
    <mergeCell ref="CM42:CP42"/>
    <mergeCell ref="AI73:AL73"/>
    <mergeCell ref="T34:U34"/>
    <mergeCell ref="BK95:BN95"/>
    <mergeCell ref="DO64:DR64"/>
    <mergeCell ref="AU57:AX57"/>
    <mergeCell ref="EM78:EP78"/>
    <mergeCell ref="CM99:CP99"/>
    <mergeCell ref="CQ86:CT86"/>
    <mergeCell ref="GA92:GD92"/>
    <mergeCell ref="HO101:HR101"/>
    <mergeCell ref="AG104:AH104"/>
    <mergeCell ref="V157:W157"/>
    <mergeCell ref="AM157:AO157"/>
    <mergeCell ref="T157:U157"/>
    <mergeCell ref="AM156:AO156"/>
    <mergeCell ref="X157:AA157"/>
    <mergeCell ref="AH157:AJ157"/>
    <mergeCell ref="AK157:AL157"/>
    <mergeCell ref="AD157:AE157"/>
    <mergeCell ref="AB157:AC157"/>
    <mergeCell ref="IA106:ID106"/>
    <mergeCell ref="IU51:IX51"/>
    <mergeCell ref="JW98:JZ98"/>
    <mergeCell ref="II47:IL47"/>
    <mergeCell ref="IE44:IH44"/>
    <mergeCell ref="CU100:CX100"/>
    <mergeCell ref="R24:S24"/>
    <mergeCell ref="G76:H76"/>
    <mergeCell ref="N16:O16"/>
    <mergeCell ref="D16:E16"/>
    <mergeCell ref="HC99:HF99"/>
    <mergeCell ref="IQ52:IT52"/>
    <mergeCell ref="IU110:IX110"/>
    <mergeCell ref="II51:IL51"/>
    <mergeCell ref="HK53:HN53"/>
    <mergeCell ref="FK84:FN84"/>
    <mergeCell ref="CI108:CL108"/>
    <mergeCell ref="AQ58:AT58"/>
    <mergeCell ref="P90:S90"/>
    <mergeCell ref="BG51:BJ51"/>
    <mergeCell ref="CQ65:CT65"/>
    <mergeCell ref="EE106:EH106"/>
    <mergeCell ref="AC46:AF46"/>
    <mergeCell ref="CI103:CL103"/>
    <mergeCell ref="DG63:DJ63"/>
    <mergeCell ref="DG59:DJ59"/>
    <mergeCell ref="HW42:HZ42"/>
    <mergeCell ref="JK66:JN66"/>
    <mergeCell ref="GQ90:GT90"/>
    <mergeCell ref="JO57:JR57"/>
    <mergeCell ref="FC78:FF78"/>
    <mergeCell ref="P13:Q13"/>
    <mergeCell ref="CI64:CL64"/>
    <mergeCell ref="BG86:BJ86"/>
    <mergeCell ref="IY45:JB45"/>
    <mergeCell ref="IE108:IH108"/>
    <mergeCell ref="HS60:HV60"/>
    <mergeCell ref="IE110:IH110"/>
    <mergeCell ref="II70:IL70"/>
    <mergeCell ref="IY110:JB110"/>
    <mergeCell ref="IU47:IX47"/>
    <mergeCell ref="GM76:GP76"/>
    <mergeCell ref="JW50:JZ50"/>
    <mergeCell ref="IM95:IP95"/>
    <mergeCell ref="HO72:HR72"/>
    <mergeCell ref="IM94:IP94"/>
    <mergeCell ref="JS92:JV92"/>
    <mergeCell ref="CI74:CL74"/>
    <mergeCell ref="T16:U16"/>
    <mergeCell ref="AH13:AI13"/>
    <mergeCell ref="BS69:BV69"/>
    <mergeCell ref="V11:W11"/>
    <mergeCell ref="T14:U14"/>
    <mergeCell ref="AG64:AH64"/>
    <mergeCell ref="N11:O11"/>
    <mergeCell ref="AP13:AQ13"/>
    <mergeCell ref="L11:M11"/>
    <mergeCell ref="Z15:AC15"/>
    <mergeCell ref="AN11:AO11"/>
    <mergeCell ref="AH11:AI11"/>
    <mergeCell ref="X11:Y11"/>
    <mergeCell ref="X15:Y15"/>
    <mergeCell ref="EY68:FB68"/>
    <mergeCell ref="AH155:AJ155"/>
    <mergeCell ref="I57:L57"/>
    <mergeCell ref="HW46:HZ46"/>
    <mergeCell ref="DW92:DZ92"/>
    <mergeCell ref="KI79:KL79"/>
    <mergeCell ref="C46:F46"/>
    <mergeCell ref="CM104:CP104"/>
    <mergeCell ref="FK72:FN72"/>
    <mergeCell ref="AM43:AP43"/>
    <mergeCell ref="CY86:DB86"/>
    <mergeCell ref="GQ65:GT65"/>
    <mergeCell ref="KA94:KD94"/>
    <mergeCell ref="EE102:EH102"/>
    <mergeCell ref="GE69:GH69"/>
    <mergeCell ref="JS81:JV81"/>
    <mergeCell ref="FW93:FZ93"/>
    <mergeCell ref="CM108:CP108"/>
    <mergeCell ref="AY49:BB49"/>
    <mergeCell ref="EY92:FB92"/>
    <mergeCell ref="GQ58:GT58"/>
    <mergeCell ref="AY41:BB41"/>
    <mergeCell ref="AI40:AJ40"/>
    <mergeCell ref="AC40:AH40"/>
    <mergeCell ref="N156:Q156"/>
    <mergeCell ref="EE87:EH87"/>
    <mergeCell ref="AQ53:AT53"/>
    <mergeCell ref="EQ95:ET95"/>
    <mergeCell ref="DW85:DZ85"/>
    <mergeCell ref="BS105:BV105"/>
    <mergeCell ref="P50:S50"/>
    <mergeCell ref="CU73:CX73"/>
    <mergeCell ref="EQ54:ET54"/>
    <mergeCell ref="DK46:DN46"/>
    <mergeCell ref="CI68:CL68"/>
    <mergeCell ref="BW62:BZ62"/>
    <mergeCell ref="EQ92:ET92"/>
    <mergeCell ref="IY64:JB64"/>
    <mergeCell ref="EQ49:ET49"/>
    <mergeCell ref="JW71:JZ71"/>
    <mergeCell ref="HK90:HN90"/>
    <mergeCell ref="KI84:KL84"/>
    <mergeCell ref="II107:IL107"/>
    <mergeCell ref="II98:IL98"/>
    <mergeCell ref="DW62:DZ62"/>
    <mergeCell ref="O150:V150"/>
    <mergeCell ref="X154:AA154"/>
    <mergeCell ref="EY110:FB110"/>
    <mergeCell ref="CQ54:CT54"/>
    <mergeCell ref="V69:Y69"/>
    <mergeCell ref="DC43:DF43"/>
    <mergeCell ref="BW94:BZ94"/>
    <mergeCell ref="CI97:CL97"/>
    <mergeCell ref="BC96:BF96"/>
    <mergeCell ref="C154:G154"/>
    <mergeCell ref="AM69:AP69"/>
    <mergeCell ref="CI99:CL99"/>
    <mergeCell ref="BG41:BJ41"/>
    <mergeCell ref="R155:S155"/>
    <mergeCell ref="AG107:AH107"/>
    <mergeCell ref="N157:Q157"/>
    <mergeCell ref="AH154:AJ154"/>
    <mergeCell ref="H157:M157"/>
    <mergeCell ref="AF154:AG154"/>
    <mergeCell ref="V154:W154"/>
    <mergeCell ref="AD154:AE154"/>
    <mergeCell ref="V155:W155"/>
    <mergeCell ref="N154:Q154"/>
    <mergeCell ref="C157:G157"/>
    <mergeCell ref="R157:S157"/>
    <mergeCell ref="IA40:ID40"/>
    <mergeCell ref="JW79:JZ79"/>
    <mergeCell ref="IA110:ID110"/>
    <mergeCell ref="DG103:DJ103"/>
    <mergeCell ref="AD29:AE29"/>
    <mergeCell ref="I71:L71"/>
    <mergeCell ref="AP21:AQ21"/>
    <mergeCell ref="P24:Q24"/>
    <mergeCell ref="CI100:CL100"/>
    <mergeCell ref="CU67:CX67"/>
    <mergeCell ref="C88:F88"/>
    <mergeCell ref="BC107:BF107"/>
    <mergeCell ref="DG60:DJ60"/>
    <mergeCell ref="AL22:AM22"/>
    <mergeCell ref="P41:S41"/>
    <mergeCell ref="BG64:BJ64"/>
    <mergeCell ref="BC44:BF44"/>
    <mergeCell ref="P37:Q37"/>
    <mergeCell ref="L10:M10"/>
    <mergeCell ref="JK60:JN60"/>
    <mergeCell ref="HW107:HZ107"/>
    <mergeCell ref="HG78:HJ78"/>
    <mergeCell ref="GM64:GP64"/>
    <mergeCell ref="IM41:IP41"/>
    <mergeCell ref="GI67:GL67"/>
    <mergeCell ref="IY95:JB95"/>
    <mergeCell ref="JC57:JF57"/>
    <mergeCell ref="JO80:JR80"/>
    <mergeCell ref="HC97:HF97"/>
    <mergeCell ref="GA67:GD67"/>
    <mergeCell ref="GQ91:GT91"/>
    <mergeCell ref="GA54:GD54"/>
    <mergeCell ref="EM106:EP106"/>
    <mergeCell ref="IU86:IX86"/>
    <mergeCell ref="DC103:DF103"/>
    <mergeCell ref="G103:H103"/>
    <mergeCell ref="CU102:CX102"/>
    <mergeCell ref="D13:E13"/>
    <mergeCell ref="DK44:DN44"/>
    <mergeCell ref="AU69:AX69"/>
    <mergeCell ref="W143:Y143"/>
    <mergeCell ref="CA57:CD57"/>
    <mergeCell ref="BS44:BV44"/>
    <mergeCell ref="IM56:IP56"/>
    <mergeCell ref="FK89:FN89"/>
    <mergeCell ref="JC97:JF97"/>
    <mergeCell ref="EY80:FB80"/>
    <mergeCell ref="EI47:EL47"/>
    <mergeCell ref="GM93:GP93"/>
    <mergeCell ref="JK57:JN57"/>
    <mergeCell ref="CY87:DB87"/>
    <mergeCell ref="BS40:BV40"/>
    <mergeCell ref="FS68:FV68"/>
    <mergeCell ref="EY77:FB77"/>
    <mergeCell ref="AU84:AX84"/>
    <mergeCell ref="DC61:DF61"/>
    <mergeCell ref="P34:Q34"/>
    <mergeCell ref="DC58:DF58"/>
    <mergeCell ref="CY80:DB80"/>
    <mergeCell ref="BC72:BF72"/>
    <mergeCell ref="AM67:AP67"/>
    <mergeCell ref="HC52:HF52"/>
    <mergeCell ref="JS102:JV102"/>
    <mergeCell ref="KQ84:KT84"/>
    <mergeCell ref="CE108:CH108"/>
    <mergeCell ref="I63:L63"/>
    <mergeCell ref="V100:Y100"/>
    <mergeCell ref="V88:Y88"/>
    <mergeCell ref="EE45:EH45"/>
    <mergeCell ref="AY80:BB80"/>
    <mergeCell ref="AC73:AF73"/>
    <mergeCell ref="BK84:BN84"/>
    <mergeCell ref="AM56:AP56"/>
    <mergeCell ref="BK66:BN66"/>
    <mergeCell ref="EM41:EP41"/>
    <mergeCell ref="DS42:DV42"/>
    <mergeCell ref="KQ102:KT102"/>
    <mergeCell ref="HS52:HV52"/>
    <mergeCell ref="GU91:GX91"/>
    <mergeCell ref="JO55:JR55"/>
    <mergeCell ref="GM53:GP53"/>
    <mergeCell ref="GM107:GP107"/>
    <mergeCell ref="DS83:DV83"/>
    <mergeCell ref="HO67:HR67"/>
    <mergeCell ref="IE87:IH87"/>
    <mergeCell ref="EY79:FB79"/>
    <mergeCell ref="FK106:FN106"/>
    <mergeCell ref="HK76:HN76"/>
    <mergeCell ref="DW64:DZ64"/>
    <mergeCell ref="HO94:HR94"/>
    <mergeCell ref="DW97:DZ97"/>
    <mergeCell ref="HG75:HJ75"/>
    <mergeCell ref="HK94:HN94"/>
    <mergeCell ref="DG93:DJ93"/>
    <mergeCell ref="JK96:JN96"/>
    <mergeCell ref="KQ100:KT100"/>
    <mergeCell ref="IQ69:IT69"/>
    <mergeCell ref="HS92:HV92"/>
    <mergeCell ref="JG46:JJ46"/>
    <mergeCell ref="KQ87:KT87"/>
    <mergeCell ref="KE56:KH56"/>
    <mergeCell ref="HW49:HZ49"/>
    <mergeCell ref="R16:S16"/>
    <mergeCell ref="T59:U59"/>
    <mergeCell ref="L35:M35"/>
    <mergeCell ref="JC77:JF77"/>
    <mergeCell ref="GA88:GD88"/>
    <mergeCell ref="II92:IL92"/>
    <mergeCell ref="BW84:BZ84"/>
    <mergeCell ref="AG76:AH76"/>
    <mergeCell ref="HC88:HF88"/>
    <mergeCell ref="EM95:EP95"/>
    <mergeCell ref="AG75:AH75"/>
    <mergeCell ref="CY62:DB62"/>
    <mergeCell ref="D25:E25"/>
    <mergeCell ref="AH12:AI12"/>
    <mergeCell ref="D21:E21"/>
    <mergeCell ref="AL29:AM29"/>
    <mergeCell ref="Z31:AC31"/>
    <mergeCell ref="AN26:AO26"/>
    <mergeCell ref="AH26:AI26"/>
    <mergeCell ref="AM42:AP42"/>
    <mergeCell ref="P21:Q21"/>
    <mergeCell ref="D28:E28"/>
    <mergeCell ref="AD15:AE15"/>
    <mergeCell ref="AP26:AQ26"/>
    <mergeCell ref="AL32:AM32"/>
    <mergeCell ref="Z24:AC24"/>
    <mergeCell ref="F30:G30"/>
    <mergeCell ref="AN19:AO19"/>
    <mergeCell ref="CE110:CH110"/>
    <mergeCell ref="KM103:KP103"/>
    <mergeCell ref="EI77:EL77"/>
    <mergeCell ref="BC70:BF70"/>
    <mergeCell ref="HG43:HJ43"/>
    <mergeCell ref="JS57:JV57"/>
    <mergeCell ref="JS62:JV62"/>
    <mergeCell ref="EA44:ED44"/>
    <mergeCell ref="Z33:AC33"/>
    <mergeCell ref="AC74:AF74"/>
    <mergeCell ref="HS85:HV85"/>
    <mergeCell ref="CQ104:CT104"/>
    <mergeCell ref="JS83:JV83"/>
    <mergeCell ref="FC110:FF110"/>
    <mergeCell ref="CA92:CD92"/>
    <mergeCell ref="KA107:KD107"/>
    <mergeCell ref="JO106:JR106"/>
    <mergeCell ref="CM83:CP83"/>
    <mergeCell ref="KI101:KL101"/>
    <mergeCell ref="KQ44:KT44"/>
    <mergeCell ref="CA61:CD61"/>
    <mergeCell ref="JS67:JV67"/>
    <mergeCell ref="GM40:GP40"/>
    <mergeCell ref="EM56:EP56"/>
    <mergeCell ref="KI40:KL40"/>
    <mergeCell ref="EU108:EX108"/>
    <mergeCell ref="II63:IL63"/>
    <mergeCell ref="JW103:JZ103"/>
    <mergeCell ref="HG51:HJ51"/>
    <mergeCell ref="JG48:JJ48"/>
    <mergeCell ref="EQ56:ET56"/>
    <mergeCell ref="C86:F86"/>
    <mergeCell ref="BC98:BF98"/>
    <mergeCell ref="FK94:FN94"/>
    <mergeCell ref="BW44:BZ44"/>
    <mergeCell ref="AF33:AG33"/>
    <mergeCell ref="DC91:DF91"/>
    <mergeCell ref="HO83:HR83"/>
    <mergeCell ref="FW73:FZ73"/>
    <mergeCell ref="CA76:CD76"/>
    <mergeCell ref="I72:L72"/>
    <mergeCell ref="CM93:CP93"/>
    <mergeCell ref="HW80:HZ80"/>
    <mergeCell ref="CU71:CX71"/>
    <mergeCell ref="AC87:AF87"/>
    <mergeCell ref="II76:IL76"/>
    <mergeCell ref="DO91:DR91"/>
    <mergeCell ref="DC75:DF75"/>
    <mergeCell ref="FG88:FJ88"/>
    <mergeCell ref="DO90:DR90"/>
    <mergeCell ref="JS97:JV97"/>
    <mergeCell ref="KM68:KP68"/>
    <mergeCell ref="HC104:HF104"/>
    <mergeCell ref="IE102:IH102"/>
    <mergeCell ref="II72:IL72"/>
    <mergeCell ref="HW101:HZ101"/>
    <mergeCell ref="JW102:JZ102"/>
    <mergeCell ref="CU58:CX58"/>
    <mergeCell ref="AY103:BB103"/>
    <mergeCell ref="AI69:AL69"/>
    <mergeCell ref="DS76:DV76"/>
    <mergeCell ref="EI78:EL78"/>
    <mergeCell ref="AY70:BB70"/>
    <mergeCell ref="EA47:ED47"/>
    <mergeCell ref="G87:H87"/>
    <mergeCell ref="DO69:DR69"/>
    <mergeCell ref="CQ105:CT105"/>
    <mergeCell ref="GI82:GL82"/>
    <mergeCell ref="EY109:FB109"/>
    <mergeCell ref="IY62:JB62"/>
    <mergeCell ref="KI108:KL108"/>
    <mergeCell ref="I98:L98"/>
    <mergeCell ref="FS83:FV83"/>
    <mergeCell ref="DS107:DV107"/>
    <mergeCell ref="CA79:CD79"/>
    <mergeCell ref="KM74:KP74"/>
    <mergeCell ref="HK97:HN97"/>
    <mergeCell ref="DC83:DF83"/>
    <mergeCell ref="DK81:DN81"/>
    <mergeCell ref="DG67:DJ67"/>
    <mergeCell ref="GQ94:GT94"/>
    <mergeCell ref="KE107:KH107"/>
    <mergeCell ref="KM84:KP84"/>
    <mergeCell ref="EM59:EP59"/>
    <mergeCell ref="I81:L81"/>
    <mergeCell ref="EA88:ED88"/>
    <mergeCell ref="BK48:BN48"/>
    <mergeCell ref="FK62:FN62"/>
    <mergeCell ref="FO55:FR55"/>
    <mergeCell ref="V51:Y51"/>
    <mergeCell ref="IE98:IH98"/>
    <mergeCell ref="CY79:DB79"/>
    <mergeCell ref="GE72:GH72"/>
    <mergeCell ref="DG109:DJ109"/>
    <mergeCell ref="EY76:FB76"/>
    <mergeCell ref="CA109:CD109"/>
    <mergeCell ref="EE105:EH105"/>
    <mergeCell ref="DG81:DJ81"/>
    <mergeCell ref="DG89:DJ89"/>
    <mergeCell ref="V105:Y105"/>
    <mergeCell ref="O139:V139"/>
    <mergeCell ref="H154:M154"/>
    <mergeCell ref="DO107:DR107"/>
    <mergeCell ref="AM68:AP68"/>
    <mergeCell ref="CA43:CD43"/>
    <mergeCell ref="AI98:AL98"/>
    <mergeCell ref="BC69:BF69"/>
    <mergeCell ref="GU49:GX49"/>
    <mergeCell ref="KQ62:KT62"/>
    <mergeCell ref="AQ54:AT54"/>
    <mergeCell ref="DW81:DZ81"/>
    <mergeCell ref="AC102:AF102"/>
    <mergeCell ref="DS43:DV43"/>
    <mergeCell ref="JW97:JZ97"/>
    <mergeCell ref="FO66:FR66"/>
    <mergeCell ref="EQ97:ET97"/>
    <mergeCell ref="KA88:KD88"/>
    <mergeCell ref="JK93:JN93"/>
    <mergeCell ref="GM72:GP72"/>
    <mergeCell ref="DS81:DV81"/>
    <mergeCell ref="HS79:HV79"/>
    <mergeCell ref="IM76:IP76"/>
    <mergeCell ref="FW91:FZ91"/>
    <mergeCell ref="IA107:ID107"/>
    <mergeCell ref="FS107:FV107"/>
    <mergeCell ref="EE71:EH71"/>
    <mergeCell ref="KE93:KH93"/>
    <mergeCell ref="FO98:FR98"/>
    <mergeCell ref="JG83:JJ83"/>
    <mergeCell ref="KA89:KD89"/>
    <mergeCell ref="IA73:ID73"/>
    <mergeCell ref="EA94:ED94"/>
    <mergeCell ref="AM66:AP66"/>
    <mergeCell ref="DO103:DR103"/>
    <mergeCell ref="BS109:BV109"/>
    <mergeCell ref="BS61:BV61"/>
    <mergeCell ref="AQ70:AT70"/>
    <mergeCell ref="GA46:GD46"/>
    <mergeCell ref="AH18:AI18"/>
    <mergeCell ref="P44:S44"/>
    <mergeCell ref="AD19:AE19"/>
    <mergeCell ref="T29:U29"/>
    <mergeCell ref="AL15:AM15"/>
    <mergeCell ref="N17:O17"/>
    <mergeCell ref="IA101:ID101"/>
    <mergeCell ref="CI89:CL89"/>
    <mergeCell ref="EU87:EX87"/>
    <mergeCell ref="IU91:IX91"/>
    <mergeCell ref="HO74:HR74"/>
    <mergeCell ref="JS71:JV71"/>
    <mergeCell ref="IU97:IX97"/>
    <mergeCell ref="BG85:BJ85"/>
    <mergeCell ref="IA78:ID78"/>
    <mergeCell ref="FG103:FJ103"/>
    <mergeCell ref="C71:F71"/>
    <mergeCell ref="GM48:GP48"/>
    <mergeCell ref="IU61:IX61"/>
    <mergeCell ref="CI40:CL40"/>
    <mergeCell ref="CA83:CD83"/>
    <mergeCell ref="FW96:FZ96"/>
    <mergeCell ref="HS90:HV90"/>
    <mergeCell ref="EM98:EP98"/>
    <mergeCell ref="CU96:CX96"/>
    <mergeCell ref="DG101:DJ101"/>
    <mergeCell ref="JO66:JR66"/>
    <mergeCell ref="BO41:BR41"/>
    <mergeCell ref="AM47:AP47"/>
    <mergeCell ref="AM84:AP84"/>
    <mergeCell ref="AF18:AG18"/>
    <mergeCell ref="FW41:FZ41"/>
    <mergeCell ref="AM64:AP64"/>
    <mergeCell ref="P28:Q28"/>
    <mergeCell ref="KM55:KP55"/>
    <mergeCell ref="FS64:FV64"/>
    <mergeCell ref="T53:U53"/>
    <mergeCell ref="CM50:CP50"/>
    <mergeCell ref="AI48:AL48"/>
    <mergeCell ref="GA62:GD62"/>
    <mergeCell ref="CY108:DB108"/>
    <mergeCell ref="JO88:JR88"/>
    <mergeCell ref="FK76:FN76"/>
    <mergeCell ref="KM91:KP91"/>
    <mergeCell ref="G57:H57"/>
    <mergeCell ref="CQ97:CT97"/>
    <mergeCell ref="DC82:DF82"/>
    <mergeCell ref="AY93:BB93"/>
    <mergeCell ref="AG94:AH94"/>
    <mergeCell ref="CU90:CX90"/>
    <mergeCell ref="EI95:EL95"/>
    <mergeCell ref="DW68:DZ68"/>
    <mergeCell ref="AQ74:AT74"/>
    <mergeCell ref="JO68:JR68"/>
    <mergeCell ref="DO55:DR55"/>
    <mergeCell ref="P60:S60"/>
    <mergeCell ref="IM75:IP75"/>
    <mergeCell ref="FG108:FJ108"/>
    <mergeCell ref="DW84:DZ84"/>
    <mergeCell ref="KI91:KL91"/>
    <mergeCell ref="CE102:CH102"/>
    <mergeCell ref="AU99:AX99"/>
    <mergeCell ref="AC76:AF76"/>
    <mergeCell ref="FO50:FR50"/>
    <mergeCell ref="AM45:AP45"/>
    <mergeCell ref="FW54:FZ54"/>
    <mergeCell ref="BO48:BR48"/>
    <mergeCell ref="CQ74:CT74"/>
    <mergeCell ref="DO46:DR46"/>
    <mergeCell ref="EU45:EX45"/>
    <mergeCell ref="JC63:JF63"/>
    <mergeCell ref="EI91:EL91"/>
    <mergeCell ref="JW96:JZ96"/>
    <mergeCell ref="DK85:DN85"/>
    <mergeCell ref="CQ98:CT98"/>
    <mergeCell ref="EA99:ED99"/>
    <mergeCell ref="HC89:HF89"/>
    <mergeCell ref="KI55:KL55"/>
    <mergeCell ref="AQ63:AT63"/>
    <mergeCell ref="KE73:KH73"/>
    <mergeCell ref="CY59:DB59"/>
    <mergeCell ref="EU63:EX63"/>
    <mergeCell ref="DC53:DF53"/>
    <mergeCell ref="JC44:JF44"/>
    <mergeCell ref="GA44:GD44"/>
    <mergeCell ref="CA80:CD80"/>
    <mergeCell ref="V55:Y55"/>
    <mergeCell ref="DW77:DZ77"/>
    <mergeCell ref="AP20:AQ20"/>
    <mergeCell ref="R34:S34"/>
    <mergeCell ref="GU105:GX105"/>
    <mergeCell ref="CI79:CL79"/>
    <mergeCell ref="V94:Y94"/>
    <mergeCell ref="IU80:IX80"/>
    <mergeCell ref="CE100:CH100"/>
    <mergeCell ref="CA105:CD105"/>
    <mergeCell ref="FO81:FR81"/>
    <mergeCell ref="IY54:JB54"/>
    <mergeCell ref="JS96:JV96"/>
    <mergeCell ref="KE86:KH86"/>
    <mergeCell ref="GY76:HB76"/>
    <mergeCell ref="CY48:DB48"/>
    <mergeCell ref="II45:IL45"/>
    <mergeCell ref="DW50:DZ50"/>
    <mergeCell ref="DO41:DR41"/>
    <mergeCell ref="HS41:HV41"/>
    <mergeCell ref="JS51:JV51"/>
    <mergeCell ref="IQ57:IT57"/>
    <mergeCell ref="KA93:KD93"/>
    <mergeCell ref="JW64:JZ64"/>
    <mergeCell ref="IQ56:IT56"/>
    <mergeCell ref="AD21:AE21"/>
    <mergeCell ref="CI66:CL66"/>
    <mergeCell ref="V40:Y40"/>
    <mergeCell ref="BW67:BZ67"/>
    <mergeCell ref="AU59:AX59"/>
    <mergeCell ref="BK52:BN52"/>
    <mergeCell ref="IE104:IH104"/>
    <mergeCell ref="BC84:BF84"/>
    <mergeCell ref="GQ79:GT79"/>
    <mergeCell ref="C50:F50"/>
    <mergeCell ref="DC63:DF63"/>
    <mergeCell ref="G83:H83"/>
    <mergeCell ref="P99:S99"/>
    <mergeCell ref="P106:S106"/>
    <mergeCell ref="C91:F91"/>
    <mergeCell ref="DK96:DN96"/>
    <mergeCell ref="JC79:JF79"/>
    <mergeCell ref="FO69:FR69"/>
    <mergeCell ref="IE77:IH77"/>
    <mergeCell ref="IQ89:IT89"/>
    <mergeCell ref="IM64:IP64"/>
    <mergeCell ref="JK70:JN70"/>
    <mergeCell ref="T65:U65"/>
    <mergeCell ref="FG41:FJ41"/>
    <mergeCell ref="HK50:HN50"/>
    <mergeCell ref="BW102:BZ102"/>
    <mergeCell ref="DW87:DZ87"/>
    <mergeCell ref="HS105:HV105"/>
    <mergeCell ref="JC98:JF98"/>
    <mergeCell ref="FC108:FF108"/>
    <mergeCell ref="FO88:FR88"/>
    <mergeCell ref="EY93:FB93"/>
    <mergeCell ref="GA86:GD86"/>
    <mergeCell ref="CA72:CD72"/>
    <mergeCell ref="GI53:GL53"/>
    <mergeCell ref="AI46:AL46"/>
    <mergeCell ref="EM42:EP42"/>
    <mergeCell ref="CU43:CX43"/>
    <mergeCell ref="CE79:CH79"/>
    <mergeCell ref="FC98:FF98"/>
    <mergeCell ref="HW82:HZ82"/>
    <mergeCell ref="EM81:EP81"/>
    <mergeCell ref="CY97:DB97"/>
    <mergeCell ref="GU81:GX81"/>
    <mergeCell ref="AY75:BB75"/>
    <mergeCell ref="AY74:BB74"/>
    <mergeCell ref="FS40:FV40"/>
    <mergeCell ref="DS61:DV61"/>
    <mergeCell ref="BC46:BF46"/>
    <mergeCell ref="CA41:CD41"/>
    <mergeCell ref="FO48:FR48"/>
    <mergeCell ref="EE61:EH61"/>
    <mergeCell ref="DW41:DZ41"/>
    <mergeCell ref="JC81:JF81"/>
    <mergeCell ref="FS101:FV101"/>
    <mergeCell ref="JC100:JF100"/>
    <mergeCell ref="IM86:IP86"/>
    <mergeCell ref="GE84:GH84"/>
    <mergeCell ref="DG96:DJ96"/>
    <mergeCell ref="T70:U70"/>
    <mergeCell ref="CE57:CH57"/>
    <mergeCell ref="AU107:AX107"/>
    <mergeCell ref="V17:W17"/>
    <mergeCell ref="T13:U13"/>
    <mergeCell ref="AN10:AO10"/>
    <mergeCell ref="JO74:JR74"/>
    <mergeCell ref="EY62:FB62"/>
    <mergeCell ref="JG51:JJ51"/>
    <mergeCell ref="EE66:EH66"/>
    <mergeCell ref="GM80:GP80"/>
    <mergeCell ref="GY93:HB93"/>
    <mergeCell ref="GA94:GD94"/>
    <mergeCell ref="DW55:DZ55"/>
    <mergeCell ref="IE72:IH72"/>
    <mergeCell ref="FS69:FV69"/>
    <mergeCell ref="GU67:GX67"/>
    <mergeCell ref="FS65:FV65"/>
    <mergeCell ref="V70:Y70"/>
    <mergeCell ref="BG67:BJ67"/>
    <mergeCell ref="IQ74:IT74"/>
    <mergeCell ref="GQ57:GT57"/>
    <mergeCell ref="CU51:CX51"/>
    <mergeCell ref="IQ62:IT62"/>
    <mergeCell ref="DS78:DV78"/>
    <mergeCell ref="JS87:JV87"/>
    <mergeCell ref="HO99:HR99"/>
    <mergeCell ref="FS82:FV82"/>
    <mergeCell ref="JC95:JF95"/>
    <mergeCell ref="IQ86:IT86"/>
    <mergeCell ref="CA81:CD81"/>
    <mergeCell ref="CY91:DB91"/>
    <mergeCell ref="HK55:HN55"/>
    <mergeCell ref="JO83:JR83"/>
    <mergeCell ref="IU98:IX98"/>
    <mergeCell ref="KA53:KD53"/>
    <mergeCell ref="HO100:HR100"/>
    <mergeCell ref="KE98:KH98"/>
    <mergeCell ref="HG76:HJ76"/>
    <mergeCell ref="IM69:IP69"/>
    <mergeCell ref="KM108:KP108"/>
    <mergeCell ref="AB20:AC20"/>
    <mergeCell ref="EQ85:ET85"/>
    <mergeCell ref="F34:I34"/>
    <mergeCell ref="EQ57:ET57"/>
    <mergeCell ref="V36:W36"/>
    <mergeCell ref="X30:Y30"/>
    <mergeCell ref="R36:S36"/>
    <mergeCell ref="FO93:FR93"/>
    <mergeCell ref="AU62:AX62"/>
    <mergeCell ref="E145:F145"/>
    <mergeCell ref="CQ89:CT89"/>
    <mergeCell ref="AD17:AE17"/>
    <mergeCell ref="C137:D137"/>
    <mergeCell ref="FG69:FJ69"/>
    <mergeCell ref="CA106:CD106"/>
    <mergeCell ref="BW43:BZ43"/>
    <mergeCell ref="AY97:BB97"/>
    <mergeCell ref="DK71:DN71"/>
    <mergeCell ref="KQ98:KT98"/>
    <mergeCell ref="GA105:GD105"/>
    <mergeCell ref="JO98:JR98"/>
    <mergeCell ref="IU88:IX88"/>
    <mergeCell ref="IE105:IH105"/>
    <mergeCell ref="BW65:BZ65"/>
    <mergeCell ref="FK99:FN99"/>
    <mergeCell ref="EI100:EL100"/>
    <mergeCell ref="BK74:BN74"/>
    <mergeCell ref="CA68:CD68"/>
    <mergeCell ref="CQ102:CT102"/>
    <mergeCell ref="GI51:GL51"/>
    <mergeCell ref="AQ102:AT102"/>
    <mergeCell ref="KQ77:KT77"/>
    <mergeCell ref="FS87:FV87"/>
    <mergeCell ref="JK98:JN98"/>
    <mergeCell ref="EQ82:ET82"/>
    <mergeCell ref="JG80:JJ80"/>
    <mergeCell ref="JS84:JV84"/>
    <mergeCell ref="JW47:JZ47"/>
    <mergeCell ref="JS52:JV52"/>
    <mergeCell ref="DC97:DF97"/>
    <mergeCell ref="JG62:JJ62"/>
    <mergeCell ref="KM83:KP83"/>
    <mergeCell ref="KQ67:KT67"/>
    <mergeCell ref="HK72:HN72"/>
    <mergeCell ref="T87:U87"/>
    <mergeCell ref="AM70:AP70"/>
    <mergeCell ref="P83:S83"/>
    <mergeCell ref="G86:H86"/>
    <mergeCell ref="IE76:IH76"/>
    <mergeCell ref="CU109:CX109"/>
    <mergeCell ref="AY56:BB56"/>
    <mergeCell ref="BG104:BJ104"/>
    <mergeCell ref="JG52:JJ52"/>
    <mergeCell ref="HC90:HF90"/>
    <mergeCell ref="HW91:HZ91"/>
    <mergeCell ref="KM86:KP86"/>
    <mergeCell ref="DK60:DN60"/>
    <mergeCell ref="CQ99:CT99"/>
    <mergeCell ref="HG72:HJ72"/>
    <mergeCell ref="I82:L82"/>
    <mergeCell ref="DK62:DN62"/>
    <mergeCell ref="AC93:AF93"/>
    <mergeCell ref="CI73:CL73"/>
    <mergeCell ref="AU56:AX56"/>
    <mergeCell ref="AG66:AH66"/>
    <mergeCell ref="AI74:AL74"/>
    <mergeCell ref="AQ109:AT109"/>
    <mergeCell ref="I96:L96"/>
    <mergeCell ref="FO72:FR72"/>
    <mergeCell ref="AQ56:AT56"/>
    <mergeCell ref="T81:U81"/>
    <mergeCell ref="BC82:BF82"/>
    <mergeCell ref="C56:F56"/>
    <mergeCell ref="HG59:HJ59"/>
    <mergeCell ref="JW107:JZ107"/>
    <mergeCell ref="KI58:KL58"/>
    <mergeCell ref="CM100:CP100"/>
    <mergeCell ref="EE75:EH75"/>
    <mergeCell ref="CE48:CH48"/>
    <mergeCell ref="BK62:BN62"/>
    <mergeCell ref="CM71:CP71"/>
    <mergeCell ref="FC96:FF96"/>
    <mergeCell ref="AU96:AX96"/>
    <mergeCell ref="GQ84:GT84"/>
    <mergeCell ref="JS63:JV63"/>
    <mergeCell ref="HO54:HR54"/>
    <mergeCell ref="JC66:JF66"/>
    <mergeCell ref="IU58:IX58"/>
    <mergeCell ref="IQ67:IT67"/>
    <mergeCell ref="JK80:JN80"/>
    <mergeCell ref="CA88:CD88"/>
    <mergeCell ref="GI68:GL68"/>
    <mergeCell ref="EI75:EL75"/>
    <mergeCell ref="CY74:DB74"/>
    <mergeCell ref="CQ68:CT68"/>
    <mergeCell ref="DS87:DV87"/>
    <mergeCell ref="CM105:CP105"/>
    <mergeCell ref="V107:Y107"/>
    <mergeCell ref="FC57:FF57"/>
    <mergeCell ref="CM81:CP81"/>
    <mergeCell ref="GA90:GD90"/>
    <mergeCell ref="GA98:GD98"/>
    <mergeCell ref="EU99:EX99"/>
    <mergeCell ref="BC76:BF76"/>
    <mergeCell ref="DK55:DN55"/>
    <mergeCell ref="AY94:BB94"/>
    <mergeCell ref="V76:Y76"/>
    <mergeCell ref="P87:S87"/>
    <mergeCell ref="KQ97:KT97"/>
    <mergeCell ref="JG69:JJ69"/>
    <mergeCell ref="KE41:KH41"/>
    <mergeCell ref="JG60:JJ60"/>
    <mergeCell ref="CQ100:CT100"/>
    <mergeCell ref="GY49:HB49"/>
    <mergeCell ref="BG40:BJ40"/>
    <mergeCell ref="HG101:HJ101"/>
    <mergeCell ref="FW103:FZ103"/>
    <mergeCell ref="JK88:JN88"/>
    <mergeCell ref="HW75:HZ75"/>
    <mergeCell ref="JO94:JR94"/>
    <mergeCell ref="IY50:JB50"/>
    <mergeCell ref="HO69:HR69"/>
    <mergeCell ref="JK84:JN84"/>
    <mergeCell ref="JW78:JZ78"/>
    <mergeCell ref="FS55:FV55"/>
    <mergeCell ref="DW98:DZ98"/>
    <mergeCell ref="JS41:JV41"/>
    <mergeCell ref="JW105:JZ105"/>
    <mergeCell ref="KM87:KP87"/>
    <mergeCell ref="HG92:HJ92"/>
    <mergeCell ref="IU63:IX63"/>
    <mergeCell ref="JO70:JR70"/>
    <mergeCell ref="JG71:JJ71"/>
    <mergeCell ref="JC72:JF72"/>
    <mergeCell ref="KM88:KP88"/>
    <mergeCell ref="GM56:GP56"/>
    <mergeCell ref="IM61:IP61"/>
    <mergeCell ref="IU69:IX69"/>
    <mergeCell ref="HW81:HZ81"/>
    <mergeCell ref="JG58:JJ58"/>
    <mergeCell ref="GQ61:GT61"/>
    <mergeCell ref="KM75:KP75"/>
    <mergeCell ref="GI56:GL56"/>
    <mergeCell ref="KE76:KH76"/>
    <mergeCell ref="HW92:HZ92"/>
    <mergeCell ref="HG56:HJ56"/>
    <mergeCell ref="JW95:JZ95"/>
    <mergeCell ref="GY96:HB96"/>
    <mergeCell ref="I86:L86"/>
    <mergeCell ref="W139:Y139"/>
    <mergeCell ref="E147:F147"/>
    <mergeCell ref="AY106:BB106"/>
    <mergeCell ref="N26:O26"/>
    <mergeCell ref="DS105:DV105"/>
    <mergeCell ref="EM107:EP107"/>
    <mergeCell ref="EY103:FB103"/>
    <mergeCell ref="BK89:BN89"/>
    <mergeCell ref="N20:O20"/>
    <mergeCell ref="CM96:CP96"/>
    <mergeCell ref="DO99:DR99"/>
    <mergeCell ref="G140:N140"/>
    <mergeCell ref="BW81:BZ81"/>
    <mergeCell ref="Z19:AC19"/>
    <mergeCell ref="W141:Y141"/>
    <mergeCell ref="AI101:AL101"/>
    <mergeCell ref="N21:O21"/>
    <mergeCell ref="AU40:AX40"/>
    <mergeCell ref="AQ95:AT95"/>
    <mergeCell ref="CY96:DB96"/>
    <mergeCell ref="DK107:DN107"/>
    <mergeCell ref="BK64:BN64"/>
    <mergeCell ref="E137:F137"/>
    <mergeCell ref="O141:V141"/>
    <mergeCell ref="W147:Y147"/>
    <mergeCell ref="G107:H107"/>
    <mergeCell ref="E146:F146"/>
    <mergeCell ref="G141:N141"/>
    <mergeCell ref="G139:N139"/>
    <mergeCell ref="O140:V140"/>
    <mergeCell ref="O147:V147"/>
    <mergeCell ref="JC74:JF74"/>
    <mergeCell ref="FK56:FN56"/>
    <mergeCell ref="GY46:HB46"/>
    <mergeCell ref="GE92:GH92"/>
    <mergeCell ref="IA100:ID100"/>
    <mergeCell ref="FS75:FV75"/>
    <mergeCell ref="EA106:ED106"/>
    <mergeCell ref="IQ63:IT63"/>
    <mergeCell ref="AF29:AG29"/>
    <mergeCell ref="P73:S73"/>
    <mergeCell ref="GE105:GH105"/>
    <mergeCell ref="KE82:KH82"/>
    <mergeCell ref="EU53:EX53"/>
    <mergeCell ref="GM49:GP49"/>
    <mergeCell ref="V43:Y43"/>
    <mergeCell ref="CY61:DB61"/>
    <mergeCell ref="BC74:BF74"/>
    <mergeCell ref="CA55:CD55"/>
    <mergeCell ref="BS60:BV60"/>
    <mergeCell ref="CA56:CD56"/>
    <mergeCell ref="DC88:DF88"/>
    <mergeCell ref="AL34:AM34"/>
    <mergeCell ref="T69:U69"/>
    <mergeCell ref="KQ56:KT56"/>
    <mergeCell ref="FO90:FR90"/>
    <mergeCell ref="FW53:FZ53"/>
    <mergeCell ref="GA61:GD61"/>
    <mergeCell ref="GQ87:GT87"/>
    <mergeCell ref="KQ49:KT49"/>
    <mergeCell ref="KQ92:KT92"/>
    <mergeCell ref="G101:H101"/>
    <mergeCell ref="AL33:AM33"/>
    <mergeCell ref="AY85:BB85"/>
    <mergeCell ref="AH10:AI10"/>
    <mergeCell ref="BC94:BF94"/>
    <mergeCell ref="FO44:FR44"/>
    <mergeCell ref="JO81:JR81"/>
    <mergeCell ref="HO106:HR106"/>
    <mergeCell ref="JW77:JZ77"/>
    <mergeCell ref="KA41:KD41"/>
    <mergeCell ref="FS95:FV95"/>
    <mergeCell ref="JO107:JR107"/>
    <mergeCell ref="EQ77:ET77"/>
    <mergeCell ref="GM45:GP45"/>
    <mergeCell ref="IU103:IX103"/>
    <mergeCell ref="JO58:JR58"/>
    <mergeCell ref="FK68:FN68"/>
    <mergeCell ref="FO61:FR61"/>
    <mergeCell ref="FK49:FN49"/>
    <mergeCell ref="FK52:FN52"/>
    <mergeCell ref="KI102:KL102"/>
    <mergeCell ref="T30:U30"/>
    <mergeCell ref="BG73:BJ73"/>
    <mergeCell ref="EI51:EL51"/>
    <mergeCell ref="AI47:AL47"/>
    <mergeCell ref="V60:Y60"/>
    <mergeCell ref="EU80:EX80"/>
    <mergeCell ref="HS73:HV73"/>
    <mergeCell ref="FC59:FF59"/>
    <mergeCell ref="JG75:JJ75"/>
    <mergeCell ref="AU110:AX110"/>
    <mergeCell ref="CQ81:CT81"/>
    <mergeCell ref="JO93:JR93"/>
    <mergeCell ref="DS99:DV99"/>
    <mergeCell ref="GA76:GD76"/>
    <mergeCell ref="FS59:FV59"/>
    <mergeCell ref="JC96:JF96"/>
    <mergeCell ref="KQ72:KT72"/>
    <mergeCell ref="CE93:CH93"/>
    <mergeCell ref="Z38:AC38"/>
    <mergeCell ref="AP29:AQ29"/>
    <mergeCell ref="AL31:AM31"/>
    <mergeCell ref="AU49:AX49"/>
    <mergeCell ref="V101:Y101"/>
    <mergeCell ref="AI100:AL100"/>
    <mergeCell ref="FC93:FF93"/>
    <mergeCell ref="BS71:BV71"/>
    <mergeCell ref="AQ104:AT104"/>
    <mergeCell ref="HO70:HR70"/>
    <mergeCell ref="GM83:GP83"/>
    <mergeCell ref="Z22:AA22"/>
    <mergeCell ref="DS54:DV54"/>
    <mergeCell ref="FG43:FJ43"/>
    <mergeCell ref="BC64:BF64"/>
    <mergeCell ref="FC63:FF63"/>
    <mergeCell ref="AI67:AL67"/>
    <mergeCell ref="FG91:FJ91"/>
    <mergeCell ref="G98:H98"/>
    <mergeCell ref="AC105:AF105"/>
    <mergeCell ref="EM69:EP69"/>
    <mergeCell ref="CY69:DB69"/>
    <mergeCell ref="Z25:AC25"/>
    <mergeCell ref="AQ88:AT88"/>
    <mergeCell ref="V31:W31"/>
    <mergeCell ref="AL24:AM24"/>
    <mergeCell ref="GA60:GD60"/>
    <mergeCell ref="JW90:JZ90"/>
    <mergeCell ref="HW41:HZ41"/>
    <mergeCell ref="EY100:FB100"/>
    <mergeCell ref="CA85:CD85"/>
    <mergeCell ref="J19:K19"/>
    <mergeCell ref="AF25:AG25"/>
    <mergeCell ref="R27:S27"/>
    <mergeCell ref="L23:M23"/>
    <mergeCell ref="P23:Q23"/>
    <mergeCell ref="L5:M5"/>
    <mergeCell ref="AY76:BB76"/>
    <mergeCell ref="CI47:CL47"/>
    <mergeCell ref="F4:I4"/>
    <mergeCell ref="IM47:IP47"/>
    <mergeCell ref="GI110:GL110"/>
    <mergeCell ref="HK110:HN110"/>
    <mergeCell ref="HG79:HJ79"/>
    <mergeCell ref="GM61:GP61"/>
    <mergeCell ref="HK102:HN102"/>
    <mergeCell ref="GA110:GD110"/>
    <mergeCell ref="CU83:CX83"/>
    <mergeCell ref="AP27:AQ27"/>
    <mergeCell ref="AC77:AF77"/>
    <mergeCell ref="AQ91:AT91"/>
    <mergeCell ref="BW105:BZ105"/>
    <mergeCell ref="AY52:BB52"/>
    <mergeCell ref="DS108:DV108"/>
    <mergeCell ref="GI97:GL97"/>
    <mergeCell ref="IA41:ID41"/>
    <mergeCell ref="JW72:JZ72"/>
    <mergeCell ref="EA53:ED53"/>
    <mergeCell ref="AN28:AO28"/>
    <mergeCell ref="T51:U51"/>
    <mergeCell ref="EI48:EL48"/>
    <mergeCell ref="AG43:AH43"/>
    <mergeCell ref="IA43:ID43"/>
    <mergeCell ref="GY43:HB43"/>
    <mergeCell ref="JS43:JV43"/>
    <mergeCell ref="FG110:FJ110"/>
    <mergeCell ref="IA46:ID46"/>
    <mergeCell ref="JK83:JN83"/>
    <mergeCell ref="FW110:FZ110"/>
    <mergeCell ref="HG48:HJ48"/>
    <mergeCell ref="JK100:JN100"/>
    <mergeCell ref="II106:IL106"/>
    <mergeCell ref="EE84:EH84"/>
    <mergeCell ref="FW83:FZ83"/>
    <mergeCell ref="FW94:FZ94"/>
    <mergeCell ref="FS88:FV88"/>
    <mergeCell ref="DK88:DN88"/>
    <mergeCell ref="HS63:HV63"/>
    <mergeCell ref="AM104:AP104"/>
    <mergeCell ref="EI57:EL57"/>
    <mergeCell ref="R33:S33"/>
    <mergeCell ref="AD31:AE31"/>
    <mergeCell ref="AN25:AO25"/>
    <mergeCell ref="AN5:AO5"/>
    <mergeCell ref="AF4:AG4"/>
    <mergeCell ref="X4:Y4"/>
    <mergeCell ref="FO71:FR71"/>
    <mergeCell ref="JG89:JJ89"/>
    <mergeCell ref="DC102:DF102"/>
    <mergeCell ref="JO63:JR63"/>
    <mergeCell ref="GQ93:GT93"/>
    <mergeCell ref="EU59:EX59"/>
    <mergeCell ref="HC46:HF46"/>
    <mergeCell ref="FC95:FF95"/>
    <mergeCell ref="JC73:JF73"/>
    <mergeCell ref="HG41:HJ41"/>
    <mergeCell ref="HC49:HF49"/>
    <mergeCell ref="HO92:HR92"/>
    <mergeCell ref="JC103:JF103"/>
    <mergeCell ref="FW45:FZ45"/>
    <mergeCell ref="DW101:DZ101"/>
    <mergeCell ref="JK89:JN89"/>
    <mergeCell ref="AQ98:AT98"/>
    <mergeCell ref="CI70:CL70"/>
    <mergeCell ref="EQ105:ET105"/>
    <mergeCell ref="EU92:EX92"/>
    <mergeCell ref="EI101:EL101"/>
    <mergeCell ref="BK45:BN45"/>
    <mergeCell ref="DK41:DN41"/>
    <mergeCell ref="AP38:AQ38"/>
    <mergeCell ref="JG107:JJ107"/>
    <mergeCell ref="KI90:KL90"/>
    <mergeCell ref="II67:IL67"/>
    <mergeCell ref="HW78:HZ78"/>
    <mergeCell ref="FG95:FJ95"/>
    <mergeCell ref="GQ82:GT82"/>
    <mergeCell ref="BW75:BZ75"/>
    <mergeCell ref="FK73:FN73"/>
    <mergeCell ref="CY78:DB78"/>
    <mergeCell ref="EQ69:ET69"/>
    <mergeCell ref="GY79:HB79"/>
    <mergeCell ref="KM102:KP102"/>
    <mergeCell ref="II50:IL50"/>
    <mergeCell ref="KA79:KD79"/>
    <mergeCell ref="JK85:JN85"/>
    <mergeCell ref="KA71:KD71"/>
    <mergeCell ref="IQ78:IT78"/>
    <mergeCell ref="GQ109:GT109"/>
    <mergeCell ref="GQ71:GT71"/>
    <mergeCell ref="O138:V138"/>
    <mergeCell ref="AK154:AL154"/>
    <mergeCell ref="C153:G153"/>
    <mergeCell ref="X155:AA155"/>
    <mergeCell ref="CU91:CX91"/>
    <mergeCell ref="FO68:FR68"/>
    <mergeCell ref="EI67:EL67"/>
    <mergeCell ref="DK68:DN68"/>
    <mergeCell ref="DK74:DN74"/>
    <mergeCell ref="EA108:ED108"/>
    <mergeCell ref="BC77:BF77"/>
    <mergeCell ref="FW61:FZ61"/>
    <mergeCell ref="BK99:BN99"/>
    <mergeCell ref="FG66:FJ66"/>
    <mergeCell ref="DK100:DN100"/>
    <mergeCell ref="GA109:GD109"/>
    <mergeCell ref="JW43:JZ43"/>
    <mergeCell ref="FW95:FZ95"/>
    <mergeCell ref="EI64:EL64"/>
    <mergeCell ref="CM109:CP109"/>
    <mergeCell ref="T66:U66"/>
    <mergeCell ref="AM58:AP58"/>
    <mergeCell ref="EA49:ED49"/>
    <mergeCell ref="AQ101:AT101"/>
    <mergeCell ref="DG82:DJ82"/>
    <mergeCell ref="BG69:BJ69"/>
    <mergeCell ref="BK83:BN83"/>
    <mergeCell ref="CI91:CL91"/>
    <mergeCell ref="BW89:BZ89"/>
    <mergeCell ref="G45:H45"/>
    <mergeCell ref="T105:U105"/>
    <mergeCell ref="CQ47:CT47"/>
    <mergeCell ref="I77:L77"/>
    <mergeCell ref="DO98:DR98"/>
    <mergeCell ref="G56:H56"/>
    <mergeCell ref="J30:K30"/>
    <mergeCell ref="G78:H78"/>
    <mergeCell ref="CU53:CX53"/>
    <mergeCell ref="CI95:CL95"/>
    <mergeCell ref="DK66:DN66"/>
    <mergeCell ref="DC65:DF65"/>
    <mergeCell ref="AG90:AH90"/>
    <mergeCell ref="BW90:BZ90"/>
    <mergeCell ref="DW106:DZ106"/>
    <mergeCell ref="IE56:IH56"/>
    <mergeCell ref="FO96:FR96"/>
    <mergeCell ref="FG45:FJ45"/>
    <mergeCell ref="DS58:DV58"/>
    <mergeCell ref="FG92:FJ92"/>
    <mergeCell ref="EM72:EP72"/>
    <mergeCell ref="FO63:FR63"/>
    <mergeCell ref="FG56:FJ56"/>
    <mergeCell ref="EY71:FB71"/>
    <mergeCell ref="FC103:FF103"/>
    <mergeCell ref="CA69:CD69"/>
    <mergeCell ref="GU79:GX79"/>
    <mergeCell ref="AQ43:AT43"/>
    <mergeCell ref="V59:Y59"/>
    <mergeCell ref="BG81:BJ81"/>
    <mergeCell ref="EA48:ED48"/>
    <mergeCell ref="FC43:FF43"/>
    <mergeCell ref="HG109:HJ109"/>
    <mergeCell ref="KQ86:KT86"/>
    <mergeCell ref="II57:IL57"/>
    <mergeCell ref="GY95:HB95"/>
    <mergeCell ref="GU90:GX90"/>
    <mergeCell ref="IQ40:IT40"/>
    <mergeCell ref="KA70:KD70"/>
    <mergeCell ref="P91:S91"/>
    <mergeCell ref="BO65:BR65"/>
    <mergeCell ref="AU50:AX50"/>
    <mergeCell ref="C73:F73"/>
    <mergeCell ref="BS65:BV65"/>
    <mergeCell ref="T46:U46"/>
    <mergeCell ref="AN13:AO13"/>
    <mergeCell ref="AU70:AX70"/>
    <mergeCell ref="BS55:BV55"/>
    <mergeCell ref="BG60:BJ60"/>
    <mergeCell ref="AD20:AE20"/>
    <mergeCell ref="FK40:FN40"/>
    <mergeCell ref="II78:IL78"/>
    <mergeCell ref="FW50:FZ50"/>
    <mergeCell ref="IU76:IX76"/>
    <mergeCell ref="JK40:JN40"/>
    <mergeCell ref="IY76:JB76"/>
    <mergeCell ref="HO53:HR53"/>
    <mergeCell ref="HC66:HF66"/>
    <mergeCell ref="II66:IL66"/>
    <mergeCell ref="HS67:HV67"/>
    <mergeCell ref="IE65:IH65"/>
    <mergeCell ref="HS75:HV75"/>
    <mergeCell ref="EE46:EH46"/>
    <mergeCell ref="H25:I25"/>
    <mergeCell ref="CA58:CD58"/>
    <mergeCell ref="AC72:AF72"/>
    <mergeCell ref="F28:G28"/>
    <mergeCell ref="JW84:JZ84"/>
    <mergeCell ref="FO103:FR103"/>
    <mergeCell ref="EI93:EL93"/>
    <mergeCell ref="GY103:HB103"/>
    <mergeCell ref="GU95:GX95"/>
    <mergeCell ref="GY73:HB73"/>
    <mergeCell ref="IQ49:IT49"/>
    <mergeCell ref="BK103:BN103"/>
    <mergeCell ref="AH16:AI16"/>
    <mergeCell ref="BS45:BV45"/>
    <mergeCell ref="AC64:AF64"/>
    <mergeCell ref="EQ110:ET110"/>
    <mergeCell ref="IA90:ID90"/>
    <mergeCell ref="DO86:DR86"/>
    <mergeCell ref="II97:IL97"/>
    <mergeCell ref="P65:S65"/>
    <mergeCell ref="CM89:CP89"/>
    <mergeCell ref="AU53:AX53"/>
    <mergeCell ref="CU74:CX74"/>
    <mergeCell ref="CY51:DB51"/>
    <mergeCell ref="DC90:DF90"/>
    <mergeCell ref="T17:U17"/>
    <mergeCell ref="AP18:AQ18"/>
    <mergeCell ref="Z20:AA20"/>
    <mergeCell ref="AP16:AQ16"/>
    <mergeCell ref="AL18:AM18"/>
    <mergeCell ref="AN18:AO18"/>
    <mergeCell ref="AF8:AG8"/>
    <mergeCell ref="X9:Y9"/>
    <mergeCell ref="CA74:CD74"/>
    <mergeCell ref="Z17:AC17"/>
    <mergeCell ref="AJ9:AK9"/>
    <mergeCell ref="T88:U88"/>
    <mergeCell ref="CE41:CH41"/>
    <mergeCell ref="V47:Y47"/>
    <mergeCell ref="CE47:CH47"/>
    <mergeCell ref="AC60:AF60"/>
    <mergeCell ref="AU67:AX67"/>
    <mergeCell ref="GU109:GX109"/>
    <mergeCell ref="JS58:JV58"/>
    <mergeCell ref="FO56:FR56"/>
    <mergeCell ref="KQ78:KT78"/>
    <mergeCell ref="CM44:CP44"/>
    <mergeCell ref="V68:Y68"/>
    <mergeCell ref="BS86:BV86"/>
    <mergeCell ref="G46:H46"/>
    <mergeCell ref="FW68:FZ68"/>
    <mergeCell ref="BG83:BJ83"/>
    <mergeCell ref="EU65:EX65"/>
    <mergeCell ref="FS84:FV84"/>
    <mergeCell ref="BK78:BN78"/>
    <mergeCell ref="AI95:AL95"/>
    <mergeCell ref="H153:M153"/>
    <mergeCell ref="E140:F140"/>
    <mergeCell ref="AB154:AC154"/>
    <mergeCell ref="CU62:CX62"/>
    <mergeCell ref="E141:F141"/>
    <mergeCell ref="AM155:AO155"/>
    <mergeCell ref="O145:V145"/>
    <mergeCell ref="N155:Q155"/>
    <mergeCell ref="R154:S154"/>
    <mergeCell ref="T154:U154"/>
    <mergeCell ref="T155:U155"/>
    <mergeCell ref="AC69:AF69"/>
    <mergeCell ref="DK92:DN92"/>
    <mergeCell ref="FC79:FF79"/>
    <mergeCell ref="BG102:BJ102"/>
    <mergeCell ref="CU108:CX108"/>
    <mergeCell ref="AJ38:AK38"/>
    <mergeCell ref="P102:S102"/>
    <mergeCell ref="CE63:CH63"/>
    <mergeCell ref="CA50:CD50"/>
    <mergeCell ref="CY72:DB72"/>
    <mergeCell ref="R31:S31"/>
    <mergeCell ref="EA84:ED84"/>
    <mergeCell ref="IY68:JB68"/>
    <mergeCell ref="KI97:KL97"/>
    <mergeCell ref="HG65:HJ65"/>
    <mergeCell ref="HS96:HV96"/>
    <mergeCell ref="KE79:KH79"/>
    <mergeCell ref="HO58:HR58"/>
    <mergeCell ref="KM89:KP89"/>
    <mergeCell ref="KE101:KH101"/>
    <mergeCell ref="CY98:DB98"/>
    <mergeCell ref="AB155:AC155"/>
    <mergeCell ref="T79:U79"/>
    <mergeCell ref="C140:D140"/>
    <mergeCell ref="JW48:JZ48"/>
    <mergeCell ref="IE67:IH67"/>
    <mergeCell ref="JW106:JZ106"/>
    <mergeCell ref="KA96:KD96"/>
    <mergeCell ref="IU73:IX73"/>
    <mergeCell ref="JW42:JZ42"/>
    <mergeCell ref="JK75:JN75"/>
    <mergeCell ref="IM99:IP99"/>
    <mergeCell ref="N37:O37"/>
    <mergeCell ref="CI105:CL105"/>
    <mergeCell ref="P57:S57"/>
    <mergeCell ref="T35:U35"/>
    <mergeCell ref="N32:O32"/>
    <mergeCell ref="IA108:ID108"/>
    <mergeCell ref="JW58:JZ58"/>
    <mergeCell ref="JO54:JR54"/>
    <mergeCell ref="JO97:JR97"/>
    <mergeCell ref="II54:IL54"/>
    <mergeCell ref="FO110:FR110"/>
    <mergeCell ref="AM93:AP93"/>
    <mergeCell ref="EA102:ED102"/>
    <mergeCell ref="AQ75:AT75"/>
    <mergeCell ref="FW85:FZ85"/>
    <mergeCell ref="I99:L99"/>
    <mergeCell ref="V44:Y44"/>
    <mergeCell ref="IY106:JB106"/>
    <mergeCell ref="FS74:FV74"/>
    <mergeCell ref="HS49:HV49"/>
    <mergeCell ref="FW72:FZ72"/>
    <mergeCell ref="GM66:GP66"/>
    <mergeCell ref="GE76:GH76"/>
    <mergeCell ref="EI105:EL105"/>
    <mergeCell ref="GU85:GX85"/>
    <mergeCell ref="IY67:JB67"/>
    <mergeCell ref="JC92:JF92"/>
    <mergeCell ref="JW82:JZ82"/>
    <mergeCell ref="IQ92:IT92"/>
    <mergeCell ref="JK77:JN77"/>
    <mergeCell ref="DO47:DR47"/>
    <mergeCell ref="I49:L49"/>
    <mergeCell ref="HC63:HF63"/>
    <mergeCell ref="HO44:HR44"/>
    <mergeCell ref="IE60:IH60"/>
    <mergeCell ref="IE52:IH52"/>
    <mergeCell ref="GA55:GD55"/>
    <mergeCell ref="KI66:KL66"/>
    <mergeCell ref="GQ64:GT64"/>
    <mergeCell ref="O137:V137"/>
    <mergeCell ref="FK60:FN60"/>
    <mergeCell ref="EQ98:ET98"/>
    <mergeCell ref="IE62:IH62"/>
    <mergeCell ref="JO91:JR91"/>
    <mergeCell ref="EE96:EH96"/>
    <mergeCell ref="EM88:EP88"/>
    <mergeCell ref="BO44:BR44"/>
    <mergeCell ref="BG77:BJ77"/>
    <mergeCell ref="FO45:FR45"/>
    <mergeCell ref="BS98:BV98"/>
    <mergeCell ref="J13:K13"/>
    <mergeCell ref="CA65:CD65"/>
    <mergeCell ref="AY108:BB108"/>
    <mergeCell ref="BS72:BV72"/>
    <mergeCell ref="AY68:BB68"/>
    <mergeCell ref="P11:Q11"/>
    <mergeCell ref="EU89:EX89"/>
    <mergeCell ref="DC48:DF48"/>
    <mergeCell ref="DK105:DN105"/>
    <mergeCell ref="CM76:CP76"/>
    <mergeCell ref="FW98:FZ98"/>
    <mergeCell ref="FO91:FR91"/>
    <mergeCell ref="GA79:GD79"/>
    <mergeCell ref="FW43:FZ43"/>
    <mergeCell ref="FK95:FN95"/>
    <mergeCell ref="GQ70:GT70"/>
    <mergeCell ref="HK96:HN96"/>
    <mergeCell ref="EY75:FB75"/>
    <mergeCell ref="GE91:GH91"/>
    <mergeCell ref="F17:I17"/>
    <mergeCell ref="BC103:BF103"/>
    <mergeCell ref="CE58:CH58"/>
    <mergeCell ref="F14:I14"/>
    <mergeCell ref="C87:F87"/>
    <mergeCell ref="KI73:KL73"/>
    <mergeCell ref="JW74:JZ74"/>
    <mergeCell ref="JG79:JJ79"/>
    <mergeCell ref="FW80:FZ80"/>
    <mergeCell ref="JO95:JR95"/>
    <mergeCell ref="HW86:HZ86"/>
    <mergeCell ref="EI45:EL45"/>
    <mergeCell ref="CE68:CH68"/>
    <mergeCell ref="FS44:FV44"/>
    <mergeCell ref="AI79:AL79"/>
    <mergeCell ref="DK106:DN106"/>
    <mergeCell ref="AC61:AF61"/>
    <mergeCell ref="GA58:GD58"/>
    <mergeCell ref="P80:S80"/>
    <mergeCell ref="DK98:DN98"/>
    <mergeCell ref="BO42:BR42"/>
    <mergeCell ref="FG109:FJ109"/>
    <mergeCell ref="CY58:DB58"/>
    <mergeCell ref="BC97:BF97"/>
    <mergeCell ref="DO56:DR56"/>
    <mergeCell ref="DS98:DV98"/>
    <mergeCell ref="AY55:BB55"/>
    <mergeCell ref="AY105:BB105"/>
    <mergeCell ref="G51:H51"/>
    <mergeCell ref="AQ86:AT86"/>
    <mergeCell ref="V98:Y98"/>
    <mergeCell ref="BC80:BF80"/>
    <mergeCell ref="AQ45:AT45"/>
    <mergeCell ref="AJ34:AK34"/>
    <mergeCell ref="AP19:AQ19"/>
    <mergeCell ref="CE78:CH78"/>
    <mergeCell ref="FG63:FJ63"/>
    <mergeCell ref="DW57:DZ57"/>
    <mergeCell ref="HG83:HJ83"/>
    <mergeCell ref="FG71:FJ71"/>
    <mergeCell ref="EA69:ED69"/>
    <mergeCell ref="GY106:HB106"/>
    <mergeCell ref="DK52:DN52"/>
    <mergeCell ref="V92:Y92"/>
    <mergeCell ref="AY100:BB100"/>
    <mergeCell ref="DC46:DF46"/>
    <mergeCell ref="DK110:DN110"/>
    <mergeCell ref="JG57:JJ57"/>
    <mergeCell ref="CY76:DB76"/>
    <mergeCell ref="GE45:GH45"/>
    <mergeCell ref="JC42:JF42"/>
    <mergeCell ref="BO106:BR106"/>
    <mergeCell ref="AM79:AP79"/>
    <mergeCell ref="T93:U93"/>
    <mergeCell ref="AY54:BB54"/>
    <mergeCell ref="BK56:BN56"/>
    <mergeCell ref="BS49:BV49"/>
    <mergeCell ref="GQ49:GT49"/>
    <mergeCell ref="DG73:DJ73"/>
    <mergeCell ref="HK82:HN82"/>
    <mergeCell ref="CY45:DB45"/>
    <mergeCell ref="FW90:FZ90"/>
    <mergeCell ref="FO82:FR82"/>
    <mergeCell ref="AQ108:AT108"/>
    <mergeCell ref="G66:H66"/>
    <mergeCell ref="AM63:AP63"/>
    <mergeCell ref="BC81:BF81"/>
    <mergeCell ref="AG95:AH95"/>
    <mergeCell ref="BO85:BR85"/>
    <mergeCell ref="GA68:GD68"/>
    <mergeCell ref="C143:D143"/>
    <mergeCell ref="EQ66:ET66"/>
    <mergeCell ref="JW63:JZ63"/>
    <mergeCell ref="CI90:CL90"/>
    <mergeCell ref="BK70:BN70"/>
    <mergeCell ref="JC56:JF56"/>
    <mergeCell ref="KI94:KL94"/>
    <mergeCell ref="DO96:DR96"/>
    <mergeCell ref="EY52:FB52"/>
    <mergeCell ref="CI50:CL50"/>
    <mergeCell ref="DW53:DZ53"/>
    <mergeCell ref="EE60:EH60"/>
    <mergeCell ref="GE108:GH108"/>
    <mergeCell ref="FK58:FN58"/>
    <mergeCell ref="AM74:AP74"/>
    <mergeCell ref="JC75:JF75"/>
    <mergeCell ref="EI83:EL83"/>
    <mergeCell ref="JO85:JR85"/>
    <mergeCell ref="IM80:IP80"/>
    <mergeCell ref="HC61:HF61"/>
    <mergeCell ref="CU87:CX87"/>
    <mergeCell ref="EQ96:ET96"/>
    <mergeCell ref="DS50:DV50"/>
    <mergeCell ref="JC94:JF94"/>
    <mergeCell ref="JO101:JR101"/>
    <mergeCell ref="CU69:CX69"/>
    <mergeCell ref="GM104:GP104"/>
    <mergeCell ref="BK96:BN96"/>
    <mergeCell ref="KE108:KH108"/>
    <mergeCell ref="CM67:CP67"/>
    <mergeCell ref="GQ104:GT104"/>
    <mergeCell ref="HW84:HZ84"/>
    <mergeCell ref="EQ80:ET80"/>
    <mergeCell ref="EE78:EH78"/>
    <mergeCell ref="FK110:FN110"/>
    <mergeCell ref="CE105:CH105"/>
    <mergeCell ref="HC110:HF110"/>
    <mergeCell ref="G147:N147"/>
    <mergeCell ref="FC62:FF62"/>
    <mergeCell ref="E142:F142"/>
    <mergeCell ref="AG77:AH77"/>
    <mergeCell ref="BO100:BR100"/>
    <mergeCell ref="E135:F135"/>
    <mergeCell ref="II69:IL69"/>
    <mergeCell ref="FS45:FV45"/>
    <mergeCell ref="FC50:FF50"/>
    <mergeCell ref="GI47:GL47"/>
    <mergeCell ref="HK51:HN51"/>
    <mergeCell ref="HW105:HZ105"/>
    <mergeCell ref="DK89:DN89"/>
    <mergeCell ref="GA66:GD66"/>
    <mergeCell ref="JG90:JJ90"/>
    <mergeCell ref="G150:N150"/>
    <mergeCell ref="FK100:FN100"/>
    <mergeCell ref="KI82:KL82"/>
    <mergeCell ref="GI79:GL79"/>
    <mergeCell ref="HG81:HJ81"/>
    <mergeCell ref="IM92:IP92"/>
    <mergeCell ref="EY56:FB56"/>
    <mergeCell ref="KE99:KH99"/>
    <mergeCell ref="IQ101:IT101"/>
    <mergeCell ref="FO43:FR43"/>
    <mergeCell ref="FC67:FF67"/>
    <mergeCell ref="IY41:JB41"/>
    <mergeCell ref="IY98:JB98"/>
    <mergeCell ref="FS56:FV56"/>
    <mergeCell ref="HK46:HN46"/>
    <mergeCell ref="GE68:GH68"/>
    <mergeCell ref="HW55:HZ55"/>
    <mergeCell ref="EA55:ED55"/>
    <mergeCell ref="DW52:DZ52"/>
    <mergeCell ref="EA52:ED52"/>
    <mergeCell ref="EU55:EX55"/>
    <mergeCell ref="BO74:BR74"/>
    <mergeCell ref="CI46:CL46"/>
    <mergeCell ref="KA44:KD44"/>
    <mergeCell ref="FO94:FR94"/>
    <mergeCell ref="AY72:BB72"/>
    <mergeCell ref="DS62:DV62"/>
    <mergeCell ref="CQ61:CT61"/>
    <mergeCell ref="AN23:AO23"/>
    <mergeCell ref="KI96:KL96"/>
    <mergeCell ref="HO80:HR80"/>
    <mergeCell ref="EM93:EP93"/>
    <mergeCell ref="IE70:IH70"/>
    <mergeCell ref="IY75:JB75"/>
    <mergeCell ref="CU101:CX101"/>
    <mergeCell ref="EE67:EH67"/>
    <mergeCell ref="J21:K21"/>
    <mergeCell ref="BW80:BZ80"/>
    <mergeCell ref="G42:H42"/>
    <mergeCell ref="AB22:AC22"/>
    <mergeCell ref="EE63:EH63"/>
    <mergeCell ref="T97:U97"/>
    <mergeCell ref="D15:E15"/>
    <mergeCell ref="DC74:DF74"/>
    <mergeCell ref="BW77:BZ77"/>
    <mergeCell ref="N23:O23"/>
    <mergeCell ref="BK58:BN58"/>
    <mergeCell ref="JC105:JF105"/>
    <mergeCell ref="HC78:HF78"/>
    <mergeCell ref="FS97:FV97"/>
    <mergeCell ref="KI59:KL59"/>
    <mergeCell ref="HK59:HN59"/>
    <mergeCell ref="X35:Y35"/>
    <mergeCell ref="C47:F47"/>
    <mergeCell ref="BK67:BN67"/>
    <mergeCell ref="GA104:GD104"/>
    <mergeCell ref="KA73:KD73"/>
    <mergeCell ref="KI76:KL76"/>
    <mergeCell ref="JW93:JZ93"/>
    <mergeCell ref="JS88:JV88"/>
    <mergeCell ref="JO89:JR89"/>
    <mergeCell ref="KQ42:KT42"/>
    <mergeCell ref="FS57:FV57"/>
    <mergeCell ref="KI83:KL83"/>
    <mergeCell ref="FO109:FR109"/>
    <mergeCell ref="KI48:KL48"/>
    <mergeCell ref="GI109:GL109"/>
    <mergeCell ref="AF37:AG37"/>
    <mergeCell ref="GI65:GL65"/>
    <mergeCell ref="I65:L65"/>
    <mergeCell ref="IM40:IP40"/>
    <mergeCell ref="N29:O29"/>
    <mergeCell ref="F27:G27"/>
    <mergeCell ref="EI99:EL99"/>
    <mergeCell ref="AD18:AE18"/>
    <mergeCell ref="V10:W10"/>
    <mergeCell ref="J11:K11"/>
    <mergeCell ref="BC105:BF105"/>
    <mergeCell ref="HG64:HJ64"/>
    <mergeCell ref="DC45:DF45"/>
    <mergeCell ref="CI44:CL44"/>
    <mergeCell ref="GA89:GD89"/>
    <mergeCell ref="HC64:HF64"/>
    <mergeCell ref="GY63:HB63"/>
    <mergeCell ref="GM79:GP79"/>
    <mergeCell ref="FC73:FF73"/>
    <mergeCell ref="EM53:EP53"/>
    <mergeCell ref="BS97:BV97"/>
    <mergeCell ref="AU60:AX60"/>
    <mergeCell ref="CA99:CD99"/>
    <mergeCell ref="V27:W27"/>
    <mergeCell ref="L17:M17"/>
    <mergeCell ref="P17:Q17"/>
    <mergeCell ref="IE90:IH90"/>
    <mergeCell ref="CM55:CP55"/>
    <mergeCell ref="EI52:EL52"/>
    <mergeCell ref="HO87:HR87"/>
    <mergeCell ref="II85:IL85"/>
    <mergeCell ref="G99:H99"/>
    <mergeCell ref="DW67:DZ67"/>
    <mergeCell ref="CY64:DB64"/>
    <mergeCell ref="CA62:CD62"/>
    <mergeCell ref="IE94:IH94"/>
    <mergeCell ref="HS42:HV42"/>
    <mergeCell ref="JC83:JF83"/>
    <mergeCell ref="JK56:JN56"/>
    <mergeCell ref="JW54:JZ54"/>
    <mergeCell ref="HS94:HV94"/>
    <mergeCell ref="KQ82:KT82"/>
    <mergeCell ref="IM105:IP105"/>
    <mergeCell ref="HK107:HN107"/>
    <mergeCell ref="IM109:IP109"/>
    <mergeCell ref="EQ41:ET41"/>
    <mergeCell ref="AY104:BB104"/>
    <mergeCell ref="T48:U48"/>
    <mergeCell ref="DK61:DN61"/>
    <mergeCell ref="AI93:AL93"/>
    <mergeCell ref="DS88:DV88"/>
    <mergeCell ref="DC107:DF107"/>
    <mergeCell ref="CM94:CP94"/>
    <mergeCell ref="BG70:BJ70"/>
    <mergeCell ref="BO109:BR109"/>
    <mergeCell ref="HC96:HF96"/>
    <mergeCell ref="IY69:JB69"/>
    <mergeCell ref="GI61:GL61"/>
    <mergeCell ref="DC40:DF40"/>
    <mergeCell ref="AU89:AX89"/>
    <mergeCell ref="AI68:AL68"/>
    <mergeCell ref="DW74:DZ74"/>
    <mergeCell ref="EQ62:ET62"/>
    <mergeCell ref="EI44:EL44"/>
    <mergeCell ref="EI98:EL98"/>
    <mergeCell ref="DK108:DN108"/>
    <mergeCell ref="BK88:BN88"/>
    <mergeCell ref="EE50:EH50"/>
    <mergeCell ref="C69:F69"/>
    <mergeCell ref="EQ60:ET60"/>
    <mergeCell ref="BK65:BN65"/>
    <mergeCell ref="AU98:AX98"/>
    <mergeCell ref="BO98:BR98"/>
    <mergeCell ref="KM42:KP42"/>
    <mergeCell ref="GQ83:GT83"/>
    <mergeCell ref="JK99:JN99"/>
    <mergeCell ref="IY79:JB79"/>
    <mergeCell ref="II77:IL77"/>
    <mergeCell ref="JW87:JZ87"/>
    <mergeCell ref="JC70:JF70"/>
    <mergeCell ref="BK82:BN82"/>
    <mergeCell ref="EY87:FB87"/>
    <mergeCell ref="BC78:BF78"/>
    <mergeCell ref="JW101:JZ101"/>
    <mergeCell ref="JS78:JV78"/>
    <mergeCell ref="GA74:GD74"/>
    <mergeCell ref="T21:U21"/>
    <mergeCell ref="AH4:AI4"/>
    <mergeCell ref="F5:I5"/>
    <mergeCell ref="L12:M12"/>
    <mergeCell ref="CY53:DB53"/>
    <mergeCell ref="T102:U102"/>
    <mergeCell ref="AJ4:AK4"/>
    <mergeCell ref="AL5:AM5"/>
    <mergeCell ref="Z4:AC4"/>
    <mergeCell ref="P5:Q5"/>
    <mergeCell ref="D5:E5"/>
    <mergeCell ref="R4:W4"/>
    <mergeCell ref="AJ5:AK5"/>
    <mergeCell ref="P4:Q4"/>
    <mergeCell ref="AD5:AE5"/>
    <mergeCell ref="R5:S5"/>
    <mergeCell ref="V5:W5"/>
    <mergeCell ref="T5:U5"/>
    <mergeCell ref="AD4:AE4"/>
    <mergeCell ref="AM71:AP71"/>
    <mergeCell ref="FK108:FN108"/>
    <mergeCell ref="AI96:AL96"/>
    <mergeCell ref="EM96:EP96"/>
    <mergeCell ref="BS99:BV99"/>
    <mergeCell ref="EU86:EX86"/>
    <mergeCell ref="EY82:FB82"/>
    <mergeCell ref="CE75:CH75"/>
    <mergeCell ref="GE41:GH41"/>
    <mergeCell ref="JG95:JJ95"/>
    <mergeCell ref="KM49:KP49"/>
    <mergeCell ref="GQ110:GT110"/>
    <mergeCell ref="JS59:JV59"/>
    <mergeCell ref="JC53:JF53"/>
    <mergeCell ref="HC95:HF95"/>
    <mergeCell ref="EA109:ED109"/>
    <mergeCell ref="IE97:IH97"/>
    <mergeCell ref="EI103:EL103"/>
    <mergeCell ref="AF30:AG30"/>
    <mergeCell ref="C79:F79"/>
    <mergeCell ref="X33:Y33"/>
    <mergeCell ref="BS95:BV95"/>
    <mergeCell ref="EM48:EP48"/>
    <mergeCell ref="AY43:BB43"/>
    <mergeCell ref="CE62:CH62"/>
    <mergeCell ref="DG65:DJ65"/>
    <mergeCell ref="JS100:JV100"/>
    <mergeCell ref="HC54:HF54"/>
    <mergeCell ref="GU78:GX78"/>
    <mergeCell ref="IU79:IX79"/>
    <mergeCell ref="HG84:HJ84"/>
    <mergeCell ref="HO75:HR75"/>
    <mergeCell ref="IM42:IP42"/>
    <mergeCell ref="JG67:JJ67"/>
    <mergeCell ref="GA107:GD107"/>
    <mergeCell ref="BS80:BV80"/>
    <mergeCell ref="DW72:DZ72"/>
    <mergeCell ref="AG87:AH87"/>
    <mergeCell ref="DW96:DZ96"/>
    <mergeCell ref="AD35:AE35"/>
    <mergeCell ref="I92:L92"/>
    <mergeCell ref="AI45:AL45"/>
    <mergeCell ref="AM57:AP57"/>
    <mergeCell ref="GA59:GD59"/>
    <mergeCell ref="KQ88:KT88"/>
    <mergeCell ref="IA98:ID98"/>
    <mergeCell ref="IU56:IX56"/>
    <mergeCell ref="G88:H88"/>
    <mergeCell ref="BO104:BR104"/>
    <mergeCell ref="V45:Y45"/>
    <mergeCell ref="AM61:AP61"/>
    <mergeCell ref="AU85:AX85"/>
    <mergeCell ref="BC85:BF85"/>
    <mergeCell ref="P29:Q29"/>
    <mergeCell ref="GE103:GH103"/>
    <mergeCell ref="KI78:KL78"/>
    <mergeCell ref="GU62:GX62"/>
    <mergeCell ref="KI100:KL100"/>
    <mergeCell ref="FC85:FF85"/>
    <mergeCell ref="GA83:GD83"/>
    <mergeCell ref="FC89:FF89"/>
    <mergeCell ref="FO46:FR46"/>
    <mergeCell ref="KA86:KD86"/>
    <mergeCell ref="IE99:IH99"/>
    <mergeCell ref="EE79:EH79"/>
    <mergeCell ref="IU101:IX101"/>
    <mergeCell ref="JS85:JV85"/>
    <mergeCell ref="JS93:JV93"/>
    <mergeCell ref="FS58:FV58"/>
    <mergeCell ref="GI96:GL96"/>
    <mergeCell ref="KA75:KD75"/>
    <mergeCell ref="IQ72:IT72"/>
    <mergeCell ref="JS76:JV76"/>
    <mergeCell ref="BO84:BR84"/>
    <mergeCell ref="JG99:JJ99"/>
    <mergeCell ref="CE82:CH82"/>
    <mergeCell ref="JK51:JN51"/>
    <mergeCell ref="IA97:ID97"/>
    <mergeCell ref="JW110:JZ110"/>
    <mergeCell ref="BW50:BZ50"/>
    <mergeCell ref="I83:L83"/>
    <mergeCell ref="AY90:BB90"/>
    <mergeCell ref="BO82:BR82"/>
    <mergeCell ref="I53:L53"/>
    <mergeCell ref="AQ64:AT64"/>
    <mergeCell ref="CA90:CD90"/>
    <mergeCell ref="BS93:BV93"/>
    <mergeCell ref="KA85:KD85"/>
    <mergeCell ref="II58:IL58"/>
    <mergeCell ref="JO51:JR51"/>
    <mergeCell ref="KQ66:KT66"/>
    <mergeCell ref="KQ60:KT60"/>
    <mergeCell ref="EU41:EX41"/>
    <mergeCell ref="DC100:DF100"/>
    <mergeCell ref="AG72:AH72"/>
    <mergeCell ref="C83:F83"/>
    <mergeCell ref="CQ71:CT71"/>
    <mergeCell ref="KI46:KL46"/>
    <mergeCell ref="FW58:FZ58"/>
    <mergeCell ref="JO90:JR90"/>
    <mergeCell ref="JK55:JN55"/>
    <mergeCell ref="HW47:HZ47"/>
    <mergeCell ref="FW57:FZ57"/>
    <mergeCell ref="GY52:HB52"/>
    <mergeCell ref="CQ67:CT67"/>
    <mergeCell ref="AY107:BB107"/>
    <mergeCell ref="G73:H73"/>
    <mergeCell ref="BC43:BF43"/>
    <mergeCell ref="KE65:KH65"/>
    <mergeCell ref="HG99:HJ99"/>
    <mergeCell ref="FW89:FZ89"/>
    <mergeCell ref="GE56:GH56"/>
    <mergeCell ref="KM50:KP50"/>
    <mergeCell ref="GY54:HB54"/>
    <mergeCell ref="FW60:FZ60"/>
    <mergeCell ref="JC90:JF90"/>
    <mergeCell ref="KI75:KL75"/>
    <mergeCell ref="HG94:HJ94"/>
    <mergeCell ref="GQ89:GT89"/>
    <mergeCell ref="IA69:ID69"/>
    <mergeCell ref="HG87:HJ87"/>
    <mergeCell ref="AQ68:AT68"/>
    <mergeCell ref="CE101:CH101"/>
    <mergeCell ref="EM77:EP77"/>
    <mergeCell ref="DC78:DF78"/>
    <mergeCell ref="BC89:BF89"/>
    <mergeCell ref="BG110:BJ110"/>
    <mergeCell ref="IU43:IX43"/>
    <mergeCell ref="GQ97:GT97"/>
    <mergeCell ref="KE102:KH102"/>
    <mergeCell ref="GY57:HB57"/>
    <mergeCell ref="KM48:KP48"/>
    <mergeCell ref="HS47:HV47"/>
    <mergeCell ref="IE40:IH40"/>
    <mergeCell ref="CI102:CL102"/>
    <mergeCell ref="HS86:HV86"/>
    <mergeCell ref="JG110:JJ110"/>
    <mergeCell ref="EQ109:ET109"/>
    <mergeCell ref="GE102:GH102"/>
    <mergeCell ref="T98:U98"/>
    <mergeCell ref="GI105:GL105"/>
    <mergeCell ref="JK68:JN68"/>
    <mergeCell ref="KE88:KH88"/>
    <mergeCell ref="IU54:IX54"/>
    <mergeCell ref="HO109:HR109"/>
    <mergeCell ref="JW80:JZ80"/>
    <mergeCell ref="FS98:FV98"/>
    <mergeCell ref="CU89:CX89"/>
    <mergeCell ref="JG101:JJ101"/>
    <mergeCell ref="DG69:DJ69"/>
    <mergeCell ref="DS97:DV97"/>
    <mergeCell ref="AQ77:AT77"/>
    <mergeCell ref="CI49:CL49"/>
    <mergeCell ref="AG79:AH79"/>
    <mergeCell ref="KI99:KL99"/>
    <mergeCell ref="GE59:GH59"/>
    <mergeCell ref="GM110:GP110"/>
    <mergeCell ref="HW110:HZ110"/>
    <mergeCell ref="JS110:JV110"/>
    <mergeCell ref="AU108:AX108"/>
    <mergeCell ref="CQ51:CT51"/>
    <mergeCell ref="T68:U68"/>
    <mergeCell ref="DG98:DJ98"/>
    <mergeCell ref="G149:N149"/>
    <mergeCell ref="C150:D150"/>
    <mergeCell ref="C152:AL152"/>
    <mergeCell ref="FS94:FV94"/>
    <mergeCell ref="IE45:IH45"/>
    <mergeCell ref="JK86:JN86"/>
    <mergeCell ref="FO76:FR76"/>
    <mergeCell ref="EI61:EL61"/>
    <mergeCell ref="AC83:AF83"/>
    <mergeCell ref="EA92:ED92"/>
    <mergeCell ref="AG65:AH65"/>
    <mergeCell ref="H38:I38"/>
    <mergeCell ref="GM89:GP89"/>
    <mergeCell ref="II60:IL60"/>
    <mergeCell ref="HO56:HR56"/>
    <mergeCell ref="HS57:HV57"/>
    <mergeCell ref="HS89:HV89"/>
    <mergeCell ref="GU82:GX82"/>
    <mergeCell ref="HG68:HJ68"/>
    <mergeCell ref="DW100:DZ100"/>
    <mergeCell ref="BW56:BZ56"/>
    <mergeCell ref="DG53:DJ53"/>
    <mergeCell ref="CI59:CL59"/>
    <mergeCell ref="BW93:BZ93"/>
    <mergeCell ref="CQ66:CT66"/>
    <mergeCell ref="GM58:GP58"/>
    <mergeCell ref="KE46:KH46"/>
    <mergeCell ref="HG91:HJ91"/>
    <mergeCell ref="GU71:GX71"/>
    <mergeCell ref="BK49:BN49"/>
    <mergeCell ref="DO60:DR60"/>
    <mergeCell ref="BO103:BR103"/>
    <mergeCell ref="EM62:EP62"/>
    <mergeCell ref="EY72:FB72"/>
    <mergeCell ref="EE80:EH80"/>
    <mergeCell ref="W150:Y150"/>
    <mergeCell ref="P64:S64"/>
    <mergeCell ref="CA53:CD53"/>
    <mergeCell ref="JC101:JF101"/>
    <mergeCell ref="GU44:GX44"/>
    <mergeCell ref="GA75:GD75"/>
    <mergeCell ref="IU48:IX48"/>
    <mergeCell ref="HG98:HJ98"/>
    <mergeCell ref="FC106:FF106"/>
    <mergeCell ref="O149:V149"/>
    <mergeCell ref="CU65:CX65"/>
    <mergeCell ref="W148:Y148"/>
    <mergeCell ref="BG93:BJ93"/>
    <mergeCell ref="AM94:AP94"/>
    <mergeCell ref="AY71:BB71"/>
    <mergeCell ref="DS92:DV92"/>
    <mergeCell ref="BW98:BZ98"/>
    <mergeCell ref="BS89:BV89"/>
    <mergeCell ref="KM85:KP85"/>
    <mergeCell ref="HO59:HR59"/>
    <mergeCell ref="HC67:HF67"/>
    <mergeCell ref="JK46:JN46"/>
    <mergeCell ref="IM88:IP88"/>
    <mergeCell ref="HW62:HZ62"/>
    <mergeCell ref="HS98:HV98"/>
    <mergeCell ref="GM99:GP99"/>
    <mergeCell ref="GQ53:GT53"/>
    <mergeCell ref="IY97:JB97"/>
    <mergeCell ref="KM63:KP63"/>
    <mergeCell ref="GA101:GD101"/>
    <mergeCell ref="GE97:GH97"/>
    <mergeCell ref="CA71:CD71"/>
    <mergeCell ref="AQ78:AT78"/>
    <mergeCell ref="EA65:ED65"/>
    <mergeCell ref="CM98:CP98"/>
    <mergeCell ref="GI94:GL94"/>
    <mergeCell ref="JS56:JV56"/>
    <mergeCell ref="KI68:KL68"/>
    <mergeCell ref="FW76:FZ76"/>
    <mergeCell ref="GI62:GL62"/>
    <mergeCell ref="FG62:FJ62"/>
    <mergeCell ref="CQ43:CT43"/>
    <mergeCell ref="BK59:BN59"/>
    <mergeCell ref="CQ83:CT83"/>
    <mergeCell ref="BK51:BN51"/>
    <mergeCell ref="CM72:CP72"/>
    <mergeCell ref="EE81:EH81"/>
    <mergeCell ref="EY63:FB63"/>
    <mergeCell ref="EY107:FB107"/>
    <mergeCell ref="DK72:DN72"/>
    <mergeCell ref="F9:G9"/>
    <mergeCell ref="AH8:AI8"/>
    <mergeCell ref="FO58:FR58"/>
    <mergeCell ref="GA50:GD50"/>
    <mergeCell ref="FO65:FR65"/>
    <mergeCell ref="GU92:GX92"/>
    <mergeCell ref="JW52:JZ52"/>
    <mergeCell ref="IM46:IP46"/>
    <mergeCell ref="EI70:EL70"/>
    <mergeCell ref="FO70:FR70"/>
    <mergeCell ref="FO62:FR62"/>
    <mergeCell ref="AQ83:AT83"/>
    <mergeCell ref="KQ108:KT108"/>
    <mergeCell ref="IU55:IX55"/>
    <mergeCell ref="II110:IL110"/>
    <mergeCell ref="JK48:JN48"/>
    <mergeCell ref="IE41:IH41"/>
    <mergeCell ref="JO73:JR73"/>
    <mergeCell ref="II75:IL75"/>
    <mergeCell ref="IQ48:IT48"/>
    <mergeCell ref="JG65:JJ65"/>
    <mergeCell ref="JK61:JN61"/>
    <mergeCell ref="HG108:HJ108"/>
    <mergeCell ref="EA40:ED40"/>
    <mergeCell ref="CE109:CH109"/>
    <mergeCell ref="DW95:DZ95"/>
    <mergeCell ref="IM108:IP108"/>
    <mergeCell ref="CI81:CL81"/>
    <mergeCell ref="CY110:DB110"/>
    <mergeCell ref="EE108:EH108"/>
    <mergeCell ref="CY90:DB90"/>
    <mergeCell ref="KM105:KP105"/>
    <mergeCell ref="IE59:IH59"/>
    <mergeCell ref="GY91:HB91"/>
    <mergeCell ref="KE54:KH54"/>
    <mergeCell ref="HW58:HZ58"/>
    <mergeCell ref="KQ104:KT104"/>
    <mergeCell ref="KA109:KD109"/>
    <mergeCell ref="DK69:DN69"/>
    <mergeCell ref="JO92:JR92"/>
    <mergeCell ref="JS86:JV86"/>
    <mergeCell ref="HG53:HJ53"/>
    <mergeCell ref="IU74:IX74"/>
    <mergeCell ref="DS75:DV75"/>
    <mergeCell ref="CU68:CX68"/>
    <mergeCell ref="HK56:HN56"/>
    <mergeCell ref="KI107:KL107"/>
    <mergeCell ref="KM101:KP101"/>
    <mergeCell ref="HW97:HZ97"/>
    <mergeCell ref="HW103:HZ103"/>
    <mergeCell ref="KE69:KH69"/>
    <mergeCell ref="CQ110:CT110"/>
    <mergeCell ref="EE72:EH72"/>
    <mergeCell ref="BG59:BJ59"/>
    <mergeCell ref="CQ53:CT53"/>
    <mergeCell ref="BK61:BN61"/>
    <mergeCell ref="BG63:BJ63"/>
    <mergeCell ref="CU86:CX86"/>
    <mergeCell ref="GA82:GD82"/>
    <mergeCell ref="BS64:BV64"/>
    <mergeCell ref="X21:Y21"/>
    <mergeCell ref="AL10:AM10"/>
    <mergeCell ref="AF36:AG36"/>
    <mergeCell ref="AD37:AE37"/>
    <mergeCell ref="AP35:AQ35"/>
    <mergeCell ref="BK46:BN46"/>
    <mergeCell ref="T63:U63"/>
    <mergeCell ref="CU54:CX54"/>
    <mergeCell ref="AY69:BB69"/>
    <mergeCell ref="CA108:CD108"/>
    <mergeCell ref="EQ43:ET43"/>
    <mergeCell ref="F16:I16"/>
    <mergeCell ref="BC62:BF62"/>
    <mergeCell ref="GI64:GL64"/>
    <mergeCell ref="FS62:FV62"/>
    <mergeCell ref="AL9:AM9"/>
    <mergeCell ref="F10:G10"/>
    <mergeCell ref="R11:S11"/>
    <mergeCell ref="T7:U7"/>
    <mergeCell ref="D8:E8"/>
    <mergeCell ref="BO69:BR69"/>
    <mergeCell ref="HC44:HF44"/>
    <mergeCell ref="HS59:HV59"/>
    <mergeCell ref="HO66:HR66"/>
    <mergeCell ref="GE55:GH55"/>
    <mergeCell ref="HK85:HN85"/>
    <mergeCell ref="CQ84:CT84"/>
    <mergeCell ref="X13:Y13"/>
    <mergeCell ref="AH9:AI9"/>
    <mergeCell ref="V24:W24"/>
    <mergeCell ref="EA62:ED62"/>
    <mergeCell ref="CM88:CP88"/>
    <mergeCell ref="P14:Q14"/>
    <mergeCell ref="CU80:CX80"/>
    <mergeCell ref="EA64:ED64"/>
    <mergeCell ref="DW79:DZ79"/>
    <mergeCell ref="EE93:EH93"/>
    <mergeCell ref="AD12:AE12"/>
    <mergeCell ref="CY83:DB83"/>
    <mergeCell ref="DK65:DN65"/>
    <mergeCell ref="G55:H55"/>
    <mergeCell ref="R30:S30"/>
    <mergeCell ref="CQ77:CT77"/>
    <mergeCell ref="AQ79:AT79"/>
    <mergeCell ref="DG55:DJ55"/>
    <mergeCell ref="CU76:CX76"/>
    <mergeCell ref="AD24:AE24"/>
    <mergeCell ref="HS43:HV43"/>
    <mergeCell ref="CE53:CH53"/>
    <mergeCell ref="FO73:FR73"/>
    <mergeCell ref="AY42:BB42"/>
    <mergeCell ref="HS58:HV58"/>
    <mergeCell ref="AC43:AF43"/>
    <mergeCell ref="BC108:BF108"/>
    <mergeCell ref="C77:F77"/>
    <mergeCell ref="BS54:BV54"/>
    <mergeCell ref="DO50:DR50"/>
    <mergeCell ref="JS95:JV95"/>
    <mergeCell ref="IE43:IH43"/>
    <mergeCell ref="KA61:KD61"/>
    <mergeCell ref="KM97:KP97"/>
    <mergeCell ref="HW53:HZ53"/>
    <mergeCell ref="AG103:AH103"/>
    <mergeCell ref="BC61:BF61"/>
    <mergeCell ref="AJ11:AK11"/>
    <mergeCell ref="T92:U92"/>
    <mergeCell ref="AH35:AI35"/>
    <mergeCell ref="EE95:EH95"/>
    <mergeCell ref="F24:G24"/>
    <mergeCell ref="AD22:AE22"/>
    <mergeCell ref="GI99:GL99"/>
    <mergeCell ref="GQ108:GT108"/>
    <mergeCell ref="DK90:DN90"/>
    <mergeCell ref="J23:K23"/>
    <mergeCell ref="AN17:AO17"/>
    <mergeCell ref="DO92:DR92"/>
    <mergeCell ref="DK109:DN109"/>
    <mergeCell ref="KM110:KP110"/>
    <mergeCell ref="IA72:ID72"/>
    <mergeCell ref="JC49:JF49"/>
    <mergeCell ref="KI51:KL51"/>
    <mergeCell ref="KA60:KD60"/>
    <mergeCell ref="FW66:FZ66"/>
    <mergeCell ref="FC88:FF88"/>
    <mergeCell ref="GI86:GL86"/>
    <mergeCell ref="FO99:FR99"/>
    <mergeCell ref="DG77:DJ77"/>
    <mergeCell ref="EY44:FB44"/>
    <mergeCell ref="FC92:FF92"/>
    <mergeCell ref="GE98:GH98"/>
    <mergeCell ref="GI43:GL43"/>
    <mergeCell ref="DO67:DR67"/>
    <mergeCell ref="FG87:FJ87"/>
    <mergeCell ref="GU55:GX55"/>
    <mergeCell ref="HO51:HR51"/>
    <mergeCell ref="EE107:EH107"/>
    <mergeCell ref="FG57:FJ57"/>
    <mergeCell ref="GI84:GL84"/>
    <mergeCell ref="FS54:FV54"/>
    <mergeCell ref="FG72:FJ72"/>
    <mergeCell ref="HK73:HN73"/>
    <mergeCell ref="EM110:EP110"/>
    <mergeCell ref="KA108:KD108"/>
    <mergeCell ref="IA48:ID48"/>
    <mergeCell ref="KM51:KP51"/>
    <mergeCell ref="KE43:KH43"/>
    <mergeCell ref="HW43:HZ43"/>
    <mergeCell ref="KM70:KP70"/>
    <mergeCell ref="IE83:IH83"/>
    <mergeCell ref="JK49:JN49"/>
    <mergeCell ref="IM74:IP74"/>
    <mergeCell ref="D20:E20"/>
    <mergeCell ref="AG59:AH59"/>
    <mergeCell ref="AI42:AL42"/>
    <mergeCell ref="CQ88:CT88"/>
    <mergeCell ref="V21:W21"/>
    <mergeCell ref="BG106:BJ106"/>
    <mergeCell ref="P72:S72"/>
    <mergeCell ref="FO85:FR85"/>
    <mergeCell ref="AQ110:AT110"/>
    <mergeCell ref="J9:K9"/>
    <mergeCell ref="H35:I35"/>
    <mergeCell ref="AU94:AX94"/>
    <mergeCell ref="EE101:EH101"/>
    <mergeCell ref="V38:W38"/>
    <mergeCell ref="AH33:AI33"/>
    <mergeCell ref="EI41:EL41"/>
    <mergeCell ref="D9:E9"/>
    <mergeCell ref="BS96:BV96"/>
    <mergeCell ref="DC110:DF110"/>
    <mergeCell ref="FG75:FJ75"/>
    <mergeCell ref="FW86:FZ86"/>
    <mergeCell ref="CQ48:CT48"/>
    <mergeCell ref="CM59:CP59"/>
    <mergeCell ref="IY90:JB90"/>
    <mergeCell ref="JW83:JZ83"/>
    <mergeCell ref="IU50:IX50"/>
    <mergeCell ref="IQ55:IT55"/>
    <mergeCell ref="IY86:JB86"/>
    <mergeCell ref="EQ44:ET44"/>
    <mergeCell ref="GI73:GL73"/>
    <mergeCell ref="FC104:FF104"/>
    <mergeCell ref="IA86:ID86"/>
    <mergeCell ref="KA55:KD55"/>
    <mergeCell ref="KE96:KH96"/>
    <mergeCell ref="IY49:JB49"/>
    <mergeCell ref="GA64:GD64"/>
    <mergeCell ref="EE44:EH44"/>
    <mergeCell ref="DS57:DV57"/>
    <mergeCell ref="FC71:FF71"/>
    <mergeCell ref="II53:IL53"/>
    <mergeCell ref="IA42:ID42"/>
    <mergeCell ref="IM50:IP50"/>
    <mergeCell ref="JG85:JJ85"/>
    <mergeCell ref="KE61:KH61"/>
    <mergeCell ref="JS45:JV45"/>
    <mergeCell ref="IY87:JB87"/>
    <mergeCell ref="HS40:HV40"/>
    <mergeCell ref="JW41:JZ41"/>
    <mergeCell ref="HC106:HF106"/>
    <mergeCell ref="EU78:EX78"/>
    <mergeCell ref="GU59:GX59"/>
    <mergeCell ref="FC70:FF70"/>
    <mergeCell ref="GQ100:GT100"/>
    <mergeCell ref="HC85:HF85"/>
    <mergeCell ref="HO107:HR107"/>
    <mergeCell ref="DK79:DN79"/>
    <mergeCell ref="FS51:FV51"/>
    <mergeCell ref="GE71:GH71"/>
    <mergeCell ref="HK48:HN48"/>
    <mergeCell ref="GA45:GD45"/>
    <mergeCell ref="EU58:EX58"/>
    <mergeCell ref="FC66:FF66"/>
    <mergeCell ref="FK59:FN59"/>
    <mergeCell ref="FG61:FJ61"/>
    <mergeCell ref="IA84:ID84"/>
    <mergeCell ref="IA80:ID80"/>
    <mergeCell ref="EY105:FB105"/>
    <mergeCell ref="EQ53:ET53"/>
    <mergeCell ref="FC91:FF91"/>
    <mergeCell ref="EU71:EX71"/>
    <mergeCell ref="FC90:FF90"/>
    <mergeCell ref="EY83:FB83"/>
    <mergeCell ref="HO82:HR82"/>
    <mergeCell ref="EM91:EP91"/>
    <mergeCell ref="DS47:DV47"/>
    <mergeCell ref="EY47:FB47"/>
    <mergeCell ref="EA46:ED46"/>
    <mergeCell ref="EM60:EP60"/>
    <mergeCell ref="EQ40:ET40"/>
    <mergeCell ref="GE42:GH42"/>
    <mergeCell ref="EU40:EX40"/>
    <mergeCell ref="JS103:JV103"/>
    <mergeCell ref="IY43:JB43"/>
    <mergeCell ref="KQ52:KT52"/>
    <mergeCell ref="IQ79:IT79"/>
    <mergeCell ref="L25:M25"/>
    <mergeCell ref="BO52:BR52"/>
    <mergeCell ref="AU63:AX63"/>
    <mergeCell ref="J14:K14"/>
    <mergeCell ref="L15:M15"/>
    <mergeCell ref="BS56:BV56"/>
    <mergeCell ref="CU63:CX63"/>
    <mergeCell ref="AN12:AO12"/>
    <mergeCell ref="BG75:BJ75"/>
    <mergeCell ref="AQ90:AT90"/>
    <mergeCell ref="AG69:AH69"/>
    <mergeCell ref="CE81:CH81"/>
    <mergeCell ref="AH17:AI17"/>
    <mergeCell ref="C105:F105"/>
    <mergeCell ref="AG41:AH41"/>
    <mergeCell ref="DO77:DR77"/>
    <mergeCell ref="BO87:BR87"/>
    <mergeCell ref="CE56:CH56"/>
    <mergeCell ref="CI72:CL72"/>
    <mergeCell ref="BS82:BV82"/>
    <mergeCell ref="DO65:DR65"/>
    <mergeCell ref="DS82:DV82"/>
    <mergeCell ref="AP37:AQ37"/>
    <mergeCell ref="AC63:AF63"/>
    <mergeCell ref="BC101:BF101"/>
    <mergeCell ref="AM50:AP50"/>
    <mergeCell ref="BG44:BJ44"/>
    <mergeCell ref="AG50:AH50"/>
    <mergeCell ref="AY50:BB50"/>
    <mergeCell ref="AG78:AH78"/>
    <mergeCell ref="CY84:DB84"/>
    <mergeCell ref="H30:I30"/>
    <mergeCell ref="AM62:AP62"/>
    <mergeCell ref="R35:S35"/>
    <mergeCell ref="AK40:AL40"/>
    <mergeCell ref="I55:L55"/>
    <mergeCell ref="EQ47:ET47"/>
    <mergeCell ref="EQ48:ET48"/>
    <mergeCell ref="EM43:EP43"/>
    <mergeCell ref="CI94:CL94"/>
    <mergeCell ref="AL16:AM16"/>
    <mergeCell ref="AC66:AF66"/>
    <mergeCell ref="AY84:BB84"/>
    <mergeCell ref="P43:S43"/>
    <mergeCell ref="AJ31:AK31"/>
    <mergeCell ref="G67:H67"/>
    <mergeCell ref="BK44:BN44"/>
    <mergeCell ref="AU87:AX87"/>
    <mergeCell ref="CA59:CD59"/>
    <mergeCell ref="N34:O34"/>
    <mergeCell ref="P68:S68"/>
    <mergeCell ref="I58:L58"/>
    <mergeCell ref="EE58:EH58"/>
    <mergeCell ref="BG56:BJ56"/>
    <mergeCell ref="AC82:AF82"/>
    <mergeCell ref="L38:M38"/>
    <mergeCell ref="I84:L84"/>
    <mergeCell ref="CQ92:CT92"/>
    <mergeCell ref="AY83:BB83"/>
    <mergeCell ref="I47:L47"/>
    <mergeCell ref="AH32:AI32"/>
    <mergeCell ref="F15:I15"/>
    <mergeCell ref="CE74:CH74"/>
    <mergeCell ref="X18:Y18"/>
    <mergeCell ref="CA42:CD42"/>
    <mergeCell ref="AQ40:AT40"/>
    <mergeCell ref="AM49:AP49"/>
    <mergeCell ref="I64:L64"/>
    <mergeCell ref="AG54:AH54"/>
    <mergeCell ref="BO110:BR110"/>
    <mergeCell ref="Z11:AC11"/>
    <mergeCell ref="DG110:DJ110"/>
    <mergeCell ref="DG106:DJ106"/>
    <mergeCell ref="CY73:DB73"/>
    <mergeCell ref="CY104:DB104"/>
    <mergeCell ref="BO101:BR101"/>
    <mergeCell ref="J12:K12"/>
    <mergeCell ref="C48:F48"/>
    <mergeCell ref="T12:U12"/>
    <mergeCell ref="AU86:AX86"/>
    <mergeCell ref="AJ14:AK14"/>
    <mergeCell ref="AD25:AE25"/>
    <mergeCell ref="CM87:CP87"/>
    <mergeCell ref="CI88:CL88"/>
    <mergeCell ref="DC54:DF54"/>
    <mergeCell ref="BC91:BF91"/>
    <mergeCell ref="CM69:CP69"/>
    <mergeCell ref="L14:M14"/>
    <mergeCell ref="V80:Y80"/>
    <mergeCell ref="CQ108:CT108"/>
    <mergeCell ref="AJ32:AK32"/>
    <mergeCell ref="V79:Y79"/>
    <mergeCell ref="AP30:AQ30"/>
    <mergeCell ref="DG50:DJ50"/>
    <mergeCell ref="D12:E12"/>
    <mergeCell ref="BK71:BN71"/>
    <mergeCell ref="G145:N145"/>
    <mergeCell ref="W145:Y145"/>
    <mergeCell ref="C146:D146"/>
    <mergeCell ref="W146:Y146"/>
    <mergeCell ref="O146:V146"/>
    <mergeCell ref="T11:U11"/>
    <mergeCell ref="AG99:AH99"/>
    <mergeCell ref="G50:H50"/>
    <mergeCell ref="C99:F99"/>
    <mergeCell ref="C70:F70"/>
    <mergeCell ref="G136:N136"/>
    <mergeCell ref="G137:N137"/>
    <mergeCell ref="AU109:AX109"/>
    <mergeCell ref="CQ70:CT70"/>
    <mergeCell ref="BW64:BZ64"/>
    <mergeCell ref="CQ107:CT107"/>
    <mergeCell ref="CM90:CP90"/>
    <mergeCell ref="CM68:CP68"/>
    <mergeCell ref="AU43:AX43"/>
    <mergeCell ref="CY81:DB81"/>
    <mergeCell ref="AF11:AG11"/>
    <mergeCell ref="G84:H84"/>
    <mergeCell ref="AL7:AM7"/>
    <mergeCell ref="CU77:CX77"/>
    <mergeCell ref="AQ71:AT71"/>
    <mergeCell ref="Z28:AC28"/>
    <mergeCell ref="T64:U64"/>
    <mergeCell ref="AC67:AF67"/>
    <mergeCell ref="V62:Y62"/>
    <mergeCell ref="W137:Y137"/>
    <mergeCell ref="BS53:BV53"/>
    <mergeCell ref="T27:U27"/>
    <mergeCell ref="V75:Y75"/>
    <mergeCell ref="BO86:BR86"/>
    <mergeCell ref="P20:Q20"/>
    <mergeCell ref="AM72:AP72"/>
    <mergeCell ref="AQ51:AT51"/>
    <mergeCell ref="V93:Y93"/>
    <mergeCell ref="KA98:KD98"/>
    <mergeCell ref="FK77:FN77"/>
    <mergeCell ref="HW67:HZ67"/>
    <mergeCell ref="FC83:FF83"/>
    <mergeCell ref="KE91:KH91"/>
    <mergeCell ref="IU93:IX93"/>
    <mergeCell ref="GI87:GL87"/>
    <mergeCell ref="KM78:KP78"/>
    <mergeCell ref="EE41:EH41"/>
    <mergeCell ref="IQ64:IT64"/>
    <mergeCell ref="DK48:DN48"/>
    <mergeCell ref="EE69:EH69"/>
    <mergeCell ref="KE40:KH40"/>
    <mergeCell ref="FO49:FR49"/>
    <mergeCell ref="HC57:HF57"/>
    <mergeCell ref="EI46:EL46"/>
    <mergeCell ref="EM57:EP57"/>
    <mergeCell ref="IY58:JB58"/>
    <mergeCell ref="IM60:IP60"/>
    <mergeCell ref="EY45:FB45"/>
    <mergeCell ref="FG77:FJ77"/>
    <mergeCell ref="II109:IL109"/>
    <mergeCell ref="JW91:JZ91"/>
    <mergeCell ref="GY110:HB110"/>
    <mergeCell ref="GQ55:GT55"/>
    <mergeCell ref="JG61:JJ61"/>
    <mergeCell ref="KE42:KH42"/>
    <mergeCell ref="II49:IL49"/>
    <mergeCell ref="JC61:JF61"/>
    <mergeCell ref="IE71:IH71"/>
    <mergeCell ref="FW69:FZ69"/>
    <mergeCell ref="IE47:IH47"/>
    <mergeCell ref="KE74:KH74"/>
    <mergeCell ref="DW46:DZ46"/>
    <mergeCell ref="KE109:KH109"/>
    <mergeCell ref="EY86:FB86"/>
    <mergeCell ref="JC82:JF82"/>
    <mergeCell ref="IA95:ID95"/>
    <mergeCell ref="JK87:JN87"/>
    <mergeCell ref="IE95:IH95"/>
    <mergeCell ref="DW104:DZ104"/>
    <mergeCell ref="EI109:EL109"/>
    <mergeCell ref="IY109:JB109"/>
    <mergeCell ref="GY108:HB108"/>
    <mergeCell ref="GE109:GH109"/>
    <mergeCell ref="HS109:HV109"/>
    <mergeCell ref="HO108:HR108"/>
    <mergeCell ref="J7:K7"/>
    <mergeCell ref="AI81:AL81"/>
    <mergeCell ref="V102:Y102"/>
    <mergeCell ref="T67:U67"/>
    <mergeCell ref="AC91:AF91"/>
    <mergeCell ref="V65:Y65"/>
    <mergeCell ref="C40:F40"/>
    <mergeCell ref="DG43:DJ43"/>
    <mergeCell ref="BS103:BV103"/>
    <mergeCell ref="BK42:BN42"/>
    <mergeCell ref="BK108:BN108"/>
    <mergeCell ref="CM56:CP56"/>
    <mergeCell ref="CY103:DB103"/>
    <mergeCell ref="BW41:BZ41"/>
    <mergeCell ref="CI82:CL82"/>
    <mergeCell ref="BW55:BZ55"/>
    <mergeCell ref="BG74:BJ74"/>
    <mergeCell ref="AY73:BB73"/>
    <mergeCell ref="AP6:AQ6"/>
    <mergeCell ref="G90:H90"/>
    <mergeCell ref="AQ47:AT47"/>
    <mergeCell ref="BC51:BF51"/>
    <mergeCell ref="BW63:BZ63"/>
    <mergeCell ref="CA78:CD78"/>
    <mergeCell ref="CM73:CP73"/>
    <mergeCell ref="EQ59:ET59"/>
    <mergeCell ref="IM81:IP81"/>
    <mergeCell ref="GU98:GX98"/>
    <mergeCell ref="FW102:FZ102"/>
    <mergeCell ref="FO92:FR92"/>
    <mergeCell ref="FK86:FN86"/>
    <mergeCell ref="KI70:KL70"/>
    <mergeCell ref="FO53:FR53"/>
    <mergeCell ref="JS48:JV48"/>
    <mergeCell ref="EU69:EX69"/>
    <mergeCell ref="JC80:JF80"/>
    <mergeCell ref="IY42:JB42"/>
    <mergeCell ref="EY66:FB66"/>
    <mergeCell ref="EA56:ED56"/>
    <mergeCell ref="EE56:EH56"/>
    <mergeCell ref="GY61:HB61"/>
    <mergeCell ref="EQ81:ET81"/>
    <mergeCell ref="IU90:IX90"/>
    <mergeCell ref="EY91:FB91"/>
    <mergeCell ref="IU83:IX83"/>
    <mergeCell ref="DO87:DR87"/>
    <mergeCell ref="IY72:JB72"/>
    <mergeCell ref="IA93:ID93"/>
    <mergeCell ref="FW88:FZ88"/>
    <mergeCell ref="EY73:FB73"/>
    <mergeCell ref="GM97:GP97"/>
    <mergeCell ref="DG71:DJ71"/>
    <mergeCell ref="KI103:KL103"/>
    <mergeCell ref="BC53:BF53"/>
    <mergeCell ref="CQ96:CT96"/>
    <mergeCell ref="DS63:DV63"/>
    <mergeCell ref="DS41:DV41"/>
    <mergeCell ref="CI101:CL101"/>
    <mergeCell ref="CU64:CX64"/>
    <mergeCell ref="EI43:EL43"/>
    <mergeCell ref="AN37:AO37"/>
    <mergeCell ref="I89:L89"/>
    <mergeCell ref="J29:K29"/>
    <mergeCell ref="AG51:AH51"/>
    <mergeCell ref="V52:Y52"/>
    <mergeCell ref="AN24:AO24"/>
    <mergeCell ref="AU90:AX90"/>
    <mergeCell ref="BG55:BJ55"/>
    <mergeCell ref="AF31:AG31"/>
    <mergeCell ref="BC71:BF71"/>
    <mergeCell ref="BG65:BJ65"/>
    <mergeCell ref="G94:H94"/>
    <mergeCell ref="AI51:AL51"/>
    <mergeCell ref="X34:Y34"/>
    <mergeCell ref="V32:W32"/>
    <mergeCell ref="I56:L56"/>
    <mergeCell ref="BS92:BV92"/>
    <mergeCell ref="BK40:BN40"/>
    <mergeCell ref="DK103:DN103"/>
    <mergeCell ref="AU61:AX61"/>
    <mergeCell ref="DS40:DV40"/>
    <mergeCell ref="BW42:BZ42"/>
    <mergeCell ref="AM73:AP73"/>
    <mergeCell ref="AP15:AQ15"/>
    <mergeCell ref="BG76:BJ76"/>
    <mergeCell ref="KI56:KL56"/>
    <mergeCell ref="GI42:GL42"/>
    <mergeCell ref="FG47:FJ47"/>
    <mergeCell ref="IU108:IX108"/>
    <mergeCell ref="FG78:FJ78"/>
    <mergeCell ref="GY72:HB72"/>
    <mergeCell ref="EE88:EH88"/>
    <mergeCell ref="IU75:IX75"/>
    <mergeCell ref="GE100:GH100"/>
    <mergeCell ref="EU85:EX85"/>
    <mergeCell ref="IY83:JB83"/>
    <mergeCell ref="JK105:JN105"/>
    <mergeCell ref="JO100:JR100"/>
    <mergeCell ref="IY74:JB74"/>
    <mergeCell ref="IA102:ID102"/>
    <mergeCell ref="EU70:EX70"/>
    <mergeCell ref="HC100:HF100"/>
    <mergeCell ref="IA85:ID85"/>
    <mergeCell ref="GU102:GX102"/>
    <mergeCell ref="IQ106:IT106"/>
    <mergeCell ref="HG105:HJ105"/>
    <mergeCell ref="EY95:FB95"/>
    <mergeCell ref="GM74:GP74"/>
    <mergeCell ref="EA70:ED70"/>
    <mergeCell ref="HC80:HF80"/>
    <mergeCell ref="GU54:GX54"/>
    <mergeCell ref="EE62:EH62"/>
    <mergeCell ref="HC74:HF74"/>
    <mergeCell ref="GE81:GH81"/>
    <mergeCell ref="FC76:FF76"/>
    <mergeCell ref="HC84:HF84"/>
    <mergeCell ref="FW79:FZ79"/>
    <mergeCell ref="JS106:JV106"/>
    <mergeCell ref="JW67:JZ67"/>
    <mergeCell ref="HC45:HF45"/>
    <mergeCell ref="FG58:FJ58"/>
    <mergeCell ref="EM46:EP46"/>
    <mergeCell ref="JO53:JR53"/>
    <mergeCell ref="FO59:FR59"/>
    <mergeCell ref="FO52:FR52"/>
    <mergeCell ref="II52:IL52"/>
    <mergeCell ref="HC47:HF47"/>
    <mergeCell ref="FW63:FZ63"/>
    <mergeCell ref="T10:U10"/>
    <mergeCell ref="AM85:AP85"/>
    <mergeCell ref="O136:V136"/>
    <mergeCell ref="W142:Y142"/>
    <mergeCell ref="P103:S103"/>
    <mergeCell ref="V56:Y56"/>
    <mergeCell ref="DC108:DF108"/>
    <mergeCell ref="CM52:CP52"/>
    <mergeCell ref="BC41:BF41"/>
    <mergeCell ref="R17:S17"/>
    <mergeCell ref="D34:E34"/>
    <mergeCell ref="AI57:AL57"/>
    <mergeCell ref="BS47:BV47"/>
    <mergeCell ref="BG45:BJ45"/>
    <mergeCell ref="BC63:BF63"/>
    <mergeCell ref="V8:W8"/>
    <mergeCell ref="L29:M29"/>
    <mergeCell ref="V90:Y90"/>
    <mergeCell ref="N22:O22"/>
    <mergeCell ref="DO105:DR105"/>
    <mergeCell ref="BW49:BZ49"/>
    <mergeCell ref="BS108:BV108"/>
    <mergeCell ref="CQ103:CT103"/>
    <mergeCell ref="CQ55:CT55"/>
    <mergeCell ref="CE106:CH106"/>
    <mergeCell ref="AM106:AP106"/>
    <mergeCell ref="AF27:AG27"/>
    <mergeCell ref="W140:Y140"/>
    <mergeCell ref="G77:H77"/>
    <mergeCell ref="AJ13:AK13"/>
    <mergeCell ref="G43:H43"/>
    <mergeCell ref="T22:U22"/>
    <mergeCell ref="Z27:AC27"/>
    <mergeCell ref="T28:U28"/>
    <mergeCell ref="T32:U32"/>
    <mergeCell ref="EA93:ED93"/>
    <mergeCell ref="AU51:AX51"/>
    <mergeCell ref="P82:S82"/>
    <mergeCell ref="EI68:EL68"/>
    <mergeCell ref="AC54:AF54"/>
    <mergeCell ref="BW85:BZ85"/>
    <mergeCell ref="AM101:AP101"/>
    <mergeCell ref="IU41:IX41"/>
    <mergeCell ref="JS105:JV105"/>
    <mergeCell ref="KM65:KP65"/>
    <mergeCell ref="JK97:JN97"/>
    <mergeCell ref="KE106:KH106"/>
    <mergeCell ref="JO72:JR72"/>
    <mergeCell ref="HC60:HF60"/>
    <mergeCell ref="JG88:JJ88"/>
    <mergeCell ref="HW77:HZ77"/>
    <mergeCell ref="HS70:HV70"/>
    <mergeCell ref="JC89:JF89"/>
    <mergeCell ref="FK67:FN67"/>
    <mergeCell ref="CM41:CP41"/>
    <mergeCell ref="FG107:FJ107"/>
    <mergeCell ref="HG74:HJ74"/>
    <mergeCell ref="EQ93:ET93"/>
    <mergeCell ref="FK109:FN109"/>
    <mergeCell ref="HS103:HV103"/>
    <mergeCell ref="EM92:EP92"/>
    <mergeCell ref="EA83:ED83"/>
    <mergeCell ref="DW83:DZ83"/>
    <mergeCell ref="IQ83:IT83"/>
    <mergeCell ref="GA49:GD49"/>
    <mergeCell ref="KA42:KD42"/>
    <mergeCell ref="GM82:GP82"/>
    <mergeCell ref="GA106:GD106"/>
    <mergeCell ref="KI81:KL81"/>
    <mergeCell ref="II68:IL68"/>
    <mergeCell ref="KM90:KP90"/>
    <mergeCell ref="II101:IL101"/>
    <mergeCell ref="JO87:JR87"/>
    <mergeCell ref="KE75:KH75"/>
    <mergeCell ref="FO95:FR95"/>
    <mergeCell ref="GQ96:GT96"/>
    <mergeCell ref="KE80:KH80"/>
    <mergeCell ref="KI85:KL85"/>
    <mergeCell ref="HW90:HZ90"/>
    <mergeCell ref="GY88:HB88"/>
    <mergeCell ref="GQ80:GT80"/>
    <mergeCell ref="FO102:FR102"/>
    <mergeCell ref="II79:IL79"/>
    <mergeCell ref="IQ84:IT84"/>
    <mergeCell ref="GE88:GH88"/>
    <mergeCell ref="FS91:FV91"/>
    <mergeCell ref="GM87:GP87"/>
    <mergeCell ref="JW108:JZ108"/>
    <mergeCell ref="JG104:JJ104"/>
    <mergeCell ref="FG42:FJ42"/>
    <mergeCell ref="GU70:GX70"/>
    <mergeCell ref="JC46:JF46"/>
    <mergeCell ref="GI55:GL55"/>
    <mergeCell ref="GE57:GH57"/>
    <mergeCell ref="KE50:KH50"/>
    <mergeCell ref="FC41:FF41"/>
    <mergeCell ref="IY40:JB40"/>
    <mergeCell ref="AP36:AQ36"/>
    <mergeCell ref="I78:L78"/>
    <mergeCell ref="P63:S63"/>
    <mergeCell ref="AG70:AH70"/>
    <mergeCell ref="AI52:AL52"/>
    <mergeCell ref="CE44:CH44"/>
    <mergeCell ref="BG72:BJ72"/>
    <mergeCell ref="P35:Q35"/>
    <mergeCell ref="DK67:DN67"/>
    <mergeCell ref="AG71:AH71"/>
    <mergeCell ref="CY50:DB50"/>
    <mergeCell ref="DO43:DR43"/>
    <mergeCell ref="DW48:DZ48"/>
    <mergeCell ref="DC59:DF59"/>
    <mergeCell ref="AN27:AO27"/>
    <mergeCell ref="CM60:CP60"/>
    <mergeCell ref="BO92:BR92"/>
    <mergeCell ref="BO99:BR99"/>
    <mergeCell ref="P98:S98"/>
    <mergeCell ref="AJ17:AK17"/>
    <mergeCell ref="AD10:AE10"/>
    <mergeCell ref="AI43:AL43"/>
    <mergeCell ref="AY77:BB77"/>
    <mergeCell ref="AC99:AF99"/>
    <mergeCell ref="CQ72:CT72"/>
    <mergeCell ref="AM46:AP46"/>
    <mergeCell ref="BO95:BR95"/>
    <mergeCell ref="BW59:BZ59"/>
    <mergeCell ref="CA63:CD63"/>
    <mergeCell ref="CE54:CH54"/>
    <mergeCell ref="DG102:DJ102"/>
    <mergeCell ref="C74:F74"/>
    <mergeCell ref="Z37:AC37"/>
    <mergeCell ref="AI50:AL50"/>
    <mergeCell ref="R18:S18"/>
    <mergeCell ref="EM71:EP71"/>
    <mergeCell ref="HG95:HJ95"/>
    <mergeCell ref="GE83:GH83"/>
    <mergeCell ref="GE90:GH90"/>
    <mergeCell ref="GM75:GP75"/>
    <mergeCell ref="HC50:HF50"/>
    <mergeCell ref="KI63:KL63"/>
    <mergeCell ref="GU66:GX66"/>
    <mergeCell ref="JG56:JJ56"/>
    <mergeCell ref="JK59:JN59"/>
    <mergeCell ref="JC52:JF52"/>
    <mergeCell ref="FK41:FN41"/>
    <mergeCell ref="HK88:HN88"/>
    <mergeCell ref="FS66:FV66"/>
    <mergeCell ref="GQ50:GT50"/>
    <mergeCell ref="EY90:FB90"/>
    <mergeCell ref="GY82:HB82"/>
    <mergeCell ref="GY66:HB66"/>
    <mergeCell ref="HS93:HV93"/>
    <mergeCell ref="HG110:HJ110"/>
    <mergeCell ref="EU54:EX54"/>
    <mergeCell ref="HG85:HJ85"/>
    <mergeCell ref="EA96:ED96"/>
    <mergeCell ref="KQ71:KT71"/>
    <mergeCell ref="HG50:HJ50"/>
    <mergeCell ref="GE65:GH65"/>
    <mergeCell ref="EY58:FB58"/>
    <mergeCell ref="AM40:AP40"/>
    <mergeCell ref="O135:V135"/>
    <mergeCell ref="AH36:AI36"/>
    <mergeCell ref="W136:Y136"/>
    <mergeCell ref="T104:U104"/>
    <mergeCell ref="J28:K28"/>
    <mergeCell ref="AC53:AF53"/>
    <mergeCell ref="P62:S62"/>
    <mergeCell ref="AB36:AC36"/>
    <mergeCell ref="P33:Q33"/>
    <mergeCell ref="T60:U60"/>
    <mergeCell ref="DC104:DF104"/>
    <mergeCell ref="BO90:BR90"/>
    <mergeCell ref="H27:I27"/>
    <mergeCell ref="AF6:AG6"/>
    <mergeCell ref="AM92:AP92"/>
    <mergeCell ref="BK110:BN110"/>
    <mergeCell ref="J36:K36"/>
    <mergeCell ref="T26:U26"/>
    <mergeCell ref="AN21:AO21"/>
    <mergeCell ref="C95:F95"/>
    <mergeCell ref="C136:D136"/>
    <mergeCell ref="AI44:AL44"/>
    <mergeCell ref="AM81:AP81"/>
    <mergeCell ref="Z34:AC34"/>
    <mergeCell ref="JW40:JZ40"/>
    <mergeCell ref="GY68:HB68"/>
    <mergeCell ref="EY51:FB51"/>
    <mergeCell ref="KA50:KD50"/>
    <mergeCell ref="JS60:JV60"/>
    <mergeCell ref="FK53:FN53"/>
    <mergeCell ref="EI80:EL80"/>
    <mergeCell ref="JG103:JJ103"/>
    <mergeCell ref="HS106:HV106"/>
    <mergeCell ref="JS90:JV90"/>
    <mergeCell ref="FO106:FR106"/>
    <mergeCell ref="HW109:HZ109"/>
    <mergeCell ref="FC101:FF101"/>
    <mergeCell ref="EI108:EL108"/>
    <mergeCell ref="HG96:HJ96"/>
    <mergeCell ref="IA103:ID103"/>
    <mergeCell ref="FO86:FR86"/>
    <mergeCell ref="IQ97:IT97"/>
    <mergeCell ref="IQ109:IT109"/>
    <mergeCell ref="HK99:HN99"/>
    <mergeCell ref="DK59:DN59"/>
    <mergeCell ref="DG52:DJ52"/>
    <mergeCell ref="IA88:ID88"/>
    <mergeCell ref="JO43:JR43"/>
    <mergeCell ref="KA62:KD62"/>
    <mergeCell ref="KI74:KL74"/>
    <mergeCell ref="GU101:GX101"/>
    <mergeCell ref="KM106:KP106"/>
    <mergeCell ref="GE96:GH96"/>
    <mergeCell ref="KA84:KD84"/>
    <mergeCell ref="DC109:DF109"/>
    <mergeCell ref="KI109:KL109"/>
    <mergeCell ref="FC87:FF87"/>
    <mergeCell ref="DS96:DV96"/>
    <mergeCell ref="GU99:GX99"/>
    <mergeCell ref="II40:IL40"/>
    <mergeCell ref="FO41:FR41"/>
    <mergeCell ref="JC71:JF71"/>
    <mergeCell ref="JG42:JJ42"/>
    <mergeCell ref="HG66:HJ66"/>
    <mergeCell ref="HS72:HV72"/>
    <mergeCell ref="GU50:GX50"/>
    <mergeCell ref="IA61:ID61"/>
    <mergeCell ref="FW81:FZ81"/>
    <mergeCell ref="HS50:HV50"/>
    <mergeCell ref="GE86:GH86"/>
    <mergeCell ref="II89:IL89"/>
    <mergeCell ref="EQ99:ET99"/>
    <mergeCell ref="HC107:HF107"/>
    <mergeCell ref="GM90:GP90"/>
    <mergeCell ref="HW98:HZ98"/>
    <mergeCell ref="FK98:FN98"/>
    <mergeCell ref="DS67:DV67"/>
    <mergeCell ref="EA105:ED105"/>
    <mergeCell ref="II91:IL91"/>
    <mergeCell ref="FC84:FF84"/>
    <mergeCell ref="GM109:GP109"/>
    <mergeCell ref="EU72:EX72"/>
    <mergeCell ref="IQ102:IT102"/>
    <mergeCell ref="DS91:DV91"/>
    <mergeCell ref="FO89:FR89"/>
    <mergeCell ref="EU110:EX110"/>
    <mergeCell ref="DO81:DR81"/>
    <mergeCell ref="HG100:HJ100"/>
    <mergeCell ref="HK93:HN93"/>
    <mergeCell ref="DW93:DZ93"/>
    <mergeCell ref="GY97:HB97"/>
    <mergeCell ref="FC99:FF99"/>
    <mergeCell ref="FW87:FZ87"/>
    <mergeCell ref="EA98:ED98"/>
    <mergeCell ref="V41:Y41"/>
    <mergeCell ref="DS64:DV64"/>
    <mergeCell ref="DO54:DR54"/>
    <mergeCell ref="CU85:CX85"/>
    <mergeCell ref="DG74:DJ74"/>
    <mergeCell ref="CY105:DB105"/>
    <mergeCell ref="J17:K17"/>
    <mergeCell ref="BK101:BN101"/>
    <mergeCell ref="P105:S105"/>
    <mergeCell ref="AQ103:AT103"/>
    <mergeCell ref="T101:U101"/>
    <mergeCell ref="T96:U96"/>
    <mergeCell ref="BO63:BR63"/>
    <mergeCell ref="CE45:CH45"/>
    <mergeCell ref="L21:M21"/>
    <mergeCell ref="AM91:AP91"/>
    <mergeCell ref="AY45:BB45"/>
    <mergeCell ref="C49:F49"/>
    <mergeCell ref="BC49:BF49"/>
    <mergeCell ref="CY66:DB66"/>
    <mergeCell ref="DO40:DR40"/>
    <mergeCell ref="T41:U41"/>
    <mergeCell ref="BC79:BF79"/>
    <mergeCell ref="AP28:AQ28"/>
    <mergeCell ref="AI56:AL56"/>
    <mergeCell ref="AJ37:AK37"/>
    <mergeCell ref="AQ44:AT44"/>
    <mergeCell ref="BK87:BN87"/>
    <mergeCell ref="BK107:BN107"/>
    <mergeCell ref="BK106:BN106"/>
    <mergeCell ref="AP7:AQ7"/>
    <mergeCell ref="G95:H95"/>
    <mergeCell ref="BG79:BJ79"/>
    <mergeCell ref="AF14:AG14"/>
    <mergeCell ref="G105:H105"/>
    <mergeCell ref="BS50:BV50"/>
    <mergeCell ref="P6:Q6"/>
    <mergeCell ref="AQ69:AT69"/>
    <mergeCell ref="CA48:CD48"/>
    <mergeCell ref="BO91:BR91"/>
    <mergeCell ref="AL27:AM27"/>
    <mergeCell ref="G97:H97"/>
    <mergeCell ref="KM107:KP107"/>
    <mergeCell ref="HS76:HV76"/>
    <mergeCell ref="GI104:GL104"/>
    <mergeCell ref="IA65:ID65"/>
    <mergeCell ref="IU96:IX96"/>
    <mergeCell ref="JO86:JR86"/>
    <mergeCell ref="IM87:IP87"/>
    <mergeCell ref="CU42:CX42"/>
    <mergeCell ref="JW81:JZ81"/>
    <mergeCell ref="HO89:HR89"/>
    <mergeCell ref="JW109:JZ109"/>
    <mergeCell ref="IA66:ID66"/>
    <mergeCell ref="KE47:KH47"/>
    <mergeCell ref="HS81:HV81"/>
    <mergeCell ref="EQ102:ET102"/>
    <mergeCell ref="HC108:HF108"/>
    <mergeCell ref="JC109:JF109"/>
    <mergeCell ref="EU93:EX93"/>
    <mergeCell ref="CU103:CX103"/>
    <mergeCell ref="EI69:EL69"/>
    <mergeCell ref="JS42:JV42"/>
    <mergeCell ref="JW60:JZ60"/>
    <mergeCell ref="GA53:GD53"/>
    <mergeCell ref="HW96:HZ96"/>
    <mergeCell ref="HK105:HN105"/>
    <mergeCell ref="GI50:GL50"/>
    <mergeCell ref="GI59:GL59"/>
    <mergeCell ref="GM65:GP65"/>
    <mergeCell ref="GI108:GL108"/>
    <mergeCell ref="GY105:HB105"/>
    <mergeCell ref="IQ45:IT45"/>
    <mergeCell ref="IE93:IH93"/>
    <mergeCell ref="IQ105:IT105"/>
    <mergeCell ref="HG57:HJ57"/>
    <mergeCell ref="HC79:HF79"/>
    <mergeCell ref="HK45:HN45"/>
    <mergeCell ref="JG66:JJ66"/>
    <mergeCell ref="FK61:FN61"/>
    <mergeCell ref="IM43:IP43"/>
    <mergeCell ref="IU52:IX52"/>
    <mergeCell ref="GM50:GP50"/>
    <mergeCell ref="IM44:IP44"/>
    <mergeCell ref="HO49:HR49"/>
    <mergeCell ref="FG90:FJ90"/>
    <mergeCell ref="IQ44:IT44"/>
    <mergeCell ref="HK98:HN98"/>
    <mergeCell ref="HC62:HF62"/>
    <mergeCell ref="HW99:HZ99"/>
    <mergeCell ref="HG46:HJ46"/>
    <mergeCell ref="IE69:IH69"/>
    <mergeCell ref="JC59:JF59"/>
    <mergeCell ref="IA71:ID71"/>
    <mergeCell ref="FW106:FZ106"/>
    <mergeCell ref="CU92:CX92"/>
    <mergeCell ref="EQ94:ET94"/>
    <mergeCell ref="EU104:EX104"/>
    <mergeCell ref="DO94:DR94"/>
    <mergeCell ref="CU99:CX99"/>
    <mergeCell ref="CM95:CP95"/>
    <mergeCell ref="CU107:CX107"/>
    <mergeCell ref="DG80:DJ80"/>
    <mergeCell ref="FW100:FZ100"/>
    <mergeCell ref="DC106:DF106"/>
    <mergeCell ref="CQ101:CT101"/>
    <mergeCell ref="I104:L104"/>
    <mergeCell ref="AG74:AH74"/>
    <mergeCell ref="P7:Q7"/>
    <mergeCell ref="AQ73:AT73"/>
    <mergeCell ref="AJ22:AK22"/>
    <mergeCell ref="DG95:DJ95"/>
    <mergeCell ref="EA42:ED42"/>
    <mergeCell ref="EA71:ED71"/>
    <mergeCell ref="EA74:ED74"/>
    <mergeCell ref="DG40:DJ40"/>
    <mergeCell ref="AN7:AO7"/>
    <mergeCell ref="V77:Y77"/>
    <mergeCell ref="D6:E6"/>
    <mergeCell ref="CU50:CX50"/>
    <mergeCell ref="CU55:CX55"/>
    <mergeCell ref="AU103:AX103"/>
    <mergeCell ref="R20:S20"/>
    <mergeCell ref="G85:H85"/>
    <mergeCell ref="AD16:AE16"/>
    <mergeCell ref="AY109:BB109"/>
    <mergeCell ref="BK79:BN79"/>
    <mergeCell ref="AD28:AE28"/>
    <mergeCell ref="T90:U90"/>
    <mergeCell ref="AN22:AO22"/>
    <mergeCell ref="P49:S49"/>
    <mergeCell ref="AY101:BB101"/>
    <mergeCell ref="DK54:DN54"/>
    <mergeCell ref="DK45:DN45"/>
    <mergeCell ref="AY81:BB81"/>
    <mergeCell ref="J26:K26"/>
    <mergeCell ref="AD7:AE7"/>
    <mergeCell ref="T89:U89"/>
    <mergeCell ref="AY79:BB79"/>
    <mergeCell ref="AY89:BB89"/>
    <mergeCell ref="CA66:CD66"/>
    <mergeCell ref="CI67:CL67"/>
    <mergeCell ref="AH14:AI14"/>
    <mergeCell ref="I100:L100"/>
    <mergeCell ref="P101:S101"/>
    <mergeCell ref="AC94:AF94"/>
    <mergeCell ref="P46:S46"/>
    <mergeCell ref="BK98:BN98"/>
    <mergeCell ref="R10:S10"/>
    <mergeCell ref="EU62:EX62"/>
    <mergeCell ref="AU71:AX71"/>
    <mergeCell ref="AY95:BB95"/>
    <mergeCell ref="F36:G36"/>
    <mergeCell ref="AN6:AO6"/>
    <mergeCell ref="DK95:DN95"/>
    <mergeCell ref="CA86:CD86"/>
    <mergeCell ref="EQ73:ET73"/>
    <mergeCell ref="Z7:AC7"/>
    <mergeCell ref="T77:U77"/>
    <mergeCell ref="BO81:BR81"/>
    <mergeCell ref="EI74:EL74"/>
    <mergeCell ref="AN9:AO9"/>
    <mergeCell ref="EQ45:ET45"/>
    <mergeCell ref="DC66:DF66"/>
    <mergeCell ref="CY49:DB49"/>
    <mergeCell ref="BC67:BF67"/>
    <mergeCell ref="KQ74:KT74"/>
    <mergeCell ref="GI93:GL93"/>
    <mergeCell ref="JC106:JF106"/>
    <mergeCell ref="JS108:JV108"/>
    <mergeCell ref="HG82:HJ82"/>
    <mergeCell ref="KE63:KH63"/>
    <mergeCell ref="GM68:GP68"/>
    <mergeCell ref="DS70:DV70"/>
    <mergeCell ref="JS46:JV46"/>
    <mergeCell ref="KA48:KD48"/>
    <mergeCell ref="KA76:KD76"/>
    <mergeCell ref="HS74:HV74"/>
    <mergeCell ref="KA57:KD57"/>
    <mergeCell ref="KQ58:KT58"/>
    <mergeCell ref="II61:IL61"/>
    <mergeCell ref="HK54:HN54"/>
    <mergeCell ref="KM100:KP100"/>
    <mergeCell ref="IY48:JB48"/>
    <mergeCell ref="KQ64:KT64"/>
    <mergeCell ref="KE78:KH78"/>
    <mergeCell ref="GY50:HB50"/>
    <mergeCell ref="HS46:HV46"/>
    <mergeCell ref="IM73:IP73"/>
    <mergeCell ref="GI78:GL78"/>
    <mergeCell ref="JW86:JZ86"/>
    <mergeCell ref="JO46:JR46"/>
    <mergeCell ref="IM67:IP67"/>
    <mergeCell ref="KQ65:KT65"/>
    <mergeCell ref="GE54:GH54"/>
    <mergeCell ref="JK69:JN69"/>
    <mergeCell ref="FK97:FN97"/>
    <mergeCell ref="CU66:CX66"/>
    <mergeCell ref="BG89:BJ89"/>
    <mergeCell ref="DS59:DV59"/>
    <mergeCell ref="EE54:EH54"/>
    <mergeCell ref="AB26:AC26"/>
    <mergeCell ref="J33:K33"/>
    <mergeCell ref="EE40:EH40"/>
    <mergeCell ref="FK48:FN48"/>
    <mergeCell ref="GQ40:GT40"/>
    <mergeCell ref="CY46:DB46"/>
    <mergeCell ref="I91:L91"/>
    <mergeCell ref="BO105:BR105"/>
    <mergeCell ref="G63:H63"/>
    <mergeCell ref="AQ106:AT106"/>
    <mergeCell ref="EQ65:ET65"/>
    <mergeCell ref="J18:K18"/>
    <mergeCell ref="I48:L48"/>
    <mergeCell ref="BS43:BV43"/>
    <mergeCell ref="EI81:EL81"/>
    <mergeCell ref="EY46:FB46"/>
    <mergeCell ref="AY78:BB78"/>
    <mergeCell ref="AD23:AE23"/>
    <mergeCell ref="T33:U33"/>
    <mergeCell ref="BC58:BF58"/>
    <mergeCell ref="DS101:DV101"/>
    <mergeCell ref="FC64:FF64"/>
    <mergeCell ref="BO108:BR108"/>
    <mergeCell ref="L19:M19"/>
    <mergeCell ref="DW44:DZ44"/>
    <mergeCell ref="V49:Y49"/>
    <mergeCell ref="DG47:DJ47"/>
    <mergeCell ref="DK40:DN40"/>
    <mergeCell ref="P36:Q36"/>
    <mergeCell ref="BG61:BJ61"/>
    <mergeCell ref="DG100:DJ100"/>
    <mergeCell ref="DW76:DZ76"/>
    <mergeCell ref="CU79:CX79"/>
    <mergeCell ref="DK82:DN82"/>
    <mergeCell ref="EY97:FB97"/>
    <mergeCell ref="DC92:DF92"/>
    <mergeCell ref="CY43:DB43"/>
    <mergeCell ref="GM60:GP60"/>
    <mergeCell ref="KA40:KD40"/>
    <mergeCell ref="KQ101:KT101"/>
    <mergeCell ref="HO62:HR62"/>
    <mergeCell ref="JK47:JN47"/>
    <mergeCell ref="KA100:KD100"/>
    <mergeCell ref="IM72:IP72"/>
    <mergeCell ref="EA97:ED97"/>
    <mergeCell ref="IU81:IX81"/>
    <mergeCell ref="KE103:KH103"/>
    <mergeCell ref="JG109:JJ109"/>
    <mergeCell ref="EU79:EX79"/>
    <mergeCell ref="GE87:GH87"/>
    <mergeCell ref="GE107:GH107"/>
    <mergeCell ref="GE51:GH51"/>
    <mergeCell ref="BS73:BV73"/>
    <mergeCell ref="EM102:EP102"/>
    <mergeCell ref="GM42:GP42"/>
    <mergeCell ref="I105:L105"/>
    <mergeCell ref="EA68:ED68"/>
    <mergeCell ref="P55:S55"/>
    <mergeCell ref="AG56:AH56"/>
    <mergeCell ref="T50:U50"/>
    <mergeCell ref="DC94:DF94"/>
    <mergeCell ref="P74:S74"/>
    <mergeCell ref="EM64:EP64"/>
    <mergeCell ref="J37:K37"/>
    <mergeCell ref="G41:H41"/>
    <mergeCell ref="J27:K27"/>
    <mergeCell ref="CQ44:CT44"/>
    <mergeCell ref="GI107:GL107"/>
    <mergeCell ref="DO108:DR108"/>
    <mergeCell ref="FO47:FR47"/>
    <mergeCell ref="FK57:FN57"/>
    <mergeCell ref="FK83:FN83"/>
    <mergeCell ref="FS71:FV71"/>
    <mergeCell ref="T100:U100"/>
    <mergeCell ref="AY64:BB64"/>
    <mergeCell ref="GU86:GX86"/>
    <mergeCell ref="GM69:GP69"/>
    <mergeCell ref="DW47:DZ47"/>
    <mergeCell ref="T80:U80"/>
    <mergeCell ref="HC41:HF41"/>
    <mergeCell ref="DS45:DV45"/>
    <mergeCell ref="AQ96:AT96"/>
    <mergeCell ref="V58:Y58"/>
    <mergeCell ref="DK94:DN94"/>
    <mergeCell ref="AY51:BB51"/>
    <mergeCell ref="AI105:AL105"/>
    <mergeCell ref="C145:D145"/>
    <mergeCell ref="G146:N146"/>
    <mergeCell ref="C148:D148"/>
    <mergeCell ref="E149:F149"/>
    <mergeCell ref="EM108:EP108"/>
    <mergeCell ref="CA45:CD45"/>
    <mergeCell ref="BW58:BZ58"/>
    <mergeCell ref="FC55:FF55"/>
    <mergeCell ref="EY101:FB101"/>
    <mergeCell ref="FG70:FJ70"/>
    <mergeCell ref="EQ104:ET104"/>
    <mergeCell ref="W149:Y149"/>
    <mergeCell ref="BO46:BR46"/>
    <mergeCell ref="BC56:BF56"/>
    <mergeCell ref="BC66:BF66"/>
    <mergeCell ref="BC75:BF75"/>
    <mergeCell ref="BO66:BR66"/>
    <mergeCell ref="C147:D147"/>
    <mergeCell ref="AY92:BB92"/>
    <mergeCell ref="V20:W20"/>
    <mergeCell ref="EQ107:ET107"/>
    <mergeCell ref="EQ103:ET103"/>
    <mergeCell ref="GE101:GH101"/>
    <mergeCell ref="FG106:FJ106"/>
    <mergeCell ref="DO53:DR53"/>
    <mergeCell ref="AD8:AE8"/>
    <mergeCell ref="AG97:AH97"/>
    <mergeCell ref="F23:G23"/>
    <mergeCell ref="BG68:BJ68"/>
    <mergeCell ref="R37:S37"/>
    <mergeCell ref="AJ23:AK23"/>
    <mergeCell ref="AC59:AF59"/>
    <mergeCell ref="AN35:AO35"/>
    <mergeCell ref="AY58:BB58"/>
    <mergeCell ref="BW72:BZ72"/>
    <mergeCell ref="N19:O19"/>
    <mergeCell ref="EA75:ED75"/>
    <mergeCell ref="DW102:DZ102"/>
    <mergeCell ref="P10:Q10"/>
    <mergeCell ref="V9:W9"/>
    <mergeCell ref="KI98:KL98"/>
    <mergeCell ref="DC84:DF84"/>
    <mergeCell ref="CE96:CH96"/>
    <mergeCell ref="CU95:CX95"/>
    <mergeCell ref="FK93:FN93"/>
    <mergeCell ref="FG84:FJ84"/>
    <mergeCell ref="DK86:DN86"/>
    <mergeCell ref="EI89:EL89"/>
    <mergeCell ref="AU52:AX52"/>
    <mergeCell ref="I93:L93"/>
    <mergeCell ref="FW101:FZ101"/>
    <mergeCell ref="KI67:KL67"/>
    <mergeCell ref="P66:S66"/>
    <mergeCell ref="BK90:BN90"/>
    <mergeCell ref="DC70:DF70"/>
    <mergeCell ref="AI72:AL72"/>
    <mergeCell ref="T86:U86"/>
    <mergeCell ref="AM107:AP107"/>
    <mergeCell ref="JO40:JR40"/>
    <mergeCell ref="HC98:HF98"/>
    <mergeCell ref="FC40:FF40"/>
    <mergeCell ref="KQ48:KT48"/>
    <mergeCell ref="HO90:HR90"/>
    <mergeCell ref="II96:IL96"/>
    <mergeCell ref="KI89:KL89"/>
    <mergeCell ref="IA96:ID96"/>
    <mergeCell ref="IU95:IX95"/>
    <mergeCell ref="IA89:ID89"/>
    <mergeCell ref="JS40:JV40"/>
    <mergeCell ref="CA96:CD96"/>
    <mergeCell ref="BK53:BN53"/>
    <mergeCell ref="C104:F104"/>
    <mergeCell ref="AI92:AL92"/>
    <mergeCell ref="AM96:AP96"/>
    <mergeCell ref="BK97:BN97"/>
    <mergeCell ref="EY64:FB64"/>
    <mergeCell ref="AF20:AG20"/>
    <mergeCell ref="G75:H75"/>
    <mergeCell ref="GE94:GH94"/>
    <mergeCell ref="P9:Q9"/>
    <mergeCell ref="DC47:DF47"/>
    <mergeCell ref="BC59:BF59"/>
    <mergeCell ref="AG52:AH52"/>
    <mergeCell ref="BO49:BR49"/>
    <mergeCell ref="BG57:BJ57"/>
    <mergeCell ref="DS100:DV100"/>
    <mergeCell ref="DG107:DJ107"/>
    <mergeCell ref="F7:I7"/>
    <mergeCell ref="BW91:BZ91"/>
    <mergeCell ref="AU102:AX102"/>
    <mergeCell ref="EU90:EX90"/>
    <mergeCell ref="IM65:IP65"/>
    <mergeCell ref="HC58:HF58"/>
    <mergeCell ref="EI90:EL90"/>
    <mergeCell ref="EM83:EP83"/>
    <mergeCell ref="G91:H91"/>
    <mergeCell ref="AF21:AG21"/>
    <mergeCell ref="T18:U18"/>
    <mergeCell ref="Z13:AC13"/>
    <mergeCell ref="X22:Y22"/>
    <mergeCell ref="Z21:AA21"/>
    <mergeCell ref="BS110:BV110"/>
    <mergeCell ref="CM57:CP57"/>
    <mergeCell ref="EA100:ED100"/>
    <mergeCell ref="BC55:BF55"/>
    <mergeCell ref="CM66:CP66"/>
    <mergeCell ref="CM97:CP97"/>
    <mergeCell ref="AI103:AL103"/>
    <mergeCell ref="AH25:AI25"/>
    <mergeCell ref="AF35:AG35"/>
    <mergeCell ref="F13:I13"/>
    <mergeCell ref="AN20:AO20"/>
    <mergeCell ref="BW40:BZ40"/>
    <mergeCell ref="EM70:EP70"/>
    <mergeCell ref="CQ76:CT76"/>
    <mergeCell ref="EI54:EL54"/>
    <mergeCell ref="CY70:DB70"/>
    <mergeCell ref="BW51:BZ51"/>
    <mergeCell ref="P25:Q25"/>
    <mergeCell ref="R21:S21"/>
    <mergeCell ref="EQ108:ET108"/>
    <mergeCell ref="CM75:CP75"/>
    <mergeCell ref="DW60:DZ60"/>
    <mergeCell ref="BK85:BN85"/>
    <mergeCell ref="FC68:FF68"/>
    <mergeCell ref="FO60:FR60"/>
    <mergeCell ref="I94:L94"/>
    <mergeCell ref="CA52:CD52"/>
    <mergeCell ref="DC67:DF67"/>
    <mergeCell ref="AU105:AX105"/>
    <mergeCell ref="AL30:AM30"/>
    <mergeCell ref="EQ75:ET75"/>
    <mergeCell ref="AY98:BB98"/>
    <mergeCell ref="AN30:AO30"/>
    <mergeCell ref="DO45:DR45"/>
    <mergeCell ref="AQ99:AT99"/>
    <mergeCell ref="AC84:AF84"/>
    <mergeCell ref="P58:S58"/>
    <mergeCell ref="DK47:DN47"/>
    <mergeCell ref="AU74:AX74"/>
    <mergeCell ref="T57:U57"/>
    <mergeCell ref="BS84:BV84"/>
    <mergeCell ref="T74:U74"/>
    <mergeCell ref="N13:O13"/>
    <mergeCell ref="T19:U19"/>
    <mergeCell ref="T85:U85"/>
    <mergeCell ref="DG51:DJ51"/>
    <mergeCell ref="DG54:DJ54"/>
    <mergeCell ref="BK75:BN75"/>
    <mergeCell ref="BS66:BV66"/>
    <mergeCell ref="BC106:BF106"/>
    <mergeCell ref="FK54:FN54"/>
    <mergeCell ref="AG73:AH73"/>
    <mergeCell ref="DS86:DV86"/>
    <mergeCell ref="HO77:HR77"/>
    <mergeCell ref="JS107:JV107"/>
    <mergeCell ref="HK86:HN86"/>
    <mergeCell ref="IE107:IH107"/>
    <mergeCell ref="II103:IL103"/>
    <mergeCell ref="KQ68:KT68"/>
    <mergeCell ref="HS87:HV87"/>
    <mergeCell ref="KQ47:KT47"/>
    <mergeCell ref="JK42:JN42"/>
    <mergeCell ref="T103:U103"/>
    <mergeCell ref="BG62:BJ62"/>
    <mergeCell ref="AQ50:AT50"/>
    <mergeCell ref="GM108:GP108"/>
    <mergeCell ref="DG45:DJ45"/>
    <mergeCell ref="CI56:CL56"/>
    <mergeCell ref="G70:H70"/>
    <mergeCell ref="CE95:CH95"/>
    <mergeCell ref="EM75:EP75"/>
    <mergeCell ref="BO76:BR76"/>
    <mergeCell ref="BS88:BV88"/>
    <mergeCell ref="CA77:CD77"/>
    <mergeCell ref="I60:L60"/>
    <mergeCell ref="F38:G38"/>
    <mergeCell ref="FW56:FZ56"/>
    <mergeCell ref="BS75:BV75"/>
    <mergeCell ref="AY61:BB61"/>
    <mergeCell ref="DG72:DJ72"/>
    <mergeCell ref="DG64:DJ64"/>
    <mergeCell ref="EE70:EH70"/>
    <mergeCell ref="CA91:CD91"/>
    <mergeCell ref="DC99:DF99"/>
    <mergeCell ref="KQ46:KT46"/>
    <mergeCell ref="IY82:JB82"/>
    <mergeCell ref="IA62:ID62"/>
    <mergeCell ref="JC40:JF40"/>
    <mergeCell ref="IA82:ID82"/>
    <mergeCell ref="KQ70:KT70"/>
    <mergeCell ref="IM63:IP63"/>
    <mergeCell ref="IU104:IX104"/>
    <mergeCell ref="JO109:JR109"/>
    <mergeCell ref="J10:K10"/>
    <mergeCell ref="T94:U94"/>
    <mergeCell ref="AM60:AP60"/>
    <mergeCell ref="P96:S96"/>
    <mergeCell ref="BW88:BZ88"/>
    <mergeCell ref="AP32:AQ32"/>
    <mergeCell ref="G65:H65"/>
    <mergeCell ref="FK85:FN85"/>
    <mergeCell ref="FS43:FV43"/>
    <mergeCell ref="AH27:AI27"/>
    <mergeCell ref="V50:Y50"/>
    <mergeCell ref="AQ49:AT49"/>
    <mergeCell ref="AI53:AL53"/>
    <mergeCell ref="AL37:AM37"/>
    <mergeCell ref="DS56:DV56"/>
    <mergeCell ref="DK43:DN43"/>
    <mergeCell ref="AF28:AG28"/>
    <mergeCell ref="AQ61:AT61"/>
    <mergeCell ref="L36:M36"/>
    <mergeCell ref="AM98:AP98"/>
    <mergeCell ref="CI51:CL51"/>
    <mergeCell ref="DS77:DV77"/>
    <mergeCell ref="AG44:AH44"/>
    <mergeCell ref="AM75:AP75"/>
    <mergeCell ref="AG98:AH98"/>
    <mergeCell ref="AU101:AX101"/>
    <mergeCell ref="J20:K20"/>
    <mergeCell ref="Z12:AC12"/>
    <mergeCell ref="AC106:AF106"/>
    <mergeCell ref="N31:O31"/>
    <mergeCell ref="V13:W13"/>
    <mergeCell ref="I67:L67"/>
    <mergeCell ref="N27:O27"/>
    <mergeCell ref="AF17:AG17"/>
    <mergeCell ref="X25:Y25"/>
    <mergeCell ref="Z23:AC23"/>
    <mergeCell ref="R26:S26"/>
    <mergeCell ref="P18:Q18"/>
    <mergeCell ref="C101:F101"/>
    <mergeCell ref="DG46:DJ46"/>
    <mergeCell ref="BS85:BV85"/>
    <mergeCell ref="DS104:DV104"/>
    <mergeCell ref="BC65:BF65"/>
    <mergeCell ref="EQ46:ET46"/>
    <mergeCell ref="KQ75:KT75"/>
    <mergeCell ref="FC97:FF97"/>
    <mergeCell ref="KI110:KL110"/>
    <mergeCell ref="GY71:HB71"/>
    <mergeCell ref="HC40:HF40"/>
    <mergeCell ref="IY94:JB94"/>
    <mergeCell ref="GI92:GL92"/>
    <mergeCell ref="GM91:GP91"/>
    <mergeCell ref="IY53:JB53"/>
    <mergeCell ref="FW97:FZ97"/>
    <mergeCell ref="KA101:KD101"/>
    <mergeCell ref="GM106:GP106"/>
    <mergeCell ref="KE84:KH84"/>
    <mergeCell ref="II64:IL64"/>
    <mergeCell ref="AM76:AP76"/>
    <mergeCell ref="EE85:EH85"/>
    <mergeCell ref="BC60:BF60"/>
    <mergeCell ref="KM81:KP81"/>
    <mergeCell ref="GY60:HB60"/>
    <mergeCell ref="CE66:CH66"/>
    <mergeCell ref="AI60:AL60"/>
    <mergeCell ref="P92:S92"/>
    <mergeCell ref="P95:S95"/>
    <mergeCell ref="EU100:EX100"/>
    <mergeCell ref="HK65:HN65"/>
    <mergeCell ref="JO103:JR103"/>
    <mergeCell ref="HK84:HN84"/>
    <mergeCell ref="JO102:JR102"/>
    <mergeCell ref="FS77:FV77"/>
    <mergeCell ref="BS68:BV68"/>
    <mergeCell ref="GY94:HB94"/>
    <mergeCell ref="IQ61:IT61"/>
    <mergeCell ref="HS53:HV53"/>
    <mergeCell ref="IQ90:IT90"/>
    <mergeCell ref="IA63:ID63"/>
    <mergeCell ref="IE74:IH74"/>
    <mergeCell ref="AY96:BB96"/>
    <mergeCell ref="AI99:AL99"/>
    <mergeCell ref="KI54:KL54"/>
    <mergeCell ref="BK81:BN81"/>
    <mergeCell ref="HO85:HR85"/>
    <mergeCell ref="AM59:AP59"/>
    <mergeCell ref="GI72:GL72"/>
    <mergeCell ref="AY48:BB48"/>
    <mergeCell ref="DK84:DN84"/>
    <mergeCell ref="AC57:AF57"/>
    <mergeCell ref="GY51:HB51"/>
    <mergeCell ref="GQ54:GT54"/>
    <mergeCell ref="GY55:HB55"/>
    <mergeCell ref="GQ77:GT77"/>
    <mergeCell ref="H11:I11"/>
    <mergeCell ref="AJ10:AK10"/>
    <mergeCell ref="F8:I8"/>
    <mergeCell ref="T8:U8"/>
    <mergeCell ref="P8:Q8"/>
    <mergeCell ref="GQ42:GT42"/>
    <mergeCell ref="BO51:BR51"/>
    <mergeCell ref="H10:I10"/>
    <mergeCell ref="AC100:AF100"/>
    <mergeCell ref="D14:E14"/>
    <mergeCell ref="N7:O7"/>
    <mergeCell ref="F12:I12"/>
    <mergeCell ref="EE47:EH47"/>
    <mergeCell ref="I51:L51"/>
    <mergeCell ref="G40:H40"/>
    <mergeCell ref="H28:I28"/>
    <mergeCell ref="P26:Q26"/>
    <mergeCell ref="F20:I20"/>
    <mergeCell ref="BG53:BJ53"/>
    <mergeCell ref="DO61:DR61"/>
    <mergeCell ref="AC98:AF98"/>
    <mergeCell ref="EY102:FB102"/>
    <mergeCell ref="DW103:DZ103"/>
    <mergeCell ref="DO63:DR63"/>
    <mergeCell ref="FO75:FR75"/>
    <mergeCell ref="BO45:BR45"/>
    <mergeCell ref="EQ83:ET83"/>
    <mergeCell ref="FS63:FV63"/>
    <mergeCell ref="G80:H80"/>
    <mergeCell ref="AI90:AL90"/>
    <mergeCell ref="EQ67:ET67"/>
    <mergeCell ref="AI55:AL55"/>
    <mergeCell ref="EI84:EL84"/>
    <mergeCell ref="BW79:BZ79"/>
    <mergeCell ref="CY85:DB85"/>
    <mergeCell ref="HG67:HJ67"/>
    <mergeCell ref="IU105:IX105"/>
    <mergeCell ref="JW59:JZ59"/>
    <mergeCell ref="GU93:GX93"/>
    <mergeCell ref="GQ107:GT107"/>
    <mergeCell ref="HS80:HV80"/>
    <mergeCell ref="KM59:KP59"/>
    <mergeCell ref="KE83:KH83"/>
    <mergeCell ref="JW69:JZ69"/>
    <mergeCell ref="KM62:KP62"/>
    <mergeCell ref="IU106:IX106"/>
    <mergeCell ref="IQ96:IT96"/>
    <mergeCell ref="KQ45:KT45"/>
    <mergeCell ref="HW63:HZ63"/>
    <mergeCell ref="KQ79:KT79"/>
    <mergeCell ref="JK82:JN82"/>
    <mergeCell ref="HK43:HN43"/>
    <mergeCell ref="IE48:IH48"/>
    <mergeCell ref="KM47:KP47"/>
    <mergeCell ref="HS84:HV84"/>
    <mergeCell ref="HK62:HN62"/>
    <mergeCell ref="GI46:GL46"/>
    <mergeCell ref="GY78:HB78"/>
    <mergeCell ref="KQ61:KT61"/>
    <mergeCell ref="IY84:JB84"/>
    <mergeCell ref="HO60:HR60"/>
    <mergeCell ref="IU67:IX67"/>
    <mergeCell ref="IM84:IP84"/>
    <mergeCell ref="GU96:GX96"/>
    <mergeCell ref="FS79:FV79"/>
    <mergeCell ref="CM47:CP47"/>
    <mergeCell ref="BG94:BJ94"/>
    <mergeCell ref="AM110:AP110"/>
    <mergeCell ref="EE73:EH73"/>
    <mergeCell ref="D19:E19"/>
    <mergeCell ref="V14:W14"/>
    <mergeCell ref="CQ93:CT93"/>
    <mergeCell ref="X37:Y37"/>
    <mergeCell ref="T75:U75"/>
    <mergeCell ref="CE90:CH90"/>
    <mergeCell ref="AQ82:AT82"/>
    <mergeCell ref="AQ80:AT80"/>
    <mergeCell ref="EI106:EL106"/>
    <mergeCell ref="GM85:GP85"/>
    <mergeCell ref="DW58:DZ58"/>
    <mergeCell ref="EQ50:ET50"/>
    <mergeCell ref="DO72:DR72"/>
    <mergeCell ref="EA54:ED54"/>
    <mergeCell ref="EU52:EX52"/>
    <mergeCell ref="HW72:HZ72"/>
    <mergeCell ref="HS44:HV44"/>
    <mergeCell ref="AI88:AL88"/>
    <mergeCell ref="Z18:AC18"/>
    <mergeCell ref="X29:Y29"/>
    <mergeCell ref="AN16:AO16"/>
    <mergeCell ref="AU77:AX77"/>
    <mergeCell ref="BW57:BZ57"/>
    <mergeCell ref="V18:W18"/>
    <mergeCell ref="C80:F80"/>
    <mergeCell ref="T54:U54"/>
    <mergeCell ref="EI94:EL94"/>
    <mergeCell ref="GU56:GX56"/>
    <mergeCell ref="FW48:FZ48"/>
    <mergeCell ref="BK57:BN57"/>
    <mergeCell ref="GE75:GH75"/>
    <mergeCell ref="GA48:GD48"/>
    <mergeCell ref="GI66:GL66"/>
    <mergeCell ref="FW109:FZ109"/>
    <mergeCell ref="BO61:BR61"/>
    <mergeCell ref="CU48:CX48"/>
    <mergeCell ref="AH19:AI19"/>
    <mergeCell ref="EQ72:ET72"/>
    <mergeCell ref="CI75:CL75"/>
    <mergeCell ref="AL14:AM14"/>
    <mergeCell ref="N12:O12"/>
    <mergeCell ref="AH15:AI15"/>
    <mergeCell ref="F18:I18"/>
    <mergeCell ref="AU44:AX44"/>
    <mergeCell ref="EE86:EH86"/>
    <mergeCell ref="EU60:EX60"/>
    <mergeCell ref="D27:E27"/>
    <mergeCell ref="KE66:KH66"/>
    <mergeCell ref="HC77:HF77"/>
    <mergeCell ref="IY91:JB91"/>
    <mergeCell ref="JO79:JR79"/>
    <mergeCell ref="IY80:JB80"/>
    <mergeCell ref="IA109:ID109"/>
    <mergeCell ref="CU61:CX61"/>
    <mergeCell ref="JS47:JV47"/>
    <mergeCell ref="JG54:JJ54"/>
    <mergeCell ref="IA54:ID54"/>
    <mergeCell ref="IQ47:IT47"/>
    <mergeCell ref="HG63:HJ63"/>
    <mergeCell ref="GE62:GH62"/>
    <mergeCell ref="GQ78:GT78"/>
    <mergeCell ref="KI57:KL57"/>
    <mergeCell ref="IU45:IX45"/>
    <mergeCell ref="KM71:KP71"/>
    <mergeCell ref="HG61:HJ61"/>
    <mergeCell ref="KQ80:KT80"/>
    <mergeCell ref="JG55:JJ55"/>
    <mergeCell ref="GU87:GX87"/>
    <mergeCell ref="DC80:DF80"/>
    <mergeCell ref="GM105:GP105"/>
    <mergeCell ref="JS73:JV73"/>
    <mergeCell ref="IM68:IP68"/>
    <mergeCell ref="KA82:KD82"/>
    <mergeCell ref="EI88:EL88"/>
    <mergeCell ref="EE90:EH90"/>
    <mergeCell ref="KM56:KP56"/>
    <mergeCell ref="EU75:EX75"/>
    <mergeCell ref="DC64:DF64"/>
    <mergeCell ref="EE59:EH59"/>
    <mergeCell ref="HO57:HR57"/>
    <mergeCell ref="HC75:HF75"/>
    <mergeCell ref="DK70:DN70"/>
    <mergeCell ref="KQ50:KT50"/>
    <mergeCell ref="HG71:HJ71"/>
    <mergeCell ref="JO56:JR56"/>
    <mergeCell ref="JS66:JV66"/>
    <mergeCell ref="GE67:GH67"/>
    <mergeCell ref="GM47:GP47"/>
    <mergeCell ref="EA63:ED63"/>
    <mergeCell ref="CU75:CX75"/>
    <mergeCell ref="HS55:HV55"/>
    <mergeCell ref="KE68:KH68"/>
    <mergeCell ref="BS90:BV90"/>
    <mergeCell ref="JC65:JF65"/>
    <mergeCell ref="DO42:DR42"/>
    <mergeCell ref="DS84:DV84"/>
    <mergeCell ref="DK50:DN50"/>
    <mergeCell ref="KQ106:KT106"/>
    <mergeCell ref="IQ75:IT75"/>
    <mergeCell ref="GI95:GL95"/>
    <mergeCell ref="FC86:FF86"/>
    <mergeCell ref="JW76:JZ76"/>
    <mergeCell ref="DO88:DR88"/>
    <mergeCell ref="HC69:HF69"/>
    <mergeCell ref="IQ110:IT110"/>
    <mergeCell ref="GU104:GX104"/>
    <mergeCell ref="JO77:JR77"/>
    <mergeCell ref="JG68:JJ68"/>
    <mergeCell ref="EI65:EL65"/>
    <mergeCell ref="FC109:FF109"/>
    <mergeCell ref="EM67:EP67"/>
    <mergeCell ref="GY107:HB107"/>
    <mergeCell ref="JK43:JN43"/>
    <mergeCell ref="JO65:JR65"/>
    <mergeCell ref="GI58:GL58"/>
    <mergeCell ref="FW55:FZ55"/>
    <mergeCell ref="KI106:KL106"/>
    <mergeCell ref="II62:IL62"/>
    <mergeCell ref="JO44:JR44"/>
    <mergeCell ref="DK93:DN93"/>
    <mergeCell ref="EY53:FB53"/>
    <mergeCell ref="EE49:EH49"/>
    <mergeCell ref="DK73:DN73"/>
    <mergeCell ref="EI79:EL79"/>
    <mergeCell ref="GA108:GD108"/>
    <mergeCell ref="GM62:GP62"/>
    <mergeCell ref="JC86:JF86"/>
    <mergeCell ref="JK81:JN81"/>
    <mergeCell ref="JC88:JF88"/>
    <mergeCell ref="II71:IL71"/>
    <mergeCell ref="JK79:JN79"/>
    <mergeCell ref="IE54:IH54"/>
    <mergeCell ref="II86:IL86"/>
    <mergeCell ref="IM70:IP70"/>
    <mergeCell ref="HW71:HZ71"/>
    <mergeCell ref="AU48:AX48"/>
    <mergeCell ref="GI75:GL75"/>
    <mergeCell ref="T84:U84"/>
    <mergeCell ref="BW87:BZ87"/>
    <mergeCell ref="DS89:DV89"/>
    <mergeCell ref="GU42:GX42"/>
    <mergeCell ref="GU46:GX46"/>
    <mergeCell ref="N18:O18"/>
    <mergeCell ref="AI70:AL70"/>
    <mergeCell ref="R15:S15"/>
    <mergeCell ref="AJ15:AK15"/>
    <mergeCell ref="AH21:AI21"/>
    <mergeCell ref="T15:U15"/>
    <mergeCell ref="Z26:AA26"/>
    <mergeCell ref="C92:F92"/>
    <mergeCell ref="IQ100:IT100"/>
    <mergeCell ref="GQ52:GT52"/>
    <mergeCell ref="GI101:GL101"/>
    <mergeCell ref="IE106:IH106"/>
    <mergeCell ref="HC48:HF48"/>
    <mergeCell ref="EE42:EH42"/>
    <mergeCell ref="DG41:DJ41"/>
    <mergeCell ref="KE59:KH59"/>
    <mergeCell ref="FS92:FV92"/>
    <mergeCell ref="DW71:DZ71"/>
    <mergeCell ref="GY92:HB92"/>
    <mergeCell ref="KM45:KP45"/>
    <mergeCell ref="KE52:KH52"/>
    <mergeCell ref="KM54:KP54"/>
    <mergeCell ref="JW85:JZ85"/>
    <mergeCell ref="IU53:IX53"/>
    <mergeCell ref="GM41:GP41"/>
    <mergeCell ref="JG40:JJ40"/>
    <mergeCell ref="JK103:JN103"/>
    <mergeCell ref="GI71:GL71"/>
    <mergeCell ref="DG85:DJ85"/>
    <mergeCell ref="DG88:DJ88"/>
    <mergeCell ref="DC72:DF72"/>
    <mergeCell ref="CY75:DB75"/>
    <mergeCell ref="JK94:JN94"/>
    <mergeCell ref="GE70:GH70"/>
    <mergeCell ref="IA49:ID49"/>
    <mergeCell ref="JW57:JZ57"/>
    <mergeCell ref="IQ73:IT73"/>
    <mergeCell ref="DC42:DF42"/>
    <mergeCell ref="FK45:FN45"/>
    <mergeCell ref="IQ99:IT99"/>
    <mergeCell ref="HS108:HV108"/>
    <mergeCell ref="IU92:IX92"/>
    <mergeCell ref="EY69:FB69"/>
    <mergeCell ref="JC91:JF91"/>
    <mergeCell ref="GY104:HB104"/>
    <mergeCell ref="JK74:JN74"/>
    <mergeCell ref="IQ77:IT77"/>
    <mergeCell ref="HK81:HN81"/>
    <mergeCell ref="GY64:HB64"/>
    <mergeCell ref="DW108:DZ108"/>
    <mergeCell ref="CM91:CP91"/>
    <mergeCell ref="JS55:JV55"/>
    <mergeCell ref="GU84:GX84"/>
    <mergeCell ref="JW92:JZ92"/>
    <mergeCell ref="JS98:JV98"/>
    <mergeCell ref="KI93:KL93"/>
    <mergeCell ref="IU107:IX107"/>
    <mergeCell ref="GQ63:GT63"/>
    <mergeCell ref="HS45:HV45"/>
    <mergeCell ref="JG70:JJ70"/>
    <mergeCell ref="CI55:CL55"/>
    <mergeCell ref="FW84:FZ84"/>
    <mergeCell ref="EY54:FB54"/>
    <mergeCell ref="FO77:FR77"/>
    <mergeCell ref="CM79:CP79"/>
    <mergeCell ref="BW47:BZ47"/>
    <mergeCell ref="IM59:IP59"/>
    <mergeCell ref="CY71:DB71"/>
    <mergeCell ref="CY82:DB82"/>
    <mergeCell ref="CA51:CD51"/>
    <mergeCell ref="BW106:BZ106"/>
    <mergeCell ref="GI85:GL85"/>
    <mergeCell ref="BO68:BR68"/>
    <mergeCell ref="GU73:GX73"/>
    <mergeCell ref="BK92:BN92"/>
    <mergeCell ref="FS93:FV93"/>
    <mergeCell ref="CM80:CP80"/>
    <mergeCell ref="DO82:DR82"/>
    <mergeCell ref="FK82:FN82"/>
    <mergeCell ref="II56:IL56"/>
    <mergeCell ref="JW100:JZ100"/>
    <mergeCell ref="JG47:JJ47"/>
    <mergeCell ref="KE77:KH77"/>
    <mergeCell ref="JK108:JN108"/>
    <mergeCell ref="JW99:JZ99"/>
    <mergeCell ref="KI72:KL72"/>
    <mergeCell ref="BC100:BF100"/>
    <mergeCell ref="BG95:BJ95"/>
    <mergeCell ref="BC86:BF86"/>
    <mergeCell ref="FW105:FZ105"/>
    <mergeCell ref="IY66:JB66"/>
    <mergeCell ref="JS89:JV89"/>
    <mergeCell ref="CE83:CH83"/>
    <mergeCell ref="BK104:BN104"/>
    <mergeCell ref="JO76:JR76"/>
    <mergeCell ref="BO97:BR97"/>
    <mergeCell ref="BK76:BN76"/>
    <mergeCell ref="II94:IL94"/>
    <mergeCell ref="DG76:DJ76"/>
    <mergeCell ref="GU100:GX100"/>
    <mergeCell ref="BC48:BF48"/>
    <mergeCell ref="HW100:HZ100"/>
    <mergeCell ref="CY77:DB77"/>
    <mergeCell ref="KM73:KP73"/>
    <mergeCell ref="CA82:CD82"/>
    <mergeCell ref="GQ106:GT106"/>
    <mergeCell ref="HS71:HV71"/>
    <mergeCell ref="II87:IL87"/>
    <mergeCell ref="HK61:HN61"/>
    <mergeCell ref="HK74:HN74"/>
    <mergeCell ref="HS82:HV82"/>
    <mergeCell ref="II84:IL84"/>
    <mergeCell ref="FG49:FJ49"/>
    <mergeCell ref="GA100:GD100"/>
    <mergeCell ref="KE71:KH71"/>
    <mergeCell ref="HW48:HZ48"/>
    <mergeCell ref="GM100:GP100"/>
    <mergeCell ref="BO75:BR75"/>
    <mergeCell ref="JG76:JJ76"/>
    <mergeCell ref="AU79:AX79"/>
    <mergeCell ref="BO70:BR70"/>
    <mergeCell ref="GY90:HB90"/>
    <mergeCell ref="AU92:AX92"/>
    <mergeCell ref="BS87:BV87"/>
    <mergeCell ref="CM84:CP84"/>
    <mergeCell ref="AM83:AP83"/>
    <mergeCell ref="AU54:AX54"/>
    <mergeCell ref="HC92:HF92"/>
    <mergeCell ref="II74:IL74"/>
    <mergeCell ref="JO108:JR108"/>
    <mergeCell ref="KI86:KL86"/>
    <mergeCell ref="HW76:HZ76"/>
    <mergeCell ref="II90:IL90"/>
    <mergeCell ref="GM86:GP86"/>
    <mergeCell ref="IU102:IX102"/>
    <mergeCell ref="JS75:JV75"/>
    <mergeCell ref="FW99:FZ99"/>
    <mergeCell ref="DK56:DN56"/>
    <mergeCell ref="KM43:KP43"/>
    <mergeCell ref="GQ73:GT73"/>
    <mergeCell ref="JW88:JZ88"/>
    <mergeCell ref="KQ43:KT43"/>
    <mergeCell ref="KI41:KL41"/>
    <mergeCell ref="HG40:HJ40"/>
    <mergeCell ref="IY92:JB92"/>
    <mergeCell ref="JO60:JR60"/>
    <mergeCell ref="JO42:JR42"/>
    <mergeCell ref="HW50:HZ50"/>
    <mergeCell ref="FW47:FZ47"/>
    <mergeCell ref="GA41:GD41"/>
    <mergeCell ref="JW62:JZ62"/>
    <mergeCell ref="HS100:HV100"/>
    <mergeCell ref="GY84:HB84"/>
    <mergeCell ref="I50:L50"/>
    <mergeCell ref="AB16:AC16"/>
    <mergeCell ref="AM41:AP41"/>
    <mergeCell ref="FC61:FF61"/>
    <mergeCell ref="EA72:ED72"/>
    <mergeCell ref="X24:Y24"/>
    <mergeCell ref="G81:H81"/>
    <mergeCell ref="H23:I23"/>
    <mergeCell ref="BK72:BN72"/>
    <mergeCell ref="AF32:AG32"/>
    <mergeCell ref="T56:U56"/>
    <mergeCell ref="AQ41:AT41"/>
    <mergeCell ref="BG92:BJ92"/>
    <mergeCell ref="BG84:BJ84"/>
    <mergeCell ref="CE70:CH70"/>
    <mergeCell ref="V64:Y64"/>
    <mergeCell ref="AJ18:AK18"/>
    <mergeCell ref="L27:M27"/>
    <mergeCell ref="I70:L70"/>
    <mergeCell ref="DK53:DN53"/>
    <mergeCell ref="AL21:AM21"/>
    <mergeCell ref="L32:M32"/>
    <mergeCell ref="AC51:AF51"/>
    <mergeCell ref="AH37:AI37"/>
    <mergeCell ref="R23:S23"/>
    <mergeCell ref="V29:W29"/>
    <mergeCell ref="DO75:DR75"/>
    <mergeCell ref="N25:O25"/>
    <mergeCell ref="CU70:CX70"/>
    <mergeCell ref="CQ85:CT85"/>
    <mergeCell ref="CI69:CL69"/>
    <mergeCell ref="CM63:CP63"/>
    <mergeCell ref="BS70:BV70"/>
    <mergeCell ref="CU60:CX60"/>
    <mergeCell ref="AI64:AL64"/>
    <mergeCell ref="V16:W16"/>
    <mergeCell ref="P47:S47"/>
    <mergeCell ref="AP23:AQ23"/>
    <mergeCell ref="AG81:AH81"/>
    <mergeCell ref="C134:V134"/>
    <mergeCell ref="E138:F138"/>
    <mergeCell ref="IM83:IP83"/>
    <mergeCell ref="FC105:FF105"/>
    <mergeCell ref="HK109:HN109"/>
    <mergeCell ref="IM101:IP101"/>
    <mergeCell ref="HC101:HF101"/>
    <mergeCell ref="HO102:HR102"/>
    <mergeCell ref="KQ81:KT81"/>
    <mergeCell ref="KA78:KD78"/>
    <mergeCell ref="FW49:FZ49"/>
    <mergeCell ref="EI58:EL58"/>
    <mergeCell ref="KQ83:KT83"/>
    <mergeCell ref="HO50:HR50"/>
    <mergeCell ref="JG108:JJ108"/>
    <mergeCell ref="JO84:JR84"/>
    <mergeCell ref="GI89:GL89"/>
    <mergeCell ref="IY46:JB46"/>
    <mergeCell ref="DW49:DZ49"/>
    <mergeCell ref="GA77:GD77"/>
    <mergeCell ref="JS49:JV49"/>
    <mergeCell ref="HK63:HN63"/>
    <mergeCell ref="FK66:FN66"/>
    <mergeCell ref="FC54:FF54"/>
    <mergeCell ref="KQ63:KT63"/>
    <mergeCell ref="KQ57:KT57"/>
    <mergeCell ref="KA105:KD105"/>
    <mergeCell ref="GE50:GH50"/>
    <mergeCell ref="FK75:FN75"/>
    <mergeCell ref="JC108:JF108"/>
    <mergeCell ref="DG108:DJ108"/>
    <mergeCell ref="KQ93:KT93"/>
    <mergeCell ref="FK79:FN79"/>
    <mergeCell ref="H36:I36"/>
    <mergeCell ref="DW89:DZ89"/>
    <mergeCell ref="EU47:EX47"/>
    <mergeCell ref="AC97:AF97"/>
    <mergeCell ref="BS67:BV67"/>
    <mergeCell ref="AD6:AE6"/>
    <mergeCell ref="AI94:AL94"/>
    <mergeCell ref="AC90:AF90"/>
    <mergeCell ref="AC85:AF85"/>
    <mergeCell ref="BS94:BV94"/>
    <mergeCell ref="X6:Y6"/>
    <mergeCell ref="DG87:DJ87"/>
    <mergeCell ref="BO94:BR94"/>
    <mergeCell ref="V6:W6"/>
    <mergeCell ref="CU94:CX94"/>
    <mergeCell ref="BK91:BN91"/>
    <mergeCell ref="T6:U6"/>
    <mergeCell ref="CY94:DB94"/>
    <mergeCell ref="AI49:AL49"/>
    <mergeCell ref="L6:M6"/>
    <mergeCell ref="AL6:AM6"/>
    <mergeCell ref="AM55:AP55"/>
    <mergeCell ref="V72:Y72"/>
    <mergeCell ref="BK73:BN73"/>
    <mergeCell ref="BO71:BR71"/>
    <mergeCell ref="BW86:BZ86"/>
    <mergeCell ref="EE89:EH89"/>
    <mergeCell ref="P48:S48"/>
    <mergeCell ref="DG94:DJ94"/>
    <mergeCell ref="CI92:CL92"/>
    <mergeCell ref="BG66:BJ66"/>
    <mergeCell ref="GQ41:GT41"/>
    <mergeCell ref="DS106:DV106"/>
    <mergeCell ref="BO77:BR77"/>
    <mergeCell ref="GE79:GH79"/>
    <mergeCell ref="DG48:DJ48"/>
    <mergeCell ref="EU49:EX49"/>
    <mergeCell ref="GA99:GD99"/>
    <mergeCell ref="KM109:KP109"/>
    <mergeCell ref="IY71:JB71"/>
    <mergeCell ref="KI42:KL42"/>
    <mergeCell ref="KQ51:KT51"/>
    <mergeCell ref="JO104:JR104"/>
    <mergeCell ref="HS51:HV51"/>
    <mergeCell ref="H9:I9"/>
    <mergeCell ref="T20:U20"/>
    <mergeCell ref="AJ7:AK7"/>
    <mergeCell ref="Z9:AC9"/>
    <mergeCell ref="R9:S9"/>
    <mergeCell ref="AF9:AG9"/>
    <mergeCell ref="R19:S19"/>
    <mergeCell ref="DK102:DN102"/>
    <mergeCell ref="X26:Y26"/>
    <mergeCell ref="I101:L101"/>
    <mergeCell ref="FG93:FJ93"/>
    <mergeCell ref="P27:Q27"/>
    <mergeCell ref="FG81:FJ81"/>
    <mergeCell ref="F26:G26"/>
    <mergeCell ref="CQ95:CT95"/>
    <mergeCell ref="DC101:DF101"/>
    <mergeCell ref="AI83:AL83"/>
    <mergeCell ref="AC86:AF86"/>
    <mergeCell ref="AY88:BB88"/>
    <mergeCell ref="BG87:BJ87"/>
    <mergeCell ref="BC93:BF93"/>
    <mergeCell ref="DC52:DF52"/>
    <mergeCell ref="N9:O9"/>
    <mergeCell ref="Z6:AC6"/>
    <mergeCell ref="J6:K6"/>
    <mergeCell ref="V54:Y54"/>
    <mergeCell ref="AM65:AP65"/>
    <mergeCell ref="V15:W15"/>
    <mergeCell ref="L4:M4"/>
    <mergeCell ref="EA41:ED41"/>
    <mergeCell ref="L9:M9"/>
    <mergeCell ref="AF7:AG7"/>
    <mergeCell ref="AP5:AQ5"/>
    <mergeCell ref="R6:S6"/>
    <mergeCell ref="BG48:BJ48"/>
    <mergeCell ref="AP12:AQ12"/>
    <mergeCell ref="EA91:ED91"/>
    <mergeCell ref="AM105:AP105"/>
    <mergeCell ref="AI102:AL102"/>
    <mergeCell ref="G106:H106"/>
    <mergeCell ref="EE100:EH100"/>
    <mergeCell ref="V85:Y85"/>
    <mergeCell ref="P107:S107"/>
    <mergeCell ref="BG99:BJ99"/>
    <mergeCell ref="BG100:BJ100"/>
    <mergeCell ref="AU104:AX104"/>
    <mergeCell ref="AU100:AX100"/>
    <mergeCell ref="AY99:BB99"/>
    <mergeCell ref="AL19:AM19"/>
    <mergeCell ref="O144:V144"/>
    <mergeCell ref="G96:H96"/>
    <mergeCell ref="W144:Y144"/>
    <mergeCell ref="AJ21:AK21"/>
    <mergeCell ref="AI61:AL61"/>
    <mergeCell ref="E144:F144"/>
    <mergeCell ref="C144:D144"/>
    <mergeCell ref="BS42:BV42"/>
    <mergeCell ref="DO76:DR76"/>
    <mergeCell ref="CI80:CL80"/>
    <mergeCell ref="EI55:EL55"/>
    <mergeCell ref="P22:Q22"/>
    <mergeCell ref="AQ76:AT76"/>
    <mergeCell ref="P59:S59"/>
    <mergeCell ref="AQ52:AT52"/>
    <mergeCell ref="AM51:AP51"/>
    <mergeCell ref="AI54:AL54"/>
    <mergeCell ref="CA107:CD107"/>
    <mergeCell ref="AI76:AL76"/>
    <mergeCell ref="CY55:DB55"/>
    <mergeCell ref="I43:L43"/>
    <mergeCell ref="AQ59:AT59"/>
    <mergeCell ref="AU46:AX46"/>
    <mergeCell ref="EE94:EH94"/>
    <mergeCell ref="DC89:DF89"/>
    <mergeCell ref="D10:E10"/>
    <mergeCell ref="AQ84:AT84"/>
    <mergeCell ref="AP22:AQ22"/>
    <mergeCell ref="R32:S32"/>
    <mergeCell ref="L8:M8"/>
    <mergeCell ref="EA78:ED78"/>
    <mergeCell ref="CM40:CP40"/>
    <mergeCell ref="P61:S61"/>
    <mergeCell ref="DS85:DV85"/>
    <mergeCell ref="BO57:BR57"/>
    <mergeCell ref="DK42:DN42"/>
    <mergeCell ref="CI65:CL65"/>
    <mergeCell ref="CE77:CH77"/>
    <mergeCell ref="DS74:DV74"/>
    <mergeCell ref="G144:N144"/>
    <mergeCell ref="AJ12:AK12"/>
    <mergeCell ref="AQ94:AT94"/>
    <mergeCell ref="CQ109:CT109"/>
    <mergeCell ref="HC82:HF82"/>
    <mergeCell ref="EQ78:ET78"/>
    <mergeCell ref="DC87:DF87"/>
    <mergeCell ref="FK102:FN102"/>
    <mergeCell ref="GI81:GL81"/>
    <mergeCell ref="IA94:ID94"/>
    <mergeCell ref="KA47:KD47"/>
    <mergeCell ref="HO55:HR55"/>
    <mergeCell ref="HC55:HF55"/>
    <mergeCell ref="HW88:HZ88"/>
    <mergeCell ref="IM98:IP98"/>
    <mergeCell ref="GU47:GX47"/>
    <mergeCell ref="JG91:JJ91"/>
    <mergeCell ref="KQ55:KT55"/>
    <mergeCell ref="JW45:JZ45"/>
    <mergeCell ref="GA43:GD43"/>
    <mergeCell ref="IY96:JB96"/>
    <mergeCell ref="JW53:JZ53"/>
    <mergeCell ref="KI49:KL49"/>
    <mergeCell ref="II83:IL83"/>
    <mergeCell ref="HW60:HZ60"/>
    <mergeCell ref="IQ41:IT41"/>
    <mergeCell ref="HO47:HR47"/>
    <mergeCell ref="JK90:JN90"/>
    <mergeCell ref="IE86:IH86"/>
    <mergeCell ref="JK41:JN41"/>
    <mergeCell ref="JS68:JV68"/>
    <mergeCell ref="JO59:JR59"/>
    <mergeCell ref="JK58:JN58"/>
    <mergeCell ref="JG43:JJ43"/>
    <mergeCell ref="GM44:GP44"/>
    <mergeCell ref="GA73:GD73"/>
    <mergeCell ref="EE110:EH110"/>
    <mergeCell ref="CY89:DB89"/>
    <mergeCell ref="GY86:HB86"/>
    <mergeCell ref="HC81:HF81"/>
    <mergeCell ref="IQ42:IT42"/>
    <mergeCell ref="JK72:JN72"/>
    <mergeCell ref="IU62:IX62"/>
    <mergeCell ref="IQ58:IT58"/>
    <mergeCell ref="GA69:GD69"/>
    <mergeCell ref="GI54:GL54"/>
    <mergeCell ref="CU56:CX56"/>
    <mergeCell ref="AD34:AE34"/>
    <mergeCell ref="G52:H52"/>
    <mergeCell ref="I59:L59"/>
    <mergeCell ref="FW70:FZ70"/>
    <mergeCell ref="BK109:BN109"/>
    <mergeCell ref="V30:W30"/>
    <mergeCell ref="C51:F51"/>
    <mergeCell ref="AJ29:AK29"/>
    <mergeCell ref="C41:F41"/>
    <mergeCell ref="Z10:AC10"/>
    <mergeCell ref="BK69:BN69"/>
    <mergeCell ref="T55:U55"/>
    <mergeCell ref="AF24:AG24"/>
    <mergeCell ref="V73:Y73"/>
    <mergeCell ref="BW53:BZ53"/>
    <mergeCell ref="EM50:EP50"/>
    <mergeCell ref="F29:G29"/>
    <mergeCell ref="DW56:DZ56"/>
    <mergeCell ref="AY63:BB63"/>
    <mergeCell ref="EY74:FB74"/>
    <mergeCell ref="FS72:FV72"/>
    <mergeCell ref="FS80:FV80"/>
    <mergeCell ref="FK43:FN43"/>
    <mergeCell ref="FK87:FN87"/>
    <mergeCell ref="BG105:BJ105"/>
    <mergeCell ref="AD26:AE26"/>
    <mergeCell ref="G74:H74"/>
    <mergeCell ref="AJ25:AK25"/>
    <mergeCell ref="P38:Q38"/>
    <mergeCell ref="H26:I26"/>
    <mergeCell ref="AJ24:AK24"/>
    <mergeCell ref="AL23:AM23"/>
    <mergeCell ref="I85:L85"/>
    <mergeCell ref="AJ27:AK27"/>
    <mergeCell ref="N28:O28"/>
    <mergeCell ref="CE91:CH91"/>
    <mergeCell ref="AQ107:AT107"/>
    <mergeCell ref="BW107:BZ107"/>
    <mergeCell ref="AM108:AP108"/>
    <mergeCell ref="X20:Y20"/>
    <mergeCell ref="DC73:DF73"/>
    <mergeCell ref="EM45:EP45"/>
    <mergeCell ref="CE64:CH64"/>
    <mergeCell ref="AU58:AX58"/>
    <mergeCell ref="AU78:AX78"/>
    <mergeCell ref="F32:I32"/>
    <mergeCell ref="AP11:AQ11"/>
    <mergeCell ref="D38:E38"/>
    <mergeCell ref="BK68:BN68"/>
    <mergeCell ref="CQ41:CT41"/>
    <mergeCell ref="EM99:EP99"/>
    <mergeCell ref="P30:Q30"/>
    <mergeCell ref="AJ20:AK20"/>
    <mergeCell ref="EM82:EP82"/>
    <mergeCell ref="AF23:AG23"/>
    <mergeCell ref="P40:S40"/>
    <mergeCell ref="AH22:AI22"/>
    <mergeCell ref="CI96:CL96"/>
    <mergeCell ref="Z16:AA16"/>
    <mergeCell ref="BC99:BF99"/>
    <mergeCell ref="AY86:BB86"/>
    <mergeCell ref="AG46:AH46"/>
    <mergeCell ref="AY60:BB60"/>
    <mergeCell ref="BG103:BJ103"/>
    <mergeCell ref="CI57:CL57"/>
    <mergeCell ref="CU84:CX84"/>
    <mergeCell ref="BO79:BR79"/>
    <mergeCell ref="CA89:CD89"/>
    <mergeCell ref="CU106:CX106"/>
    <mergeCell ref="BO89:BR89"/>
    <mergeCell ref="KA102:KD102"/>
    <mergeCell ref="HO45:HR45"/>
    <mergeCell ref="JO62:JR62"/>
    <mergeCell ref="JC48:JF48"/>
    <mergeCell ref="IM45:IP45"/>
    <mergeCell ref="KQ103:KT103"/>
    <mergeCell ref="HK79:HN79"/>
    <mergeCell ref="GM94:GP94"/>
    <mergeCell ref="KA110:KD110"/>
    <mergeCell ref="HO68:HR68"/>
    <mergeCell ref="KA95:KD95"/>
    <mergeCell ref="KQ59:KT59"/>
    <mergeCell ref="FG50:FJ50"/>
    <mergeCell ref="DW110:DZ110"/>
    <mergeCell ref="FG55:FJ55"/>
    <mergeCell ref="FS89:FV89"/>
    <mergeCell ref="GI40:GL40"/>
    <mergeCell ref="AQ93:AT93"/>
    <mergeCell ref="J24:K24"/>
    <mergeCell ref="H29:I29"/>
    <mergeCell ref="DO68:DR68"/>
    <mergeCell ref="R25:S25"/>
    <mergeCell ref="P32:Q32"/>
    <mergeCell ref="EU50:EX50"/>
    <mergeCell ref="FG53:FJ53"/>
    <mergeCell ref="F31:I31"/>
    <mergeCell ref="CE84:CH84"/>
    <mergeCell ref="P93:S93"/>
    <mergeCell ref="CA84:CD84"/>
    <mergeCell ref="AM54:AP54"/>
    <mergeCell ref="AQ72:AT72"/>
    <mergeCell ref="N33:O33"/>
    <mergeCell ref="AU68:AX68"/>
    <mergeCell ref="C89:F89"/>
    <mergeCell ref="AC48:AF48"/>
    <mergeCell ref="V74:Y74"/>
    <mergeCell ref="P78:S78"/>
    <mergeCell ref="EU88:EX88"/>
    <mergeCell ref="BK77:BN77"/>
    <mergeCell ref="T25:U25"/>
    <mergeCell ref="I46:L46"/>
    <mergeCell ref="L26:M26"/>
    <mergeCell ref="AY65:BB65"/>
    <mergeCell ref="BS46:BV46"/>
    <mergeCell ref="AC71:AF71"/>
    <mergeCell ref="V28:W28"/>
    <mergeCell ref="AN32:AO32"/>
    <mergeCell ref="DS65:DV65"/>
    <mergeCell ref="AU75:AX75"/>
    <mergeCell ref="R28:S28"/>
    <mergeCell ref="G61:H61"/>
    <mergeCell ref="AY47:BB47"/>
    <mergeCell ref="CU72:CX72"/>
    <mergeCell ref="EY84:FB84"/>
    <mergeCell ref="BC110:BF110"/>
    <mergeCell ref="I41:L41"/>
    <mergeCell ref="G53:H53"/>
    <mergeCell ref="FG102:FJ102"/>
    <mergeCell ref="FS73:FV73"/>
    <mergeCell ref="KE97:KH97"/>
    <mergeCell ref="FG100:FJ100"/>
    <mergeCell ref="GQ75:GT75"/>
    <mergeCell ref="IQ91:IT91"/>
    <mergeCell ref="KE85:KH85"/>
    <mergeCell ref="EY67:FB67"/>
    <mergeCell ref="JC51:JF51"/>
    <mergeCell ref="JW68:JZ68"/>
    <mergeCell ref="IA70:ID70"/>
    <mergeCell ref="EI66:EL66"/>
    <mergeCell ref="DS48:DV48"/>
    <mergeCell ref="EI49:EL49"/>
    <mergeCell ref="GM54:GP54"/>
    <mergeCell ref="IQ68:IT68"/>
    <mergeCell ref="JW44:JZ44"/>
    <mergeCell ref="JO75:JR75"/>
    <mergeCell ref="HS56:HV56"/>
    <mergeCell ref="IE49:IH49"/>
    <mergeCell ref="HG60:HJ60"/>
    <mergeCell ref="JW56:JZ56"/>
    <mergeCell ref="IY55:JB55"/>
    <mergeCell ref="GA63:GD63"/>
    <mergeCell ref="IM91:IP91"/>
    <mergeCell ref="EE76:EH76"/>
    <mergeCell ref="EQ63:ET63"/>
    <mergeCell ref="IA87:ID87"/>
    <mergeCell ref="EQ70:ET70"/>
    <mergeCell ref="EQ74:ET74"/>
    <mergeCell ref="KA80:KD80"/>
    <mergeCell ref="EQ61:ET61"/>
    <mergeCell ref="HG93:HJ93"/>
    <mergeCell ref="JC69:JF69"/>
    <mergeCell ref="GM84:GP84"/>
    <mergeCell ref="DW88:DZ88"/>
    <mergeCell ref="EA80:ED80"/>
    <mergeCell ref="KE45:KH45"/>
    <mergeCell ref="GA57:GD57"/>
    <mergeCell ref="IU72:IX72"/>
    <mergeCell ref="FC48:FF48"/>
    <mergeCell ref="DC105:DF105"/>
    <mergeCell ref="CQ45:CT45"/>
    <mergeCell ref="CU52:CX52"/>
    <mergeCell ref="CQ57:CT57"/>
    <mergeCell ref="CQ63:CT63"/>
    <mergeCell ref="DC76:DF76"/>
    <mergeCell ref="V7:W7"/>
    <mergeCell ref="G93:H93"/>
    <mergeCell ref="V89:Y89"/>
    <mergeCell ref="F6:I6"/>
    <mergeCell ref="T73:U73"/>
    <mergeCell ref="BK54:BN54"/>
    <mergeCell ref="L7:M7"/>
    <mergeCell ref="CU82:CX82"/>
    <mergeCell ref="G79:H79"/>
    <mergeCell ref="CE51:CH51"/>
    <mergeCell ref="P51:S51"/>
    <mergeCell ref="DO89:DR89"/>
    <mergeCell ref="AJ6:AK6"/>
    <mergeCell ref="DC56:DF56"/>
    <mergeCell ref="C66:F66"/>
    <mergeCell ref="CM70:CP70"/>
    <mergeCell ref="KM46:KP46"/>
    <mergeCell ref="FW59:FZ59"/>
    <mergeCell ref="IQ66:IT66"/>
    <mergeCell ref="HK40:HN40"/>
    <mergeCell ref="GE110:GH110"/>
    <mergeCell ref="KA92:KD92"/>
    <mergeCell ref="DW91:DZ91"/>
    <mergeCell ref="GM77:GP77"/>
    <mergeCell ref="KA91:KD91"/>
    <mergeCell ref="GU76:GX76"/>
    <mergeCell ref="EM100:EP100"/>
    <mergeCell ref="EE83:EH83"/>
    <mergeCell ref="JO99:JR99"/>
    <mergeCell ref="EU98:EX98"/>
    <mergeCell ref="GM98:GP98"/>
    <mergeCell ref="JS101:JV101"/>
    <mergeCell ref="KQ73:KT73"/>
    <mergeCell ref="GE47:GH47"/>
    <mergeCell ref="HG44:HJ44"/>
    <mergeCell ref="II65:IL65"/>
    <mergeCell ref="GA102:GD102"/>
    <mergeCell ref="KA103:KD103"/>
    <mergeCell ref="GY109:HB109"/>
    <mergeCell ref="HK64:HN64"/>
    <mergeCell ref="IU109:IX109"/>
    <mergeCell ref="IQ107:IT107"/>
    <mergeCell ref="FK47:FN47"/>
    <mergeCell ref="IA91:ID91"/>
    <mergeCell ref="FO80:FR80"/>
    <mergeCell ref="FO78:FR78"/>
    <mergeCell ref="HG62:HJ62"/>
    <mergeCell ref="GI88:GL88"/>
    <mergeCell ref="II88:IL88"/>
    <mergeCell ref="FW46:FZ46"/>
    <mergeCell ref="FK80:FN80"/>
    <mergeCell ref="FC49:FF49"/>
    <mergeCell ref="JK71:JN71"/>
    <mergeCell ref="IU44:IX44"/>
    <mergeCell ref="KI53:KL53"/>
    <mergeCell ref="N10:O10"/>
    <mergeCell ref="AL8:AM8"/>
    <mergeCell ref="X8:Y8"/>
    <mergeCell ref="AJ8:AK8"/>
    <mergeCell ref="AD9:AE9"/>
    <mergeCell ref="T72:U72"/>
    <mergeCell ref="DC71:DF71"/>
    <mergeCell ref="R38:S38"/>
    <mergeCell ref="CY57:DB57"/>
    <mergeCell ref="AG62:AH62"/>
    <mergeCell ref="T62:U62"/>
    <mergeCell ref="CA40:CD40"/>
    <mergeCell ref="CI84:CL84"/>
    <mergeCell ref="DS110:DV110"/>
    <mergeCell ref="CE107:CH107"/>
    <mergeCell ref="AP34:AQ34"/>
    <mergeCell ref="T95:U95"/>
    <mergeCell ref="CM107:CP107"/>
    <mergeCell ref="N30:O30"/>
    <mergeCell ref="CY68:DB68"/>
    <mergeCell ref="DO52:DR52"/>
    <mergeCell ref="G69:H69"/>
    <mergeCell ref="CY54:DB54"/>
    <mergeCell ref="CE60:CH60"/>
    <mergeCell ref="CM48:CP48"/>
    <mergeCell ref="AM44:AP44"/>
    <mergeCell ref="C139:D139"/>
    <mergeCell ref="T9:U9"/>
    <mergeCell ref="O142:V142"/>
    <mergeCell ref="AF19:AG19"/>
    <mergeCell ref="CI87:CL87"/>
    <mergeCell ref="AC88:AF88"/>
    <mergeCell ref="BS58:BV58"/>
    <mergeCell ref="BW74:BZ74"/>
    <mergeCell ref="BW73:BZ73"/>
    <mergeCell ref="J16:K16"/>
    <mergeCell ref="AC70:AF70"/>
    <mergeCell ref="I103:L103"/>
    <mergeCell ref="AL26:AM26"/>
    <mergeCell ref="BG109:BJ109"/>
    <mergeCell ref="J15:K15"/>
    <mergeCell ref="DO74:DR74"/>
    <mergeCell ref="AP25:AQ25"/>
    <mergeCell ref="I52:L52"/>
    <mergeCell ref="C142:D142"/>
    <mergeCell ref="AL38:AM38"/>
    <mergeCell ref="AM109:AP109"/>
    <mergeCell ref="C82:F82"/>
    <mergeCell ref="C60:F60"/>
    <mergeCell ref="G143:N143"/>
    <mergeCell ref="DW70:DZ70"/>
    <mergeCell ref="HG42:HJ42"/>
    <mergeCell ref="HG49:HJ49"/>
    <mergeCell ref="FW44:FZ44"/>
    <mergeCell ref="EE52:EH52"/>
    <mergeCell ref="DK75:DN75"/>
    <mergeCell ref="KE94:KH94"/>
    <mergeCell ref="HO65:HR65"/>
    <mergeCell ref="GQ95:GT95"/>
    <mergeCell ref="DW66:DZ66"/>
    <mergeCell ref="KM58:KP58"/>
    <mergeCell ref="DW43:DZ43"/>
    <mergeCell ref="FG74:FJ74"/>
    <mergeCell ref="GA84:GD84"/>
    <mergeCell ref="EY96:FB96"/>
    <mergeCell ref="GE73:GH73"/>
    <mergeCell ref="FG80:FJ80"/>
    <mergeCell ref="FW40:FZ40"/>
    <mergeCell ref="DO73:DR73"/>
    <mergeCell ref="DK77:DN77"/>
    <mergeCell ref="IQ65:IT65"/>
    <mergeCell ref="EY43:FB43"/>
    <mergeCell ref="DO62:DR62"/>
    <mergeCell ref="GA65:GD65"/>
    <mergeCell ref="IQ59:IT59"/>
    <mergeCell ref="HG73:HJ73"/>
    <mergeCell ref="JC43:JF43"/>
    <mergeCell ref="GY70:HB70"/>
    <mergeCell ref="DW54:DZ54"/>
    <mergeCell ref="FS42:FV42"/>
    <mergeCell ref="CY44:DB44"/>
    <mergeCell ref="BW110:BZ110"/>
    <mergeCell ref="BG90:BJ90"/>
    <mergeCell ref="CU41:CX41"/>
    <mergeCell ref="CY47:DB47"/>
    <mergeCell ref="CQ79:CT79"/>
    <mergeCell ref="CY56:DB56"/>
    <mergeCell ref="DC55:DF55"/>
    <mergeCell ref="G92:H92"/>
    <mergeCell ref="AH7:AI7"/>
    <mergeCell ref="AQ66:AT66"/>
    <mergeCell ref="AY59:BB59"/>
    <mergeCell ref="BO56:BR56"/>
    <mergeCell ref="AM78:AP78"/>
    <mergeCell ref="T24:U24"/>
    <mergeCell ref="C98:F98"/>
    <mergeCell ref="AI65:AL65"/>
    <mergeCell ref="V81:Y81"/>
    <mergeCell ref="AU97:AX97"/>
    <mergeCell ref="AU106:AX106"/>
    <mergeCell ref="D7:E7"/>
    <mergeCell ref="BW61:BZ61"/>
    <mergeCell ref="CU46:CX46"/>
    <mergeCell ref="CI41:CL41"/>
    <mergeCell ref="BW46:BZ46"/>
    <mergeCell ref="CE42:CH42"/>
    <mergeCell ref="BO54:BR54"/>
    <mergeCell ref="N14:O14"/>
    <mergeCell ref="P89:S89"/>
    <mergeCell ref="X7:Y7"/>
    <mergeCell ref="EE92:EH92"/>
    <mergeCell ref="R7:S7"/>
    <mergeCell ref="AQ62:AT62"/>
    <mergeCell ref="AC96:AF96"/>
    <mergeCell ref="T47:U47"/>
    <mergeCell ref="T52:U52"/>
    <mergeCell ref="AH6:AI6"/>
    <mergeCell ref="BO67:BR67"/>
    <mergeCell ref="BS41:BV41"/>
    <mergeCell ref="IA64:ID64"/>
    <mergeCell ref="EM103:EP103"/>
    <mergeCell ref="FO107:FR107"/>
    <mergeCell ref="KI77:KL77"/>
    <mergeCell ref="HO43:HR43"/>
    <mergeCell ref="GY56:HB56"/>
    <mergeCell ref="EA59:ED59"/>
    <mergeCell ref="GY89:HB89"/>
    <mergeCell ref="IM58:IP58"/>
    <mergeCell ref="EA51:ED51"/>
    <mergeCell ref="HK41:HN41"/>
    <mergeCell ref="JS70:JV70"/>
    <mergeCell ref="KA65:KD65"/>
    <mergeCell ref="JC58:JF58"/>
    <mergeCell ref="IM51:IP51"/>
    <mergeCell ref="IA56:ID56"/>
    <mergeCell ref="HK57:HN57"/>
    <mergeCell ref="HK101:HN101"/>
    <mergeCell ref="KA83:KD83"/>
    <mergeCell ref="HO46:HR46"/>
    <mergeCell ref="JS44:JV44"/>
    <mergeCell ref="IM90:IP90"/>
    <mergeCell ref="JK104:JN104"/>
    <mergeCell ref="IE103:IH103"/>
    <mergeCell ref="EI107:EL107"/>
    <mergeCell ref="HK71:HN71"/>
    <mergeCell ref="GU60:GX60"/>
    <mergeCell ref="HG104:HJ104"/>
    <mergeCell ref="GY80:HB80"/>
    <mergeCell ref="FS78:FV78"/>
    <mergeCell ref="FO104:FR104"/>
    <mergeCell ref="FS103:FV103"/>
    <mergeCell ref="BW71:BZ71"/>
    <mergeCell ref="DS103:DV103"/>
    <mergeCell ref="GA70:GD70"/>
    <mergeCell ref="AG80:AH80"/>
    <mergeCell ref="C78:F78"/>
    <mergeCell ref="GI83:GL83"/>
    <mergeCell ref="AQ42:AT42"/>
    <mergeCell ref="IA53:ID53"/>
    <mergeCell ref="FO108:FR108"/>
    <mergeCell ref="IM66:IP66"/>
    <mergeCell ref="JW94:JZ94"/>
    <mergeCell ref="JK101:JN101"/>
    <mergeCell ref="HG86:HJ86"/>
    <mergeCell ref="HC103:HF103"/>
    <mergeCell ref="DO110:DR110"/>
    <mergeCell ref="HO103:HR103"/>
    <mergeCell ref="EA85:ED85"/>
    <mergeCell ref="CU98:CX98"/>
    <mergeCell ref="GU65:GX65"/>
    <mergeCell ref="F35:G35"/>
    <mergeCell ref="IM62:IP62"/>
    <mergeCell ref="EA67:ED67"/>
    <mergeCell ref="FK42:FN42"/>
    <mergeCell ref="FG54:FJ54"/>
    <mergeCell ref="GQ43:GT43"/>
    <mergeCell ref="KA67:KD67"/>
    <mergeCell ref="EA87:ED87"/>
    <mergeCell ref="GQ103:GT103"/>
    <mergeCell ref="AU83:AX83"/>
    <mergeCell ref="JC55:JF55"/>
    <mergeCell ref="GA95:GD95"/>
    <mergeCell ref="FK78:FN78"/>
    <mergeCell ref="HO48:HR48"/>
    <mergeCell ref="GQ45:GT45"/>
    <mergeCell ref="FC107:FF107"/>
    <mergeCell ref="KI71:KL71"/>
    <mergeCell ref="FG64:FJ64"/>
    <mergeCell ref="KE104:KH104"/>
    <mergeCell ref="JK91:JN91"/>
    <mergeCell ref="GE53:GH53"/>
    <mergeCell ref="FW74:FZ74"/>
    <mergeCell ref="GU88:GX88"/>
    <mergeCell ref="EM94:EP94"/>
    <mergeCell ref="KA66:KD66"/>
    <mergeCell ref="IM106:IP106"/>
    <mergeCell ref="FO74:FR74"/>
    <mergeCell ref="HS64:HV64"/>
    <mergeCell ref="KE95:KH95"/>
    <mergeCell ref="FG97:FJ97"/>
    <mergeCell ref="HS54:HV54"/>
    <mergeCell ref="GM52:GP52"/>
    <mergeCell ref="FS60:FV60"/>
    <mergeCell ref="GQ56:GT56"/>
    <mergeCell ref="HK92:HN92"/>
    <mergeCell ref="JG96:JJ96"/>
    <mergeCell ref="DW94:DZ94"/>
    <mergeCell ref="IA99:ID99"/>
    <mergeCell ref="EA73:ED73"/>
    <mergeCell ref="DO78:DR78"/>
    <mergeCell ref="EI76:EL76"/>
    <mergeCell ref="T61:U61"/>
    <mergeCell ref="X31:Y31"/>
    <mergeCell ref="P31:Q31"/>
    <mergeCell ref="IU68:IX68"/>
    <mergeCell ref="BW48:BZ48"/>
    <mergeCell ref="GQ44:GT44"/>
    <mergeCell ref="G60:H60"/>
    <mergeCell ref="FS104:FV104"/>
    <mergeCell ref="KE55:KH55"/>
    <mergeCell ref="KM60:KP60"/>
    <mergeCell ref="JK53:JN53"/>
    <mergeCell ref="AG83:AH83"/>
    <mergeCell ref="DO57:DR57"/>
    <mergeCell ref="BW101:BZ101"/>
    <mergeCell ref="BW54:BZ54"/>
    <mergeCell ref="CY107:DB107"/>
    <mergeCell ref="BC47:BF47"/>
    <mergeCell ref="KI45:KL45"/>
    <mergeCell ref="IE82:IH82"/>
    <mergeCell ref="KM93:KP93"/>
    <mergeCell ref="GM78:GP78"/>
    <mergeCell ref="JG45:JJ45"/>
    <mergeCell ref="JC41:JF41"/>
    <mergeCell ref="GM95:GP95"/>
    <mergeCell ref="CI104:CL104"/>
    <mergeCell ref="DG70:DJ70"/>
    <mergeCell ref="EQ88:ET88"/>
    <mergeCell ref="CQ73:CT73"/>
    <mergeCell ref="DC93:DF93"/>
    <mergeCell ref="HK108:HN108"/>
    <mergeCell ref="KE58:KH58"/>
    <mergeCell ref="HC51:HF51"/>
    <mergeCell ref="IU100:IX100"/>
    <mergeCell ref="HC93:HF93"/>
    <mergeCell ref="FC56:FF56"/>
    <mergeCell ref="AQ81:AT81"/>
    <mergeCell ref="CI93:CL93"/>
    <mergeCell ref="CU44:CX44"/>
    <mergeCell ref="DG97:DJ97"/>
    <mergeCell ref="BO60:BR60"/>
    <mergeCell ref="FK96:FN96"/>
    <mergeCell ref="CI48:CL48"/>
    <mergeCell ref="GI74:GL74"/>
    <mergeCell ref="HK68:HN68"/>
    <mergeCell ref="JS53:JV53"/>
    <mergeCell ref="P75:S75"/>
    <mergeCell ref="KI43:KL43"/>
    <mergeCell ref="IM77:IP77"/>
    <mergeCell ref="HG58:HJ58"/>
    <mergeCell ref="HK52:HN52"/>
    <mergeCell ref="JG73:JJ73"/>
    <mergeCell ref="JS64:JV64"/>
    <mergeCell ref="EU66:EX66"/>
    <mergeCell ref="DK99:DN99"/>
    <mergeCell ref="FK81:FN81"/>
    <mergeCell ref="CQ80:CT80"/>
    <mergeCell ref="EI104:EL104"/>
    <mergeCell ref="FK101:FN101"/>
    <mergeCell ref="KM95:KP95"/>
    <mergeCell ref="JC50:JF50"/>
    <mergeCell ref="GA81:GD81"/>
    <mergeCell ref="JO96:JR96"/>
    <mergeCell ref="CA44:CD44"/>
    <mergeCell ref="HS62:HV62"/>
    <mergeCell ref="CM64:CP64"/>
    <mergeCell ref="CE50:CH50"/>
    <mergeCell ref="C59:F59"/>
    <mergeCell ref="J35:K35"/>
    <mergeCell ref="F33:I33"/>
    <mergeCell ref="EI63:EL63"/>
    <mergeCell ref="HK47:HN47"/>
    <mergeCell ref="II59:IL59"/>
    <mergeCell ref="GE40:GH40"/>
    <mergeCell ref="DS49:DV49"/>
    <mergeCell ref="HK49:HN49"/>
    <mergeCell ref="FS70:FV70"/>
    <mergeCell ref="GY48:HB48"/>
    <mergeCell ref="HO63:HR63"/>
    <mergeCell ref="FK46:FN46"/>
    <mergeCell ref="GM71:GP71"/>
    <mergeCell ref="HG54:HJ54"/>
    <mergeCell ref="EM44:EP44"/>
    <mergeCell ref="HW69:HZ69"/>
    <mergeCell ref="CE72:CH72"/>
    <mergeCell ref="L28:M28"/>
    <mergeCell ref="AM99:AP99"/>
    <mergeCell ref="IM96:IP96"/>
    <mergeCell ref="GY85:HB85"/>
    <mergeCell ref="IU77:IX77"/>
    <mergeCell ref="HW89:HZ89"/>
    <mergeCell ref="GM96:GP96"/>
    <mergeCell ref="FC81:FF81"/>
    <mergeCell ref="CM58:CP58"/>
    <mergeCell ref="HW52:HZ52"/>
    <mergeCell ref="G102:H102"/>
    <mergeCell ref="AG84:AH84"/>
    <mergeCell ref="CA103:CD103"/>
    <mergeCell ref="I74:L74"/>
    <mergeCell ref="CE73:CH73"/>
    <mergeCell ref="C63:F63"/>
    <mergeCell ref="C62:F62"/>
    <mergeCell ref="I40:L40"/>
    <mergeCell ref="P94:S94"/>
    <mergeCell ref="BO78:BR78"/>
    <mergeCell ref="DW90:DZ90"/>
    <mergeCell ref="BK43:BN43"/>
    <mergeCell ref="FK44:FN44"/>
    <mergeCell ref="IA79:ID79"/>
    <mergeCell ref="DW63:DZ63"/>
    <mergeCell ref="BW68:BZ68"/>
    <mergeCell ref="GA42:GD42"/>
    <mergeCell ref="CI78:CL78"/>
    <mergeCell ref="C102:F102"/>
    <mergeCell ref="V71:Y71"/>
    <mergeCell ref="P86:S86"/>
    <mergeCell ref="BG96:BJ96"/>
    <mergeCell ref="L16:M16"/>
    <mergeCell ref="AL12:AM12"/>
    <mergeCell ref="J31:K31"/>
    <mergeCell ref="F11:G11"/>
    <mergeCell ref="AN31:AO31"/>
    <mergeCell ref="AJ30:AK30"/>
    <mergeCell ref="AJ28:AK28"/>
    <mergeCell ref="R13:S13"/>
    <mergeCell ref="AF10:AG10"/>
    <mergeCell ref="Z8:AC8"/>
    <mergeCell ref="AY102:BB102"/>
    <mergeCell ref="FW82:FZ82"/>
    <mergeCell ref="AI75:AL75"/>
    <mergeCell ref="CU110:CX110"/>
    <mergeCell ref="CM78:CP78"/>
    <mergeCell ref="GA51:GD51"/>
    <mergeCell ref="KM69:KP69"/>
    <mergeCell ref="IE85:IH85"/>
    <mergeCell ref="KM44:KP44"/>
    <mergeCell ref="HS91:HV91"/>
    <mergeCell ref="KQ53:KT53"/>
    <mergeCell ref="HC42:HF42"/>
    <mergeCell ref="II82:IL82"/>
    <mergeCell ref="GA103:GD103"/>
    <mergeCell ref="AG85:AH85"/>
    <mergeCell ref="EE57:EH57"/>
    <mergeCell ref="EE55:EH55"/>
    <mergeCell ref="CM101:CP101"/>
    <mergeCell ref="AU81:AX81"/>
    <mergeCell ref="DO102:DR102"/>
    <mergeCell ref="BG88:BJ88"/>
    <mergeCell ref="EE74:EH74"/>
    <mergeCell ref="AU55:AX55"/>
    <mergeCell ref="BW69:BZ69"/>
    <mergeCell ref="CE67:CH67"/>
    <mergeCell ref="GU69:GX69"/>
    <mergeCell ref="FG85:FJ85"/>
    <mergeCell ref="GM43:GP43"/>
    <mergeCell ref="DW107:DZ107"/>
    <mergeCell ref="V34:W34"/>
    <mergeCell ref="C90:F90"/>
    <mergeCell ref="II93:IL93"/>
    <mergeCell ref="FC51:FF51"/>
    <mergeCell ref="FW42:FZ42"/>
    <mergeCell ref="EI60:EL60"/>
    <mergeCell ref="EY57:FB57"/>
    <mergeCell ref="KA69:KD69"/>
    <mergeCell ref="JG53:JJ53"/>
    <mergeCell ref="IE64:IH64"/>
    <mergeCell ref="GQ62:GT62"/>
    <mergeCell ref="GE64:GH64"/>
    <mergeCell ref="HK104:HN104"/>
    <mergeCell ref="FO42:FR42"/>
    <mergeCell ref="GA91:GD91"/>
    <mergeCell ref="GQ60:GT60"/>
    <mergeCell ref="EM65:EP65"/>
    <mergeCell ref="FK55:FN55"/>
    <mergeCell ref="N36:O36"/>
    <mergeCell ref="DC96:DF96"/>
    <mergeCell ref="DO85:DR85"/>
    <mergeCell ref="CE103:CH103"/>
    <mergeCell ref="C55:F55"/>
    <mergeCell ref="AH34:AI34"/>
    <mergeCell ref="N38:O38"/>
    <mergeCell ref="D31:E31"/>
    <mergeCell ref="GI48:GL48"/>
    <mergeCell ref="KM79:KP79"/>
    <mergeCell ref="IA92:ID92"/>
    <mergeCell ref="KQ76:KT76"/>
    <mergeCell ref="GA52:GD52"/>
    <mergeCell ref="DG84:DJ84"/>
    <mergeCell ref="GU103:GX103"/>
    <mergeCell ref="CI77:CL77"/>
    <mergeCell ref="BO96:BR96"/>
    <mergeCell ref="II42:IL42"/>
    <mergeCell ref="DO70:DR70"/>
    <mergeCell ref="CI60:CL60"/>
    <mergeCell ref="BK41:BN41"/>
    <mergeCell ref="EE64:EH64"/>
    <mergeCell ref="DC57:DF57"/>
    <mergeCell ref="EA101:ED101"/>
    <mergeCell ref="HC68:HF68"/>
    <mergeCell ref="DO100:DR100"/>
    <mergeCell ref="GI70:GL70"/>
    <mergeCell ref="EU95:EX95"/>
    <mergeCell ref="EU91:EX91"/>
    <mergeCell ref="CI83:CL83"/>
    <mergeCell ref="GE63:GH63"/>
    <mergeCell ref="KI87:KL87"/>
    <mergeCell ref="IM89:IP89"/>
    <mergeCell ref="GM70:GP70"/>
    <mergeCell ref="IE88:IH88"/>
    <mergeCell ref="KA49:KD49"/>
    <mergeCell ref="IU82:IX82"/>
    <mergeCell ref="HS110:HV110"/>
    <mergeCell ref="DO71:DR71"/>
    <mergeCell ref="GE66:GH66"/>
    <mergeCell ref="DG90:DJ90"/>
    <mergeCell ref="EU67:EX67"/>
    <mergeCell ref="FK69:FN69"/>
    <mergeCell ref="EU81:EX81"/>
    <mergeCell ref="DS80:DV80"/>
    <mergeCell ref="BS78:BV78"/>
    <mergeCell ref="EM54:EP54"/>
    <mergeCell ref="CU40:CX40"/>
    <mergeCell ref="GA72:GD72"/>
    <mergeCell ref="CU47:CX47"/>
    <mergeCell ref="EM58:EP58"/>
    <mergeCell ref="AG42:AH42"/>
    <mergeCell ref="AP33:AQ33"/>
    <mergeCell ref="JG97:JJ97"/>
    <mergeCell ref="GM67:GP67"/>
    <mergeCell ref="KM77:KP77"/>
    <mergeCell ref="JO52:JR52"/>
    <mergeCell ref="HC94:HF94"/>
    <mergeCell ref="JS99:JV99"/>
    <mergeCell ref="JW89:JZ89"/>
    <mergeCell ref="KI60:KL60"/>
    <mergeCell ref="JO45:JR45"/>
    <mergeCell ref="KM67:KP67"/>
    <mergeCell ref="KA52:KD52"/>
    <mergeCell ref="JW61:JZ61"/>
    <mergeCell ref="CI85:CL85"/>
    <mergeCell ref="AJ36:AK36"/>
    <mergeCell ref="AG102:AH102"/>
    <mergeCell ref="FG44:FJ44"/>
    <mergeCell ref="KA68:KD68"/>
    <mergeCell ref="HS97:HV97"/>
    <mergeCell ref="KE49:KH49"/>
    <mergeCell ref="GQ102:GT102"/>
    <mergeCell ref="CA70:CD70"/>
    <mergeCell ref="BK80:BN80"/>
    <mergeCell ref="HO78:HR78"/>
    <mergeCell ref="GU108:GX108"/>
    <mergeCell ref="DS95:DV95"/>
    <mergeCell ref="EY50:FB50"/>
    <mergeCell ref="AU88:AX88"/>
    <mergeCell ref="AC45:AF45"/>
    <mergeCell ref="Z36:AA36"/>
    <mergeCell ref="CE85:CH85"/>
    <mergeCell ref="AU42:AX42"/>
    <mergeCell ref="CA75:CD75"/>
    <mergeCell ref="AM48:AP48"/>
    <mergeCell ref="BW45:BZ45"/>
    <mergeCell ref="Z29:AC29"/>
    <mergeCell ref="AF26:AG26"/>
    <mergeCell ref="EA95:ED95"/>
    <mergeCell ref="I61:L61"/>
    <mergeCell ref="BO40:BR40"/>
    <mergeCell ref="G100:H100"/>
    <mergeCell ref="I102:L102"/>
    <mergeCell ref="C97:F97"/>
    <mergeCell ref="JS54:JV54"/>
    <mergeCell ref="HS101:HV101"/>
    <mergeCell ref="FS76:FV76"/>
    <mergeCell ref="JK76:JN76"/>
    <mergeCell ref="FC100:FF100"/>
    <mergeCell ref="EU107:EX107"/>
    <mergeCell ref="Z32:AC32"/>
    <mergeCell ref="C64:F64"/>
    <mergeCell ref="V106:Y106"/>
    <mergeCell ref="C103:F103"/>
    <mergeCell ref="AL25:AM25"/>
    <mergeCell ref="AP17:AQ17"/>
    <mergeCell ref="P79:S79"/>
    <mergeCell ref="D24:E24"/>
    <mergeCell ref="H37:I37"/>
    <mergeCell ref="I44:L44"/>
    <mergeCell ref="L34:M34"/>
    <mergeCell ref="L33:M33"/>
    <mergeCell ref="DW73:DZ73"/>
    <mergeCell ref="AJ26:AK26"/>
    <mergeCell ref="I69:L69"/>
    <mergeCell ref="JS72:JV72"/>
    <mergeCell ref="GU94:GX94"/>
    <mergeCell ref="DO83:DR83"/>
    <mergeCell ref="IY105:JB105"/>
    <mergeCell ref="EY78:FB78"/>
    <mergeCell ref="IQ82:IT82"/>
    <mergeCell ref="DC98:DF98"/>
    <mergeCell ref="AC92:AF92"/>
    <mergeCell ref="AM89:AP89"/>
    <mergeCell ref="FK91:FN91"/>
    <mergeCell ref="DK91:DN91"/>
    <mergeCell ref="AY87:BB87"/>
    <mergeCell ref="AM87:AP87"/>
    <mergeCell ref="V104:Y104"/>
    <mergeCell ref="GU83:GX83"/>
    <mergeCell ref="KI92:KL92"/>
    <mergeCell ref="J38:K38"/>
    <mergeCell ref="DO58:DR58"/>
    <mergeCell ref="P81:S81"/>
    <mergeCell ref="L31:M31"/>
    <mergeCell ref="CI58:CL58"/>
    <mergeCell ref="BK60:BN60"/>
    <mergeCell ref="AN33:AO33"/>
    <mergeCell ref="BO50:BR50"/>
    <mergeCell ref="CE40:CH40"/>
    <mergeCell ref="JC85:JF85"/>
    <mergeCell ref="FK70:FN70"/>
    <mergeCell ref="KA58:KD58"/>
    <mergeCell ref="HW44:HZ44"/>
    <mergeCell ref="HK66:HN66"/>
    <mergeCell ref="CA100:CD100"/>
    <mergeCell ref="T44:U44"/>
    <mergeCell ref="AU41:AX41"/>
    <mergeCell ref="BS62:BV62"/>
    <mergeCell ref="BK86:BN86"/>
    <mergeCell ref="CY88:DB88"/>
    <mergeCell ref="EE104:EH104"/>
    <mergeCell ref="I76:L76"/>
    <mergeCell ref="EU42:EX42"/>
    <mergeCell ref="X36:Y36"/>
    <mergeCell ref="KA59:KD59"/>
    <mergeCell ref="EQ89:ET89"/>
    <mergeCell ref="KQ105:KT105"/>
    <mergeCell ref="FG40:FJ40"/>
    <mergeCell ref="C67:F67"/>
    <mergeCell ref="AI71:AL71"/>
    <mergeCell ref="CA49:CD49"/>
    <mergeCell ref="AC65:AF65"/>
    <mergeCell ref="CY63:DB63"/>
    <mergeCell ref="KE105:KH105"/>
    <mergeCell ref="FG79:FJ79"/>
    <mergeCell ref="EE97:EH97"/>
    <mergeCell ref="DK87:DN87"/>
    <mergeCell ref="CY102:DB102"/>
    <mergeCell ref="CE59:CH59"/>
    <mergeCell ref="AC104:AF104"/>
    <mergeCell ref="P53:S53"/>
    <mergeCell ref="I90:L90"/>
    <mergeCell ref="BG49:BJ49"/>
    <mergeCell ref="AI97:AL97"/>
    <mergeCell ref="C135:D135"/>
    <mergeCell ref="IY89:JB89"/>
    <mergeCell ref="HC43:HF43"/>
    <mergeCell ref="FO84:FR84"/>
    <mergeCell ref="JO64:JR64"/>
    <mergeCell ref="CY109:DB109"/>
    <mergeCell ref="EM66:EP66"/>
    <mergeCell ref="GM102:GP102"/>
    <mergeCell ref="DK57:DN57"/>
    <mergeCell ref="AM88:AP88"/>
    <mergeCell ref="AG49:AH49"/>
    <mergeCell ref="BC42:BF42"/>
    <mergeCell ref="BW82:BZ82"/>
    <mergeCell ref="C45:F45"/>
    <mergeCell ref="EY70:FB70"/>
    <mergeCell ref="DG99:DJ99"/>
    <mergeCell ref="DW109:DZ109"/>
    <mergeCell ref="FC80:FF80"/>
    <mergeCell ref="EI73:EL73"/>
    <mergeCell ref="EY99:FB99"/>
    <mergeCell ref="CQ59:CT59"/>
    <mergeCell ref="DG66:DJ66"/>
    <mergeCell ref="C138:D138"/>
    <mergeCell ref="CQ78:CT78"/>
    <mergeCell ref="BG47:BJ47"/>
    <mergeCell ref="KA104:KD104"/>
    <mergeCell ref="FG82:FJ82"/>
    <mergeCell ref="CY92:DB92"/>
    <mergeCell ref="HK78:HN78"/>
    <mergeCell ref="DG91:DJ91"/>
    <mergeCell ref="F37:G37"/>
    <mergeCell ref="DO51:DR51"/>
    <mergeCell ref="DG57:DJ57"/>
    <mergeCell ref="CQ58:CT58"/>
    <mergeCell ref="X38:Y38"/>
    <mergeCell ref="V99:Y99"/>
    <mergeCell ref="BW78:BZ78"/>
    <mergeCell ref="AC49:AF49"/>
    <mergeCell ref="P70:S70"/>
    <mergeCell ref="AC55:AF55"/>
    <mergeCell ref="P52:S52"/>
    <mergeCell ref="DK101:DN101"/>
    <mergeCell ref="DW51:DZ51"/>
    <mergeCell ref="JG92:JJ92"/>
    <mergeCell ref="GQ46:GT46"/>
    <mergeCell ref="EM105:EP105"/>
    <mergeCell ref="V22:W22"/>
    <mergeCell ref="DS79:DV79"/>
    <mergeCell ref="CQ94:CT94"/>
    <mergeCell ref="V19:W19"/>
    <mergeCell ref="T106:U106"/>
    <mergeCell ref="CE80:CH80"/>
    <mergeCell ref="N35:O35"/>
    <mergeCell ref="FS52:FV52"/>
    <mergeCell ref="KM72:KP72"/>
    <mergeCell ref="HO98:HR98"/>
    <mergeCell ref="FO79:FR79"/>
    <mergeCell ref="JO82:JR82"/>
    <mergeCell ref="DS60:DV60"/>
    <mergeCell ref="AQ100:AT100"/>
    <mergeCell ref="AI66:AL66"/>
    <mergeCell ref="CM43:CP43"/>
    <mergeCell ref="AY53:BB53"/>
    <mergeCell ref="AF15:AG15"/>
    <mergeCell ref="AJ19:AK19"/>
    <mergeCell ref="FO54:FR54"/>
    <mergeCell ref="HC91:HF91"/>
    <mergeCell ref="EQ87:ET87"/>
    <mergeCell ref="GU97:GX97"/>
    <mergeCell ref="JK67:JN67"/>
    <mergeCell ref="KI61:KL61"/>
    <mergeCell ref="JW65:JZ65"/>
    <mergeCell ref="KI50:KL50"/>
    <mergeCell ref="HK106:HN106"/>
    <mergeCell ref="EU94:EX94"/>
    <mergeCell ref="DO97:DR97"/>
    <mergeCell ref="EA104:ED104"/>
    <mergeCell ref="EA103:ED103"/>
    <mergeCell ref="EY94:FB94"/>
    <mergeCell ref="DC79:DF79"/>
    <mergeCell ref="IY93:JB93"/>
    <mergeCell ref="FS81:FV81"/>
    <mergeCell ref="IQ51:IT51"/>
    <mergeCell ref="HW45:HZ45"/>
    <mergeCell ref="IU60:IX60"/>
    <mergeCell ref="IA44:ID44"/>
    <mergeCell ref="FG46:FJ46"/>
    <mergeCell ref="HG88:HJ88"/>
    <mergeCell ref="IU59:IX59"/>
    <mergeCell ref="JG49:JJ49"/>
    <mergeCell ref="GY77:HB77"/>
    <mergeCell ref="GI69:GL69"/>
    <mergeCell ref="IE84:IH84"/>
    <mergeCell ref="GE49:GH49"/>
    <mergeCell ref="HK60:HN60"/>
    <mergeCell ref="GQ88:GT88"/>
    <mergeCell ref="HO41:HR41"/>
    <mergeCell ref="KM80:KP80"/>
    <mergeCell ref="IQ93:IT93"/>
    <mergeCell ref="CA101:CD101"/>
    <mergeCell ref="AC41:AF41"/>
    <mergeCell ref="CM49:CP49"/>
    <mergeCell ref="AY46:BB46"/>
    <mergeCell ref="AL11:AM11"/>
    <mergeCell ref="AD11:AE11"/>
    <mergeCell ref="HG106:HJ106"/>
    <mergeCell ref="JG50:JJ50"/>
    <mergeCell ref="GQ99:GT99"/>
    <mergeCell ref="GQ85:GT85"/>
    <mergeCell ref="IY57:JB57"/>
    <mergeCell ref="HO81:HR81"/>
    <mergeCell ref="IY70:JB70"/>
    <mergeCell ref="KM96:KP96"/>
    <mergeCell ref="IE51:IH51"/>
    <mergeCell ref="IM82:IP82"/>
    <mergeCell ref="JC76:JF76"/>
    <mergeCell ref="JC87:JF87"/>
    <mergeCell ref="JK52:JN52"/>
    <mergeCell ref="JW75:JZ75"/>
    <mergeCell ref="KA43:KD43"/>
    <mergeCell ref="AL17:AM17"/>
    <mergeCell ref="CA67:CD67"/>
    <mergeCell ref="BC87:BF87"/>
    <mergeCell ref="AC52:AF52"/>
    <mergeCell ref="CY60:DB60"/>
    <mergeCell ref="JC64:JF64"/>
    <mergeCell ref="FG83:FJ83"/>
    <mergeCell ref="HO86:HR86"/>
    <mergeCell ref="JG81:JJ81"/>
    <mergeCell ref="IU84:IX84"/>
    <mergeCell ref="FK74:FN74"/>
    <mergeCell ref="GE74:GH74"/>
    <mergeCell ref="CY99:DB99"/>
    <mergeCell ref="I88:L88"/>
    <mergeCell ref="BS51:BV51"/>
    <mergeCell ref="G48:H48"/>
    <mergeCell ref="C43:F43"/>
    <mergeCell ref="G44:H44"/>
    <mergeCell ref="FO101:FR101"/>
    <mergeCell ref="JG77:JJ77"/>
    <mergeCell ref="EU76:EX76"/>
    <mergeCell ref="GY75:HB75"/>
    <mergeCell ref="JK109:JN109"/>
    <mergeCell ref="EI86:EL86"/>
    <mergeCell ref="GE52:GH52"/>
    <mergeCell ref="GQ101:GT101"/>
    <mergeCell ref="DW69:DZ69"/>
    <mergeCell ref="G138:N138"/>
    <mergeCell ref="E139:F139"/>
    <mergeCell ref="CI76:CL76"/>
    <mergeCell ref="W138:Y138"/>
    <mergeCell ref="AC81:AF81"/>
    <mergeCell ref="CE89:CH89"/>
    <mergeCell ref="T91:U91"/>
    <mergeCell ref="BC102:BF102"/>
    <mergeCell ref="KQ107:KT107"/>
    <mergeCell ref="IA67:ID67"/>
    <mergeCell ref="JG100:JJ100"/>
    <mergeCell ref="JS79:JV79"/>
    <mergeCell ref="JS77:JV77"/>
    <mergeCell ref="II80:IL80"/>
    <mergeCell ref="HS107:HV107"/>
    <mergeCell ref="BS48:BV48"/>
    <mergeCell ref="EM89:EP89"/>
    <mergeCell ref="EQ51:ET51"/>
    <mergeCell ref="BG78:BJ78"/>
    <mergeCell ref="DS73:DV73"/>
    <mergeCell ref="DG44:DJ44"/>
    <mergeCell ref="DK104:DN104"/>
    <mergeCell ref="CI71:CL71"/>
    <mergeCell ref="DG79:DJ79"/>
    <mergeCell ref="DC77:DF77"/>
    <mergeCell ref="W135:Y135"/>
    <mergeCell ref="AM80:AP80"/>
    <mergeCell ref="EI102:EL102"/>
    <mergeCell ref="CI63:CL63"/>
    <mergeCell ref="AY67:BB67"/>
    <mergeCell ref="AM86:AP86"/>
    <mergeCell ref="AI63:AL63"/>
    <mergeCell ref="AI59:AL59"/>
    <mergeCell ref="AM102:AP102"/>
    <mergeCell ref="E136:F136"/>
    <mergeCell ref="EA82:ED82"/>
    <mergeCell ref="BS74:BV74"/>
    <mergeCell ref="IY59:JB59"/>
    <mergeCell ref="GA97:GD97"/>
    <mergeCell ref="EQ76:ET76"/>
    <mergeCell ref="JG82:JJ82"/>
    <mergeCell ref="GI49:GL49"/>
    <mergeCell ref="GA93:GD93"/>
    <mergeCell ref="FS61:FV61"/>
    <mergeCell ref="GU64:GX64"/>
    <mergeCell ref="FW108:FZ108"/>
    <mergeCell ref="GE85:GH85"/>
    <mergeCell ref="IE50:IH50"/>
    <mergeCell ref="KI69:KL69"/>
    <mergeCell ref="EI92:EL92"/>
    <mergeCell ref="HG102:HJ102"/>
    <mergeCell ref="JW73:JZ73"/>
    <mergeCell ref="EU56:EX56"/>
    <mergeCell ref="IA47:ID47"/>
    <mergeCell ref="HG77:HJ77"/>
    <mergeCell ref="C52:F52"/>
    <mergeCell ref="C58:F58"/>
    <mergeCell ref="FS50:FV50"/>
    <mergeCell ref="EY98:FB98"/>
    <mergeCell ref="CE55:CH55"/>
    <mergeCell ref="II81:IL81"/>
    <mergeCell ref="IE79:IH79"/>
    <mergeCell ref="FC69:FF69"/>
    <mergeCell ref="GY59:HB59"/>
    <mergeCell ref="IE92:IH92"/>
    <mergeCell ref="EI56:EL56"/>
    <mergeCell ref="IE68:IH68"/>
    <mergeCell ref="EA110:ED110"/>
    <mergeCell ref="HC65:HF65"/>
    <mergeCell ref="DC86:DF86"/>
    <mergeCell ref="EM51:EP51"/>
    <mergeCell ref="CQ91:CT91"/>
    <mergeCell ref="BC73:BF73"/>
    <mergeCell ref="AG92:AH92"/>
    <mergeCell ref="V83:Y83"/>
    <mergeCell ref="EU102:EX102"/>
    <mergeCell ref="BS76:BV76"/>
    <mergeCell ref="IA77:ID77"/>
    <mergeCell ref="BG91:BJ91"/>
    <mergeCell ref="DG78:DJ78"/>
    <mergeCell ref="FO51:FR51"/>
    <mergeCell ref="KQ91:KT91"/>
    <mergeCell ref="HW40:HZ40"/>
    <mergeCell ref="HO79:HR79"/>
    <mergeCell ref="AF13:AG13"/>
    <mergeCell ref="H24:I24"/>
    <mergeCell ref="BK93:BN93"/>
    <mergeCell ref="V12:W12"/>
    <mergeCell ref="FC65:FF65"/>
    <mergeCell ref="AC78:AF78"/>
    <mergeCell ref="AL13:AM13"/>
    <mergeCell ref="V48:Y48"/>
    <mergeCell ref="X10:Y10"/>
    <mergeCell ref="CI106:CL106"/>
    <mergeCell ref="T159:U159"/>
    <mergeCell ref="AG63:AH63"/>
    <mergeCell ref="GA47:GD47"/>
    <mergeCell ref="JC110:JF110"/>
    <mergeCell ref="AC58:AF58"/>
    <mergeCell ref="CY65:DB65"/>
    <mergeCell ref="BG98:BJ98"/>
    <mergeCell ref="DW61:DZ61"/>
    <mergeCell ref="CE46:CH46"/>
    <mergeCell ref="CA54:CD54"/>
    <mergeCell ref="DW86:DZ86"/>
    <mergeCell ref="V158:W158"/>
    <mergeCell ref="HO61:HR61"/>
    <mergeCell ref="JC107:JF107"/>
    <mergeCell ref="GE82:GH82"/>
    <mergeCell ref="IE101:IH101"/>
    <mergeCell ref="IQ95:IT95"/>
    <mergeCell ref="CI107:CL107"/>
    <mergeCell ref="BK63:BN63"/>
    <mergeCell ref="BC88:BF88"/>
    <mergeCell ref="DC60:DF60"/>
    <mergeCell ref="CM61:CP61"/>
    <mergeCell ref="FK107:FN107"/>
    <mergeCell ref="FC74:FF74"/>
    <mergeCell ref="X159:AA159"/>
    <mergeCell ref="AF155:AG155"/>
    <mergeCell ref="R159:S159"/>
    <mergeCell ref="AD155:AE155"/>
    <mergeCell ref="AB156:AC156"/>
    <mergeCell ref="X156:AA156"/>
    <mergeCell ref="AK155:AL155"/>
    <mergeCell ref="H155:M155"/>
    <mergeCell ref="X158:AA158"/>
    <mergeCell ref="AF156:AG156"/>
    <mergeCell ref="H159:M159"/>
    <mergeCell ref="BO53:BR53"/>
    <mergeCell ref="AI106:AL106"/>
    <mergeCell ref="R22:S22"/>
    <mergeCell ref="G54:H54"/>
    <mergeCell ref="CI42:CL42"/>
    <mergeCell ref="I68:L68"/>
    <mergeCell ref="GI60:GL60"/>
    <mergeCell ref="JW104:JZ104"/>
    <mergeCell ref="KQ90:KT90"/>
    <mergeCell ref="IM110:IP110"/>
    <mergeCell ref="DS52:DV52"/>
    <mergeCell ref="AB153:AC153"/>
    <mergeCell ref="C75:F75"/>
    <mergeCell ref="HK44:HN44"/>
    <mergeCell ref="JO110:JR110"/>
    <mergeCell ref="GQ68:GT68"/>
    <mergeCell ref="FK50:FN50"/>
    <mergeCell ref="HC59:HF59"/>
    <mergeCell ref="II102:IL102"/>
    <mergeCell ref="KA72:KD72"/>
    <mergeCell ref="HK103:HN103"/>
    <mergeCell ref="JC62:JF62"/>
    <mergeCell ref="HS65:HV65"/>
    <mergeCell ref="KM99:KP99"/>
    <mergeCell ref="HW74:HZ74"/>
    <mergeCell ref="C156:G156"/>
    <mergeCell ref="BC45:BF45"/>
    <mergeCell ref="CE99:CH99"/>
    <mergeCell ref="AK153:AL153"/>
    <mergeCell ref="AD153:AE153"/>
    <mergeCell ref="AF153:AG153"/>
    <mergeCell ref="CQ40:CT40"/>
    <mergeCell ref="AG100:AH100"/>
    <mergeCell ref="V61:Y61"/>
    <mergeCell ref="AB21:AC21"/>
    <mergeCell ref="KA81:KD81"/>
    <mergeCell ref="GY44:HB44"/>
    <mergeCell ref="FS106:FV106"/>
    <mergeCell ref="GU52:GX52"/>
    <mergeCell ref="IY107:JB107"/>
    <mergeCell ref="BW108:BZ108"/>
    <mergeCell ref="AD32:AE32"/>
    <mergeCell ref="P56:S56"/>
    <mergeCell ref="FW104:FZ104"/>
    <mergeCell ref="JO78:JR78"/>
    <mergeCell ref="GE60:GH60"/>
    <mergeCell ref="IM54:IP54"/>
    <mergeCell ref="HG107:HJ107"/>
    <mergeCell ref="C44:F44"/>
    <mergeCell ref="CY95:DB95"/>
    <mergeCell ref="EM40:EP40"/>
    <mergeCell ref="N8:O8"/>
    <mergeCell ref="D11:E11"/>
    <mergeCell ref="J8:K8"/>
    <mergeCell ref="R8:S8"/>
    <mergeCell ref="HW51:HZ51"/>
    <mergeCell ref="GI91:GL91"/>
    <mergeCell ref="EU57:EX57"/>
    <mergeCell ref="IA104:ID104"/>
    <mergeCell ref="CA47:CD47"/>
    <mergeCell ref="HW68:HZ68"/>
    <mergeCell ref="DG49:DJ49"/>
    <mergeCell ref="FK65:FN65"/>
    <mergeCell ref="GU57:GX57"/>
    <mergeCell ref="HO64:HR64"/>
    <mergeCell ref="P76:S76"/>
    <mergeCell ref="EY55:FB55"/>
    <mergeCell ref="AM97:AP97"/>
    <mergeCell ref="BW103:BZ103"/>
    <mergeCell ref="EA90:ED90"/>
    <mergeCell ref="BS91:BV91"/>
    <mergeCell ref="AP9:AQ9"/>
    <mergeCell ref="AP8:AQ8"/>
    <mergeCell ref="AN8:AO8"/>
    <mergeCell ref="BG107:BJ107"/>
    <mergeCell ref="EM86:EP86"/>
    <mergeCell ref="CQ60:CT60"/>
    <mergeCell ref="T83:U83"/>
    <mergeCell ref="X12:Y12"/>
    <mergeCell ref="R12:S12"/>
    <mergeCell ref="EM104:EP104"/>
    <mergeCell ref="FW67:FZ67"/>
    <mergeCell ref="HK95:HN95"/>
    <mergeCell ref="FW71:FZ71"/>
    <mergeCell ref="GM88:GP88"/>
    <mergeCell ref="AI104:AL104"/>
    <mergeCell ref="JK95:JN95"/>
    <mergeCell ref="IE109:IH109"/>
    <mergeCell ref="KA99:KD99"/>
    <mergeCell ref="C96:F96"/>
    <mergeCell ref="P84:S84"/>
    <mergeCell ref="HG70:HJ70"/>
    <mergeCell ref="EU48:EX48"/>
    <mergeCell ref="DC68:DF68"/>
    <mergeCell ref="JO61:JR61"/>
    <mergeCell ref="EQ64:ET64"/>
    <mergeCell ref="CE69:CH69"/>
    <mergeCell ref="KQ95:KT95"/>
    <mergeCell ref="GA85:GD85"/>
    <mergeCell ref="II104:IL104"/>
    <mergeCell ref="HK89:HN89"/>
    <mergeCell ref="GA87:GD87"/>
    <mergeCell ref="BK94:BN94"/>
    <mergeCell ref="IY78:JB78"/>
    <mergeCell ref="EQ52:ET52"/>
    <mergeCell ref="EU61:EX61"/>
    <mergeCell ref="EM84:EP84"/>
    <mergeCell ref="EM85:EP85"/>
    <mergeCell ref="EY41:FB41"/>
    <mergeCell ref="GI77:GL77"/>
    <mergeCell ref="JC102:JF102"/>
    <mergeCell ref="FG99:FJ99"/>
    <mergeCell ref="GM103:GP103"/>
    <mergeCell ref="FK92:FN92"/>
    <mergeCell ref="C57:F57"/>
    <mergeCell ref="HS66:HV66"/>
    <mergeCell ref="FC47:FF47"/>
    <mergeCell ref="II55:IL55"/>
    <mergeCell ref="DW45:DZ45"/>
    <mergeCell ref="KI62:KL62"/>
    <mergeCell ref="IU66:IX66"/>
    <mergeCell ref="GU43:GX43"/>
    <mergeCell ref="EQ58:ET58"/>
    <mergeCell ref="EQ71:ET71"/>
    <mergeCell ref="AG89:AH89"/>
    <mergeCell ref="CM102:CP102"/>
    <mergeCell ref="V66:Y66"/>
    <mergeCell ref="G82:H82"/>
    <mergeCell ref="AI86:AL86"/>
    <mergeCell ref="FG104:FJ104"/>
    <mergeCell ref="FG105:FJ105"/>
    <mergeCell ref="BW76:BZ76"/>
    <mergeCell ref="HW102:HZ102"/>
    <mergeCell ref="AY110:BB110"/>
    <mergeCell ref="AG96:AH96"/>
    <mergeCell ref="CU78:CX78"/>
    <mergeCell ref="T71:U71"/>
    <mergeCell ref="EI87:EL87"/>
    <mergeCell ref="AQ89:AT89"/>
    <mergeCell ref="G68:H68"/>
    <mergeCell ref="X32:Y32"/>
    <mergeCell ref="JG44:JJ44"/>
    <mergeCell ref="CQ56:CT56"/>
    <mergeCell ref="HW64:HZ64"/>
    <mergeCell ref="EE51:EH51"/>
    <mergeCell ref="AQ97:AT97"/>
    <mergeCell ref="GQ69:GT69"/>
    <mergeCell ref="DC49:DF49"/>
    <mergeCell ref="EI42:EL42"/>
    <mergeCell ref="IA105:ID105"/>
    <mergeCell ref="FW107:FZ107"/>
    <mergeCell ref="DW99:DZ99"/>
    <mergeCell ref="FK103:FN103"/>
    <mergeCell ref="DW40:DZ40"/>
    <mergeCell ref="HC70:HF70"/>
    <mergeCell ref="AC62:AF62"/>
    <mergeCell ref="AM52:AP52"/>
    <mergeCell ref="AG57:AH57"/>
    <mergeCell ref="CU97:CX97"/>
    <mergeCell ref="HC72:HF72"/>
    <mergeCell ref="EA57:ED57"/>
    <mergeCell ref="JG84:JJ84"/>
    <mergeCell ref="IA83:ID83"/>
    <mergeCell ref="DC51:DF51"/>
    <mergeCell ref="IE46:IH46"/>
    <mergeCell ref="AC80:AF80"/>
    <mergeCell ref="GI63:GL63"/>
    <mergeCell ref="DC81:DF81"/>
    <mergeCell ref="EM87:EP87"/>
    <mergeCell ref="EI59:EL59"/>
    <mergeCell ref="DK80:DN80"/>
    <mergeCell ref="FG68:FJ68"/>
    <mergeCell ref="AG55:AH55"/>
    <mergeCell ref="AC79:AF79"/>
    <mergeCell ref="II48:IL48"/>
    <mergeCell ref="J34:K34"/>
    <mergeCell ref="CU59:CX59"/>
    <mergeCell ref="JC47:JF47"/>
    <mergeCell ref="DS94:DV94"/>
    <mergeCell ref="IU65:IX65"/>
    <mergeCell ref="KM76:KP76"/>
    <mergeCell ref="AH20:AI20"/>
    <mergeCell ref="II41:IL41"/>
    <mergeCell ref="G64:H64"/>
    <mergeCell ref="CM45:CP45"/>
    <mergeCell ref="G71:H71"/>
    <mergeCell ref="AM77:AP77"/>
    <mergeCell ref="AF38:AG38"/>
    <mergeCell ref="D32:E32"/>
    <mergeCell ref="AN29:AO29"/>
    <mergeCell ref="C81:F81"/>
    <mergeCell ref="KI64:KL64"/>
    <mergeCell ref="EA89:ED89"/>
    <mergeCell ref="HS102:HV102"/>
    <mergeCell ref="JS69:JV69"/>
    <mergeCell ref="HG89:HJ89"/>
    <mergeCell ref="KQ94:KT94"/>
    <mergeCell ref="GE78:GH78"/>
    <mergeCell ref="IY85:JB85"/>
    <mergeCell ref="KE90:KH90"/>
    <mergeCell ref="DS102:DV102"/>
    <mergeCell ref="AC89:AF89"/>
    <mergeCell ref="BC57:BF57"/>
    <mergeCell ref="T37:U37"/>
    <mergeCell ref="BW83:BZ83"/>
    <mergeCell ref="AY57:BB57"/>
    <mergeCell ref="CM51:CP51"/>
    <mergeCell ref="X16:Y16"/>
    <mergeCell ref="CY40:DB40"/>
    <mergeCell ref="AG101:AH101"/>
    <mergeCell ref="AC42:AF42"/>
    <mergeCell ref="BG101:BJ101"/>
    <mergeCell ref="BS101:BV101"/>
    <mergeCell ref="DK58:DN58"/>
    <mergeCell ref="JC104:JF104"/>
    <mergeCell ref="JS80:JV80"/>
    <mergeCell ref="CM110:CP110"/>
    <mergeCell ref="IA57:ID57"/>
    <mergeCell ref="DG105:DJ105"/>
    <mergeCell ref="CM82:CP82"/>
    <mergeCell ref="DC85:DF85"/>
    <mergeCell ref="CM62:CP62"/>
    <mergeCell ref="JK106:JN106"/>
    <mergeCell ref="HG69:HJ69"/>
    <mergeCell ref="KI52:KL52"/>
    <mergeCell ref="FS96:FV96"/>
    <mergeCell ref="FC58:FF58"/>
    <mergeCell ref="KE89:KH89"/>
    <mergeCell ref="HS78:HV78"/>
    <mergeCell ref="KA97:KD97"/>
    <mergeCell ref="JK65:JN65"/>
    <mergeCell ref="KI95:KL95"/>
    <mergeCell ref="IY81:JB81"/>
    <mergeCell ref="KA64:KD64"/>
    <mergeCell ref="KM41:KP41"/>
    <mergeCell ref="IU85:IX85"/>
    <mergeCell ref="IA60:ID60"/>
    <mergeCell ref="JG87:JJ87"/>
    <mergeCell ref="JK107:JN107"/>
    <mergeCell ref="KE87:KH87"/>
    <mergeCell ref="JC78:JF78"/>
    <mergeCell ref="JC84:JF84"/>
    <mergeCell ref="KA90:KD90"/>
    <mergeCell ref="KM52:KP52"/>
    <mergeCell ref="KA45:KD45"/>
    <mergeCell ref="KA46:KD46"/>
    <mergeCell ref="IQ54:IT54"/>
    <mergeCell ref="GE106:GH106"/>
    <mergeCell ref="FS85:FV85"/>
    <mergeCell ref="IA68:ID68"/>
    <mergeCell ref="I45:L45"/>
    <mergeCell ref="AU73:AX73"/>
    <mergeCell ref="G47:H47"/>
    <mergeCell ref="I62:L62"/>
    <mergeCell ref="AQ48:AT48"/>
    <mergeCell ref="CI45:CL45"/>
    <mergeCell ref="V82:Y82"/>
    <mergeCell ref="IA75:ID75"/>
    <mergeCell ref="BW100:BZ100"/>
    <mergeCell ref="DO109:DR109"/>
    <mergeCell ref="D35:E35"/>
    <mergeCell ref="GU72:GX72"/>
    <mergeCell ref="EE109:EH109"/>
    <mergeCell ref="P69:S69"/>
    <mergeCell ref="V67:Y67"/>
    <mergeCell ref="DO95:DR95"/>
    <mergeCell ref="AU95:AX95"/>
    <mergeCell ref="BW104:BZ104"/>
    <mergeCell ref="P67:S67"/>
    <mergeCell ref="CU104:CX104"/>
    <mergeCell ref="EY61:FB61"/>
    <mergeCell ref="FC102:FF102"/>
    <mergeCell ref="HO76:HR76"/>
    <mergeCell ref="IQ103:IT103"/>
    <mergeCell ref="IM104:IP104"/>
    <mergeCell ref="GY100:HB100"/>
    <mergeCell ref="IQ98:IT98"/>
    <mergeCell ref="T45:U45"/>
    <mergeCell ref="EA66:ED66"/>
    <mergeCell ref="BC109:BF109"/>
    <mergeCell ref="IY101:JB101"/>
    <mergeCell ref="GM63:GP63"/>
    <mergeCell ref="JO50:JR50"/>
    <mergeCell ref="FG86:FJ86"/>
    <mergeCell ref="AD36:AE36"/>
    <mergeCell ref="GU63:GX63"/>
    <mergeCell ref="DG68:DJ68"/>
    <mergeCell ref="AU76:AX76"/>
    <mergeCell ref="CM77:CP77"/>
    <mergeCell ref="GY41:HB41"/>
    <mergeCell ref="HC83:HF83"/>
    <mergeCell ref="GQ48:GT48"/>
    <mergeCell ref="EM80:EP80"/>
    <mergeCell ref="I97:L97"/>
    <mergeCell ref="CY52:DB52"/>
    <mergeCell ref="BW95:BZ95"/>
    <mergeCell ref="BG97:BJ97"/>
    <mergeCell ref="BS63:BV63"/>
    <mergeCell ref="EQ86:ET86"/>
    <mergeCell ref="IE57:IH57"/>
    <mergeCell ref="FW52:FZ52"/>
    <mergeCell ref="GA71:GD71"/>
    <mergeCell ref="GE58:GH58"/>
    <mergeCell ref="FG76:FJ76"/>
    <mergeCell ref="HW108:HZ108"/>
    <mergeCell ref="CI110:CL110"/>
    <mergeCell ref="R14:S14"/>
    <mergeCell ref="I80:L80"/>
    <mergeCell ref="AF12:AG12"/>
    <mergeCell ref="C68:F68"/>
    <mergeCell ref="IQ80:IT80"/>
    <mergeCell ref="BO88:BR88"/>
    <mergeCell ref="IA76:ID76"/>
    <mergeCell ref="IM79:IP79"/>
    <mergeCell ref="V35:W35"/>
    <mergeCell ref="CA97:CD97"/>
    <mergeCell ref="DO66:DR66"/>
    <mergeCell ref="AC101:AF101"/>
    <mergeCell ref="AL20:AM20"/>
    <mergeCell ref="V23:W23"/>
    <mergeCell ref="L13:M13"/>
    <mergeCell ref="HW65:HZ65"/>
    <mergeCell ref="FO100:FR100"/>
    <mergeCell ref="EI72:EL72"/>
    <mergeCell ref="FC60:FF60"/>
    <mergeCell ref="KA56:KD56"/>
    <mergeCell ref="FC42:FF42"/>
    <mergeCell ref="C72:F72"/>
    <mergeCell ref="CE104:CH104"/>
    <mergeCell ref="EA79:ED79"/>
    <mergeCell ref="JG41:JJ41"/>
    <mergeCell ref="HW70:HZ70"/>
    <mergeCell ref="JK102:JN102"/>
    <mergeCell ref="IM57:IP57"/>
    <mergeCell ref="IQ70:IT70"/>
    <mergeCell ref="AU91:AX91"/>
    <mergeCell ref="CU49:CX49"/>
    <mergeCell ref="EI82:EL82"/>
    <mergeCell ref="KI65:KL65"/>
    <mergeCell ref="II105:IL105"/>
    <mergeCell ref="HK70:HN70"/>
    <mergeCell ref="IM48:IP48"/>
    <mergeCell ref="KE44:KH44"/>
    <mergeCell ref="KI104:KL104"/>
    <mergeCell ref="FG48:FJ48"/>
    <mergeCell ref="CE88:CH88"/>
    <mergeCell ref="BC40:BF40"/>
    <mergeCell ref="HW85:HZ85"/>
    <mergeCell ref="JW55:JZ55"/>
    <mergeCell ref="JG102:JJ102"/>
    <mergeCell ref="JC54:JF54"/>
    <mergeCell ref="JW66:JZ66"/>
    <mergeCell ref="EA86:ED86"/>
    <mergeCell ref="AJ16:AK16"/>
    <mergeCell ref="AC68:AF68"/>
    <mergeCell ref="X17:Y17"/>
    <mergeCell ref="DO49:DR49"/>
    <mergeCell ref="V84:Y84"/>
    <mergeCell ref="BG52:BJ52"/>
    <mergeCell ref="BC50:BF50"/>
    <mergeCell ref="CI52:CL52"/>
    <mergeCell ref="X14:Y14"/>
    <mergeCell ref="P15:Q15"/>
    <mergeCell ref="JS65:JV65"/>
    <mergeCell ref="P54:S54"/>
    <mergeCell ref="FS48:FV48"/>
    <mergeCell ref="FO67:FR67"/>
    <mergeCell ref="IU49:IX49"/>
    <mergeCell ref="IA59:ID59"/>
    <mergeCell ref="IE63:IH63"/>
    <mergeCell ref="IM49:IP49"/>
    <mergeCell ref="EA60:ED60"/>
    <mergeCell ref="HO88:HR88"/>
    <mergeCell ref="CQ75:CT75"/>
    <mergeCell ref="IY108:JB108"/>
    <mergeCell ref="HW104:HZ104"/>
    <mergeCell ref="IQ60:IT60"/>
    <mergeCell ref="DS44:DV44"/>
    <mergeCell ref="BW60:BZ60"/>
    <mergeCell ref="DG62:DJ62"/>
    <mergeCell ref="IE53:IH53"/>
    <mergeCell ref="CQ50:CT50"/>
    <mergeCell ref="L24:M24"/>
    <mergeCell ref="GY67:HB67"/>
    <mergeCell ref="IM53:IP53"/>
    <mergeCell ref="EU106:EX106"/>
    <mergeCell ref="AI82:AL82"/>
    <mergeCell ref="DK51:DN51"/>
    <mergeCell ref="C42:F42"/>
    <mergeCell ref="AN34:AO34"/>
    <mergeCell ref="T43:U43"/>
    <mergeCell ref="C61:F61"/>
    <mergeCell ref="I106:L106"/>
    <mergeCell ref="HW61:HZ61"/>
    <mergeCell ref="FS102:FV102"/>
    <mergeCell ref="JS74:JV74"/>
    <mergeCell ref="EI71:EL71"/>
    <mergeCell ref="IU99:IX99"/>
    <mergeCell ref="G135:N135"/>
    <mergeCell ref="AM90:AP90"/>
    <mergeCell ref="FG101:FJ101"/>
    <mergeCell ref="FO97:FR97"/>
    <mergeCell ref="HG103:HJ103"/>
    <mergeCell ref="KA77:KD77"/>
    <mergeCell ref="CE98:CH98"/>
    <mergeCell ref="T76:U76"/>
    <mergeCell ref="V78:Y78"/>
    <mergeCell ref="CA93:CD93"/>
    <mergeCell ref="CM85:CP85"/>
    <mergeCell ref="KM64:KP64"/>
    <mergeCell ref="JG93:JJ93"/>
    <mergeCell ref="D18:E18"/>
    <mergeCell ref="AQ67:AT67"/>
    <mergeCell ref="AP14:AQ14"/>
    <mergeCell ref="AF16:AG16"/>
    <mergeCell ref="T23:U23"/>
    <mergeCell ref="F22:I22"/>
    <mergeCell ref="IY51:JB51"/>
    <mergeCell ref="FS86:FV86"/>
    <mergeCell ref="EE68:EH68"/>
    <mergeCell ref="IM103:IP103"/>
    <mergeCell ref="GU48:GX48"/>
    <mergeCell ref="HO52:HR52"/>
    <mergeCell ref="GE48:GH48"/>
    <mergeCell ref="HO97:HR97"/>
    <mergeCell ref="IA55:ID55"/>
    <mergeCell ref="EA77:ED77"/>
    <mergeCell ref="GE104:GH104"/>
    <mergeCell ref="FG51:FJ51"/>
    <mergeCell ref="AM82:AP82"/>
    <mergeCell ref="GI52:GL52"/>
    <mergeCell ref="GY58:HB58"/>
    <mergeCell ref="CI86:CL86"/>
    <mergeCell ref="GM51:GP51"/>
    <mergeCell ref="BG71:BJ71"/>
    <mergeCell ref="HS48:HV48"/>
    <mergeCell ref="FC77:FF77"/>
    <mergeCell ref="CQ46:CT46"/>
    <mergeCell ref="CE43:CH43"/>
    <mergeCell ref="FO40:FR40"/>
    <mergeCell ref="DO93:DR93"/>
    <mergeCell ref="JO71:JR71"/>
    <mergeCell ref="FK64:FN64"/>
    <mergeCell ref="FW64:FZ64"/>
    <mergeCell ref="GM73:GP73"/>
    <mergeCell ref="G142:N142"/>
    <mergeCell ref="IY102:JB102"/>
    <mergeCell ref="C93:F93"/>
    <mergeCell ref="C141:D141"/>
    <mergeCell ref="GY81:HB81"/>
    <mergeCell ref="FG89:FJ89"/>
    <mergeCell ref="HW106:HZ106"/>
    <mergeCell ref="GE95:GH95"/>
    <mergeCell ref="GY99:HB99"/>
    <mergeCell ref="FS90:FV90"/>
    <mergeCell ref="EA81:ED81"/>
    <mergeCell ref="EU96:EX96"/>
    <mergeCell ref="DO106:DR106"/>
    <mergeCell ref="GQ81:GT81"/>
    <mergeCell ref="II99:IL99"/>
    <mergeCell ref="CY67:DB67"/>
    <mergeCell ref="HS95:HV95"/>
    <mergeCell ref="G104:H104"/>
    <mergeCell ref="EM61:EP61"/>
    <mergeCell ref="HK100:HN100"/>
    <mergeCell ref="IQ76:IT76"/>
    <mergeCell ref="KM98:KP98"/>
    <mergeCell ref="KA63:KD63"/>
    <mergeCell ref="CY100:DB100"/>
    <mergeCell ref="AU80:AX80"/>
    <mergeCell ref="CY41:DB41"/>
    <mergeCell ref="DS55:DV55"/>
    <mergeCell ref="BG43:BJ43"/>
    <mergeCell ref="CQ69:CT69"/>
    <mergeCell ref="AY82:BB82"/>
    <mergeCell ref="DK63:DN63"/>
    <mergeCell ref="BS83:BV83"/>
    <mergeCell ref="HW54:HZ54"/>
    <mergeCell ref="GE99:GH99"/>
    <mergeCell ref="IU78:IX78"/>
    <mergeCell ref="HW66:HZ66"/>
    <mergeCell ref="HW79:HZ79"/>
    <mergeCell ref="HS77:HV77"/>
    <mergeCell ref="EU84:EX84"/>
    <mergeCell ref="IE61:IH61"/>
    <mergeCell ref="IE100:IH100"/>
    <mergeCell ref="GE44:GH44"/>
    <mergeCell ref="JG78:JJ78"/>
    <mergeCell ref="EY89:FB89"/>
    <mergeCell ref="EQ84:ET84"/>
    <mergeCell ref="DS69:DV69"/>
    <mergeCell ref="EE98:EH98"/>
    <mergeCell ref="D17:E17"/>
    <mergeCell ref="BO80:BR80"/>
    <mergeCell ref="CI43:CL43"/>
    <mergeCell ref="AN15:AO15"/>
    <mergeCell ref="D4:E4"/>
    <mergeCell ref="EM49:EP49"/>
    <mergeCell ref="JK92:JN92"/>
    <mergeCell ref="GQ105:GT105"/>
    <mergeCell ref="JW46:JZ46"/>
    <mergeCell ref="HO73:HR73"/>
    <mergeCell ref="GI44:GL44"/>
    <mergeCell ref="IY88:JB88"/>
    <mergeCell ref="GI76:GL76"/>
    <mergeCell ref="GQ66:GT66"/>
    <mergeCell ref="GE89:GH89"/>
    <mergeCell ref="IU46:IX46"/>
    <mergeCell ref="IA45:ID45"/>
    <mergeCell ref="HW57:HZ57"/>
    <mergeCell ref="II46:IL46"/>
    <mergeCell ref="EA61:ED61"/>
    <mergeCell ref="EY104:FB104"/>
    <mergeCell ref="BG46:BJ46"/>
    <mergeCell ref="P71:S71"/>
    <mergeCell ref="EY42:FB42"/>
    <mergeCell ref="IQ85:IT85"/>
    <mergeCell ref="IU71:IX71"/>
    <mergeCell ref="EQ101:ET101"/>
    <mergeCell ref="CA73:CD73"/>
    <mergeCell ref="F19:I19"/>
    <mergeCell ref="G89:H89"/>
    <mergeCell ref="L18:M18"/>
    <mergeCell ref="P19:Q19"/>
    <mergeCell ref="AG68:AH68"/>
    <mergeCell ref="DS51:DV51"/>
    <mergeCell ref="AH23:AI23"/>
    <mergeCell ref="Z30:AC30"/>
    <mergeCell ref="T40:U40"/>
    <mergeCell ref="BO58:BR58"/>
    <mergeCell ref="BK55:BN55"/>
    <mergeCell ref="KQ69:KT69"/>
    <mergeCell ref="GU51:GX51"/>
    <mergeCell ref="EY81:FB81"/>
    <mergeCell ref="IU40:IX40"/>
    <mergeCell ref="KQ99:KT99"/>
    <mergeCell ref="GI102:GL102"/>
    <mergeCell ref="KA106:KD106"/>
    <mergeCell ref="Z35:AC35"/>
    <mergeCell ref="BC95:BF95"/>
    <mergeCell ref="BK47:BN47"/>
    <mergeCell ref="AJ35:AK35"/>
    <mergeCell ref="AI78:AL78"/>
    <mergeCell ref="EI85:EL85"/>
    <mergeCell ref="J22:K22"/>
    <mergeCell ref="CI54:CL54"/>
    <mergeCell ref="AI87:AL87"/>
    <mergeCell ref="CE76:CH76"/>
    <mergeCell ref="AF34:AG34"/>
    <mergeCell ref="AM95:AP95"/>
    <mergeCell ref="AP31:AQ31"/>
    <mergeCell ref="CA110:CD110"/>
    <mergeCell ref="EI110:EL110"/>
    <mergeCell ref="GM55:GP55"/>
    <mergeCell ref="X23:Y23"/>
    <mergeCell ref="AF22:AG22"/>
    <mergeCell ref="HO42:HR42"/>
    <mergeCell ref="I42:L42"/>
    <mergeCell ref="BG80:BJ80"/>
    <mergeCell ref="AI107:AL107"/>
    <mergeCell ref="AY40:BB40"/>
    <mergeCell ref="AG106:AH106"/>
    <mergeCell ref="V96:Y96"/>
    <mergeCell ref="G59:H59"/>
    <mergeCell ref="EY85:FB85"/>
    <mergeCell ref="JK54:JN54"/>
    <mergeCell ref="IY104:JB104"/>
    <mergeCell ref="KE92:KH92"/>
    <mergeCell ref="IQ53:IT53"/>
    <mergeCell ref="CE86:CH86"/>
    <mergeCell ref="GU58:GX58"/>
    <mergeCell ref="EA45:ED45"/>
    <mergeCell ref="GY62:HB62"/>
    <mergeCell ref="BW52:BZ52"/>
    <mergeCell ref="BG58:BJ58"/>
    <mergeCell ref="DC50:DF50"/>
    <mergeCell ref="HG52:HJ52"/>
    <mergeCell ref="EQ79:ET79"/>
    <mergeCell ref="DO59:DR59"/>
    <mergeCell ref="FS67:FV67"/>
    <mergeCell ref="GE61:GH61"/>
    <mergeCell ref="V46:Y46"/>
    <mergeCell ref="FK90:FN90"/>
    <mergeCell ref="BC68:BF68"/>
    <mergeCell ref="AM100:AP100"/>
    <mergeCell ref="CA64:CD64"/>
    <mergeCell ref="AI85:AL85"/>
    <mergeCell ref="EM74:EP74"/>
    <mergeCell ref="GA56:GD56"/>
    <mergeCell ref="IU89:IX89"/>
    <mergeCell ref="HW83:HZ83"/>
    <mergeCell ref="HC86:HF86"/>
    <mergeCell ref="EU44:EX44"/>
    <mergeCell ref="GY53:HB53"/>
    <mergeCell ref="EE43:EH43"/>
    <mergeCell ref="EI40:EL40"/>
    <mergeCell ref="BG108:BJ108"/>
    <mergeCell ref="C53:F53"/>
    <mergeCell ref="AN36:AO36"/>
    <mergeCell ref="JS50:JV50"/>
    <mergeCell ref="HC71:HF71"/>
    <mergeCell ref="IM93:IP93"/>
    <mergeCell ref="JG72:JJ72"/>
    <mergeCell ref="D29:E29"/>
    <mergeCell ref="DW82:DZ82"/>
    <mergeCell ref="CI98:CL98"/>
    <mergeCell ref="X27:Y27"/>
    <mergeCell ref="FK88:FN88"/>
    <mergeCell ref="KE53:KH53"/>
    <mergeCell ref="KE110:KH110"/>
    <mergeCell ref="IQ43:IT43"/>
    <mergeCell ref="KM94:KP94"/>
    <mergeCell ref="C100:F100"/>
    <mergeCell ref="GE93:GH93"/>
    <mergeCell ref="HC105:HF105"/>
    <mergeCell ref="HO96:HR96"/>
    <mergeCell ref="GI106:GL106"/>
    <mergeCell ref="DG83:DJ83"/>
    <mergeCell ref="AC75:AF75"/>
    <mergeCell ref="T107:U107"/>
    <mergeCell ref="JK64:JN64"/>
    <mergeCell ref="GI45:GL45"/>
    <mergeCell ref="BS57:BV57"/>
    <mergeCell ref="AQ57:AT57"/>
    <mergeCell ref="D36:E36"/>
    <mergeCell ref="AD38:AE38"/>
    <mergeCell ref="P16:Q16"/>
    <mergeCell ref="KA54:KD54"/>
    <mergeCell ref="FW78:FZ78"/>
    <mergeCell ref="DC69:DF69"/>
    <mergeCell ref="HO95:HR95"/>
    <mergeCell ref="JW51:JZ51"/>
    <mergeCell ref="IM71:IP71"/>
    <mergeCell ref="DW59:DZ59"/>
    <mergeCell ref="GU45:GX45"/>
    <mergeCell ref="CY42:DB42"/>
    <mergeCell ref="FW77:FZ77"/>
    <mergeCell ref="CU45:CX45"/>
    <mergeCell ref="IE58:IH58"/>
    <mergeCell ref="FC82:FF82"/>
    <mergeCell ref="HK91:HN91"/>
    <mergeCell ref="KM40:KP40"/>
    <mergeCell ref="FO83:FR83"/>
    <mergeCell ref="KQ96:KT96"/>
    <mergeCell ref="KQ109:KT109"/>
    <mergeCell ref="BG54:BJ54"/>
    <mergeCell ref="V91:Y91"/>
    <mergeCell ref="AC44:AF44"/>
    <mergeCell ref="BC83:BF83"/>
    <mergeCell ref="AG86:AH86"/>
    <mergeCell ref="BO73:BR73"/>
    <mergeCell ref="AG105:AH105"/>
    <mergeCell ref="EE103:EH103"/>
    <mergeCell ref="DG42:DJ42"/>
    <mergeCell ref="AG88:AH88"/>
    <mergeCell ref="V37:W37"/>
    <mergeCell ref="BS100:BV100"/>
    <mergeCell ref="CA104:CD104"/>
    <mergeCell ref="I87:L87"/>
    <mergeCell ref="AQ46:AT46"/>
    <mergeCell ref="BG82:BJ82"/>
    <mergeCell ref="V42:Y42"/>
    <mergeCell ref="DS72:DV72"/>
    <mergeCell ref="CU81:CX81"/>
    <mergeCell ref="JK78:JN78"/>
    <mergeCell ref="FS47:FV47"/>
    <mergeCell ref="EU74:EX74"/>
    <mergeCell ref="KE48:KH48"/>
    <mergeCell ref="JO105:JR105"/>
    <mergeCell ref="GQ98:GT98"/>
    <mergeCell ref="EU43:EX43"/>
    <mergeCell ref="JO69:JR69"/>
    <mergeCell ref="GU77:GX77"/>
    <mergeCell ref="GQ67:GT67"/>
    <mergeCell ref="IM55:IP55"/>
    <mergeCell ref="KI80:KL80"/>
    <mergeCell ref="KQ85:KT85"/>
    <mergeCell ref="FW62:FZ62"/>
    <mergeCell ref="JK44:JN44"/>
    <mergeCell ref="EU82:EX82"/>
    <mergeCell ref="JG94:JJ94"/>
    <mergeCell ref="FG60:FJ60"/>
    <mergeCell ref="EY108:FB108"/>
    <mergeCell ref="KA87:KD87"/>
    <mergeCell ref="FG65:FJ65"/>
    <mergeCell ref="FW65:FZ65"/>
    <mergeCell ref="EA76:ED76"/>
    <mergeCell ref="BS106:BV106"/>
    <mergeCell ref="F21:I21"/>
    <mergeCell ref="CQ42:CT42"/>
    <mergeCell ref="T99:U99"/>
    <mergeCell ref="CI61:CL61"/>
    <mergeCell ref="AH38:AI38"/>
    <mergeCell ref="DG86:DJ86"/>
    <mergeCell ref="T49:U49"/>
    <mergeCell ref="AL28:AM28"/>
    <mergeCell ref="AH29:AI29"/>
    <mergeCell ref="X19:Y19"/>
    <mergeCell ref="JK45:JN45"/>
    <mergeCell ref="HO91:HR91"/>
    <mergeCell ref="GU61:GX61"/>
    <mergeCell ref="JG59:JJ59"/>
    <mergeCell ref="JC60:JF60"/>
    <mergeCell ref="IY73:JB73"/>
    <mergeCell ref="JG98:JJ98"/>
    <mergeCell ref="D33:E33"/>
    <mergeCell ref="BO72:BR72"/>
    <mergeCell ref="P97:S97"/>
    <mergeCell ref="G148:N148"/>
    <mergeCell ref="E150:F150"/>
    <mergeCell ref="JG106:JJ106"/>
    <mergeCell ref="EM79:EP79"/>
    <mergeCell ref="IU64:IX64"/>
    <mergeCell ref="HG55:HJ55"/>
    <mergeCell ref="DS68:DV68"/>
    <mergeCell ref="IU94:IX94"/>
    <mergeCell ref="IE55:IH55"/>
    <mergeCell ref="IE75:IH75"/>
    <mergeCell ref="FC94:FF94"/>
    <mergeCell ref="HO105:HR105"/>
    <mergeCell ref="BC92:BF92"/>
    <mergeCell ref="AC107:AF107"/>
    <mergeCell ref="HC53:HF53"/>
    <mergeCell ref="HS99:HV99"/>
    <mergeCell ref="GE77:GH77"/>
    <mergeCell ref="GI41:GL41"/>
    <mergeCell ref="GU89:GX89"/>
    <mergeCell ref="HK83:HN83"/>
    <mergeCell ref="GE43:GH43"/>
    <mergeCell ref="JC67:JF67"/>
    <mergeCell ref="BW97:BZ97"/>
    <mergeCell ref="EU103:EX103"/>
    <mergeCell ref="IA74:ID74"/>
    <mergeCell ref="AQ55:AT55"/>
    <mergeCell ref="FS46:FV46"/>
    <mergeCell ref="EM73:EP73"/>
    <mergeCell ref="AG47:AH47"/>
    <mergeCell ref="CU57:CX57"/>
    <mergeCell ref="BO59:BR59"/>
    <mergeCell ref="CA60:CD60"/>
    <mergeCell ref="DS93:DV93"/>
    <mergeCell ref="AD14:AE14"/>
    <mergeCell ref="AP10:AQ10"/>
    <mergeCell ref="AN14:AO14"/>
    <mergeCell ref="AH30:AI30"/>
    <mergeCell ref="AI84:AL84"/>
    <mergeCell ref="Z5:AC5"/>
    <mergeCell ref="EY106:FB106"/>
    <mergeCell ref="CE87:CH87"/>
    <mergeCell ref="BK105:BN105"/>
    <mergeCell ref="BS102:BV102"/>
    <mergeCell ref="CA98:CD98"/>
    <mergeCell ref="CE92:CH92"/>
    <mergeCell ref="FK105:FN105"/>
    <mergeCell ref="GM46:GP46"/>
    <mergeCell ref="IM78:IP78"/>
    <mergeCell ref="AH5:AI5"/>
    <mergeCell ref="DG104:DJ104"/>
    <mergeCell ref="DK49:DN49"/>
    <mergeCell ref="AF5:AG5"/>
    <mergeCell ref="HO40:HR40"/>
    <mergeCell ref="JS104:JV104"/>
    <mergeCell ref="IY65:JB65"/>
    <mergeCell ref="FC45:FF45"/>
    <mergeCell ref="FK71:FN71"/>
    <mergeCell ref="BO93:BR93"/>
    <mergeCell ref="AI58:AL58"/>
    <mergeCell ref="GM59:GP59"/>
    <mergeCell ref="I73:L73"/>
    <mergeCell ref="EQ42:ET42"/>
    <mergeCell ref="CA94:CD94"/>
    <mergeCell ref="G58:H58"/>
    <mergeCell ref="AU47:AX47"/>
    <mergeCell ref="D37:E37"/>
    <mergeCell ref="L37:M37"/>
    <mergeCell ref="R29:S29"/>
    <mergeCell ref="L30:M30"/>
    <mergeCell ref="DK76:DN76"/>
    <mergeCell ref="JK62:JN62"/>
    <mergeCell ref="IQ94:IT94"/>
    <mergeCell ref="KE67:KH67"/>
    <mergeCell ref="IY103:JB103"/>
    <mergeCell ref="GU41:GX41"/>
    <mergeCell ref="JO49:JR49"/>
    <mergeCell ref="KM53:KP53"/>
    <mergeCell ref="KE100:KH100"/>
    <mergeCell ref="JS91:JV91"/>
    <mergeCell ref="BO47:BR47"/>
    <mergeCell ref="HW73:HZ73"/>
    <mergeCell ref="AQ60:AT60"/>
    <mergeCell ref="IE42:IH42"/>
    <mergeCell ref="GQ74:GT74"/>
    <mergeCell ref="AG60:AH60"/>
    <mergeCell ref="AD30:AE30"/>
    <mergeCell ref="CI109:CL109"/>
    <mergeCell ref="FG98:FJ98"/>
    <mergeCell ref="AI89:AL89"/>
    <mergeCell ref="BO102:BR102"/>
    <mergeCell ref="CU105:CX105"/>
    <mergeCell ref="AQ87:AT87"/>
    <mergeCell ref="T38:U38"/>
    <mergeCell ref="JC45:JF45"/>
    <mergeCell ref="FS99:FV99"/>
    <mergeCell ref="GY101:HB101"/>
    <mergeCell ref="FS41:FV41"/>
    <mergeCell ref="JK73:JN73"/>
    <mergeCell ref="DS46:DV46"/>
    <mergeCell ref="IY77:JB77"/>
    <mergeCell ref="AY91:BB91"/>
    <mergeCell ref="GY98:HB98"/>
    <mergeCell ref="CY93:DB93"/>
    <mergeCell ref="IY100:JB100"/>
    <mergeCell ref="EE99:EH99"/>
    <mergeCell ref="CE97:CH97"/>
    <mergeCell ref="FC72:FF72"/>
    <mergeCell ref="HG97:HJ97"/>
    <mergeCell ref="AG82:AH82"/>
    <mergeCell ref="AQ85:AT85"/>
    <mergeCell ref="CE71:CH71"/>
    <mergeCell ref="EM76:EP76"/>
    <mergeCell ref="HG80:HJ80"/>
    <mergeCell ref="C106:F106"/>
    <mergeCell ref="EU109:EX109"/>
    <mergeCell ref="BO83:BR83"/>
    <mergeCell ref="GM92:GP92"/>
    <mergeCell ref="AU93:AX93"/>
    <mergeCell ref="BW109:BZ109"/>
    <mergeCell ref="HS61:HV61"/>
    <mergeCell ref="DG92:DJ92"/>
    <mergeCell ref="BG50:BJ50"/>
    <mergeCell ref="EU97:EX97"/>
    <mergeCell ref="C107:F107"/>
    <mergeCell ref="HO84:HR84"/>
    <mergeCell ref="DK78:DN78"/>
    <mergeCell ref="GY45:HB45"/>
    <mergeCell ref="IE96:IH96"/>
    <mergeCell ref="GI100:GL100"/>
    <mergeCell ref="T82:U82"/>
    <mergeCell ref="FS105:FV105"/>
    <mergeCell ref="V103:Y103"/>
    <mergeCell ref="J25:K25"/>
    <mergeCell ref="N5:O5"/>
    <mergeCell ref="N6:O6"/>
    <mergeCell ref="J5:K5"/>
    <mergeCell ref="DC41:DF41"/>
    <mergeCell ref="HK77:HN77"/>
    <mergeCell ref="EY59:FB59"/>
    <mergeCell ref="EQ55:ET55"/>
    <mergeCell ref="GY42:HB42"/>
    <mergeCell ref="DG58:DJ58"/>
    <mergeCell ref="EQ100:ET100"/>
    <mergeCell ref="EQ91:ET91"/>
    <mergeCell ref="IY99:JB99"/>
    <mergeCell ref="GU80:GX80"/>
    <mergeCell ref="GY102:HB102"/>
    <mergeCell ref="HW94:HZ94"/>
    <mergeCell ref="HO93:HR93"/>
    <mergeCell ref="HK80:HN80"/>
    <mergeCell ref="HW93:HZ93"/>
    <mergeCell ref="BC104:BF104"/>
    <mergeCell ref="DW78:DZ78"/>
    <mergeCell ref="CM106:CP106"/>
    <mergeCell ref="GA40:GD40"/>
    <mergeCell ref="I66:L66"/>
    <mergeCell ref="AC47:AF47"/>
    <mergeCell ref="DS53:DV53"/>
    <mergeCell ref="DG56:DJ56"/>
    <mergeCell ref="FG59:FJ59"/>
    <mergeCell ref="I54:L54"/>
    <mergeCell ref="HK42:HN42"/>
    <mergeCell ref="KM82:KP82"/>
    <mergeCell ref="GI103:GL103"/>
    <mergeCell ref="AG53:AH53"/>
    <mergeCell ref="DW105:DZ105"/>
    <mergeCell ref="FS53:FV53"/>
    <mergeCell ref="V95:Y95"/>
    <mergeCell ref="GQ47:GT47"/>
    <mergeCell ref="IM85:IP85"/>
    <mergeCell ref="JG64:JJ64"/>
    <mergeCell ref="HK75:HN75"/>
    <mergeCell ref="HS69:HV69"/>
    <mergeCell ref="HS83:HV83"/>
    <mergeCell ref="GY65:HB65"/>
    <mergeCell ref="IY60:JB60"/>
    <mergeCell ref="JS94:JV94"/>
    <mergeCell ref="GI57:GL57"/>
    <mergeCell ref="CA46:CD46"/>
    <mergeCell ref="FW51:FZ51"/>
    <mergeCell ref="CQ64:CT64"/>
    <mergeCell ref="CE61:CH61"/>
    <mergeCell ref="CE52:CH52"/>
    <mergeCell ref="JK50:JN50"/>
    <mergeCell ref="DG75:DJ75"/>
    <mergeCell ref="DC62:DF62"/>
    <mergeCell ref="T78:U78"/>
    <mergeCell ref="FO57:FR57"/>
    <mergeCell ref="AG45:AH45"/>
    <mergeCell ref="I75:L75"/>
    <mergeCell ref="I79:L79"/>
    <mergeCell ref="HK87:HN87"/>
    <mergeCell ref="KE62:KH62"/>
    <mergeCell ref="IQ50:IT50"/>
    <mergeCell ref="II95:IL95"/>
    <mergeCell ref="JK63:JN63"/>
    <mergeCell ref="JG74:JJ74"/>
    <mergeCell ref="IU87:IX87"/>
    <mergeCell ref="FG94:FJ94"/>
    <mergeCell ref="FO105:FR105"/>
    <mergeCell ref="AG93:AH93"/>
    <mergeCell ref="DW65:DZ65"/>
    <mergeCell ref="BO107:BR107"/>
    <mergeCell ref="EU73:EX73"/>
    <mergeCell ref="II73:IL73"/>
    <mergeCell ref="CM46:CP46"/>
    <mergeCell ref="BO64:BR64"/>
    <mergeCell ref="EY40:FB40"/>
    <mergeCell ref="CM53:CP53"/>
    <mergeCell ref="KA51:KD51"/>
    <mergeCell ref="GQ76:GT76"/>
    <mergeCell ref="KM92:KP92"/>
    <mergeCell ref="T58:U58"/>
    <mergeCell ref="CM103:CP103"/>
    <mergeCell ref="CQ87:CT87"/>
    <mergeCell ref="BS104:BV104"/>
    <mergeCell ref="AM103:AP103"/>
    <mergeCell ref="CY106:DB106"/>
    <mergeCell ref="CY101:DB101"/>
    <mergeCell ref="DK83:DN83"/>
    <mergeCell ref="C54:F54"/>
    <mergeCell ref="P104:S104"/>
    <mergeCell ref="FC44:FF44"/>
    <mergeCell ref="IU57:IX57"/>
    <mergeCell ref="EU101:EX101"/>
    <mergeCell ref="EM97:EP97"/>
    <mergeCell ref="EU46:EX46"/>
    <mergeCell ref="FC52:FF52"/>
    <mergeCell ref="IY47:JB47"/>
    <mergeCell ref="JO67:JR67"/>
    <mergeCell ref="EU105:EX105"/>
    <mergeCell ref="GU107:GX107"/>
    <mergeCell ref="JG105:JJ105"/>
    <mergeCell ref="EQ106:ET106"/>
    <mergeCell ref="IU70:IX70"/>
    <mergeCell ref="EI53:EL53"/>
    <mergeCell ref="IE91:IH91"/>
    <mergeCell ref="FG67:FJ67"/>
    <mergeCell ref="GQ59:GT59"/>
    <mergeCell ref="IA81:ID81"/>
    <mergeCell ref="HK69:HN69"/>
    <mergeCell ref="GY69:HB69"/>
    <mergeCell ref="GQ86:GT86"/>
    <mergeCell ref="EU68:EX68"/>
    <mergeCell ref="HS88:HV88"/>
    <mergeCell ref="IY63:JB63"/>
    <mergeCell ref="EM68:EP68"/>
    <mergeCell ref="BW70:BZ70"/>
    <mergeCell ref="F25:G25"/>
    <mergeCell ref="C84:F84"/>
    <mergeCell ref="V26:W26"/>
    <mergeCell ref="P42:S42"/>
    <mergeCell ref="D23:E23"/>
    <mergeCell ref="D22:E22"/>
    <mergeCell ref="CE65:CH65"/>
    <mergeCell ref="V97:Y97"/>
    <mergeCell ref="C65:F65"/>
    <mergeCell ref="KQ54:KT54"/>
    <mergeCell ref="IM100:IP100"/>
    <mergeCell ref="IE78:IH78"/>
    <mergeCell ref="KI88:KL88"/>
    <mergeCell ref="O143:V143"/>
    <mergeCell ref="CM92:CP92"/>
    <mergeCell ref="AY66:BB66"/>
    <mergeCell ref="EE91:EH91"/>
    <mergeCell ref="N153:Q153"/>
    <mergeCell ref="R153:W153"/>
    <mergeCell ref="AD33:AE33"/>
    <mergeCell ref="BK102:BN102"/>
    <mergeCell ref="V87:Y87"/>
    <mergeCell ref="J32:K32"/>
    <mergeCell ref="AU66:AX66"/>
    <mergeCell ref="AY44:BB44"/>
    <mergeCell ref="BC54:BF54"/>
    <mergeCell ref="AD27:AE27"/>
    <mergeCell ref="GY87:HB87"/>
    <mergeCell ref="EI50:EL50"/>
    <mergeCell ref="DS66:DV66"/>
    <mergeCell ref="KM61:KP61"/>
    <mergeCell ref="EQ68:ET68"/>
    <mergeCell ref="KQ41:KT41"/>
    <mergeCell ref="EE53:EH53"/>
    <mergeCell ref="IU42:IX42"/>
    <mergeCell ref="HC56:HF56"/>
    <mergeCell ref="KE64:KH64"/>
    <mergeCell ref="KQ40:KT40"/>
    <mergeCell ref="GU74:GX74"/>
    <mergeCell ref="DO44:DR44"/>
    <mergeCell ref="JS109:JV109"/>
    <mergeCell ref="GY74:HB74"/>
    <mergeCell ref="GI98:GL98"/>
    <mergeCell ref="IE73:IH73"/>
    <mergeCell ref="IE89:IH89"/>
    <mergeCell ref="GM81:GP81"/>
    <mergeCell ref="KI105:KL105"/>
    <mergeCell ref="EE82:EH82"/>
    <mergeCell ref="V159:W159"/>
    <mergeCell ref="BS107:BV107"/>
    <mergeCell ref="P45:S45"/>
    <mergeCell ref="CI53:CL53"/>
    <mergeCell ref="T42:U42"/>
    <mergeCell ref="V63:Y63"/>
    <mergeCell ref="AC103:AF103"/>
    <mergeCell ref="EI62:EL62"/>
    <mergeCell ref="C159:G159"/>
    <mergeCell ref="X153:AA153"/>
    <mergeCell ref="AK156:AL156"/>
    <mergeCell ref="BS59:BV59"/>
    <mergeCell ref="C155:G155"/>
    <mergeCell ref="N158:Q158"/>
    <mergeCell ref="V156:W156"/>
    <mergeCell ref="AK159:AL159"/>
    <mergeCell ref="AH153:AJ153"/>
    <mergeCell ref="AF159:AG159"/>
    <mergeCell ref="T156:U156"/>
    <mergeCell ref="AH158:AJ158"/>
    <mergeCell ref="AH159:AJ159"/>
    <mergeCell ref="AM159:AO159"/>
    <mergeCell ref="H158:M158"/>
    <mergeCell ref="AD156:AE156"/>
    <mergeCell ref="AM158:AO158"/>
    <mergeCell ref="R158:S158"/>
    <mergeCell ref="R156:S156"/>
    <mergeCell ref="H156:M156"/>
    <mergeCell ref="AD159:AE159"/>
    <mergeCell ref="AH156:AJ156"/>
    <mergeCell ref="AF158:AG158"/>
    <mergeCell ref="AB158:AC158"/>
    <mergeCell ref="AB159:AC159"/>
    <mergeCell ref="C158:G158"/>
    <mergeCell ref="CU88:CX88"/>
    <mergeCell ref="V25:W25"/>
    <mergeCell ref="P88:S88"/>
    <mergeCell ref="FC46:FF46"/>
    <mergeCell ref="HC102:HF102"/>
    <mergeCell ref="JO47:JR47"/>
    <mergeCell ref="FK104:FN104"/>
    <mergeCell ref="HO71:HR71"/>
    <mergeCell ref="JG86:JJ86"/>
    <mergeCell ref="EM90:EP90"/>
    <mergeCell ref="IE66:IH66"/>
    <mergeCell ref="FG96:FJ96"/>
    <mergeCell ref="IM102:IP102"/>
    <mergeCell ref="IQ81:IT81"/>
    <mergeCell ref="GU75:GX75"/>
    <mergeCell ref="BW92:BZ92"/>
    <mergeCell ref="D30:E30"/>
    <mergeCell ref="N24:O24"/>
    <mergeCell ref="L22:M22"/>
    <mergeCell ref="AJ33:AK33"/>
    <mergeCell ref="AP24:AQ24"/>
    <mergeCell ref="AH24:AI24"/>
    <mergeCell ref="T31:U31"/>
    <mergeCell ref="X28:Y28"/>
    <mergeCell ref="D26:E26"/>
    <mergeCell ref="C85:F85"/>
    <mergeCell ref="CQ52:CT52"/>
    <mergeCell ref="T36:U36"/>
    <mergeCell ref="EM63:EP63"/>
    <mergeCell ref="DW42:DZ42"/>
    <mergeCell ref="KM104:KP104"/>
    <mergeCell ref="HC73:HF73"/>
    <mergeCell ref="JK110:JN110"/>
    <mergeCell ref="II108:IL108"/>
    <mergeCell ref="HS104:HV104"/>
    <mergeCell ref="FW92:FZ92"/>
    <mergeCell ref="EM101:EP101"/>
    <mergeCell ref="EM109:EP109"/>
    <mergeCell ref="KQ110:KT110"/>
    <mergeCell ref="HG90:HJ90"/>
    <mergeCell ref="JG63:JJ63"/>
    <mergeCell ref="V33:W33"/>
    <mergeCell ref="BS81:BV81"/>
    <mergeCell ref="P100:S100"/>
    <mergeCell ref="C3:AR3"/>
    <mergeCell ref="L20:M20"/>
    <mergeCell ref="EE48:EH48"/>
    <mergeCell ref="AI77:AL77"/>
    <mergeCell ref="EU83:EX83"/>
    <mergeCell ref="DO101:DR101"/>
    <mergeCell ref="II43:IL43"/>
    <mergeCell ref="AL4:AQ4"/>
    <mergeCell ref="P12:Q12"/>
    <mergeCell ref="AD13:AE13"/>
    <mergeCell ref="N4:O4"/>
    <mergeCell ref="X5:Y5"/>
    <mergeCell ref="CU93:CX93"/>
    <mergeCell ref="J4:K4"/>
    <mergeCell ref="DO84:DR84"/>
    <mergeCell ref="AM53:AP53"/>
    <mergeCell ref="I95:L95"/>
    <mergeCell ref="CE49:CH49"/>
    <mergeCell ref="CQ90:CT90"/>
    <mergeCell ref="AU82:AX82"/>
    <mergeCell ref="V53:Y53"/>
    <mergeCell ref="G72:H72"/>
    <mergeCell ref="AI62:AL62"/>
    <mergeCell ref="AG67:AH67"/>
    <mergeCell ref="EI96:EL96"/>
    <mergeCell ref="EA58:ED58"/>
    <mergeCell ref="AU65:AX65"/>
    <mergeCell ref="I107:L107"/>
    <mergeCell ref="CQ82:CT82"/>
    <mergeCell ref="AC56:AF56"/>
    <mergeCell ref="C76:F76"/>
    <mergeCell ref="GQ92:GT92"/>
    <mergeCell ref="II44:IL44"/>
    <mergeCell ref="KE70:KH70"/>
    <mergeCell ref="IQ104:IT104"/>
    <mergeCell ref="JW49:JZ49"/>
    <mergeCell ref="HC87:HF87"/>
    <mergeCell ref="JC99:JF99"/>
    <mergeCell ref="JC93:JF93"/>
    <mergeCell ref="HK58:HN58"/>
    <mergeCell ref="GM101:GP101"/>
    <mergeCell ref="FS110:FV110"/>
    <mergeCell ref="AN38:AO38"/>
    <mergeCell ref="DO80:DR80"/>
    <mergeCell ref="C94:F94"/>
    <mergeCell ref="EM47:EP47"/>
    <mergeCell ref="AL36:AM36"/>
    <mergeCell ref="CQ106:CT106"/>
    <mergeCell ref="DK64:DN64"/>
    <mergeCell ref="V86:Y86"/>
    <mergeCell ref="AL35:AM35"/>
    <mergeCell ref="KQ89:KT89"/>
    <mergeCell ref="IA51:ID51"/>
    <mergeCell ref="GQ72:GT72"/>
    <mergeCell ref="IE81:IH81"/>
    <mergeCell ref="FC53:FF53"/>
    <mergeCell ref="EY49:FB49"/>
    <mergeCell ref="JS61:JV61"/>
    <mergeCell ref="KM66:KP66"/>
    <mergeCell ref="DK97:DN97"/>
    <mergeCell ref="G62:H62"/>
    <mergeCell ref="CQ49:CT49"/>
    <mergeCell ref="AQ105:AT105"/>
    <mergeCell ref="DG61:DJ61"/>
    <mergeCell ref="AU64:AX64"/>
    <mergeCell ref="DO48:DR48"/>
    <mergeCell ref="DW75:DZ75"/>
    <mergeCell ref="EY48:FB48"/>
    <mergeCell ref="IQ88:IT88"/>
    <mergeCell ref="GY83:HB83"/>
    <mergeCell ref="GE80:GH80"/>
    <mergeCell ref="IQ71:IT71"/>
    <mergeCell ref="GU106:GX106"/>
    <mergeCell ref="II100:IL100"/>
    <mergeCell ref="FC75:FF75"/>
    <mergeCell ref="GY47:HB47"/>
    <mergeCell ref="IY61:JB61"/>
    <mergeCell ref="HG45:HJ45"/>
  </mergeCells>
  <conditionalFormatting sqref="T6:U6 T7:U7 T8:U8 T9:U9 T10:U10 T11:U11 T12:U12 T13:U13 T14:U14 T15:U15 T16:U16 T17:U17 T18:U18 T19:U19 T20:U20 T21:U21 T22:U22 T23:U23 T24:U24 T25:U25 T26:U26 T27:U27 T28:U28 T29:U29 T30:U30 T31:U31 T32:U32 T33:U33 T34:U34 T35:U35 T36:U36 T37:U37 T38:U38">
    <cfRule type="cellIs" operator="equal" priority="343" dxfId="703">
      <formula>"★"</formula>
    </cfRule>
    <cfRule type="cellIs" operator="equal" priority="341" dxfId="704">
      <formula>"※"</formula>
    </cfRule>
    <cfRule type="cellIs" operator="equal" priority="345" dxfId="705">
      <formula>"⊙"</formula>
    </cfRule>
    <cfRule type="cellIs" operator="equal" priority="342" dxfId="706">
      <formula>"×"</formula>
    </cfRule>
    <cfRule type="cellIs" operator="equal" priority="344" dxfId="707">
      <formula>"☆"</formula>
    </cfRule>
  </conditionalFormatting>
  <conditionalFormatting sqref="Z5:AC5">
    <cfRule type="cellIs" operator="equal" priority="115" dxfId="708">
      <formula>"⊙"</formula>
    </cfRule>
    <cfRule type="cellIs" operator="equal" priority="116" dxfId="709">
      <formula>"×"</formula>
    </cfRule>
    <cfRule type="cellIs" operator="equal" priority="106" dxfId="710">
      <formula>"★"</formula>
    </cfRule>
    <cfRule type="cellIs" operator="equal" priority="97" dxfId="711">
      <formula>"☆"</formula>
    </cfRule>
    <cfRule type="cellIs" operator="equal" priority="144" dxfId="712">
      <formula>"※"</formula>
    </cfRule>
  </conditionalFormatting>
  <conditionalFormatting sqref="F10:G10">
    <cfRule type="cellIs" operator="equal" priority="136" dxfId="713">
      <formula>"⊙"</formula>
    </cfRule>
    <cfRule type="cellIs" operator="equal" priority="137" dxfId="714">
      <formula>"☆"</formula>
    </cfRule>
    <cfRule type="cellIs" operator="equal" priority="138" dxfId="715">
      <formula>"×"</formula>
    </cfRule>
    <cfRule type="cellIs" operator="equal" priority="140" dxfId="716">
      <formula>"※"</formula>
    </cfRule>
    <cfRule type="cellIs" operator="equal" priority="139" dxfId="717">
      <formula>"★"</formula>
    </cfRule>
  </conditionalFormatting>
  <conditionalFormatting sqref="AJ5:AK5">
    <cfRule type="cellIs" operator="equal" priority="133" dxfId="718">
      <formula>"⊙"</formula>
    </cfRule>
    <cfRule type="cellIs" operator="equal" priority="137" dxfId="719">
      <formula>"★"</formula>
    </cfRule>
    <cfRule type="cellIs" operator="equal" priority="126" dxfId="720">
      <formula>"※"</formula>
    </cfRule>
    <cfRule type="cellIs" operator="equal" priority="135" dxfId="721">
      <formula>"×"</formula>
    </cfRule>
    <cfRule type="cellIs" operator="equal" priority="109" dxfId="722">
      <formula>"☆"</formula>
    </cfRule>
  </conditionalFormatting>
  <conditionalFormatting sqref="F35:G35">
    <cfRule type="cellIs" operator="equal" priority="52" dxfId="723">
      <formula>"※"</formula>
    </cfRule>
    <cfRule type="cellIs" operator="equal" priority="64" dxfId="724">
      <formula>"⊙"</formula>
    </cfRule>
    <cfRule type="cellIs" operator="equal" priority="57" dxfId="725">
      <formula>"☆"</formula>
    </cfRule>
    <cfRule type="cellIs" operator="equal" priority="61" dxfId="726">
      <formula>"×"</formula>
    </cfRule>
    <cfRule type="cellIs" operator="equal" priority="54" dxfId="727">
      <formula>"★"</formula>
    </cfRule>
  </conditionalFormatting>
  <conditionalFormatting sqref="R5:S5">
    <cfRule type="cellIs" operator="equal" priority="45" dxfId="728">
      <formula>"★"</formula>
    </cfRule>
    <cfRule type="cellIs" operator="equal" priority="46" dxfId="729">
      <formula>"⊙"</formula>
    </cfRule>
    <cfRule type="cellIs" operator="equal" priority="41" dxfId="730">
      <formula>"☆"</formula>
    </cfRule>
    <cfRule type="cellIs" operator="equal" priority="47" dxfId="731">
      <formula>"※"</formula>
    </cfRule>
    <cfRule type="cellIs" operator="equal" priority="48" dxfId="732">
      <formula>"×"</formula>
    </cfRule>
  </conditionalFormatting>
  <conditionalFormatting sqref="Z16:AA16">
    <cfRule type="cellIs" operator="equal" priority="60" dxfId="733">
      <formula>"☆"</formula>
    </cfRule>
    <cfRule type="cellIs" operator="equal" priority="68" dxfId="734">
      <formula>"★"</formula>
    </cfRule>
    <cfRule type="cellIs" operator="equal" priority="63" dxfId="735">
      <formula>"※"</formula>
    </cfRule>
    <cfRule type="cellIs" operator="equal" priority="62" dxfId="736">
      <formula>"×"</formula>
    </cfRule>
    <cfRule type="cellIs" operator="equal" priority="67" dxfId="737">
      <formula>"⊙"</formula>
    </cfRule>
  </conditionalFormatting>
  <conditionalFormatting sqref="V6:W6 V7:W7 V8:W8 V9:W9 V10:W10 V11:W11 V12:W12 V13:W13 V14:W14 V15:W15 V16:W16 V17:W17 V18:W18 V19:W19 V20:W20 V21:W21 V22:W22 V23:W23 V24:W24 V25:W25 V26:W26 V27:W27 V28:W28 V29:W29 V30:W30 V31:W31 V32:W32 V33:W33 V34:W34 V35:W35 V36:W36 V37:W37 V38:W38">
    <cfRule type="cellIs" operator="equal" priority="350" dxfId="738">
      <formula>"※"</formula>
    </cfRule>
    <cfRule type="cellIs" operator="equal" priority="346" dxfId="739">
      <formula>"★"</formula>
    </cfRule>
    <cfRule type="cellIs" operator="equal" priority="348" dxfId="740">
      <formula>"×"</formula>
    </cfRule>
    <cfRule type="cellIs" operator="equal" priority="347" dxfId="741">
      <formula>"☆"</formula>
    </cfRule>
    <cfRule type="cellIs" operator="equal" priority="349" dxfId="742">
      <formula>"⊙"</formula>
    </cfRule>
  </conditionalFormatting>
  <conditionalFormatting sqref="L5:M5">
    <cfRule type="cellIs" operator="equal" priority="50" dxfId="743">
      <formula>"※"</formula>
    </cfRule>
    <cfRule type="cellIs" operator="equal" priority="43" dxfId="744">
      <formula>"⊙"</formula>
    </cfRule>
    <cfRule type="cellIs" operator="equal" priority="42" dxfId="745">
      <formula>"☆"</formula>
    </cfRule>
    <cfRule type="cellIs" operator="equal" priority="44" dxfId="746">
      <formula>"×"</formula>
    </cfRule>
    <cfRule type="cellIs" operator="equal" priority="49" dxfId="747">
      <formula>"★"</formula>
    </cfRule>
  </conditionalFormatting>
  <conditionalFormatting sqref="Z28:AC28 Z29:AC29 Z30:AC30 Z31:AC31 Z32:AC32 Z33:AC33 Z34:AC34 Z35:AC35">
    <cfRule type="cellIs" operator="equal" priority="295" dxfId="748">
      <formula>"★"</formula>
    </cfRule>
    <cfRule type="cellIs" operator="equal" priority="294" dxfId="749">
      <formula>"※"</formula>
    </cfRule>
    <cfRule type="cellIs" operator="equal" priority="291" dxfId="750">
      <formula>"☆"</formula>
    </cfRule>
    <cfRule type="cellIs" operator="equal" priority="292" dxfId="751">
      <formula>"×"</formula>
    </cfRule>
    <cfRule type="cellIs" operator="equal" priority="293" dxfId="752">
      <formula>"⊙"</formula>
    </cfRule>
  </conditionalFormatting>
  <conditionalFormatting sqref="H23:I23">
    <cfRule type="cellIs" operator="equal" priority="67" dxfId="753">
      <formula>"⊙"</formula>
    </cfRule>
    <cfRule type="cellIs" operator="equal" priority="63" dxfId="754">
      <formula>"※"</formula>
    </cfRule>
    <cfRule type="cellIs" operator="equal" priority="62" dxfId="755">
      <formula>"×"</formula>
    </cfRule>
    <cfRule type="cellIs" operator="equal" priority="60" dxfId="756">
      <formula>"☆"</formula>
    </cfRule>
    <cfRule type="cellIs" operator="equal" priority="68" dxfId="757">
      <formula>"★"</formula>
    </cfRule>
  </conditionalFormatting>
  <conditionalFormatting sqref="H38:I38">
    <cfRule type="cellIs" operator="equal" priority="414" dxfId="758">
      <formula>"☆"</formula>
    </cfRule>
    <cfRule type="cellIs" operator="equal" priority="412" dxfId="759">
      <formula>"×"</formula>
    </cfRule>
    <cfRule type="cellIs" operator="equal" priority="406" dxfId="760">
      <formula>"※"</formula>
    </cfRule>
    <cfRule type="cellIs" operator="equal" priority="411" dxfId="761">
      <formula>"★"</formula>
    </cfRule>
    <cfRule type="cellIs" operator="equal" priority="415" dxfId="762">
      <formula>"⊙"</formula>
    </cfRule>
  </conditionalFormatting>
  <conditionalFormatting sqref="X5:Y5">
    <cfRule type="cellIs" operator="equal" priority="124" dxfId="763">
      <formula>"⊙"</formula>
    </cfRule>
    <cfRule type="cellIs" operator="equal" priority="145" dxfId="764">
      <formula>"★"</formula>
    </cfRule>
    <cfRule type="cellIs" operator="equal" priority="122" dxfId="765">
      <formula>"※"</formula>
    </cfRule>
    <cfRule type="cellIs" operator="equal" priority="105" dxfId="766">
      <formula>"☆"</formula>
    </cfRule>
    <cfRule type="cellIs" operator="equal" priority="104" dxfId="767">
      <formula>"×"</formula>
    </cfRule>
  </conditionalFormatting>
  <conditionalFormatting sqref="Z24:AC24 Z25:AC25">
    <cfRule type="cellIs" operator="equal" priority="261" dxfId="768">
      <formula>"⊙"</formula>
    </cfRule>
    <cfRule type="cellIs" operator="equal" priority="265" dxfId="769">
      <formula>"☆"</formula>
    </cfRule>
    <cfRule type="cellIs" operator="equal" priority="264" dxfId="770">
      <formula>"★"</formula>
    </cfRule>
    <cfRule type="cellIs" operator="equal" priority="263" dxfId="771">
      <formula>"※"</formula>
    </cfRule>
    <cfRule type="cellIs" operator="equal" priority="262" dxfId="772">
      <formula>"×"</formula>
    </cfRule>
  </conditionalFormatting>
  <conditionalFormatting sqref="F26:G26">
    <cfRule type="cellIs" operator="equal" priority="54" dxfId="773">
      <formula>"★"</formula>
    </cfRule>
    <cfRule type="cellIs" operator="equal" priority="61" dxfId="774">
      <formula>"×"</formula>
    </cfRule>
    <cfRule type="cellIs" operator="equal" priority="64" dxfId="775">
      <formula>"⊙"</formula>
    </cfRule>
    <cfRule type="cellIs" operator="equal" priority="57" dxfId="776">
      <formula>"☆"</formula>
    </cfRule>
    <cfRule type="cellIs" operator="equal" priority="52" dxfId="777">
      <formula>"※"</formula>
    </cfRule>
  </conditionalFormatting>
  <conditionalFormatting sqref="F36:G36 F37:G37">
    <cfRule type="cellIs" operator="equal" priority="208" dxfId="778">
      <formula>"×"</formula>
    </cfRule>
    <cfRule type="cellIs" operator="equal" priority="210" dxfId="779">
      <formula>"☆"</formula>
    </cfRule>
    <cfRule type="cellIs" operator="equal" priority="207" dxfId="780">
      <formula>"⊙"</formula>
    </cfRule>
    <cfRule type="cellIs" operator="equal" priority="206" dxfId="781">
      <formula>"※"</formula>
    </cfRule>
    <cfRule type="cellIs" operator="equal" priority="209" dxfId="782">
      <formula>"★"</formula>
    </cfRule>
  </conditionalFormatting>
  <conditionalFormatting sqref="AR5">
    <cfRule type="cellIs" operator="equal" priority="45" dxfId="783">
      <formula>"★"</formula>
    </cfRule>
    <cfRule type="cellIs" operator="equal" priority="41" dxfId="784">
      <formula>"☆"</formula>
    </cfRule>
    <cfRule type="cellIs" operator="equal" priority="47" dxfId="785">
      <formula>"※"</formula>
    </cfRule>
    <cfRule type="cellIs" operator="equal" priority="48" dxfId="786">
      <formula>"×"</formula>
    </cfRule>
    <cfRule type="cellIs" operator="equal" priority="46" dxfId="787">
      <formula>"⊙"</formula>
    </cfRule>
  </conditionalFormatting>
  <conditionalFormatting sqref="H24:I24 H25:I25 H26:I26 H27:I27 H28:I28 H29:I29 H30:I30">
    <cfRule type="cellIs" operator="equal" priority="187" dxfId="788">
      <formula>"★"</formula>
    </cfRule>
    <cfRule type="cellIs" operator="equal" priority="188" dxfId="789">
      <formula>"×"</formula>
    </cfRule>
    <cfRule type="cellIs" operator="equal" priority="189" dxfId="790">
      <formula>"⊙"</formula>
    </cfRule>
    <cfRule type="cellIs" operator="equal" priority="190" dxfId="791">
      <formula>"☆"</formula>
    </cfRule>
    <cfRule type="cellIs" operator="equal" priority="186" dxfId="792">
      <formula>"※"</formula>
    </cfRule>
  </conditionalFormatting>
  <conditionalFormatting sqref="Z23:AC23">
    <cfRule type="cellIs" operator="equal" priority="60" dxfId="793">
      <formula>"☆"</formula>
    </cfRule>
    <cfRule type="cellIs" operator="equal" priority="67" dxfId="794">
      <formula>"⊙"</formula>
    </cfRule>
    <cfRule type="cellIs" operator="equal" priority="62" dxfId="795">
      <formula>"×"</formula>
    </cfRule>
    <cfRule type="cellIs" operator="equal" priority="63" dxfId="796">
      <formula>"※"</formula>
    </cfRule>
    <cfRule type="cellIs" operator="equal" priority="68" dxfId="797">
      <formula>"★"</formula>
    </cfRule>
  </conditionalFormatting>
  <conditionalFormatting sqref="F5:I5">
    <cfRule type="cellIs" operator="equal" priority="45" dxfId="798">
      <formula>"★"</formula>
    </cfRule>
    <cfRule type="cellIs" operator="equal" priority="41" dxfId="799">
      <formula>"☆"</formula>
    </cfRule>
    <cfRule type="cellIs" operator="equal" priority="48" dxfId="800">
      <formula>"×"</formula>
    </cfRule>
    <cfRule type="cellIs" operator="equal" priority="46" dxfId="801">
      <formula>"⊙"</formula>
    </cfRule>
    <cfRule type="cellIs" operator="equal" priority="47" dxfId="802">
      <formula>"※"</formula>
    </cfRule>
  </conditionalFormatting>
  <conditionalFormatting sqref="AB26:AC26">
    <cfRule type="cellIs" operator="equal" priority="57" dxfId="803">
      <formula>"☆"</formula>
    </cfRule>
    <cfRule type="cellIs" operator="equal" priority="64" dxfId="804">
      <formula>"⊙"</formula>
    </cfRule>
    <cfRule type="cellIs" operator="equal" priority="52" dxfId="805">
      <formula>"※"</formula>
    </cfRule>
    <cfRule type="cellIs" operator="equal" priority="54" dxfId="806">
      <formula>"★"</formula>
    </cfRule>
    <cfRule type="cellIs" operator="equal" priority="61" dxfId="807">
      <formula>"×"</formula>
    </cfRule>
  </conditionalFormatting>
  <conditionalFormatting sqref="T5:U5">
    <cfRule type="cellIs" operator="equal" priority="44" dxfId="808">
      <formula>"×"</formula>
    </cfRule>
    <cfRule type="cellIs" operator="equal" priority="50" dxfId="809">
      <formula>"※"</formula>
    </cfRule>
    <cfRule type="cellIs" operator="equal" priority="49" dxfId="810">
      <formula>"★"</formula>
    </cfRule>
    <cfRule type="cellIs" operator="equal" priority="43" dxfId="811">
      <formula>"⊙"</formula>
    </cfRule>
    <cfRule type="cellIs" operator="equal" priority="42" dxfId="812">
      <formula>"☆"</formula>
    </cfRule>
  </conditionalFormatting>
  <conditionalFormatting sqref="F23:G23">
    <cfRule type="cellIs" operator="equal" priority="54" dxfId="813">
      <formula>"★"</formula>
    </cfRule>
    <cfRule type="cellIs" operator="equal" priority="52" dxfId="814">
      <formula>"※"</formula>
    </cfRule>
    <cfRule type="cellIs" operator="equal" priority="64" dxfId="815">
      <formula>"⊙"</formula>
    </cfRule>
    <cfRule type="cellIs" operator="equal" priority="61" dxfId="816">
      <formula>"×"</formula>
    </cfRule>
    <cfRule type="cellIs" operator="equal" priority="57" dxfId="817">
      <formula>"☆"</formula>
    </cfRule>
  </conditionalFormatting>
  <conditionalFormatting sqref="AL5:AM5">
    <cfRule type="cellIs" operator="equal" priority="113" dxfId="818">
      <formula>"⊙"</formula>
    </cfRule>
    <cfRule type="cellIs" operator="equal" priority="125" dxfId="819">
      <formula>"☆"</formula>
    </cfRule>
    <cfRule type="cellIs" operator="equal" priority="132" dxfId="820">
      <formula>"★"</formula>
    </cfRule>
    <cfRule type="cellIs" operator="equal" priority="110" dxfId="821">
      <formula>"※"</formula>
    </cfRule>
    <cfRule type="cellIs" operator="equal" priority="136" dxfId="822">
      <formula>"×"</formula>
    </cfRule>
  </conditionalFormatting>
  <conditionalFormatting sqref="AB16:AC16">
    <cfRule type="cellIs" operator="equal" priority="52" dxfId="823">
      <formula>"※"</formula>
    </cfRule>
    <cfRule type="cellIs" operator="equal" priority="64" dxfId="824">
      <formula>"⊙"</formula>
    </cfRule>
    <cfRule type="cellIs" operator="equal" priority="61" dxfId="825">
      <formula>"×"</formula>
    </cfRule>
    <cfRule type="cellIs" operator="equal" priority="54" dxfId="826">
      <formula>"★"</formula>
    </cfRule>
    <cfRule type="cellIs" operator="equal" priority="57" dxfId="827">
      <formula>"☆"</formula>
    </cfRule>
  </conditionalFormatting>
  <conditionalFormatting sqref="AB21:AC21 AB22:AC22">
    <cfRule type="cellIs" operator="equal" priority="285" dxfId="828">
      <formula>"☆"</formula>
    </cfRule>
    <cfRule type="cellIs" operator="equal" priority="283" dxfId="829">
      <formula>"※"</formula>
    </cfRule>
    <cfRule type="cellIs" operator="equal" priority="281" dxfId="830">
      <formula>"×"</formula>
    </cfRule>
    <cfRule type="cellIs" operator="equal" priority="282" dxfId="831">
      <formula>"⊙"</formula>
    </cfRule>
    <cfRule type="cellIs" operator="equal" priority="284" dxfId="832">
      <formula>"★"</formula>
    </cfRule>
  </conditionalFormatting>
  <conditionalFormatting sqref="N6:O6 N7:O7 N8:O8 N9:O9 N10:O10 N11:O11 N12:O12 N13:O13 N14:O14 N15:O15 N16:O16 N17:O17 N18:O18 N19:O19 N20:O20 N21:O21 N22:O22 N23:O23 N24:O24 N25:O25 N26:O26 N27:O27 N28:O28 N29:O29 N30:O30 N31:O31 N32:O32 N33:O33 N34:O34 N35:O35 N36:O36 N37:O37 N38:O38">
    <cfRule type="cellIs" operator="equal" priority="326" dxfId="833">
      <formula>"⊙"</formula>
    </cfRule>
    <cfRule type="cellIs" operator="equal" priority="329" dxfId="834">
      <formula>"×"</formula>
    </cfRule>
    <cfRule type="cellIs" operator="equal" priority="330" dxfId="835">
      <formula>"☆"</formula>
    </cfRule>
    <cfRule type="cellIs" operator="equal" priority="327" dxfId="836">
      <formula>"※"</formula>
    </cfRule>
    <cfRule type="cellIs" operator="equal" priority="328" dxfId="837">
      <formula>"★"</formula>
    </cfRule>
  </conditionalFormatting>
  <conditionalFormatting sqref="H36:I36 H37:I37">
    <cfRule type="cellIs" operator="equal" priority="204" dxfId="838">
      <formula>"⊙"</formula>
    </cfRule>
    <cfRule type="cellIs" operator="equal" priority="203" dxfId="839">
      <formula>"※"</formula>
    </cfRule>
    <cfRule type="cellIs" operator="equal" priority="205" dxfId="840">
      <formula>"★"</formula>
    </cfRule>
    <cfRule type="cellIs" operator="equal" priority="202" dxfId="841">
      <formula>"×"</formula>
    </cfRule>
    <cfRule type="cellIs" operator="equal" priority="201" dxfId="842">
      <formula>"☆"</formula>
    </cfRule>
  </conditionalFormatting>
  <conditionalFormatting sqref="AD5:AE5">
    <cfRule type="cellIs" operator="equal" priority="107" dxfId="843">
      <formula>"★"</formula>
    </cfRule>
    <cfRule type="cellIs" operator="equal" priority="139" dxfId="844">
      <formula>"※"</formula>
    </cfRule>
    <cfRule type="cellIs" operator="equal" priority="119" dxfId="845">
      <formula>"×"</formula>
    </cfRule>
    <cfRule type="cellIs" operator="equal" priority="118" dxfId="846">
      <formula>"⊙"</formula>
    </cfRule>
    <cfRule type="cellIs" operator="equal" priority="101" dxfId="847">
      <formula>"☆"</formula>
    </cfRule>
  </conditionalFormatting>
  <conditionalFormatting sqref="AR6 AR7 AR8 AR9 AR10 AR11 AR12 AR13 AR14 AR15 AR16 AR17 AR18 AR19 AR20 AR21 AR22 AR23 AR24 AR25 AR26 AR27 AR28 AR29 AR30 AR31 AR32 AR33 AR34 AR35 AR36 AR37 AR38">
    <cfRule type="cellIs" operator="equal" priority="61" dxfId="848">
      <formula>"×"</formula>
    </cfRule>
    <cfRule type="cellIs" operator="equal" priority="54" dxfId="849">
      <formula>"★"</formula>
    </cfRule>
    <cfRule type="cellIs" operator="equal" priority="57" dxfId="850">
      <formula>"☆"</formula>
    </cfRule>
    <cfRule type="cellIs" operator="equal" priority="64" dxfId="851">
      <formula>"⊙"</formula>
    </cfRule>
    <cfRule type="cellIs" operator="equal" priority="52" dxfId="852">
      <formula>"※"</formula>
    </cfRule>
  </conditionalFormatting>
  <conditionalFormatting sqref="F27:G27">
    <cfRule type="cellIs" operator="equal" priority="64" dxfId="853">
      <formula>"⊙"</formula>
    </cfRule>
    <cfRule type="cellIs" operator="equal" priority="52" dxfId="854">
      <formula>"※"</formula>
    </cfRule>
    <cfRule type="cellIs" operator="equal" priority="57" dxfId="855">
      <formula>"☆"</formula>
    </cfRule>
    <cfRule type="cellIs" operator="equal" priority="61" dxfId="856">
      <formula>"×"</formula>
    </cfRule>
    <cfRule type="cellIs" operator="equal" priority="54" dxfId="857">
      <formula>"★"</formula>
    </cfRule>
  </conditionalFormatting>
  <conditionalFormatting sqref="AP6:AQ6 AP7:AQ7 AP8:AQ8 AP9:AQ9 AP10:AQ10 AP11:AQ11 AP12:AQ12 AP13:AQ13 AP14:AQ14 AP15:AQ15 AP16:AQ16 AP17:AQ17 AP18:AQ18 AP19:AQ19 AP20:AQ20 AP21:AQ21 AP22:AQ22 AP23:AQ23 AP24:AQ24 AP25:AQ25 AP26:AQ26 AP27:AQ27 AP28:AQ28 AP29:AQ29 AP30:AQ30 AP31:AQ31 AP32:AQ32 AP33:AQ33 AP34:AQ34 AP35:AQ35 AP36:AQ36 AP37:AQ37 AP38:AQ38">
    <cfRule type="cellIs" operator="equal" priority="395" dxfId="858">
      <formula>"※"</formula>
    </cfRule>
    <cfRule type="cellIs" operator="equal" priority="394" dxfId="859">
      <formula>"⊙"</formula>
    </cfRule>
    <cfRule type="cellIs" operator="equal" priority="392" dxfId="860">
      <formula>"★"</formula>
    </cfRule>
    <cfRule type="cellIs" operator="equal" priority="393" dxfId="861">
      <formula>"×"</formula>
    </cfRule>
    <cfRule type="cellIs" operator="equal" priority="391" dxfId="862">
      <formula>"☆"</formula>
    </cfRule>
  </conditionalFormatting>
  <conditionalFormatting sqref="P5:Q5">
    <cfRule type="cellIs" operator="equal" priority="44" dxfId="863">
      <formula>"×"</formula>
    </cfRule>
    <cfRule type="cellIs" operator="equal" priority="42" dxfId="864">
      <formula>"☆"</formula>
    </cfRule>
    <cfRule type="cellIs" operator="equal" priority="43" dxfId="865">
      <formula>"⊙"</formula>
    </cfRule>
    <cfRule type="cellIs" operator="equal" priority="49" dxfId="866">
      <formula>"★"</formula>
    </cfRule>
    <cfRule type="cellIs" operator="equal" priority="50" dxfId="867">
      <formula>"※"</formula>
    </cfRule>
  </conditionalFormatting>
  <conditionalFormatting sqref="AP5:AQ5">
    <cfRule type="cellIs" operator="equal" priority="99" dxfId="868">
      <formula>"×"</formula>
    </cfRule>
    <cfRule type="cellIs" operator="equal" priority="142" dxfId="869">
      <formula>"★"</formula>
    </cfRule>
    <cfRule type="cellIs" operator="equal" priority="114" dxfId="870">
      <formula>"※"</formula>
    </cfRule>
    <cfRule type="cellIs" operator="equal" priority="108" dxfId="871">
      <formula>"⊙"</formula>
    </cfRule>
    <cfRule type="cellIs" operator="equal" priority="120" dxfId="872">
      <formula>"☆"</formula>
    </cfRule>
  </conditionalFormatting>
  <conditionalFormatting sqref="F6:I6 F7:I7 F8:I8 F12:I12 F13:I13 F14:I14 F15:I15 F16:I16 F17:I17 F18:I18 F19:I19 F20:I20 F21:I21 F22:I22">
    <cfRule type="cellIs" operator="equal" priority="138" dxfId="873">
      <formula>"×"</formula>
    </cfRule>
    <cfRule type="cellIs" operator="equal" priority="137" dxfId="874">
      <formula>"☆"</formula>
    </cfRule>
    <cfRule type="cellIs" operator="equal" priority="139" dxfId="875">
      <formula>"★"</formula>
    </cfRule>
    <cfRule type="cellIs" operator="equal" priority="136" dxfId="876">
      <formula>"⊙"</formula>
    </cfRule>
    <cfRule type="cellIs" operator="equal" priority="140" dxfId="877">
      <formula>"※"</formula>
    </cfRule>
  </conditionalFormatting>
  <conditionalFormatting sqref="Z17:AC17">
    <cfRule type="cellIs" operator="equal" priority="63" dxfId="878">
      <formula>"※"</formula>
    </cfRule>
    <cfRule type="cellIs" operator="equal" priority="62" dxfId="879">
      <formula>"×"</formula>
    </cfRule>
    <cfRule type="cellIs" operator="equal" priority="67" dxfId="880">
      <formula>"⊙"</formula>
    </cfRule>
    <cfRule type="cellIs" operator="equal" priority="60" dxfId="881">
      <formula>"☆"</formula>
    </cfRule>
    <cfRule type="cellIs" operator="equal" priority="68" dxfId="882">
      <formula>"★"</formula>
    </cfRule>
  </conditionalFormatting>
  <conditionalFormatting sqref="X6:Y6 X7:Y7 X8:Y8 X9:Y9 X10:Y10 X11:Y11 X12:Y12 X13:Y13 X14:Y14 X15:Y15 X16:Y16 X17:Y17 X18:Y18 X19:Y19 X20:Y20 X21:Y21 X22:Y22 X23:Y23 X24:Y24 X25:Y25 X26:Y26 X27:Y27 X28:Y28 X29:Y29 X30:Y30 X31:Y31 X32:Y32 X33:Y33 X34:Y34 X35:Y35 X36:Y36 X37:Y37 X38:Y38">
    <cfRule type="cellIs" operator="equal" priority="356" dxfId="883">
      <formula>"⊙"</formula>
    </cfRule>
    <cfRule type="cellIs" operator="equal" priority="357" dxfId="884">
      <formula>"☆"</formula>
    </cfRule>
    <cfRule type="cellIs" operator="equal" priority="359" dxfId="885">
      <formula>"★"</formula>
    </cfRule>
    <cfRule type="cellIs" operator="equal" priority="358" dxfId="886">
      <formula>"×"</formula>
    </cfRule>
    <cfRule type="cellIs" operator="equal" priority="360" dxfId="887">
      <formula>"※"</formula>
    </cfRule>
  </conditionalFormatting>
  <conditionalFormatting sqref="F31:I31">
    <cfRule type="cellIs" operator="equal" priority="52" dxfId="888">
      <formula>"※"</formula>
    </cfRule>
    <cfRule type="cellIs" operator="equal" priority="61" dxfId="889">
      <formula>"×"</formula>
    </cfRule>
    <cfRule type="cellIs" operator="equal" priority="64" dxfId="890">
      <formula>"⊙"</formula>
    </cfRule>
    <cfRule type="cellIs" operator="equal" priority="57" dxfId="891">
      <formula>"☆"</formula>
    </cfRule>
    <cfRule type="cellIs" operator="equal" priority="54" dxfId="892">
      <formula>"★"</formula>
    </cfRule>
  </conditionalFormatting>
  <conditionalFormatting sqref="AJ6:AK6 AJ7:AK7 AJ8:AK8 AJ9:AK9 AJ10:AK10 AJ11:AK11 AJ12:AK12 AJ13:AK13 AJ14:AK14 AJ15:AK15 AJ16:AK16 AJ17:AK17 AJ18:AK18 AJ19:AK19 AJ20:AK20 AJ21:AK21 AJ22:AK22 AJ23:AK23 AJ24:AK24 AJ25:AK25 AJ26:AK26 AJ27:AK27 AJ28:AK28 AJ29:AK29 AJ30:AK30 AJ31:AK31 AJ32:AK32 AJ33:AK33 AJ34:AK34 AJ35:AK35 AJ36:AK36 AJ37:AK37 AJ38:AK38">
    <cfRule type="cellIs" operator="equal" priority="379" dxfId="893">
      <formula>"※"</formula>
    </cfRule>
    <cfRule type="cellIs" operator="equal" priority="376" dxfId="894">
      <formula>"☆"</formula>
    </cfRule>
    <cfRule type="cellIs" operator="equal" priority="378" dxfId="895">
      <formula>"★"</formula>
    </cfRule>
    <cfRule type="cellIs" operator="equal" priority="377" dxfId="896">
      <formula>"⊙"</formula>
    </cfRule>
    <cfRule type="cellIs" operator="equal" priority="380" dxfId="897">
      <formula>"×"</formula>
    </cfRule>
  </conditionalFormatting>
  <conditionalFormatting sqref="J5:K5">
    <cfRule type="cellIs" operator="equal" priority="48" dxfId="898">
      <formula>"×"</formula>
    </cfRule>
    <cfRule type="cellIs" operator="equal" priority="45" dxfId="899">
      <formula>"★"</formula>
    </cfRule>
    <cfRule type="cellIs" operator="equal" priority="47" dxfId="900">
      <formula>"※"</formula>
    </cfRule>
    <cfRule type="cellIs" operator="equal" priority="41" dxfId="901">
      <formula>"☆"</formula>
    </cfRule>
    <cfRule type="cellIs" operator="equal" priority="46" dxfId="902">
      <formula>"⊙"</formula>
    </cfRule>
  </conditionalFormatting>
  <conditionalFormatting sqref="H9:I9">
    <cfRule type="cellIs" operator="equal" priority="404" dxfId="903">
      <formula>"☆"</formula>
    </cfRule>
    <cfRule type="cellIs" operator="equal" priority="402" dxfId="904">
      <formula>"⊙"</formula>
    </cfRule>
    <cfRule type="cellIs" operator="equal" priority="405" dxfId="905">
      <formula>"※"</formula>
    </cfRule>
    <cfRule type="cellIs" operator="equal" priority="401" dxfId="906">
      <formula>"★"</formula>
    </cfRule>
    <cfRule type="cellIs" operator="equal" priority="403" dxfId="907">
      <formula>"×"</formula>
    </cfRule>
  </conditionalFormatting>
  <conditionalFormatting sqref="D6:E6 D7:E7 D8:E8 D9:E9 D10:E10 D11:E11 D12:E12 D13:E13 D14:E14 D15:E15 D16:E16 D17:E17 D18:E18 D19:E19 D20:E20 D21:E21 D22:E22 D23:E23 D24:E24 D25:E25 D26:E26 D27:E27 D28:E28 D29:E29 D30:E30 D31:E31 D32:E32 D33:E33 D34:E34 D35:E35 D36:E36 D37:E37 D38:E38">
    <cfRule type="cellIs" operator="equal" priority="137" dxfId="908">
      <formula>"×"</formula>
    </cfRule>
    <cfRule type="cellIs" operator="equal" priority="139" dxfId="909">
      <formula>"★"</formula>
    </cfRule>
    <cfRule type="cellIs" operator="equal" priority="138" dxfId="910">
      <formula>"☆"</formula>
    </cfRule>
    <cfRule type="cellIs" operator="equal" priority="140" dxfId="911">
      <formula>"※"</formula>
    </cfRule>
    <cfRule type="cellIs" operator="equal" priority="136" dxfId="912">
      <formula>"⊙"</formula>
    </cfRule>
  </conditionalFormatting>
  <conditionalFormatting sqref="Z20:AA20">
    <cfRule type="cellIs" operator="equal" priority="67" dxfId="913">
      <formula>"⊙"</formula>
    </cfRule>
    <cfRule type="cellIs" operator="equal" priority="62" dxfId="914">
      <formula>"×"</formula>
    </cfRule>
    <cfRule type="cellIs" operator="equal" priority="68" dxfId="915">
      <formula>"★"</formula>
    </cfRule>
    <cfRule type="cellIs" operator="equal" priority="63" dxfId="916">
      <formula>"※"</formula>
    </cfRule>
    <cfRule type="cellIs" operator="equal" priority="60" dxfId="917">
      <formula>"☆"</formula>
    </cfRule>
  </conditionalFormatting>
  <conditionalFormatting sqref="AN6:AO6 AN7:AO7 AN8:AO8 AN9:AO9 AN10:AO10 AN11:AO11 AN12:AO12 AN13:AO13 AN14:AO14 AN15:AO15 AN16:AO16 AN17:AO17 AN18:AO18 AN19:AO19 AN20:AO20 AN21:AO21 AN22:AO22 AN23:AO23 AN24:AO24 AN25:AO25 AN26:AO26 AN27:AO27 AN28:AO28 AN29:AO29 AN30:AO30 AN31:AO31 AN32:AO32 AN33:AO33 AN34:AO34 AN35:AO35 AN36:AO36 AN37:AO37 AN38:AO38">
    <cfRule type="cellIs" operator="equal" priority="388" dxfId="918">
      <formula>"⊙"</formula>
    </cfRule>
    <cfRule type="cellIs" operator="equal" priority="390" dxfId="919">
      <formula>"★"</formula>
    </cfRule>
    <cfRule type="cellIs" operator="equal" priority="386" dxfId="920">
      <formula>"※"</formula>
    </cfRule>
    <cfRule type="cellIs" operator="equal" priority="387" dxfId="921">
      <formula>"☆"</formula>
    </cfRule>
    <cfRule type="cellIs" operator="equal" priority="389" dxfId="922">
      <formula>"×"</formula>
    </cfRule>
  </conditionalFormatting>
  <conditionalFormatting sqref="F24:G24">
    <cfRule type="cellIs" operator="equal" priority="52" dxfId="923">
      <formula>"※"</formula>
    </cfRule>
    <cfRule type="cellIs" operator="equal" priority="64" dxfId="924">
      <formula>"⊙"</formula>
    </cfRule>
    <cfRule type="cellIs" operator="equal" priority="57" dxfId="925">
      <formula>"☆"</formula>
    </cfRule>
    <cfRule type="cellIs" operator="equal" priority="54" dxfId="926">
      <formula>"★"</formula>
    </cfRule>
    <cfRule type="cellIs" operator="equal" priority="61" dxfId="927">
      <formula>"×"</formula>
    </cfRule>
  </conditionalFormatting>
  <conditionalFormatting sqref="AB20:AC20">
    <cfRule type="cellIs" operator="equal" priority="57" dxfId="928">
      <formula>"☆"</formula>
    </cfRule>
    <cfRule type="cellIs" operator="equal" priority="52" dxfId="929">
      <formula>"※"</formula>
    </cfRule>
    <cfRule type="cellIs" operator="equal" priority="54" dxfId="930">
      <formula>"★"</formula>
    </cfRule>
    <cfRule type="cellIs" operator="equal" priority="61" dxfId="931">
      <formula>"×"</formula>
    </cfRule>
    <cfRule type="cellIs" operator="equal" priority="64" dxfId="932">
      <formula>"⊙"</formula>
    </cfRule>
  </conditionalFormatting>
  <conditionalFormatting sqref="AD6:AE6 AD7:AE7 AD8:AE8 AD9:AE9 AD10:AE10 AD11:AE11 AD12:AE12 AD13:AE13 AD14:AE14 AD15:AE15 AD16:AE16 AD17:AE17 AD18:AE18 AD19:AE19 AD20:AE20 AD21:AE21 AD22:AE22 AD23:AE23 AD24:AE24 AD25:AE25 AD26:AE26 AD27:AE27 AD28:AE28 AD29:AE29 AD30:AE30 AD31:AE31 AD32:AE32 AD33:AE33 AD34:AE34 AD35:AE35 AD36:AE36 AD37:AE37 AD38:AE38">
    <cfRule type="cellIs" operator="equal" priority="361" dxfId="933">
      <formula>"☆"</formula>
    </cfRule>
    <cfRule type="cellIs" operator="equal" priority="365" dxfId="934">
      <formula>"※"</formula>
    </cfRule>
    <cfRule type="cellIs" operator="equal" priority="364" dxfId="935">
      <formula>"★"</formula>
    </cfRule>
    <cfRule type="cellIs" operator="equal" priority="363" dxfId="936">
      <formula>"×"</formula>
    </cfRule>
    <cfRule type="cellIs" operator="equal" priority="362" dxfId="937">
      <formula>"⊙"</formula>
    </cfRule>
  </conditionalFormatting>
  <conditionalFormatting sqref="F25:G25">
    <cfRule type="cellIs" operator="equal" priority="54" dxfId="938">
      <formula>"★"</formula>
    </cfRule>
    <cfRule type="cellIs" operator="equal" priority="61" dxfId="939">
      <formula>"×"</formula>
    </cfRule>
    <cfRule type="cellIs" operator="equal" priority="52" dxfId="940">
      <formula>"※"</formula>
    </cfRule>
    <cfRule type="cellIs" operator="equal" priority="57" dxfId="941">
      <formula>"☆"</formula>
    </cfRule>
    <cfRule type="cellIs" operator="equal" priority="64" dxfId="942">
      <formula>"⊙"</formula>
    </cfRule>
  </conditionalFormatting>
  <conditionalFormatting sqref="F32:I32 F33:I33 F34:I34">
    <cfRule type="cellIs" operator="equal" priority="186" dxfId="943">
      <formula>"★"</formula>
    </cfRule>
    <cfRule type="cellIs" operator="equal" priority="190" dxfId="944">
      <formula>"⊙"</formula>
    </cfRule>
    <cfRule type="cellIs" operator="equal" priority="189" dxfId="945">
      <formula>"×"</formula>
    </cfRule>
    <cfRule type="cellIs" operator="equal" priority="187" dxfId="946">
      <formula>"※"</formula>
    </cfRule>
    <cfRule type="cellIs" operator="equal" priority="188" dxfId="947">
      <formula>"☆"</formula>
    </cfRule>
  </conditionalFormatting>
  <conditionalFormatting sqref="F28:G28 F29:G29 F30:G30">
    <cfRule type="cellIs" operator="equal" priority="179" dxfId="948">
      <formula>"※"</formula>
    </cfRule>
    <cfRule type="cellIs" operator="equal" priority="178" dxfId="949">
      <formula>"⊙"</formula>
    </cfRule>
    <cfRule type="cellIs" operator="equal" priority="176" dxfId="950">
      <formula>"×"</formula>
    </cfRule>
    <cfRule type="cellIs" operator="equal" priority="177" dxfId="951">
      <formula>"☆"</formula>
    </cfRule>
    <cfRule type="cellIs" operator="equal" priority="180" dxfId="952">
      <formula>"★"</formula>
    </cfRule>
  </conditionalFormatting>
  <conditionalFormatting sqref="Z36:AA36">
    <cfRule type="cellIs" operator="equal" priority="62" dxfId="953">
      <formula>"×"</formula>
    </cfRule>
    <cfRule type="cellIs" operator="equal" priority="63" dxfId="954">
      <formula>"※"</formula>
    </cfRule>
    <cfRule type="cellIs" operator="equal" priority="60" dxfId="955">
      <formula>"☆"</formula>
    </cfRule>
    <cfRule type="cellIs" operator="equal" priority="67" dxfId="956">
      <formula>"⊙"</formula>
    </cfRule>
    <cfRule type="cellIs" operator="equal" priority="68" dxfId="957">
      <formula>"★"</formula>
    </cfRule>
  </conditionalFormatting>
  <conditionalFormatting sqref="C6 C7 C8 C9 C10 C11 C12 C13 C14 C15 C16 C17 C18 C19 C20 C21 C22 C23 C24 C25 C26 C27 C28 C29 C30 C31 C32 C33 C34 C35 C36 C37 C38">
    <cfRule type="cellIs" operator="equal" priority="372" dxfId="958">
      <formula>"★"</formula>
    </cfRule>
    <cfRule type="cellIs" operator="equal" priority="374" dxfId="959">
      <formula>"※"</formula>
    </cfRule>
    <cfRule type="cellIs" operator="equal" priority="373" dxfId="960">
      <formula>"⊙"</formula>
    </cfRule>
    <cfRule type="cellIs" operator="equal" priority="375" dxfId="961">
      <formula>"×"</formula>
    </cfRule>
    <cfRule type="cellIs" operator="equal" priority="371" dxfId="962">
      <formula>"☆"</formula>
    </cfRule>
  </conditionalFormatting>
  <conditionalFormatting sqref="Z21:AA21">
    <cfRule type="cellIs" operator="equal" priority="67" dxfId="963">
      <formula>"⊙"</formula>
    </cfRule>
    <cfRule type="cellIs" operator="equal" priority="68" dxfId="964">
      <formula>"★"</formula>
    </cfRule>
    <cfRule type="cellIs" operator="equal" priority="63" dxfId="965">
      <formula>"※"</formula>
    </cfRule>
    <cfRule type="cellIs" operator="equal" priority="62" dxfId="966">
      <formula>"×"</formula>
    </cfRule>
    <cfRule type="cellIs" operator="equal" priority="60" dxfId="967">
      <formula>"☆"</formula>
    </cfRule>
  </conditionalFormatting>
  <conditionalFormatting sqref="Z37:AC37">
    <cfRule type="cellIs" operator="equal" priority="60" dxfId="968">
      <formula>"☆"</formula>
    </cfRule>
    <cfRule type="cellIs" operator="equal" priority="62" dxfId="969">
      <formula>"×"</formula>
    </cfRule>
    <cfRule type="cellIs" operator="equal" priority="68" dxfId="970">
      <formula>"★"</formula>
    </cfRule>
    <cfRule type="cellIs" operator="equal" priority="67" dxfId="971">
      <formula>"⊙"</formula>
    </cfRule>
    <cfRule type="cellIs" operator="equal" priority="63" dxfId="972">
      <formula>"※"</formula>
    </cfRule>
  </conditionalFormatting>
  <conditionalFormatting sqref="L6:M6 L7:M7 L8:M8 L9:M9 L10:M10 L11:M11 L12:M12 L13:M13 L14:M14 L15:M15 L16:M16 L17:M17 L18:M18 L19:M19 L20:M20 L21:M21 L22:M22 L23:M23 L24:M24 L25:M25 L26:M26 L27:M27 L28:M28 L29:M29 L30:M30 L31:M31 L32:M32 L33:M33 L34:M34 L35:M35 L36:M36 L37:M37 L38:M38">
    <cfRule type="cellIs" operator="equal" priority="324" dxfId="973">
      <formula>"☆"</formula>
    </cfRule>
    <cfRule type="cellIs" operator="equal" priority="325" dxfId="974">
      <formula>"※"</formula>
    </cfRule>
    <cfRule type="cellIs" operator="equal" priority="323" dxfId="975">
      <formula>"⊙"</formula>
    </cfRule>
    <cfRule type="cellIs" operator="equal" priority="322" dxfId="976">
      <formula>"★"</formula>
    </cfRule>
    <cfRule type="cellIs" operator="equal" priority="321" dxfId="977">
      <formula>"×"</formula>
    </cfRule>
  </conditionalFormatting>
  <conditionalFormatting sqref="F11:G11">
    <cfRule type="cellIs" operator="equal" priority="139" dxfId="978">
      <formula>"★"</formula>
    </cfRule>
    <cfRule type="cellIs" operator="equal" priority="138" dxfId="979">
      <formula>"×"</formula>
    </cfRule>
    <cfRule type="cellIs" operator="equal" priority="136" dxfId="980">
      <formula>"⊙"</formula>
    </cfRule>
    <cfRule type="cellIs" operator="equal" priority="140" dxfId="981">
      <formula>"※"</formula>
    </cfRule>
    <cfRule type="cellIs" operator="equal" priority="137" dxfId="982">
      <formula>"☆"</formula>
    </cfRule>
  </conditionalFormatting>
  <conditionalFormatting sqref="Z27:AC27">
    <cfRule type="cellIs" operator="equal" priority="62" dxfId="983">
      <formula>"×"</formula>
    </cfRule>
    <cfRule type="cellIs" operator="equal" priority="63" dxfId="984">
      <formula>"※"</formula>
    </cfRule>
    <cfRule type="cellIs" operator="equal" priority="60" dxfId="985">
      <formula>"☆"</formula>
    </cfRule>
    <cfRule type="cellIs" operator="equal" priority="68" dxfId="986">
      <formula>"★"</formula>
    </cfRule>
    <cfRule type="cellIs" operator="equal" priority="67" dxfId="987">
      <formula>"⊙"</formula>
    </cfRule>
  </conditionalFormatting>
  <conditionalFormatting sqref="AH5:AI5">
    <cfRule type="cellIs" operator="equal" priority="102" dxfId="988">
      <formula>"★"</formula>
    </cfRule>
    <cfRule type="cellIs" operator="equal" priority="117" dxfId="989">
      <formula>"⊙"</formula>
    </cfRule>
    <cfRule type="cellIs" operator="equal" priority="98" dxfId="990">
      <formula>"※"</formula>
    </cfRule>
    <cfRule type="cellIs" operator="equal" priority="128" dxfId="991">
      <formula>"×"</formula>
    </cfRule>
    <cfRule type="cellIs" operator="equal" priority="111" dxfId="992">
      <formula>"☆"</formula>
    </cfRule>
  </conditionalFormatting>
  <conditionalFormatting sqref="Z6:AC6 Z7:AC7 Z8:AC8 Z9:AC9 Z10:AC10 Z11:AC11 Z12:AC12 Z13:AC13 Z14:AC14 Z15:AC15">
    <cfRule type="cellIs" operator="equal" priority="219" dxfId="993">
      <formula>"⊙"</formula>
    </cfRule>
    <cfRule type="cellIs" operator="equal" priority="217" dxfId="994">
      <formula>"※"</formula>
    </cfRule>
    <cfRule type="cellIs" operator="equal" priority="220" dxfId="995">
      <formula>"★"</formula>
    </cfRule>
    <cfRule type="cellIs" operator="equal" priority="216" dxfId="996">
      <formula>"☆"</formula>
    </cfRule>
    <cfRule type="cellIs" operator="equal" priority="218" dxfId="997">
      <formula>"×"</formula>
    </cfRule>
  </conditionalFormatting>
  <conditionalFormatting sqref="V5:W5">
    <cfRule type="cellIs" operator="equal" priority="41" dxfId="998">
      <formula>"☆"</formula>
    </cfRule>
    <cfRule type="cellIs" operator="equal" priority="47" dxfId="999">
      <formula>"※"</formula>
    </cfRule>
    <cfRule type="cellIs" operator="equal" priority="45" dxfId="1000">
      <formula>"★"</formula>
    </cfRule>
    <cfRule type="cellIs" operator="equal" priority="46" dxfId="1001">
      <formula>"⊙"</formula>
    </cfRule>
    <cfRule type="cellIs" operator="equal" priority="48" dxfId="1002">
      <formula>"×"</formula>
    </cfRule>
  </conditionalFormatting>
  <conditionalFormatting sqref="AB36:AC36">
    <cfRule type="cellIs" operator="equal" priority="61" dxfId="1003">
      <formula>"×"</formula>
    </cfRule>
    <cfRule type="cellIs" operator="equal" priority="52" dxfId="1004">
      <formula>"※"</formula>
    </cfRule>
    <cfRule type="cellIs" operator="equal" priority="54" dxfId="1005">
      <formula>"★"</formula>
    </cfRule>
    <cfRule type="cellIs" operator="equal" priority="57" dxfId="1006">
      <formula>"☆"</formula>
    </cfRule>
    <cfRule type="cellIs" operator="equal" priority="64" dxfId="1007">
      <formula>"⊙"</formula>
    </cfRule>
  </conditionalFormatting>
  <conditionalFormatting sqref="P6:Q6 P7:Q7 P8:Q8 P9:Q9 P10:Q10 P11:Q11 P12:Q12 P13:Q13 P14:Q14 P15:Q15 P16:Q16 P17:Q17 P18:Q18 P19:Q19 P20:Q20 P21:Q21 P22:Q22 P23:Q23 P24:Q24 P25:Q25 P26:Q26 P27:Q27 P28:Q28 P29:Q29 P30:Q30 P31:Q31 P32:Q32 P33:Q33 P34:Q34 P35:Q35 P36:Q36 P37:Q37 P38:Q38">
    <cfRule type="cellIs" operator="equal" priority="333" dxfId="1008">
      <formula>"×"</formula>
    </cfRule>
    <cfRule type="cellIs" operator="equal" priority="334" dxfId="1009">
      <formula>"☆"</formula>
    </cfRule>
    <cfRule type="cellIs" operator="equal" priority="331" dxfId="1010">
      <formula>"⊙"</formula>
    </cfRule>
    <cfRule type="cellIs" operator="equal" priority="335" dxfId="1011">
      <formula>"★"</formula>
    </cfRule>
    <cfRule type="cellIs" operator="equal" priority="332" dxfId="1012">
      <formula>"※"</formula>
    </cfRule>
  </conditionalFormatting>
  <conditionalFormatting sqref="N5:O5">
    <cfRule type="cellIs" operator="equal" priority="41" dxfId="1013">
      <formula>"☆"</formula>
    </cfRule>
    <cfRule type="cellIs" operator="equal" priority="46" dxfId="1014">
      <formula>"⊙"</formula>
    </cfRule>
    <cfRule type="cellIs" operator="equal" priority="48" dxfId="1015">
      <formula>"×"</formula>
    </cfRule>
    <cfRule type="cellIs" operator="equal" priority="47" dxfId="1016">
      <formula>"※"</formula>
    </cfRule>
    <cfRule type="cellIs" operator="equal" priority="45" dxfId="1017">
      <formula>"★"</formula>
    </cfRule>
  </conditionalFormatting>
  <conditionalFormatting sqref="AF6:AG6 AF7:AG7 AF8:AG8 AF9:AG9 AF10:AG10 AF11:AG11 AF12:AG12 AF13:AG13 AF14:AG14 AF15:AG15 AF16:AG16 AF17:AG17 AF18:AG18 AF19:AG19 AF20:AG20 AF21:AG21 AF22:AG22 AF23:AG23 AF24:AG24 AF25:AG25 AF26:AG26 AF27:AG27 AF28:AG28 AF29:AG29 AF30:AG30 AF31:AG31 AF32:AG32 AF33:AG33 AF34:AG34 AF35:AG35 AF36:AG36 AF37:AG37 AF38:AG38">
    <cfRule type="cellIs" operator="equal" priority="368" dxfId="1018">
      <formula>"★"</formula>
    </cfRule>
    <cfRule type="cellIs" operator="equal" priority="366" dxfId="1019">
      <formula>"※"</formula>
    </cfRule>
    <cfRule type="cellIs" operator="equal" priority="367" dxfId="1020">
      <formula>"☆"</formula>
    </cfRule>
    <cfRule type="cellIs" operator="equal" priority="369" dxfId="1021">
      <formula>"⊙"</formula>
    </cfRule>
    <cfRule type="cellIs" operator="equal" priority="370" dxfId="1022">
      <formula>"×"</formula>
    </cfRule>
  </conditionalFormatting>
  <conditionalFormatting sqref="R6:S6 R7:S7 R8:S8 R9:S9 R10:S10 R11:S11 R12:S12 R13:S13 R14:S14 R15:S15 R16:S16 R17:S17 R18:S18 R19:S19 R20:S20 R21:S21 R22:S22 R23:S23 R24:S24 R25:S25 R26:S26 R27:S27 R28:S28 R29:S29 R30:S30 R31:S31 R32:S32 R33:S33 R34:S34 R35:S35 R36:S36 R37:S37 R38:S38">
    <cfRule type="cellIs" operator="equal" priority="338" dxfId="1023">
      <formula>"⊙"</formula>
    </cfRule>
    <cfRule type="cellIs" operator="equal" priority="339" dxfId="1024">
      <formula>"※"</formula>
    </cfRule>
    <cfRule type="cellIs" operator="equal" priority="340" dxfId="1025">
      <formula>"×"</formula>
    </cfRule>
    <cfRule type="cellIs" operator="equal" priority="337" dxfId="1026">
      <formula>"☆"</formula>
    </cfRule>
    <cfRule type="cellIs" operator="equal" priority="336" dxfId="1027">
      <formula>"★"</formula>
    </cfRule>
  </conditionalFormatting>
  <conditionalFormatting sqref="F38:G38">
    <cfRule type="cellIs" operator="equal" priority="407" dxfId="1028">
      <formula>"※"</formula>
    </cfRule>
    <cfRule type="cellIs" operator="equal" priority="408" dxfId="1029">
      <formula>"⊙"</formula>
    </cfRule>
    <cfRule type="cellIs" operator="equal" priority="413" dxfId="1030">
      <formula>"☆"</formula>
    </cfRule>
    <cfRule type="cellIs" operator="equal" priority="410" dxfId="1031">
      <formula>"×"</formula>
    </cfRule>
    <cfRule type="cellIs" operator="equal" priority="409" dxfId="1032">
      <formula>"★"</formula>
    </cfRule>
  </conditionalFormatting>
  <conditionalFormatting sqref="H11:I11">
    <cfRule type="cellIs" operator="equal" priority="401" dxfId="1033">
      <formula>"★"</formula>
    </cfRule>
    <cfRule type="cellIs" operator="equal" priority="404" dxfId="1034">
      <formula>"☆"</formula>
    </cfRule>
    <cfRule type="cellIs" operator="equal" priority="402" dxfId="1035">
      <formula>"⊙"</formula>
    </cfRule>
    <cfRule type="cellIs" operator="equal" priority="405" dxfId="1036">
      <formula>"※"</formula>
    </cfRule>
    <cfRule type="cellIs" operator="equal" priority="403" dxfId="1037">
      <formula>"×"</formula>
    </cfRule>
  </conditionalFormatting>
  <conditionalFormatting sqref="Z18:AC18 Z19:AC19">
    <cfRule type="cellIs" operator="equal" priority="237" dxfId="1038">
      <formula>"⊙"</formula>
    </cfRule>
    <cfRule type="cellIs" operator="equal" priority="239" dxfId="1039">
      <formula>"※"</formula>
    </cfRule>
    <cfRule type="cellIs" operator="equal" priority="236" dxfId="1040">
      <formula>"×"</formula>
    </cfRule>
    <cfRule type="cellIs" operator="equal" priority="240" dxfId="1041">
      <formula>"☆"</formula>
    </cfRule>
    <cfRule type="cellIs" operator="equal" priority="238" dxfId="1042">
      <formula>"★"</formula>
    </cfRule>
  </conditionalFormatting>
  <conditionalFormatting sqref="Z26:AA26">
    <cfRule type="cellIs" operator="equal" priority="63" dxfId="1043">
      <formula>"※"</formula>
    </cfRule>
    <cfRule type="cellIs" operator="equal" priority="68" dxfId="1044">
      <formula>"★"</formula>
    </cfRule>
    <cfRule type="cellIs" operator="equal" priority="67" dxfId="1045">
      <formula>"⊙"</formula>
    </cfRule>
    <cfRule type="cellIs" operator="equal" priority="60" dxfId="1046">
      <formula>"☆"</formula>
    </cfRule>
    <cfRule type="cellIs" operator="equal" priority="62" dxfId="1047">
      <formula>"×"</formula>
    </cfRule>
  </conditionalFormatting>
  <conditionalFormatting sqref="D5:E5">
    <cfRule type="cellIs" operator="equal" priority="63" dxfId="1048">
      <formula>"⊙"</formula>
    </cfRule>
    <cfRule type="cellIs" operator="equal" priority="70" dxfId="1049">
      <formula>"×"</formula>
    </cfRule>
    <cfRule type="cellIs" operator="equal" priority="57" dxfId="1050">
      <formula>"※"</formula>
    </cfRule>
    <cfRule type="cellIs" operator="equal" priority="58" dxfId="1051">
      <formula>"★"</formula>
    </cfRule>
    <cfRule type="cellIs" operator="equal" priority="68" dxfId="1052">
      <formula>"☆"</formula>
    </cfRule>
  </conditionalFormatting>
  <conditionalFormatting sqref="J6:K6 J7:K7 J8:K8 J9:K9 J10:K10 J11:K11 J12:K12 J13:K13 J14:K14 J15:K15 J16:K16 J17:K17 J18:K18 J19:K19 J20:K20 J21:K21 J22:K22 J23:K23 J24:K24 J25:K25 J26:K26 J27:K27 J28:K28 J29:K29 J30:K30 J31:K31 J32:K32 J33:K33 J34:K34 J35:K35 J36:K36 J37:K37 J38:K38">
    <cfRule type="cellIs" operator="equal" priority="317" dxfId="1053">
      <formula>"※"</formula>
    </cfRule>
    <cfRule type="cellIs" operator="equal" priority="320" dxfId="1054">
      <formula>"☆"</formula>
    </cfRule>
    <cfRule type="cellIs" operator="equal" priority="319" dxfId="1055">
      <formula>"★"</formula>
    </cfRule>
    <cfRule type="cellIs" operator="equal" priority="316" dxfId="1056">
      <formula>"×"</formula>
    </cfRule>
    <cfRule type="cellIs" operator="equal" priority="318" dxfId="1057">
      <formula>"⊙"</formula>
    </cfRule>
  </conditionalFormatting>
  <conditionalFormatting sqref="Z38:AC38">
    <cfRule type="cellIs" operator="equal" priority="67" dxfId="1058">
      <formula>"⊙"</formula>
    </cfRule>
    <cfRule type="cellIs" operator="equal" priority="62" dxfId="1059">
      <formula>"×"</formula>
    </cfRule>
    <cfRule type="cellIs" operator="equal" priority="68" dxfId="1060">
      <formula>"★"</formula>
    </cfRule>
    <cfRule type="cellIs" operator="equal" priority="60" dxfId="1061">
      <formula>"☆"</formula>
    </cfRule>
    <cfRule type="cellIs" operator="equal" priority="63" dxfId="1062">
      <formula>"※"</formula>
    </cfRule>
  </conditionalFormatting>
  <conditionalFormatting sqref="AH6:AI6 AH7:AI7 AH8:AI8 AH9:AI9 AH10:AI10 AH11:AI11 AH12:AI12 AH13:AI13 AH14:AI14 AH15:AI15 AH16:AI16 AH17:AI17 AH18:AI18 AH19:AI19 AH20:AI20 AH21:AI21 AH22:AI22 AH23:AI23 AH24:AI24 AH25:AI25 AH26:AI26 AH27:AI27 AH28:AI28 AH29:AI29 AH30:AI30 AH31:AI31 AH32:AI32 AH33:AI33 AH34:AI34 AH35:AI35 AH36:AI36 AH37:AI37 AH38:AI38">
    <cfRule type="cellIs" operator="equal" priority="372" dxfId="1063">
      <formula>"※"</formula>
    </cfRule>
    <cfRule type="cellIs" operator="equal" priority="373" dxfId="1064">
      <formula>"⊙"</formula>
    </cfRule>
    <cfRule type="cellIs" operator="equal" priority="371" dxfId="1065">
      <formula>"★"</formula>
    </cfRule>
    <cfRule type="cellIs" operator="equal" priority="374" dxfId="1066">
      <formula>"☆"</formula>
    </cfRule>
    <cfRule type="cellIs" operator="equal" priority="375" dxfId="1067">
      <formula>"×"</formula>
    </cfRule>
  </conditionalFormatting>
  <conditionalFormatting sqref="AF5:AG5">
    <cfRule type="cellIs" operator="equal" priority="141" dxfId="1068">
      <formula>"⊙"</formula>
    </cfRule>
    <cfRule type="cellIs" operator="equal" priority="127" dxfId="1069">
      <formula>"☆"</formula>
    </cfRule>
    <cfRule type="cellIs" operator="equal" priority="123" dxfId="1070">
      <formula>"×"</formula>
    </cfRule>
    <cfRule type="cellIs" operator="equal" priority="121" dxfId="1071">
      <formula>"※"</formula>
    </cfRule>
    <cfRule type="cellIs" operator="equal" priority="96" dxfId="1072">
      <formula>"★"</formula>
    </cfRule>
  </conditionalFormatting>
  <conditionalFormatting sqref="AN5:AO5">
    <cfRule type="cellIs" operator="equal" priority="131" dxfId="1073">
      <formula>"※"</formula>
    </cfRule>
    <cfRule type="cellIs" operator="equal" priority="103" dxfId="1074">
      <formula>"☆"</formula>
    </cfRule>
    <cfRule type="cellIs" operator="equal" priority="129" dxfId="1075">
      <formula>"⊙"</formula>
    </cfRule>
    <cfRule type="cellIs" operator="equal" priority="100" dxfId="1076">
      <formula>"×"</formula>
    </cfRule>
    <cfRule type="cellIs" operator="equal" priority="143" dxfId="1077">
      <formula>"★"</formula>
    </cfRule>
  </conditionalFormatting>
  <conditionalFormatting sqref="C5">
    <cfRule type="cellIs" operator="equal" priority="43" dxfId="1078">
      <formula>"×"</formula>
    </cfRule>
    <cfRule type="cellIs" operator="equal" priority="41" dxfId="1079">
      <formula>"☆"</formula>
    </cfRule>
    <cfRule type="cellIs" operator="equal" priority="45" dxfId="1080">
      <formula>"※"</formula>
    </cfRule>
    <cfRule type="cellIs" operator="equal" priority="42" dxfId="1081">
      <formula>"⊙"</formula>
    </cfRule>
    <cfRule type="cellIs" operator="equal" priority="44" dxfId="1082">
      <formula>"★"</formula>
    </cfRule>
  </conditionalFormatting>
  <conditionalFormatting sqref="Z22:AA22">
    <cfRule type="cellIs" operator="equal" priority="60" dxfId="1083">
      <formula>"☆"</formula>
    </cfRule>
    <cfRule type="cellIs" operator="equal" priority="62" dxfId="1084">
      <formula>"×"</formula>
    </cfRule>
    <cfRule type="cellIs" operator="equal" priority="67" dxfId="1085">
      <formula>"⊙"</formula>
    </cfRule>
    <cfRule type="cellIs" operator="equal" priority="63" dxfId="1086">
      <formula>"※"</formula>
    </cfRule>
    <cfRule type="cellIs" operator="equal" priority="68" dxfId="1087">
      <formula>"★"</formula>
    </cfRule>
  </conditionalFormatting>
  <conditionalFormatting sqref="AL6:AM6 AL7:AM7 AL8:AM8 AL9:AM9 AL10:AM10 AL11:AM11 AL12:AM12 AL13:AM13 AL14:AM14 AL15:AM15 AL16:AM16 AL17:AM17 AL18:AM18 AL19:AM19 AL20:AM20 AL21:AM21 AL22:AM22 AL23:AM23 AL24:AM24 AL25:AM25 AL26:AM26 AL27:AM27 AL28:AM28 AL29:AM29 AL30:AM30 AL31:AM31 AL32:AM32 AL33:AM33 AL34:AM34 AL35:AM35 AL36:AM36 AL37:AM37 AL38:AM38">
    <cfRule type="cellIs" operator="equal" priority="382" dxfId="1088">
      <formula>"×"</formula>
    </cfRule>
    <cfRule type="cellIs" operator="equal" priority="384" dxfId="1089">
      <formula>"※"</formula>
    </cfRule>
    <cfRule type="cellIs" operator="equal" priority="383" dxfId="1090">
      <formula>"★"</formula>
    </cfRule>
    <cfRule type="cellIs" operator="equal" priority="385" dxfId="1091">
      <formula>"☆"</formula>
    </cfRule>
    <cfRule type="cellIs" operator="equal" priority="381" dxfId="1092">
      <formula>"⊙"</formula>
    </cfRule>
  </conditionalFormatting>
  <conditionalFormatting sqref="F9:G9">
    <cfRule type="cellIs" operator="equal" priority="137" dxfId="1093">
      <formula>"☆"</formula>
    </cfRule>
    <cfRule type="cellIs" operator="equal" priority="136" dxfId="1094">
      <formula>"⊙"</formula>
    </cfRule>
    <cfRule type="cellIs" operator="equal" priority="139" dxfId="1095">
      <formula>"★"</formula>
    </cfRule>
    <cfRule type="cellIs" operator="equal" priority="138" dxfId="1096">
      <formula>"×"</formula>
    </cfRule>
    <cfRule type="cellIs" operator="equal" priority="140" dxfId="1097">
      <formula>"※"</formula>
    </cfRule>
  </conditionalFormatting>
  <conditionalFormatting sqref="H35:I35">
    <cfRule type="cellIs" operator="equal" priority="60" dxfId="1098">
      <formula>"☆"</formula>
    </cfRule>
    <cfRule type="cellIs" operator="equal" priority="67" dxfId="1099">
      <formula>"⊙"</formula>
    </cfRule>
    <cfRule type="cellIs" operator="equal" priority="62" dxfId="1100">
      <formula>"×"</formula>
    </cfRule>
    <cfRule type="cellIs" operator="equal" priority="63" dxfId="1101">
      <formula>"※"</formula>
    </cfRule>
    <cfRule type="cellIs" operator="equal" priority="68" dxfId="1102">
      <formula>"★"</formula>
    </cfRule>
  </conditionalFormatting>
  <conditionalFormatting sqref="H10:I10">
    <cfRule type="cellIs" operator="equal" priority="405" dxfId="1103">
      <formula>"※"</formula>
    </cfRule>
    <cfRule type="cellIs" operator="equal" priority="403" dxfId="1104">
      <formula>"×"</formula>
    </cfRule>
    <cfRule type="cellIs" operator="equal" priority="404" dxfId="1105">
      <formula>"☆"</formula>
    </cfRule>
    <cfRule type="cellIs" operator="equal" priority="401" dxfId="1106">
      <formula>"★"</formula>
    </cfRule>
    <cfRule type="cellIs" operator="equal" priority="402" dxfId="1107">
      <formula>"⊙"</formula>
    </cfRule>
  </conditionalFormatting>
  <pageMargins left="0.7" right="0.7" top="0.75" bottom="0.75" header="0.3" footer="0.3"/>
</worksheet>
</file>

<file path=xl/worksheets/sheet4.xml><?xml version="1.0" encoding="utf-8"?>
<worksheet xmlns:r="http://schemas.openxmlformats.org/officeDocument/2006/relationships" xmlns="http://schemas.openxmlformats.org/spreadsheetml/2006/main">
  <dimension ref="B1:DC124"/>
  <sheetViews>
    <sheetView workbookViewId="0" topLeftCell="B36" showGridLines="0">
      <selection activeCell="B40" sqref="B40:Y43"/>
    </sheetView>
  </sheetViews>
  <sheetFormatPr defaultRowHeight="16.95" customHeight="1" defaultColWidth="5"/>
  <cols>
    <col min="1" max="19" customWidth="1" width="5.6640625" style="760"/>
    <col min="20" max="20" customWidth="1" width="59.88672" style="760"/>
    <col min="21" max="21" customWidth="1" width="5.6640625" style="760"/>
    <col min="22" max="16384" customWidth="0" width="5.6640625" style="760"/>
  </cols>
  <sheetData>
    <row r="1" spans="8:8" ht="7.0" customHeight="1"/>
    <row r="2" spans="8:8" ht="16.95" customHeight="1">
      <c r="B2" s="1181" t="str">
        <f>人物卡!E3&amp;"，"&amp;人物卡!M6&amp;"，"&amp;人物卡!E6&amp;"岁"&amp;"，"&amp;人物卡!E5&amp;"，"&amp;人物卡!M4&amp;"，"&amp;"现居："&amp;人物卡!E7&amp;"，"&amp;人物卡!M7&amp;"人"</f>
        <v>，，岁，，1920s，现居：，（应包含国籍）人</v>
      </c>
      <c r="C2" s="1182"/>
      <c r="D2" s="1182"/>
      <c r="E2" s="1182"/>
      <c r="F2" s="1182"/>
      <c r="G2" s="1182"/>
      <c r="H2" s="1182"/>
      <c r="I2" s="1182"/>
      <c r="J2" s="1182"/>
      <c r="K2" s="1182"/>
      <c r="L2" s="1182"/>
      <c r="M2" s="1183"/>
      <c r="N2" s="1181" t="s">
        <v>301</v>
      </c>
      <c r="O2" s="1182"/>
      <c r="P2" s="1182"/>
      <c r="Q2" s="1182"/>
      <c r="R2" s="1182"/>
      <c r="S2" s="1182"/>
      <c r="T2" s="1182"/>
      <c r="U2" s="1182"/>
      <c r="V2" s="1182"/>
      <c r="W2" s="1182"/>
      <c r="X2" s="1182"/>
      <c r="Y2" s="1183"/>
      <c r="Z2" s="1184" t="s">
        <v>302</v>
      </c>
      <c r="AA2" s="1185"/>
      <c r="AB2" s="1185"/>
      <c r="AC2" s="1185"/>
      <c r="AD2" s="1185"/>
      <c r="AE2" s="1186"/>
      <c r="AF2" s="1187"/>
      <c r="AG2" s="1187"/>
      <c r="AH2" s="1187"/>
      <c r="AI2" s="1187"/>
      <c r="AJ2" s="1187"/>
      <c r="AK2" s="1187"/>
      <c r="AL2" s="1187"/>
      <c r="AM2" s="1187"/>
      <c r="AN2" s="1187"/>
    </row>
    <row r="3" spans="8:8" ht="16.95" customHeight="1">
      <c r="B3" s="1188" t="s">
        <v>303</v>
      </c>
      <c r="C3" s="1189">
        <f>STR</f>
        <v>0.0</v>
      </c>
      <c r="D3" s="1190">
        <f>INT(C3/2)</f>
        <v>0.0</v>
      </c>
      <c r="E3" s="1191" t="s">
        <v>304</v>
      </c>
      <c r="F3" s="1192">
        <f>DEX</f>
        <v>0.0</v>
      </c>
      <c r="G3" s="1193">
        <f>INT(F3/2)</f>
        <v>0.0</v>
      </c>
      <c r="H3" s="1194" t="s">
        <v>305</v>
      </c>
      <c r="I3" s="1189">
        <f>POW</f>
        <v>0.0</v>
      </c>
      <c r="J3" s="1190">
        <f>INT(I3/2)</f>
        <v>0.0</v>
      </c>
      <c r="K3" s="1191" t="s">
        <v>306</v>
      </c>
      <c r="L3" s="1192">
        <f>INT</f>
        <v>0.0</v>
      </c>
      <c r="M3" s="1195">
        <f>INT(L3/2)</f>
        <v>0.0</v>
      </c>
      <c r="N3" s="1196" t="str">
        <f>IF(Q3=0,"",人物卡!F16)</f>
        <v/>
      </c>
      <c r="O3" s="1197"/>
      <c r="P3" s="1197"/>
      <c r="Q3" s="1198">
        <f>IF(人物卡!R16-人物卡!J16=0,0,人物卡!R16)</f>
        <v>0.0</v>
      </c>
      <c r="R3" s="1199">
        <f t="shared" si="0" ref="R3:R12">INT(Q3/2)</f>
        <v>0.0</v>
      </c>
      <c r="S3" s="1200">
        <f t="shared" si="1" ref="S3:S12">INT(Q3/5)</f>
        <v>0.0</v>
      </c>
      <c r="T3" s="1201" t="str">
        <f>IF(W3=0,"",人物卡!AB16)</f>
        <v/>
      </c>
      <c r="U3" s="1201"/>
      <c r="V3" s="1201"/>
      <c r="W3" s="1202">
        <f>IF(人物卡!AN16-人物卡!AF16=0,0,人物卡!AN16)</f>
        <v>0.0</v>
      </c>
      <c r="X3" s="1203">
        <f t="shared" si="2" ref="X3:X36">INT(W3/2)</f>
        <v>0.0</v>
      </c>
      <c r="Y3" s="1204">
        <f t="shared" si="3" ref="Y3:Y36">INT(W3/5)</f>
        <v>0.0</v>
      </c>
      <c r="Z3" s="1205" t="str">
        <f>人物卡!E8</f>
        <v>公元</v>
      </c>
      <c r="AA3" s="521">
        <f>人物卡!G8</f>
        <v>0.0</v>
      </c>
      <c r="AB3" s="521"/>
      <c r="AC3" s="1206" t="str">
        <f>人物卡!J8</f>
        <v>月</v>
      </c>
      <c r="AD3" s="1207" t="str">
        <f>人物卡!N8</f>
        <v>0：00</v>
      </c>
      <c r="AE3" s="1208"/>
      <c r="AF3" s="1187"/>
      <c r="AG3" s="1187"/>
      <c r="AH3" s="1187"/>
      <c r="AI3" s="1187"/>
      <c r="AJ3" s="1187"/>
      <c r="AK3" s="1187"/>
      <c r="AL3" s="1187"/>
      <c r="AM3" s="1187"/>
      <c r="AN3" s="1187"/>
    </row>
    <row r="4" spans="8:8" ht="16.95" customHeight="1">
      <c r="B4" s="1188"/>
      <c r="C4" s="1189"/>
      <c r="D4" s="1209">
        <f>INT(C3/5)</f>
        <v>0.0</v>
      </c>
      <c r="E4" s="1191"/>
      <c r="F4" s="1192"/>
      <c r="G4" s="1209">
        <f>INT(F3/5)</f>
        <v>0.0</v>
      </c>
      <c r="H4" s="1194"/>
      <c r="I4" s="1189"/>
      <c r="J4" s="1209">
        <f>INT(I3/5)</f>
        <v>0.0</v>
      </c>
      <c r="K4" s="1191"/>
      <c r="L4" s="1192"/>
      <c r="M4" s="1210">
        <f>INT(L3/5)</f>
        <v>0.0</v>
      </c>
      <c r="N4" s="1196" t="str">
        <f>IF(Q4=0,"",人物卡!F17)</f>
        <v/>
      </c>
      <c r="O4" s="1197"/>
      <c r="P4" s="1197"/>
      <c r="Q4" s="1198">
        <f>IF(人物卡!R17-人物卡!J17=0,0,人物卡!R17)</f>
        <v>0.0</v>
      </c>
      <c r="R4" s="1199">
        <f t="shared" si="0"/>
        <v>0.0</v>
      </c>
      <c r="S4" s="1200">
        <f t="shared" si="1"/>
        <v>0.0</v>
      </c>
      <c r="T4" s="1201" t="str">
        <f>IF(W4=0,"",人物卡!AB17)</f>
        <v/>
      </c>
      <c r="U4" s="1201"/>
      <c r="V4" s="1201"/>
      <c r="W4" s="1202">
        <f>IF(人物卡!AN17-人物卡!AF17=0,0,人物卡!AN17)</f>
        <v>0.0</v>
      </c>
      <c r="X4" s="1203">
        <f t="shared" si="2"/>
        <v>0.0</v>
      </c>
      <c r="Y4" s="1204">
        <f t="shared" si="3"/>
        <v>0.0</v>
      </c>
      <c r="Z4" s="1211"/>
      <c r="AA4" s="1212"/>
      <c r="AB4" s="1212"/>
      <c r="AC4" s="1213" t="str">
        <f>人物卡!L8</f>
        <v>日</v>
      </c>
      <c r="AD4" s="1214"/>
      <c r="AE4" s="1215"/>
      <c r="AF4" s="1187"/>
      <c r="AG4" s="1187"/>
      <c r="AH4" s="1187"/>
      <c r="AI4" s="1187"/>
      <c r="AJ4" s="1187"/>
      <c r="AK4" s="1187"/>
      <c r="AL4" s="1187"/>
      <c r="AM4" s="1187"/>
      <c r="AN4" s="1187"/>
    </row>
    <row r="5" spans="8:8" ht="16.95" customHeight="1">
      <c r="B5" s="1216" t="s">
        <v>307</v>
      </c>
      <c r="C5" s="1192">
        <f>CON</f>
        <v>0.0</v>
      </c>
      <c r="D5" s="1193">
        <f>INT(C5/2)</f>
        <v>0.0</v>
      </c>
      <c r="E5" s="1194" t="s">
        <v>308</v>
      </c>
      <c r="F5" s="1189">
        <f>APP</f>
        <v>0.0</v>
      </c>
      <c r="G5" s="1190">
        <f>INT(F5/2)</f>
        <v>0.0</v>
      </c>
      <c r="H5" s="1191" t="s">
        <v>309</v>
      </c>
      <c r="I5" s="1192">
        <f>EDU</f>
        <v>0.0</v>
      </c>
      <c r="J5" s="1193">
        <f>INT(I5/2)</f>
        <v>0.0</v>
      </c>
      <c r="K5" s="1194" t="s">
        <v>310</v>
      </c>
      <c r="L5" s="1189">
        <f>SIZ</f>
        <v>0.0</v>
      </c>
      <c r="M5" s="1217">
        <f>INT(L5/2)</f>
        <v>0.0</v>
      </c>
      <c r="N5" s="1196" t="str">
        <f>IF(Q5=0,"",人物卡!F18)</f>
        <v/>
      </c>
      <c r="O5" s="1197"/>
      <c r="P5" s="1197"/>
      <c r="Q5" s="1198">
        <f>IF(人物卡!R18-人物卡!J18=0,0,人物卡!R18)</f>
        <v>0.0</v>
      </c>
      <c r="R5" s="1199">
        <f t="shared" si="0"/>
        <v>0.0</v>
      </c>
      <c r="S5" s="1200">
        <f t="shared" si="1"/>
        <v>0.0</v>
      </c>
      <c r="T5" s="1201" t="str">
        <f>IF(W5=0,"",人物卡!AB18)</f>
        <v/>
      </c>
      <c r="U5" s="1201"/>
      <c r="V5" s="1201"/>
      <c r="W5" s="1202">
        <f>IF(人物卡!AN18-人物卡!AF18=0,0,人物卡!AN18)</f>
        <v>0.0</v>
      </c>
      <c r="X5" s="1203">
        <f t="shared" si="2"/>
        <v>0.0</v>
      </c>
      <c r="Y5" s="1204">
        <f t="shared" si="3"/>
        <v>0.0</v>
      </c>
      <c r="Z5" s="1218" t="s">
        <v>257</v>
      </c>
      <c r="AA5" s="1219"/>
      <c r="AB5" s="1219"/>
      <c r="AC5" s="1219"/>
      <c r="AD5" s="1219"/>
      <c r="AE5" s="1220"/>
      <c r="AF5" s="1187"/>
      <c r="AG5" s="1187"/>
      <c r="AH5" s="1187"/>
      <c r="AI5" s="1187"/>
      <c r="AJ5" s="1187"/>
      <c r="AK5" s="1187"/>
      <c r="AL5" s="1187"/>
      <c r="AM5" s="1187"/>
      <c r="AN5" s="1187"/>
    </row>
    <row r="6" spans="8:8" ht="16.95" customHeight="1">
      <c r="B6" s="1221"/>
      <c r="C6" s="1222"/>
      <c r="D6" s="1223">
        <f>INT(C5/5)</f>
        <v>0.0</v>
      </c>
      <c r="E6" s="1224"/>
      <c r="F6" s="1225"/>
      <c r="G6" s="1223">
        <f>INT(F5/5)</f>
        <v>0.0</v>
      </c>
      <c r="H6" s="1226"/>
      <c r="I6" s="1222"/>
      <c r="J6" s="1223">
        <f>INT(I5/5)</f>
        <v>0.0</v>
      </c>
      <c r="K6" s="1224"/>
      <c r="L6" s="1225"/>
      <c r="M6" s="1227">
        <f>INT(L5/5)</f>
        <v>0.0</v>
      </c>
      <c r="N6" s="1196" t="str">
        <f>IF(Q6=0,"",人物卡!F19)</f>
        <v/>
      </c>
      <c r="O6" s="1197"/>
      <c r="P6" s="1197"/>
      <c r="Q6" s="1198">
        <f>IF(人物卡!R19-人物卡!J19=0,0,人物卡!R19)</f>
        <v>0.0</v>
      </c>
      <c r="R6" s="1199">
        <f t="shared" si="0"/>
        <v>0.0</v>
      </c>
      <c r="S6" s="1200">
        <f t="shared" si="1"/>
        <v>0.0</v>
      </c>
      <c r="T6" s="1201" t="str">
        <f>IF(W6=0,"",人物卡!AB19)</f>
        <v/>
      </c>
      <c r="U6" s="1201"/>
      <c r="V6" s="1201"/>
      <c r="W6" s="1202">
        <f>IF(人物卡!AN19-人物卡!AF19=0,0,人物卡!AN19)</f>
        <v>0.0</v>
      </c>
      <c r="X6" s="1203">
        <f t="shared" si="2"/>
        <v>0.0</v>
      </c>
      <c r="Y6" s="1204">
        <f t="shared" si="3"/>
        <v>0.0</v>
      </c>
      <c r="Z6" s="1228" t="s">
        <v>5</v>
      </c>
      <c r="AA6" s="1229"/>
      <c r="AB6" s="1229" t="s">
        <v>261</v>
      </c>
      <c r="AC6" s="1229"/>
      <c r="AD6" s="1229"/>
      <c r="AE6" s="1230"/>
      <c r="AF6" s="1187"/>
      <c r="AG6" s="1187"/>
      <c r="AH6" s="1187"/>
      <c r="AI6" s="1187"/>
      <c r="AJ6" s="1187"/>
      <c r="AK6" s="1187"/>
      <c r="AL6" s="1187"/>
      <c r="AM6" s="1187"/>
      <c r="AN6" s="1187"/>
    </row>
    <row r="7" spans="8:8" ht="16.95" customHeight="1">
      <c r="B7" s="1231" t="s">
        <v>311</v>
      </c>
      <c r="C7" s="1232">
        <f>人物卡!E10</f>
        <v>0.0</v>
      </c>
      <c r="D7" s="1233">
        <f>人物卡!G10</f>
        <v>0.0</v>
      </c>
      <c r="E7" s="1234" t="s">
        <v>312</v>
      </c>
      <c r="F7" s="1235">
        <f>人物卡!N10</f>
        <v>0.0</v>
      </c>
      <c r="G7" s="1236">
        <f>人物卡!P10</f>
        <v>99.0</v>
      </c>
      <c r="H7" s="1237" t="s">
        <v>313</v>
      </c>
      <c r="I7" s="1232">
        <f>人物卡!W10</f>
        <v>0.0</v>
      </c>
      <c r="J7" s="1233">
        <f>MP</f>
        <v>0.0</v>
      </c>
      <c r="K7" s="1238" t="s">
        <v>314</v>
      </c>
      <c r="L7" s="1234" t="str">
        <f>人物卡!AN10</f>
        <v>无</v>
      </c>
      <c r="M7" s="1239"/>
      <c r="N7" s="1240">
        <f t="shared" si="4" ref="N7:N9">IF(Q7=0,0,"技艺：")</f>
        <v>0.0</v>
      </c>
      <c r="O7" s="1197" t="str">
        <f>IF(N7=0,"",人物卡!H20)</f>
        <v/>
      </c>
      <c r="P7" s="1197"/>
      <c r="Q7" s="1198">
        <f>IF(人物卡!R20-人物卡!J20=0,0,人物卡!R20)</f>
        <v>0.0</v>
      </c>
      <c r="R7" s="1199">
        <f t="shared" si="0"/>
        <v>0.0</v>
      </c>
      <c r="S7" s="1200">
        <f t="shared" si="1"/>
        <v>0.0</v>
      </c>
      <c r="T7" s="1201" t="str">
        <f>IF(W7=0,"",人物卡!AB20)</f>
        <v/>
      </c>
      <c r="U7" s="1201"/>
      <c r="V7" s="1201"/>
      <c r="W7" s="1202">
        <f>IF(人物卡!AN20-人物卡!AF20=0,0,人物卡!AN20)</f>
        <v>0.0</v>
      </c>
      <c r="X7" s="1203">
        <f t="shared" si="2"/>
        <v>0.0</v>
      </c>
      <c r="Y7" s="1204">
        <f t="shared" si="3"/>
        <v>0.0</v>
      </c>
      <c r="Z7" s="1241">
        <f>人物卡!W130</f>
        <v>0.0</v>
      </c>
      <c r="AA7" s="1242"/>
      <c r="AB7" s="1242">
        <f>人物卡!AD130</f>
        <v>0.0</v>
      </c>
      <c r="AC7" s="1242"/>
      <c r="AD7" s="1242"/>
      <c r="AE7" s="1243"/>
      <c r="AF7" s="1187"/>
      <c r="AG7" s="1187"/>
      <c r="AH7" s="1187"/>
      <c r="AI7" s="1187"/>
      <c r="AJ7" s="1187"/>
      <c r="AK7" s="1187"/>
      <c r="AL7" s="1187"/>
      <c r="AM7" s="1187"/>
      <c r="AN7" s="1187"/>
    </row>
    <row r="8" spans="8:8" ht="16.95" customHeight="1">
      <c r="B8" s="1244"/>
      <c r="C8" s="1245"/>
      <c r="D8" s="1246"/>
      <c r="E8" s="1194"/>
      <c r="F8" s="1247"/>
      <c r="G8" s="1248"/>
      <c r="H8" s="1249"/>
      <c r="I8" s="1245"/>
      <c r="J8" s="1250"/>
      <c r="K8" s="1251"/>
      <c r="L8" s="1252"/>
      <c r="M8" s="1253"/>
      <c r="N8" s="1240">
        <f t="shared" si="4"/>
        <v>0.0</v>
      </c>
      <c r="O8" s="1197" t="str">
        <f>IF(N8=0,"",人物卡!H21)</f>
        <v/>
      </c>
      <c r="P8" s="1197"/>
      <c r="Q8" s="1198">
        <f>IF(人物卡!R21-人物卡!J21=0,0,人物卡!R21)</f>
        <v>0.0</v>
      </c>
      <c r="R8" s="1199">
        <f t="shared" si="0"/>
        <v>0.0</v>
      </c>
      <c r="S8" s="1200">
        <f t="shared" si="1"/>
        <v>0.0</v>
      </c>
      <c r="T8" s="1201" t="str">
        <f>IF(W8=0,"",人物卡!AB21)</f>
        <v/>
      </c>
      <c r="U8" s="1201"/>
      <c r="V8" s="1201"/>
      <c r="W8" s="1202">
        <f>IF(人物卡!AN21-人物卡!AF21=0,0,人物卡!AN21)</f>
        <v>0.0</v>
      </c>
      <c r="X8" s="1203">
        <f t="shared" si="2"/>
        <v>0.0</v>
      </c>
      <c r="Y8" s="1204">
        <f t="shared" si="3"/>
        <v>0.0</v>
      </c>
      <c r="Z8" s="1241">
        <f>人物卡!W131</f>
        <v>0.0</v>
      </c>
      <c r="AA8" s="1242"/>
      <c r="AB8" s="1242">
        <f>人物卡!AD131</f>
        <v>0.0</v>
      </c>
      <c r="AC8" s="1242"/>
      <c r="AD8" s="1242"/>
      <c r="AE8" s="1243"/>
      <c r="AF8" s="1187"/>
      <c r="AG8" s="1187"/>
      <c r="AH8" s="1187"/>
      <c r="AI8" s="1187"/>
      <c r="AJ8" s="1187"/>
      <c r="AK8" s="1187"/>
      <c r="AL8" s="1187"/>
      <c r="AM8" s="1187"/>
      <c r="AN8" s="1187"/>
    </row>
    <row r="9" spans="8:8" ht="16.95" customHeight="1">
      <c r="B9" s="1244" t="s">
        <v>315</v>
      </c>
      <c r="C9" s="1254" t="str">
        <f>人物卡!AP52</f>
        <v>0</v>
      </c>
      <c r="D9" s="1254"/>
      <c r="E9" s="1252" t="s">
        <v>316</v>
      </c>
      <c r="F9" s="1252" t="str">
        <f>人物卡!AP55</f>
        <v>0</v>
      </c>
      <c r="G9" s="1252"/>
      <c r="H9" s="1249" t="s">
        <v>317</v>
      </c>
      <c r="I9" s="1254">
        <f>Luck</f>
        <v>0.0</v>
      </c>
      <c r="J9" s="1254"/>
      <c r="K9" s="1194" t="s">
        <v>318</v>
      </c>
      <c r="L9" s="1252">
        <f>人物卡!AF10</f>
        <v>8.0</v>
      </c>
      <c r="M9" s="1253"/>
      <c r="N9" s="1240">
        <f t="shared" si="4"/>
        <v>0.0</v>
      </c>
      <c r="O9" s="1197" t="str">
        <f>IF(N9=0,"",人物卡!H22)</f>
        <v/>
      </c>
      <c r="P9" s="1197"/>
      <c r="Q9" s="1198">
        <f>IF(人物卡!R22-人物卡!J22=0,0,人物卡!R22)</f>
        <v>0.0</v>
      </c>
      <c r="R9" s="1199">
        <f t="shared" si="0"/>
        <v>0.0</v>
      </c>
      <c r="S9" s="1200">
        <f t="shared" si="1"/>
        <v>0.0</v>
      </c>
      <c r="T9" s="1201" t="str">
        <f>IF(W9=0,"",人物卡!AB22)</f>
        <v/>
      </c>
      <c r="U9" s="1201"/>
      <c r="V9" s="1201"/>
      <c r="W9" s="1202">
        <f>IF(人物卡!AN22-人物卡!AF22=0,0,人物卡!AN22)</f>
        <v>0.0</v>
      </c>
      <c r="X9" s="1203">
        <f t="shared" si="2"/>
        <v>0.0</v>
      </c>
      <c r="Y9" s="1204">
        <f t="shared" si="3"/>
        <v>0.0</v>
      </c>
      <c r="Z9" s="1241">
        <f>人物卡!W132</f>
        <v>0.0</v>
      </c>
      <c r="AA9" s="1242"/>
      <c r="AB9" s="1242">
        <f>人物卡!AD132</f>
        <v>0.0</v>
      </c>
      <c r="AC9" s="1242"/>
      <c r="AD9" s="1242"/>
      <c r="AE9" s="1243"/>
      <c r="AF9" s="1187"/>
      <c r="AM9" s="1187"/>
      <c r="AN9" s="1187"/>
    </row>
    <row r="10" spans="8:8" ht="16.95" customHeight="1">
      <c r="B10" s="1255"/>
      <c r="C10" s="1256"/>
      <c r="D10" s="1256"/>
      <c r="E10" s="1224"/>
      <c r="F10" s="1224"/>
      <c r="G10" s="1224"/>
      <c r="H10" s="1256"/>
      <c r="I10" s="1256"/>
      <c r="J10" s="1256"/>
      <c r="K10" s="1224"/>
      <c r="L10" s="1224"/>
      <c r="M10" s="1257"/>
      <c r="N10" s="1196" t="str">
        <f>IF(Q10=0,"",人物卡!F23)</f>
        <v/>
      </c>
      <c r="O10" s="1197"/>
      <c r="P10" s="1197"/>
      <c r="Q10" s="1198">
        <f>IF(人物卡!R23-人物卡!J23=0,0,人物卡!R23)</f>
        <v>0.0</v>
      </c>
      <c r="R10" s="1199">
        <f t="shared" si="0"/>
        <v>0.0</v>
      </c>
      <c r="S10" s="1200">
        <f t="shared" si="1"/>
        <v>0.0</v>
      </c>
      <c r="T10" s="1201" t="str">
        <f>IF(W10=0,"",人物卡!AB23)</f>
        <v/>
      </c>
      <c r="U10" s="1201"/>
      <c r="V10" s="1201"/>
      <c r="W10" s="1202">
        <f>IF(人物卡!AN23-人物卡!AF23=0,0,人物卡!AN23)</f>
        <v>0.0</v>
      </c>
      <c r="X10" s="1203">
        <f t="shared" si="2"/>
        <v>0.0</v>
      </c>
      <c r="Y10" s="1204">
        <f t="shared" si="3"/>
        <v>0.0</v>
      </c>
      <c r="Z10" s="1241">
        <f>人物卡!W133</f>
        <v>0.0</v>
      </c>
      <c r="AA10" s="1242"/>
      <c r="AB10" s="1242">
        <f>人物卡!AD133</f>
        <v>0.0</v>
      </c>
      <c r="AC10" s="1242"/>
      <c r="AD10" s="1242"/>
      <c r="AE10" s="1243"/>
      <c r="AF10" s="1187"/>
      <c r="AG10" s="1187"/>
      <c r="AH10" s="1187"/>
      <c r="AI10" s="1187"/>
      <c r="AJ10" s="1187"/>
      <c r="AK10" s="1187"/>
      <c r="AL10" s="1187"/>
      <c r="AM10" s="1187"/>
      <c r="AN10" s="1187"/>
    </row>
    <row r="11" spans="8:8" ht="16.95" customHeight="1">
      <c r="B11" s="1181" t="s">
        <v>155</v>
      </c>
      <c r="C11" s="1182"/>
      <c r="D11" s="1182"/>
      <c r="E11" s="1182"/>
      <c r="F11" s="1182"/>
      <c r="G11" s="1182"/>
      <c r="H11" s="1182"/>
      <c r="I11" s="1182"/>
      <c r="J11" s="1182"/>
      <c r="K11" s="1182"/>
      <c r="L11" s="1182"/>
      <c r="M11" s="1183"/>
      <c r="N11" s="1196" t="str">
        <f>IF(Q11=0,"",人物卡!F24)</f>
        <v/>
      </c>
      <c r="O11" s="1197"/>
      <c r="P11" s="1197"/>
      <c r="Q11" s="1198">
        <f>IF(人物卡!R24-人物卡!J24=0,0,人物卡!R24)</f>
        <v>0.0</v>
      </c>
      <c r="R11" s="1199">
        <f t="shared" si="0"/>
        <v>0.0</v>
      </c>
      <c r="S11" s="1200">
        <f t="shared" si="1"/>
        <v>0.0</v>
      </c>
      <c r="T11" s="1201" t="str">
        <f>IF(W11=0,"",人物卡!AB24)</f>
        <v/>
      </c>
      <c r="U11" s="1201"/>
      <c r="V11" s="1201"/>
      <c r="W11" s="1202">
        <f>IF(人物卡!AN24-人物卡!AF24=0,0,人物卡!AN24)</f>
        <v>0.0</v>
      </c>
      <c r="X11" s="1203">
        <f t="shared" si="2"/>
        <v>0.0</v>
      </c>
      <c r="Y11" s="1204">
        <f t="shared" si="3"/>
        <v>0.0</v>
      </c>
      <c r="Z11" s="1241">
        <f>人物卡!W134</f>
        <v>0.0</v>
      </c>
      <c r="AA11" s="1242"/>
      <c r="AB11" s="1242">
        <f>人物卡!AD134</f>
        <v>0.0</v>
      </c>
      <c r="AC11" s="1242"/>
      <c r="AD11" s="1242"/>
      <c r="AE11" s="1243"/>
      <c r="AM11" s="1187"/>
      <c r="AN11" s="1187"/>
    </row>
    <row r="12" spans="8:8" ht="16.95" customHeight="1">
      <c r="B12" s="1258" t="str">
        <f>人物卡!B53</f>
        <v>无</v>
      </c>
      <c r="C12" s="1259" t="str">
        <f>人物卡!G53</f>
        <v>肉搏</v>
      </c>
      <c r="D12" s="1259" t="str">
        <f>人物卡!M53</f>
        <v>斗殴</v>
      </c>
      <c r="E12" s="1259">
        <f>人物卡!Q53</f>
        <v>25.0</v>
      </c>
      <c r="F12" s="1259">
        <f>人物卡!S53</f>
        <v>12.0</v>
      </c>
      <c r="G12" s="1259">
        <f>人物卡!U53</f>
        <v>5.0</v>
      </c>
      <c r="H12" s="1259" t="str">
        <f>人物卡!W53</f>
        <v>1D3+DB</v>
      </c>
      <c r="I12" s="1259" t="str">
        <f>人物卡!AA53</f>
        <v>——</v>
      </c>
      <c r="J12" s="1259" t="str">
        <f>人物卡!AC53</f>
        <v>×</v>
      </c>
      <c r="K12" s="1259">
        <f>人物卡!AE53</f>
        <v>1.0</v>
      </c>
      <c r="L12" s="1259" t="str">
        <f>人物卡!AG53</f>
        <v>——</v>
      </c>
      <c r="M12" s="1260" t="str">
        <f>人物卡!AJ53</f>
        <v>——</v>
      </c>
      <c r="N12" s="1196" t="str">
        <f>IF(Q12=0,"",人物卡!F25)</f>
        <v/>
      </c>
      <c r="O12" s="1197"/>
      <c r="P12" s="1197"/>
      <c r="Q12" s="1198">
        <f>IF(人物卡!R25-人物卡!J25=0,0,人物卡!R25)</f>
        <v>0.0</v>
      </c>
      <c r="R12" s="1199">
        <f t="shared" si="0"/>
        <v>0.0</v>
      </c>
      <c r="S12" s="1200">
        <f t="shared" si="1"/>
        <v>0.0</v>
      </c>
      <c r="T12" s="1201" t="str">
        <f>IF(W12=0,"",人物卡!AB25)</f>
        <v/>
      </c>
      <c r="U12" s="1201"/>
      <c r="V12" s="1201"/>
      <c r="W12" s="1202">
        <f>IF(人物卡!AN25-人物卡!AF25=0,0,人物卡!AN25)</f>
        <v>0.0</v>
      </c>
      <c r="X12" s="1203">
        <f t="shared" si="2"/>
        <v>0.0</v>
      </c>
      <c r="Y12" s="1204">
        <f t="shared" si="3"/>
        <v>0.0</v>
      </c>
      <c r="Z12" s="1241">
        <f>人物卡!W135</f>
        <v>0.0</v>
      </c>
      <c r="AA12" s="1242"/>
      <c r="AB12" s="1242">
        <f>人物卡!AD135</f>
        <v>0.0</v>
      </c>
      <c r="AC12" s="1242"/>
      <c r="AD12" s="1242"/>
      <c r="AE12" s="1243"/>
      <c r="AI12" s="1187"/>
      <c r="AJ12" s="1187"/>
      <c r="AK12" s="1187"/>
      <c r="AL12" s="1187"/>
      <c r="AM12" s="1187"/>
      <c r="AN12" s="1187"/>
    </row>
    <row r="13" spans="8:8" ht="16.95" customHeight="1">
      <c r="B13" s="1261">
        <f>人物卡!B54</f>
        <v>0.0</v>
      </c>
      <c r="C13" s="1262">
        <f>人物卡!G54</f>
        <v>0.0</v>
      </c>
      <c r="D13" s="1262" t="str">
        <f>IF(人物卡!M54="请选择类型","",人物卡!M54)</f>
        <v>←请选择类型</v>
      </c>
      <c r="E13" s="1262" t="str">
        <f>人物卡!Q54</f>
        <v/>
      </c>
      <c r="F13" s="1262" t="str">
        <f>人物卡!S54</f>
        <v/>
      </c>
      <c r="G13" s="1262" t="str">
        <f>人物卡!U54</f>
        <v/>
      </c>
      <c r="H13" s="1262" t="str">
        <f>人物卡!W54</f>
        <v/>
      </c>
      <c r="I13" s="1262" t="str">
        <f>人物卡!AA54</f>
        <v/>
      </c>
      <c r="J13" s="1262" t="str">
        <f>人物卡!AC54</f>
        <v/>
      </c>
      <c r="K13" s="1262" t="str">
        <f>人物卡!AE54</f>
        <v/>
      </c>
      <c r="L13" s="1262" t="str">
        <f>人物卡!AG54</f>
        <v/>
      </c>
      <c r="M13" s="1263" t="str">
        <f>人物卡!AJ54</f>
        <v/>
      </c>
      <c r="N13" s="1196" t="str">
        <f>人物卡!F26</f>
        <v>信用评级</v>
      </c>
      <c r="O13" s="1197"/>
      <c r="P13" s="1197"/>
      <c r="Q13" s="1264">
        <f>人物卡!R26</f>
        <v>0.0</v>
      </c>
      <c r="R13" s="1265">
        <f>IF(Q13=0,32767,INT(Q13/2))</f>
        <v>32767.0</v>
      </c>
      <c r="S13" s="1266">
        <f>IF(Q13=0,32767,INT(Q13/5))</f>
        <v>32767.0</v>
      </c>
      <c r="T13" s="1201" t="str">
        <f>IF(W13=0,"",人物卡!AB26)</f>
        <v/>
      </c>
      <c r="U13" s="1201"/>
      <c r="V13" s="1201"/>
      <c r="W13" s="1202">
        <f>IF(人物卡!AN26-人物卡!AF26=0,0,人物卡!AN26)</f>
        <v>0.0</v>
      </c>
      <c r="X13" s="1203">
        <f t="shared" si="2"/>
        <v>0.0</v>
      </c>
      <c r="Y13" s="1204">
        <f t="shared" si="3"/>
        <v>0.0</v>
      </c>
      <c r="Z13" s="1241">
        <f>人物卡!W136</f>
        <v>0.0</v>
      </c>
      <c r="AA13" s="1242"/>
      <c r="AB13" s="1242">
        <f>人物卡!AD136</f>
        <v>0.0</v>
      </c>
      <c r="AC13" s="1242"/>
      <c r="AD13" s="1242"/>
      <c r="AE13" s="1243"/>
      <c r="AF13" s="1187"/>
      <c r="AM13" s="1187"/>
      <c r="AN13" s="1187"/>
    </row>
    <row r="14" spans="8:8" ht="16.95" customHeight="1">
      <c r="B14" s="1267">
        <f>人物卡!B55</f>
        <v>0.0</v>
      </c>
      <c r="C14" s="1268">
        <f>人物卡!G55</f>
        <v>0.0</v>
      </c>
      <c r="D14" s="1268" t="str">
        <f>IF(人物卡!M55="请选择类型","",人物卡!M55)</f>
        <v/>
      </c>
      <c r="E14" s="1268" t="str">
        <f>人物卡!Q55</f>
        <v/>
      </c>
      <c r="F14" s="1268" t="str">
        <f>人物卡!S55</f>
        <v/>
      </c>
      <c r="G14" s="1268" t="str">
        <f>人物卡!U55</f>
        <v/>
      </c>
      <c r="H14" s="1268" t="str">
        <f>人物卡!W55</f>
        <v/>
      </c>
      <c r="I14" s="1268" t="str">
        <f>人物卡!AA55</f>
        <v/>
      </c>
      <c r="J14" s="1268" t="str">
        <f>人物卡!AC55</f>
        <v/>
      </c>
      <c r="K14" s="1268" t="str">
        <f>人物卡!AE55</f>
        <v/>
      </c>
      <c r="L14" s="1268" t="str">
        <f>人物卡!AG55</f>
        <v/>
      </c>
      <c r="M14" s="1269" t="str">
        <f>人物卡!AJ55</f>
        <v/>
      </c>
      <c r="N14" s="1196" t="str">
        <f>IF(Q14=0,"",人物卡!F27)</f>
        <v/>
      </c>
      <c r="O14" s="1197"/>
      <c r="P14" s="1197"/>
      <c r="Q14" s="1198">
        <f>IF(人物卡!R27-人物卡!J27=0,0,人物卡!R27)</f>
        <v>0.0</v>
      </c>
      <c r="R14" s="1199">
        <f t="shared" si="5" ref="R14:R35">INT(Q14/2)</f>
        <v>0.0</v>
      </c>
      <c r="S14" s="1200">
        <f t="shared" si="6" ref="S14:S35">INT(Q14/5)</f>
        <v>0.0</v>
      </c>
      <c r="T14" s="1270">
        <f>IF(W14=0,0,人物卡!AB27)</f>
        <v>0.0</v>
      </c>
      <c r="U14" s="1201" t="str">
        <f>IF(T14=0,"",人物卡!AD27)</f>
        <v/>
      </c>
      <c r="V14" s="1201"/>
      <c r="W14" s="1202">
        <f>IF(人物卡!AN27-人物卡!AF27=0,0,人物卡!AN27)</f>
        <v>0.0</v>
      </c>
      <c r="X14" s="1203">
        <f t="shared" si="2"/>
        <v>0.0</v>
      </c>
      <c r="Y14" s="1204">
        <f t="shared" si="3"/>
        <v>0.0</v>
      </c>
      <c r="Z14" s="1241">
        <f>人物卡!W137</f>
        <v>0.0</v>
      </c>
      <c r="AA14" s="1242"/>
      <c r="AB14" s="1242">
        <f>人物卡!AD137</f>
        <v>0.0</v>
      </c>
      <c r="AC14" s="1242"/>
      <c r="AD14" s="1242"/>
      <c r="AE14" s="1243"/>
      <c r="AF14" s="1187"/>
      <c r="AG14" s="1187"/>
      <c r="AH14" s="1187"/>
      <c r="AI14" s="1187"/>
      <c r="AJ14" s="1187"/>
      <c r="AK14" s="1187"/>
      <c r="AL14" s="1187"/>
      <c r="AM14" s="1187"/>
      <c r="AN14" s="1187"/>
    </row>
    <row r="15" spans="8:8" ht="16.95" customHeight="1">
      <c r="B15" s="1261">
        <f>人物卡!B56</f>
        <v>0.0</v>
      </c>
      <c r="C15" s="1262">
        <f>人物卡!G56</f>
        <v>0.0</v>
      </c>
      <c r="D15" s="1262" t="str">
        <f>IF(人物卡!M56="请选择类型","",人物卡!M56)</f>
        <v/>
      </c>
      <c r="E15" s="1262" t="str">
        <f>人物卡!Q56</f>
        <v/>
      </c>
      <c r="F15" s="1262" t="str">
        <f>人物卡!S56</f>
        <v/>
      </c>
      <c r="G15" s="1262" t="str">
        <f>人物卡!U56</f>
        <v/>
      </c>
      <c r="H15" s="1262" t="str">
        <f>人物卡!W56</f>
        <v/>
      </c>
      <c r="I15" s="1262" t="str">
        <f>人物卡!AA56</f>
        <v/>
      </c>
      <c r="J15" s="1262" t="str">
        <f>人物卡!AC56</f>
        <v/>
      </c>
      <c r="K15" s="1262" t="str">
        <f>人物卡!AE56</f>
        <v/>
      </c>
      <c r="L15" s="1262" t="str">
        <f>人物卡!AG56</f>
        <v/>
      </c>
      <c r="M15" s="1263" t="str">
        <f>人物卡!AJ56</f>
        <v/>
      </c>
      <c r="N15" s="1196" t="str">
        <f>IF(Q15=0,"",人物卡!F28)</f>
        <v/>
      </c>
      <c r="O15" s="1197"/>
      <c r="P15" s="1197"/>
      <c r="Q15" s="1198">
        <f>IF(人物卡!R28-人物卡!J28=0,0,人物卡!R28)</f>
        <v>0.0</v>
      </c>
      <c r="R15" s="1199">
        <f t="shared" si="5"/>
        <v>0.0</v>
      </c>
      <c r="S15" s="1200">
        <f t="shared" si="6"/>
        <v>0.0</v>
      </c>
      <c r="T15" s="1201" t="str">
        <f>IF(W15=0,"",人物卡!AB28)</f>
        <v/>
      </c>
      <c r="U15" s="1201"/>
      <c r="V15" s="1201"/>
      <c r="W15" s="1202">
        <f>IF(人物卡!AN28-人物卡!AF28=0,0,人物卡!AN28)</f>
        <v>0.0</v>
      </c>
      <c r="X15" s="1203">
        <f t="shared" si="2"/>
        <v>0.0</v>
      </c>
      <c r="Y15" s="1204">
        <f t="shared" si="3"/>
        <v>0.0</v>
      </c>
      <c r="Z15" s="1241">
        <f>人物卡!W138</f>
        <v>0.0</v>
      </c>
      <c r="AA15" s="1242"/>
      <c r="AB15" s="1242">
        <f>人物卡!AD138</f>
        <v>0.0</v>
      </c>
      <c r="AC15" s="1242"/>
      <c r="AD15" s="1242"/>
      <c r="AE15" s="1243"/>
      <c r="AF15" s="1187"/>
      <c r="AJ15" s="1187"/>
      <c r="AM15" s="1187"/>
      <c r="AN15" s="1187"/>
    </row>
    <row r="16" spans="8:8" ht="16.95" customHeight="1">
      <c r="B16" s="1267">
        <f>人物卡!B57</f>
        <v>0.0</v>
      </c>
      <c r="C16" s="1271">
        <f>人物卡!G57</f>
        <v>0.0</v>
      </c>
      <c r="D16" s="1271">
        <f>IF(人物卡!M57="请选择类型","",人物卡!M57)</f>
        <v>0.0</v>
      </c>
      <c r="E16" s="1271">
        <f>人物卡!Q57</f>
        <v>0.0</v>
      </c>
      <c r="F16" s="1271">
        <f>人物卡!S57</f>
        <v>0.0</v>
      </c>
      <c r="G16" s="1271">
        <f>人物卡!U57</f>
        <v>0.0</v>
      </c>
      <c r="H16" s="1271">
        <f>人物卡!W57</f>
        <v>0.0</v>
      </c>
      <c r="I16" s="1271">
        <f>人物卡!AA57</f>
        <v>0.0</v>
      </c>
      <c r="J16" s="1271">
        <f>人物卡!AC57</f>
        <v>0.0</v>
      </c>
      <c r="K16" s="1271">
        <f>人物卡!AE57</f>
        <v>0.0</v>
      </c>
      <c r="L16" s="1271">
        <f>人物卡!AG57</f>
        <v>0.0</v>
      </c>
      <c r="M16" s="1269">
        <f>人物卡!AJ57</f>
        <v>0.0</v>
      </c>
      <c r="N16" s="1196" t="str">
        <f>人物卡!F29</f>
        <v>闪避</v>
      </c>
      <c r="O16" s="1197"/>
      <c r="P16" s="1197"/>
      <c r="Q16" s="1264">
        <f>人物卡!R29</f>
        <v>0.0</v>
      </c>
      <c r="R16" s="1265">
        <f>IF(Q16=0,32767,INT(Q16/2))</f>
        <v>32767.0</v>
      </c>
      <c r="S16" s="1266">
        <f>IF(Q16=0,32767,INT(Q16/5))</f>
        <v>32767.0</v>
      </c>
      <c r="T16" s="1201" t="str">
        <f>IF(W16=0,"",人物卡!AB29)</f>
        <v/>
      </c>
      <c r="U16" s="1201"/>
      <c r="V16" s="1201"/>
      <c r="W16" s="1202">
        <f>IF(人物卡!AN29-人物卡!AF29=0,0,人物卡!AN29)</f>
        <v>0.0</v>
      </c>
      <c r="X16" s="1203">
        <f t="shared" si="2"/>
        <v>0.0</v>
      </c>
      <c r="Y16" s="1204">
        <f t="shared" si="3"/>
        <v>0.0</v>
      </c>
      <c r="Z16" s="1241">
        <f>人物卡!W139</f>
        <v>0.0</v>
      </c>
      <c r="AA16" s="1242"/>
      <c r="AB16" s="1242">
        <f>人物卡!AD139</f>
        <v>0.0</v>
      </c>
      <c r="AC16" s="1242"/>
      <c r="AD16" s="1242"/>
      <c r="AE16" s="1243"/>
      <c r="AF16" s="1187"/>
      <c r="AG16" s="1187"/>
      <c r="AH16" s="1187"/>
      <c r="AI16" s="1187"/>
      <c r="AJ16" s="1187"/>
      <c r="AK16" s="1187"/>
      <c r="AL16" s="1187"/>
      <c r="AM16" s="1187"/>
      <c r="AN16" s="1187"/>
    </row>
    <row r="17" spans="8:8" ht="16.95" customHeight="1">
      <c r="B17" s="1181" t="s">
        <v>174</v>
      </c>
      <c r="C17" s="1182"/>
      <c r="D17" s="1182"/>
      <c r="E17" s="1182"/>
      <c r="F17" s="1182"/>
      <c r="G17" s="1182"/>
      <c r="H17" s="1182"/>
      <c r="I17" s="1182"/>
      <c r="J17" s="1182"/>
      <c r="K17" s="1182"/>
      <c r="L17" s="1182"/>
      <c r="M17" s="1183"/>
      <c r="N17" s="1196" t="str">
        <f>IF(Q17=0,"",人物卡!F30)</f>
        <v/>
      </c>
      <c r="O17" s="1197"/>
      <c r="P17" s="1197"/>
      <c r="Q17" s="1198">
        <f>IF(人物卡!R30-人物卡!J30=0,0,人物卡!R30)</f>
        <v>0.0</v>
      </c>
      <c r="R17" s="1199">
        <f t="shared" si="5"/>
        <v>0.0</v>
      </c>
      <c r="S17" s="1200">
        <f t="shared" si="6"/>
        <v>0.0</v>
      </c>
      <c r="T17" s="1201" t="str">
        <f>IF(W17=0,"",人物卡!AB30)</f>
        <v/>
      </c>
      <c r="U17" s="1201"/>
      <c r="V17" s="1201"/>
      <c r="W17" s="1202">
        <f>IF(人物卡!AN30-人物卡!AF30=0,0,人物卡!AN30)</f>
        <v>0.0</v>
      </c>
      <c r="X17" s="1203">
        <f t="shared" si="2"/>
        <v>0.0</v>
      </c>
      <c r="Y17" s="1204">
        <f t="shared" si="3"/>
        <v>0.0</v>
      </c>
      <c r="Z17" s="1272">
        <f>人物卡!W140</f>
        <v>0.0</v>
      </c>
      <c r="AA17" s="1273"/>
      <c r="AB17" s="1273">
        <f>人物卡!AD140</f>
        <v>0.0</v>
      </c>
      <c r="AC17" s="1273"/>
      <c r="AD17" s="1273"/>
      <c r="AE17" s="1274"/>
      <c r="AF17" s="1187"/>
      <c r="AM17" s="1187"/>
      <c r="AN17" s="1187"/>
    </row>
    <row r="18" spans="8:8" ht="16.95" customHeight="1">
      <c r="B18" s="1275" t="s">
        <v>90</v>
      </c>
      <c r="C18" s="1276"/>
      <c r="D18" s="1276"/>
      <c r="E18" s="1276" t="s">
        <v>176</v>
      </c>
      <c r="F18" s="1276"/>
      <c r="G18" s="1276" t="s">
        <v>177</v>
      </c>
      <c r="H18" s="1276"/>
      <c r="I18" s="1276" t="s">
        <v>178</v>
      </c>
      <c r="J18" s="1276"/>
      <c r="K18" s="1276" t="s">
        <v>179</v>
      </c>
      <c r="L18" s="1276"/>
      <c r="M18" s="1277" t="s">
        <v>180</v>
      </c>
      <c r="N18" s="1196" t="str">
        <f>IF(Q18=0,"",人物卡!F31)</f>
        <v/>
      </c>
      <c r="O18" s="1197"/>
      <c r="P18" s="1197"/>
      <c r="Q18" s="1198">
        <f>IF(人物卡!R31-人物卡!J31=0,0,人物卡!R31)</f>
        <v>0.0</v>
      </c>
      <c r="R18" s="1199">
        <f t="shared" si="5"/>
        <v>0.0</v>
      </c>
      <c r="S18" s="1200">
        <f t="shared" si="6"/>
        <v>0.0</v>
      </c>
      <c r="T18" s="1270">
        <f t="shared" si="7" ref="T18:T20">IF(W18=0,0,"科学：")</f>
        <v>0.0</v>
      </c>
      <c r="U18" s="1201" t="str">
        <f>IF(T18=0,"",人物卡!AD31)</f>
        <v/>
      </c>
      <c r="V18" s="1201"/>
      <c r="W18" s="1202">
        <f>IF(人物卡!AN31-人物卡!AF31=0,0,人物卡!AN31)</f>
        <v>0.0</v>
      </c>
      <c r="X18" s="1203">
        <f t="shared" si="2"/>
        <v>0.0</v>
      </c>
      <c r="Y18" s="1204">
        <f t="shared" si="3"/>
        <v>0.0</v>
      </c>
      <c r="Z18" s="1278"/>
      <c r="AA18" s="1279"/>
      <c r="AB18" s="1279"/>
      <c r="AC18" s="1279"/>
      <c r="AD18" s="1279"/>
      <c r="AE18" s="1280"/>
      <c r="AF18" s="1187"/>
      <c r="AM18" s="1187"/>
      <c r="AN18" s="1187"/>
    </row>
    <row r="19" spans="8:8" ht="16.95" customHeight="1">
      <c r="B19" s="1281" t="str">
        <f>人物卡!B62</f>
        <v>0%/0%/0%</v>
      </c>
      <c r="C19" s="1282"/>
      <c r="D19" s="1282"/>
      <c r="E19" s="1282" t="str">
        <f>人物卡!F62</f>
        <v>身无分文</v>
      </c>
      <c r="F19" s="1282"/>
      <c r="G19" s="1282" t="str">
        <f>人物卡!I62</f>
        <v>0.5</v>
      </c>
      <c r="H19" s="1282"/>
      <c r="I19" s="1282" t="str">
        <f>人物卡!L62</f>
        <v>没有</v>
      </c>
      <c r="J19" s="1282"/>
      <c r="K19" s="1282" t="str">
        <f>人物卡!O62</f>
        <v>0.5</v>
      </c>
      <c r="L19" s="1282"/>
      <c r="M19" s="1283" t="str">
        <f>人物卡!S62</f>
        <v>美元</v>
      </c>
      <c r="N19" s="1196" t="str">
        <f>IF(Q19=0,"",人物卡!F32)</f>
        <v/>
      </c>
      <c r="O19" s="1197"/>
      <c r="P19" s="1197"/>
      <c r="Q19" s="1198">
        <f>IF(人物卡!R32-人物卡!J32=0,0,人物卡!R32)</f>
        <v>0.0</v>
      </c>
      <c r="R19" s="1199">
        <f t="shared" si="5"/>
        <v>0.0</v>
      </c>
      <c r="S19" s="1200">
        <f t="shared" si="6"/>
        <v>0.0</v>
      </c>
      <c r="T19" s="1270">
        <f t="shared" si="7"/>
        <v>0.0</v>
      </c>
      <c r="U19" s="1201" t="str">
        <f>IF(T19=0,"",人物卡!AD32)</f>
        <v/>
      </c>
      <c r="V19" s="1201"/>
      <c r="W19" s="1202">
        <f>IF(人物卡!AN32-人物卡!AF32=0,0,人物卡!AN32)</f>
        <v>0.0</v>
      </c>
      <c r="X19" s="1203">
        <f t="shared" si="2"/>
        <v>0.0</v>
      </c>
      <c r="Y19" s="1204">
        <f t="shared" si="3"/>
        <v>0.0</v>
      </c>
      <c r="Z19" s="1278"/>
      <c r="AA19" s="1279"/>
      <c r="AB19" s="1279"/>
      <c r="AC19" s="1279"/>
      <c r="AD19" s="1279"/>
      <c r="AE19" s="1280"/>
      <c r="AF19" s="1187"/>
      <c r="AM19" s="1187"/>
      <c r="AN19" s="1187"/>
    </row>
    <row r="20" spans="8:8" ht="16.95" customHeight="1">
      <c r="B20" s="1284" t="str">
        <f>人物卡!L63</f>
        <v>请在这里详述你的资产</v>
      </c>
      <c r="C20" s="1285"/>
      <c r="D20" s="1285"/>
      <c r="E20" s="1285"/>
      <c r="F20" s="1285"/>
      <c r="G20" s="1285"/>
      <c r="H20" s="1285"/>
      <c r="I20" s="1285"/>
      <c r="J20" s="1285"/>
      <c r="K20" s="1285"/>
      <c r="L20" s="1285"/>
      <c r="M20" s="1286"/>
      <c r="N20" s="1196" t="str">
        <f>IF(Q20=0,"",人物卡!F33)</f>
        <v/>
      </c>
      <c r="O20" s="1197"/>
      <c r="P20" s="1197"/>
      <c r="Q20" s="1198">
        <f>IF(人物卡!R33-人物卡!J33=0,0,人物卡!R33)</f>
        <v>0.0</v>
      </c>
      <c r="R20" s="1199">
        <f t="shared" si="5"/>
        <v>0.0</v>
      </c>
      <c r="S20" s="1200">
        <f t="shared" si="6"/>
        <v>0.0</v>
      </c>
      <c r="T20" s="1270">
        <f t="shared" si="7"/>
        <v>0.0</v>
      </c>
      <c r="U20" s="1201" t="str">
        <f>IF(T20=0,"",人物卡!AD33)</f>
        <v/>
      </c>
      <c r="V20" s="1201"/>
      <c r="W20" s="1202">
        <f>IF(人物卡!AN33-人物卡!AF33=0,0,人物卡!AN33)</f>
        <v>0.0</v>
      </c>
      <c r="X20" s="1203">
        <f t="shared" si="2"/>
        <v>0.0</v>
      </c>
      <c r="Y20" s="1204">
        <f t="shared" si="3"/>
        <v>0.0</v>
      </c>
      <c r="Z20" s="1287"/>
      <c r="AA20" s="1288"/>
      <c r="AB20" s="1288"/>
      <c r="AC20" s="1288"/>
      <c r="AD20" s="1288"/>
      <c r="AE20" s="1289"/>
      <c r="AF20" s="1187"/>
      <c r="AM20" s="1187"/>
      <c r="AN20" s="1187"/>
    </row>
    <row r="21" spans="8:8" ht="16.95" customHeight="1">
      <c r="B21" s="1181" t="s">
        <v>319</v>
      </c>
      <c r="C21" s="1182"/>
      <c r="D21" s="1182"/>
      <c r="E21" s="1182"/>
      <c r="F21" s="1182"/>
      <c r="G21" s="1182"/>
      <c r="H21" s="1182"/>
      <c r="I21" s="1182"/>
      <c r="J21" s="1182"/>
      <c r="K21" s="1182"/>
      <c r="L21" s="1182"/>
      <c r="M21" s="1183"/>
      <c r="N21" s="1240">
        <f t="shared" si="8" ref="N21:N24">IF(Q21=0,0,"格斗：")</f>
        <v>0.0</v>
      </c>
      <c r="O21" s="1197" t="str">
        <f>IF(N21=0,"",人物卡!H34)</f>
        <v/>
      </c>
      <c r="P21" s="1197"/>
      <c r="Q21" s="1198">
        <f>IF(人物卡!R34-人物卡!J34=0,0,人物卡!R34)</f>
        <v>0.0</v>
      </c>
      <c r="R21" s="1199">
        <f t="shared" si="5"/>
        <v>0.0</v>
      </c>
      <c r="S21" s="1200">
        <f t="shared" si="6"/>
        <v>0.0</v>
      </c>
      <c r="T21" s="1201" t="str">
        <f>IF(W21=0,"",人物卡!AB34)</f>
        <v/>
      </c>
      <c r="U21" s="1201"/>
      <c r="V21" s="1201"/>
      <c r="W21" s="1202">
        <f>IF(人物卡!AN34-人物卡!AF34=0,0,人物卡!AN34)</f>
        <v>0.0</v>
      </c>
      <c r="X21" s="1203">
        <f t="shared" si="2"/>
        <v>0.0</v>
      </c>
      <c r="Y21" s="1204">
        <f t="shared" si="3"/>
        <v>0.0</v>
      </c>
      <c r="Z21" s="1218" t="s">
        <v>208</v>
      </c>
      <c r="AA21" s="1219"/>
      <c r="AB21" s="1219"/>
      <c r="AC21" s="1219"/>
      <c r="AD21" s="1219"/>
      <c r="AE21" s="1220"/>
      <c r="AF21" s="1187"/>
      <c r="AM21" s="1187"/>
      <c r="AN21" s="1187"/>
    </row>
    <row r="22" spans="8:8" ht="16.95" customHeight="1">
      <c r="B22" s="1290">
        <f>人物卡!F79</f>
        <v>0.0</v>
      </c>
      <c r="C22" s="1291"/>
      <c r="D22" s="1291"/>
      <c r="E22" s="1291">
        <f>人物卡!F80</f>
        <v>0.0</v>
      </c>
      <c r="F22" s="1291"/>
      <c r="G22" s="1291"/>
      <c r="H22" s="1291">
        <f>人物卡!F81</f>
        <v>0.0</v>
      </c>
      <c r="I22" s="1291"/>
      <c r="J22" s="1291"/>
      <c r="K22" s="1291">
        <f>人物卡!F82</f>
        <v>0.0</v>
      </c>
      <c r="L22" s="1291"/>
      <c r="M22" s="1292"/>
      <c r="N22" s="1240">
        <f t="shared" si="8"/>
        <v>0.0</v>
      </c>
      <c r="O22" s="1197" t="str">
        <f>IF(N22=0,"",人物卡!H35)</f>
        <v/>
      </c>
      <c r="P22" s="1197"/>
      <c r="Q22" s="1198">
        <f>IF(人物卡!R35-人物卡!J35=0,0,人物卡!R35)</f>
        <v>0.0</v>
      </c>
      <c r="R22" s="1199">
        <f t="shared" si="5"/>
        <v>0.0</v>
      </c>
      <c r="S22" s="1200">
        <f t="shared" si="6"/>
        <v>0.0</v>
      </c>
      <c r="T22" s="1201" t="str">
        <f>IF(W22=0,"",人物卡!AB35)</f>
        <v/>
      </c>
      <c r="U22" s="1201"/>
      <c r="V22" s="1201"/>
      <c r="W22" s="1202">
        <f>IF(人物卡!AN35-人物卡!AF35=0,0,人物卡!AN35)</f>
        <v>0.0</v>
      </c>
      <c r="X22" s="1203">
        <f t="shared" si="2"/>
        <v>0.0</v>
      </c>
      <c r="Y22" s="1204">
        <f t="shared" si="3"/>
        <v>0.0</v>
      </c>
      <c r="Z22" s="1293" t="s">
        <v>214</v>
      </c>
      <c r="AA22" s="1294"/>
      <c r="AB22" s="1294"/>
      <c r="AC22" s="1294"/>
      <c r="AD22" s="1294" t="s">
        <v>320</v>
      </c>
      <c r="AE22" s="1295"/>
      <c r="AF22" s="1187"/>
      <c r="AM22" s="1187"/>
      <c r="AN22" s="1187"/>
    </row>
    <row r="23" spans="8:8" ht="16.95" customHeight="1">
      <c r="B23" s="1296">
        <f>人物卡!F83</f>
        <v>0.0</v>
      </c>
      <c r="C23" s="1297"/>
      <c r="D23" s="1297"/>
      <c r="E23" s="1297">
        <f>人物卡!F84</f>
        <v>0.0</v>
      </c>
      <c r="F23" s="1297"/>
      <c r="G23" s="1297"/>
      <c r="H23" s="1297">
        <f>人物卡!F85</f>
        <v>0.0</v>
      </c>
      <c r="I23" s="1297"/>
      <c r="J23" s="1297"/>
      <c r="K23" s="1297">
        <f>人物卡!F90</f>
        <v>0.0</v>
      </c>
      <c r="L23" s="1297"/>
      <c r="M23" s="1298"/>
      <c r="N23" s="1240">
        <f t="shared" si="8"/>
        <v>0.0</v>
      </c>
      <c r="O23" s="1197" t="str">
        <f>IF(N23=0,"",人物卡!H36)</f>
        <v/>
      </c>
      <c r="P23" s="1197"/>
      <c r="Q23" s="1198">
        <f>IF(人物卡!R36-人物卡!J36=0,0,人物卡!R36)</f>
        <v>0.0</v>
      </c>
      <c r="R23" s="1199">
        <f t="shared" si="5"/>
        <v>0.0</v>
      </c>
      <c r="S23" s="1200">
        <f t="shared" si="6"/>
        <v>0.0</v>
      </c>
      <c r="T23" s="1201" t="str">
        <f>IF(W23=0,"",人物卡!AB36)</f>
        <v/>
      </c>
      <c r="U23" s="1201"/>
      <c r="V23" s="1201"/>
      <c r="W23" s="1202">
        <f>IF(人物卡!AN36-人物卡!AF36=0,0,人物卡!AN36)</f>
        <v>0.0</v>
      </c>
      <c r="X23" s="1203">
        <f t="shared" si="2"/>
        <v>0.0</v>
      </c>
      <c r="Y23" s="1204">
        <f t="shared" si="3"/>
        <v>0.0</v>
      </c>
      <c r="Z23" s="1296">
        <f>人物卡!W98</f>
        <v>0.0</v>
      </c>
      <c r="AA23" s="1299"/>
      <c r="AB23" s="1299"/>
      <c r="AC23" s="1299"/>
      <c r="AD23" s="1299">
        <f>人物卡!AR98</f>
        <v>0.0</v>
      </c>
      <c r="AE23" s="1298"/>
      <c r="AF23" s="1187"/>
      <c r="AM23" s="1187"/>
      <c r="AN23" s="1187"/>
    </row>
    <row r="24" spans="8:8" ht="16.95" customHeight="1">
      <c r="B24" s="1290">
        <f>人物卡!F91</f>
        <v>0.0</v>
      </c>
      <c r="C24" s="1291"/>
      <c r="D24" s="1291"/>
      <c r="E24" s="1291">
        <f>人物卡!F92</f>
        <v>0.0</v>
      </c>
      <c r="F24" s="1291"/>
      <c r="G24" s="1291"/>
      <c r="H24" s="1291">
        <f>人物卡!N79</f>
        <v>0.0</v>
      </c>
      <c r="I24" s="1291"/>
      <c r="J24" s="1291"/>
      <c r="K24" s="1291">
        <f>人物卡!N80</f>
        <v>0.0</v>
      </c>
      <c r="L24" s="1291"/>
      <c r="M24" s="1292"/>
      <c r="N24" s="1240">
        <f t="shared" si="8"/>
        <v>0.0</v>
      </c>
      <c r="O24" s="1197" t="str">
        <f>IF(N24=0,"",人物卡!H37)</f>
        <v/>
      </c>
      <c r="P24" s="1197"/>
      <c r="Q24" s="1198">
        <f>IF(人物卡!R37-人物卡!J37=0,0,人物卡!R37)</f>
        <v>0.0</v>
      </c>
      <c r="R24" s="1199">
        <f t="shared" si="5"/>
        <v>0.0</v>
      </c>
      <c r="S24" s="1200">
        <f t="shared" si="6"/>
        <v>0.0</v>
      </c>
      <c r="T24" s="1270">
        <f>IF(W24=0,0,人物卡!AB37)</f>
        <v>0.0</v>
      </c>
      <c r="U24" s="1201" t="str">
        <f>IF(T24=0,"",人物卡!AD37)</f>
        <v/>
      </c>
      <c r="V24" s="1201"/>
      <c r="W24" s="1202">
        <f>IF(人物卡!AN37-人物卡!AF37=0,0,人物卡!AN37)</f>
        <v>0.0</v>
      </c>
      <c r="X24" s="1203">
        <f t="shared" si="2"/>
        <v>0.0</v>
      </c>
      <c r="Y24" s="1204">
        <f t="shared" si="3"/>
        <v>0.0</v>
      </c>
      <c r="Z24" s="1296">
        <f>人物卡!W99</f>
        <v>0.0</v>
      </c>
      <c r="AA24" s="1299"/>
      <c r="AB24" s="1299"/>
      <c r="AC24" s="1299"/>
      <c r="AD24" s="1299">
        <f>人物卡!AR99</f>
        <v>0.0</v>
      </c>
      <c r="AE24" s="1298"/>
      <c r="AF24" s="1187"/>
      <c r="AM24" s="1187"/>
      <c r="AN24" s="1187"/>
    </row>
    <row r="25" spans="8:8" ht="16.95" customHeight="1">
      <c r="B25" s="1296">
        <f>人物卡!N81</f>
        <v>0.0</v>
      </c>
      <c r="C25" s="1297"/>
      <c r="D25" s="1297"/>
      <c r="E25" s="1297">
        <f>人物卡!N82</f>
        <v>0.0</v>
      </c>
      <c r="F25" s="1297"/>
      <c r="G25" s="1297"/>
      <c r="H25" s="1297">
        <f>人物卡!N83</f>
        <v>0.0</v>
      </c>
      <c r="I25" s="1297"/>
      <c r="J25" s="1297"/>
      <c r="K25" s="1297">
        <f>人物卡!N84</f>
        <v>0.0</v>
      </c>
      <c r="L25" s="1297"/>
      <c r="M25" s="1298"/>
      <c r="N25" s="1240">
        <f t="shared" si="9" ref="N25:N28">IF(Q25=0,0,"射击：")</f>
        <v>0.0</v>
      </c>
      <c r="O25" s="1197" t="str">
        <f>IF(N25=0,"",人物卡!H38)</f>
        <v/>
      </c>
      <c r="P25" s="1197"/>
      <c r="Q25" s="1198">
        <f>IF(人物卡!R38-人物卡!J38=0,0,人物卡!R38)</f>
        <v>0.0</v>
      </c>
      <c r="R25" s="1199">
        <f t="shared" si="5"/>
        <v>0.0</v>
      </c>
      <c r="S25" s="1200">
        <f t="shared" si="6"/>
        <v>0.0</v>
      </c>
      <c r="T25" s="1201" t="str">
        <f>IF(W25=0,"",人物卡!AB38)</f>
        <v/>
      </c>
      <c r="U25" s="1201"/>
      <c r="V25" s="1201"/>
      <c r="W25" s="1202">
        <f>IF(人物卡!AN38-人物卡!AF38=0,0,人物卡!AN38)</f>
        <v>0.0</v>
      </c>
      <c r="X25" s="1203">
        <f t="shared" si="2"/>
        <v>0.0</v>
      </c>
      <c r="Y25" s="1204">
        <f t="shared" si="3"/>
        <v>0.0</v>
      </c>
      <c r="Z25" s="1296">
        <f>人物卡!W100</f>
        <v>0.0</v>
      </c>
      <c r="AA25" s="1299"/>
      <c r="AB25" s="1299"/>
      <c r="AC25" s="1299"/>
      <c r="AD25" s="1299">
        <f>人物卡!AR100</f>
        <v>0.0</v>
      </c>
      <c r="AE25" s="1298"/>
      <c r="AF25" s="1187"/>
      <c r="AM25" s="1187"/>
      <c r="AN25" s="1187"/>
    </row>
    <row r="26" spans="8:8" ht="16.95" customHeight="1">
      <c r="B26" s="1300">
        <f>人物卡!N85</f>
        <v>0.0</v>
      </c>
      <c r="C26" s="1301"/>
      <c r="D26" s="1301"/>
      <c r="E26" s="1301">
        <f>人物卡!N90</f>
        <v>0.0</v>
      </c>
      <c r="F26" s="1301"/>
      <c r="G26" s="1301"/>
      <c r="H26" s="1301">
        <f>人物卡!N91</f>
        <v>0.0</v>
      </c>
      <c r="I26" s="1301"/>
      <c r="J26" s="1301"/>
      <c r="K26" s="1301">
        <f>人物卡!N92</f>
        <v>0.0</v>
      </c>
      <c r="L26" s="1301"/>
      <c r="M26" s="1302"/>
      <c r="N26" s="1240">
        <f t="shared" si="9"/>
        <v>0.0</v>
      </c>
      <c r="O26" s="1197" t="str">
        <f>IF(N26=0,"",人物卡!H39)</f>
        <v/>
      </c>
      <c r="P26" s="1197"/>
      <c r="Q26" s="1198">
        <f>IF(人物卡!R39-人物卡!J39=0,0,人物卡!R39)</f>
        <v>0.0</v>
      </c>
      <c r="R26" s="1199">
        <f t="shared" si="5"/>
        <v>0.0</v>
      </c>
      <c r="S26" s="1200">
        <f t="shared" si="6"/>
        <v>0.0</v>
      </c>
      <c r="T26" s="1201" t="str">
        <f>IF(W26=0,"",人物卡!AB39)</f>
        <v/>
      </c>
      <c r="U26" s="1201"/>
      <c r="V26" s="1201"/>
      <c r="W26" s="1202">
        <f>IF(人物卡!AN39-人物卡!AF39=0,0,人物卡!AN39)</f>
        <v>0.0</v>
      </c>
      <c r="X26" s="1203">
        <f t="shared" si="2"/>
        <v>0.0</v>
      </c>
      <c r="Y26" s="1204">
        <f t="shared" si="3"/>
        <v>0.0</v>
      </c>
      <c r="Z26" s="1296">
        <f>人物卡!W101</f>
        <v>0.0</v>
      </c>
      <c r="AA26" s="1299"/>
      <c r="AB26" s="1299"/>
      <c r="AC26" s="1299"/>
      <c r="AD26" s="1299">
        <f>人物卡!AR101</f>
        <v>0.0</v>
      </c>
      <c r="AE26" s="1298"/>
      <c r="AF26" s="1187"/>
      <c r="AM26" s="1187"/>
      <c r="AN26" s="1187"/>
    </row>
    <row r="27" spans="8:8" ht="16.95" customHeight="1">
      <c r="B27" s="1303" t="s">
        <v>175</v>
      </c>
      <c r="C27" s="1304"/>
      <c r="D27" s="1304"/>
      <c r="E27" s="1304"/>
      <c r="F27" s="1304"/>
      <c r="G27" s="1304"/>
      <c r="H27" s="1304"/>
      <c r="I27" s="1304"/>
      <c r="J27" s="1304"/>
      <c r="K27" s="1304"/>
      <c r="L27" s="1304"/>
      <c r="M27" s="1305"/>
      <c r="N27" s="1240">
        <f t="shared" si="9"/>
        <v>0.0</v>
      </c>
      <c r="O27" s="1197" t="str">
        <f>IF(N27=0,"",人物卡!H40)</f>
        <v/>
      </c>
      <c r="P27" s="1197"/>
      <c r="Q27" s="1198">
        <f>IF(人物卡!R40-人物卡!J40=0,0,人物卡!R40)</f>
        <v>0.0</v>
      </c>
      <c r="R27" s="1199">
        <f t="shared" si="5"/>
        <v>0.0</v>
      </c>
      <c r="S27" s="1200">
        <f t="shared" si="6"/>
        <v>0.0</v>
      </c>
      <c r="T27" s="1201" t="str">
        <f>IF(W27=0,"",人物卡!AB40)</f>
        <v/>
      </c>
      <c r="U27" s="1201"/>
      <c r="V27" s="1201"/>
      <c r="W27" s="1202">
        <f>IF(人物卡!AN40-人物卡!AF40=0,0,人物卡!AN40)</f>
        <v>0.0</v>
      </c>
      <c r="X27" s="1203">
        <f t="shared" si="2"/>
        <v>0.0</v>
      </c>
      <c r="Y27" s="1204">
        <f t="shared" si="3"/>
        <v>0.0</v>
      </c>
      <c r="Z27" s="1296">
        <f>人物卡!W102</f>
        <v>0.0</v>
      </c>
      <c r="AA27" s="1299"/>
      <c r="AB27" s="1299"/>
      <c r="AC27" s="1299"/>
      <c r="AD27" s="1299">
        <f>人物卡!AR102</f>
        <v>0.0</v>
      </c>
      <c r="AE27" s="1298"/>
      <c r="AF27" s="1187"/>
      <c r="AM27" s="1187"/>
      <c r="AN27" s="1187"/>
    </row>
    <row r="28" spans="8:8" ht="16.95" customHeight="1">
      <c r="B28" s="1306" t="s">
        <v>321</v>
      </c>
      <c r="C28" s="1307">
        <f>人物卡!AA61</f>
        <v>0.0</v>
      </c>
      <c r="D28" s="1308"/>
      <c r="E28" s="1308"/>
      <c r="F28" s="1308"/>
      <c r="G28" s="1309" t="s">
        <v>322</v>
      </c>
      <c r="H28" s="1310" t="str">
        <f>人物卡!W77</f>
        <v>请务必在此填写背景故事！
使用Alt+Enter换行</v>
      </c>
      <c r="I28" s="1311"/>
      <c r="J28" s="1311"/>
      <c r="K28" s="1311"/>
      <c r="L28" s="1311"/>
      <c r="M28" s="1312"/>
      <c r="N28" s="1240">
        <f t="shared" si="9"/>
        <v>0.0</v>
      </c>
      <c r="O28" s="1197" t="str">
        <f>IF(N28=0,"",人物卡!H41)</f>
        <v/>
      </c>
      <c r="P28" s="1197"/>
      <c r="Q28" s="1198">
        <f>IF(人物卡!R41-人物卡!J41=0,0,人物卡!R41)</f>
        <v>0.0</v>
      </c>
      <c r="R28" s="1199">
        <f t="shared" si="5"/>
        <v>0.0</v>
      </c>
      <c r="S28" s="1200">
        <f t="shared" si="6"/>
        <v>0.0</v>
      </c>
      <c r="T28" s="1201" t="str">
        <f>IF(W28=0,"",人物卡!AB41)</f>
        <v/>
      </c>
      <c r="U28" s="1201"/>
      <c r="V28" s="1201"/>
      <c r="W28" s="1202">
        <f>IF(人物卡!AN41-人物卡!AF41=0,0,人物卡!AN41)</f>
        <v>0.0</v>
      </c>
      <c r="X28" s="1203">
        <f t="shared" si="2"/>
        <v>0.0</v>
      </c>
      <c r="Y28" s="1204">
        <f t="shared" si="3"/>
        <v>0.0</v>
      </c>
      <c r="Z28" s="1296">
        <f>人物卡!W103</f>
        <v>0.0</v>
      </c>
      <c r="AA28" s="1299"/>
      <c r="AB28" s="1299"/>
      <c r="AC28" s="1299"/>
      <c r="AD28" s="1299">
        <f>人物卡!AR103</f>
        <v>0.0</v>
      </c>
      <c r="AE28" s="1298"/>
      <c r="AF28" s="1187"/>
      <c r="AM28" s="1187"/>
      <c r="AN28" s="1187"/>
    </row>
    <row r="29" spans="8:8" ht="16.95" customHeight="1">
      <c r="B29" s="1313" t="s">
        <v>323</v>
      </c>
      <c r="C29" s="1314">
        <f>人物卡!AA63</f>
        <v>0.0</v>
      </c>
      <c r="D29" s="1315"/>
      <c r="E29" s="1315"/>
      <c r="F29" s="1315"/>
      <c r="G29" s="1316" t="str">
        <f>人物卡!AR63</f>
        <v>☐</v>
      </c>
      <c r="H29" s="1317"/>
      <c r="I29" s="1318"/>
      <c r="J29" s="1318"/>
      <c r="K29" s="1318"/>
      <c r="L29" s="1318"/>
      <c r="M29" s="1319"/>
      <c r="N29" s="1196" t="str">
        <f>IF(Q29=0,"",人物卡!F42)</f>
        <v/>
      </c>
      <c r="O29" s="1197"/>
      <c r="P29" s="1197"/>
      <c r="Q29" s="1198">
        <f>IF(人物卡!R42-人物卡!J42=0,0,人物卡!R42)</f>
        <v>0.0</v>
      </c>
      <c r="R29" s="1199">
        <f t="shared" si="5"/>
        <v>0.0</v>
      </c>
      <c r="S29" s="1200">
        <f t="shared" si="6"/>
        <v>0.0</v>
      </c>
      <c r="T29" s="1201" t="str">
        <f>IF(W29=0,"",人物卡!AB47)</f>
        <v/>
      </c>
      <c r="U29" s="1201"/>
      <c r="V29" s="1201"/>
      <c r="W29" s="1202">
        <f>IF(人物卡!AN42-人物卡!AF42=0,0,人物卡!AN42)</f>
        <v>0.0</v>
      </c>
      <c r="X29" s="1203">
        <f t="shared" si="2"/>
        <v>0.0</v>
      </c>
      <c r="Y29" s="1204">
        <f t="shared" si="3"/>
        <v>0.0</v>
      </c>
      <c r="Z29" s="1296">
        <f>人物卡!W104</f>
        <v>0.0</v>
      </c>
      <c r="AA29" s="1299"/>
      <c r="AB29" s="1299"/>
      <c r="AC29" s="1299"/>
      <c r="AD29" s="1299">
        <f>人物卡!AR104</f>
        <v>0.0</v>
      </c>
      <c r="AE29" s="1298"/>
      <c r="AF29" s="1187"/>
      <c r="AM29" s="1187"/>
      <c r="AN29" s="1187"/>
    </row>
    <row r="30" spans="8:8" ht="16.95" customHeight="1">
      <c r="B30" s="1306" t="s">
        <v>324</v>
      </c>
      <c r="C30" s="1320">
        <f>人物卡!AA65</f>
        <v>0.0</v>
      </c>
      <c r="D30" s="1299"/>
      <c r="E30" s="1299"/>
      <c r="F30" s="1299"/>
      <c r="G30" s="1309" t="str">
        <f>人物卡!AR65</f>
        <v>☐</v>
      </c>
      <c r="H30" s="1317"/>
      <c r="I30" s="1318"/>
      <c r="J30" s="1318"/>
      <c r="K30" s="1318"/>
      <c r="L30" s="1318"/>
      <c r="M30" s="1319"/>
      <c r="N30" s="1196" t="str">
        <f>IF(Q30=0,"",人物卡!F43)</f>
        <v/>
      </c>
      <c r="O30" s="1197"/>
      <c r="P30" s="1197"/>
      <c r="Q30" s="1198">
        <f>IF(人物卡!R43-人物卡!J43=0,0,人物卡!R43)</f>
        <v>0.0</v>
      </c>
      <c r="R30" s="1199">
        <f t="shared" si="5"/>
        <v>0.0</v>
      </c>
      <c r="S30" s="1200">
        <f t="shared" si="6"/>
        <v>0.0</v>
      </c>
      <c r="T30" s="1201" t="str">
        <f>IF(W30=0,"",人物卡!AB43)</f>
        <v/>
      </c>
      <c r="U30" s="1201"/>
      <c r="V30" s="1201"/>
      <c r="W30" s="1202">
        <f>IF(人物卡!AN43-人物卡!AF43=0,0,人物卡!AN43)</f>
        <v>0.0</v>
      </c>
      <c r="X30" s="1203">
        <f t="shared" si="2"/>
        <v>0.0</v>
      </c>
      <c r="Y30" s="1204">
        <f t="shared" si="3"/>
        <v>0.0</v>
      </c>
      <c r="Z30" s="1296">
        <f>人物卡!W105</f>
        <v>0.0</v>
      </c>
      <c r="AA30" s="1299"/>
      <c r="AB30" s="1299"/>
      <c r="AC30" s="1299"/>
      <c r="AD30" s="1299">
        <f>人物卡!AR105</f>
        <v>0.0</v>
      </c>
      <c r="AE30" s="1298"/>
      <c r="AF30" s="1187"/>
      <c r="AM30" s="1187"/>
      <c r="AN30" s="1187"/>
    </row>
    <row r="31" spans="8:8" ht="16.95" customHeight="1">
      <c r="B31" s="1313" t="s">
        <v>325</v>
      </c>
      <c r="C31" s="1314">
        <f>人物卡!AA67</f>
        <v>0.0</v>
      </c>
      <c r="D31" s="1315"/>
      <c r="E31" s="1315"/>
      <c r="F31" s="1315"/>
      <c r="G31" s="1316" t="str">
        <f>人物卡!AR67</f>
        <v>☐</v>
      </c>
      <c r="H31" s="1317"/>
      <c r="I31" s="1318"/>
      <c r="J31" s="1318"/>
      <c r="K31" s="1318"/>
      <c r="L31" s="1318"/>
      <c r="M31" s="1319"/>
      <c r="N31" s="1196" t="str">
        <f>IF(Q31=0,"",人物卡!F44)</f>
        <v/>
      </c>
      <c r="O31" s="1197"/>
      <c r="P31" s="1197"/>
      <c r="Q31" s="1198">
        <f>IF(人物卡!R44-人物卡!J44=0,0,人物卡!R44)</f>
        <v>0.0</v>
      </c>
      <c r="R31" s="1199">
        <f t="shared" si="5"/>
        <v>0.0</v>
      </c>
      <c r="S31" s="1200">
        <f t="shared" si="6"/>
        <v>0.0</v>
      </c>
      <c r="T31" s="1201" t="str">
        <f>IF(W31=0,"",人物卡!AB44)</f>
        <v/>
      </c>
      <c r="U31" s="1201"/>
      <c r="V31" s="1201"/>
      <c r="W31" s="1202">
        <f>IF(人物卡!AN44-人物卡!AF44=0,0,人物卡!AN44)</f>
        <v>0.0</v>
      </c>
      <c r="X31" s="1203">
        <f t="shared" si="2"/>
        <v>0.0</v>
      </c>
      <c r="Y31" s="1204">
        <f t="shared" si="3"/>
        <v>0.0</v>
      </c>
      <c r="Z31" s="1296">
        <f>人物卡!W106</f>
        <v>0.0</v>
      </c>
      <c r="AA31" s="1299"/>
      <c r="AB31" s="1299"/>
      <c r="AC31" s="1299"/>
      <c r="AD31" s="1299">
        <f>人物卡!AR106</f>
        <v>0.0</v>
      </c>
      <c r="AE31" s="1298"/>
      <c r="AF31" s="1187"/>
      <c r="AG31" s="1187"/>
      <c r="AH31" s="1187"/>
      <c r="AI31" s="1187"/>
      <c r="AJ31" s="1187"/>
      <c r="AK31" s="1187"/>
      <c r="AL31" s="1187"/>
      <c r="AM31" s="1187"/>
      <c r="AN31" s="1187"/>
    </row>
    <row r="32" spans="8:8" ht="16.95" customHeight="1">
      <c r="B32" s="1306" t="s">
        <v>326</v>
      </c>
      <c r="C32" s="1320">
        <f>人物卡!AA69</f>
        <v>0.0</v>
      </c>
      <c r="D32" s="1299"/>
      <c r="E32" s="1299"/>
      <c r="F32" s="1299"/>
      <c r="G32" s="1309" t="str">
        <f>人物卡!AR69</f>
        <v>☐</v>
      </c>
      <c r="H32" s="1317"/>
      <c r="I32" s="1318"/>
      <c r="J32" s="1318"/>
      <c r="K32" s="1318"/>
      <c r="L32" s="1318"/>
      <c r="M32" s="1319"/>
      <c r="N32" s="1196" t="str">
        <f>IF(Q32=0,"",人物卡!F45)</f>
        <v/>
      </c>
      <c r="O32" s="1197"/>
      <c r="P32" s="1197"/>
      <c r="Q32" s="1198">
        <f>IF(人物卡!R45-人物卡!J45=0,0,人物卡!R45)</f>
        <v>0.0</v>
      </c>
      <c r="R32" s="1199">
        <f t="shared" si="5"/>
        <v>0.0</v>
      </c>
      <c r="S32" s="1200">
        <f t="shared" si="6"/>
        <v>0.0</v>
      </c>
      <c r="T32" s="1201" t="str">
        <f>IF(W32=0,"",人物卡!AB45)</f>
        <v/>
      </c>
      <c r="U32" s="1201"/>
      <c r="V32" s="1201"/>
      <c r="W32" s="1202">
        <f>IF(人物卡!AN45-人物卡!AF45=0,0,人物卡!AN45)</f>
        <v>0.0</v>
      </c>
      <c r="X32" s="1203">
        <f t="shared" si="2"/>
        <v>0.0</v>
      </c>
      <c r="Y32" s="1204">
        <f t="shared" si="3"/>
        <v>0.0</v>
      </c>
      <c r="Z32" s="1296">
        <f>人物卡!W107</f>
        <v>0.0</v>
      </c>
      <c r="AA32" s="1299"/>
      <c r="AB32" s="1299"/>
      <c r="AC32" s="1299"/>
      <c r="AD32" s="1299">
        <f>人物卡!AR107</f>
        <v>0.0</v>
      </c>
      <c r="AE32" s="1298"/>
      <c r="AF32" s="1187"/>
      <c r="AG32" s="1187"/>
      <c r="AH32" s="1187"/>
      <c r="AI32" s="1187"/>
      <c r="AJ32" s="1187"/>
      <c r="AK32" s="1187"/>
      <c r="AL32" s="1187"/>
      <c r="AM32" s="1187"/>
      <c r="AN32" s="1187"/>
    </row>
    <row r="33" spans="8:8" ht="16.95" customHeight="1">
      <c r="B33" s="1313" t="s">
        <v>198</v>
      </c>
      <c r="C33" s="1314">
        <f>人物卡!AA71</f>
        <v>0.0</v>
      </c>
      <c r="D33" s="1315"/>
      <c r="E33" s="1315"/>
      <c r="F33" s="1315"/>
      <c r="G33" s="1316" t="str">
        <f>人物卡!AR71</f>
        <v>☐</v>
      </c>
      <c r="H33" s="1317"/>
      <c r="I33" s="1318"/>
      <c r="J33" s="1318"/>
      <c r="K33" s="1318"/>
      <c r="L33" s="1318"/>
      <c r="M33" s="1319"/>
      <c r="N33" s="1240">
        <f t="shared" si="10" ref="N33:N35">IF(Q33=0,0,"外语：")</f>
        <v>0.0</v>
      </c>
      <c r="O33" s="1197" t="str">
        <f>IF(N33=0,"",人物卡!H46)</f>
        <v/>
      </c>
      <c r="P33" s="1197"/>
      <c r="Q33" s="1198">
        <f>IF(人物卡!R46-人物卡!J46=0,0,人物卡!R46)</f>
        <v>0.0</v>
      </c>
      <c r="R33" s="1199">
        <f t="shared" si="5"/>
        <v>0.0</v>
      </c>
      <c r="S33" s="1200">
        <f t="shared" si="6"/>
        <v>0.0</v>
      </c>
      <c r="T33" s="1201" t="str">
        <f>IF(W33=0,"",人物卡!AB46)</f>
        <v/>
      </c>
      <c r="U33" s="1201"/>
      <c r="V33" s="1201"/>
      <c r="W33" s="1202">
        <f>IF(人物卡!AN46-人物卡!AF46=0,0,人物卡!AN46)</f>
        <v>0.0</v>
      </c>
      <c r="X33" s="1203">
        <f t="shared" si="2"/>
        <v>0.0</v>
      </c>
      <c r="Y33" s="1204">
        <f t="shared" si="3"/>
        <v>0.0</v>
      </c>
      <c r="Z33" s="1321">
        <f>人物卡!W108</f>
        <v>0.0</v>
      </c>
      <c r="AA33" s="1322"/>
      <c r="AB33" s="1322"/>
      <c r="AC33" s="1322"/>
      <c r="AD33" s="1322">
        <f>人物卡!AR108</f>
        <v>0.0</v>
      </c>
      <c r="AE33" s="1323"/>
      <c r="AF33" s="1187"/>
      <c r="AG33" s="1187"/>
      <c r="AH33" s="1187"/>
      <c r="AI33" s="1187"/>
      <c r="AJ33" s="1187"/>
      <c r="AK33" s="1187"/>
      <c r="AL33" s="1187"/>
      <c r="AM33" s="1187"/>
      <c r="AN33" s="1187"/>
    </row>
    <row r="34" spans="8:8" ht="16.95" customHeight="1">
      <c r="B34" s="1306" t="s">
        <v>5868</v>
      </c>
      <c r="C34" s="1320">
        <f>人物卡!AA73</f>
        <v>0.0</v>
      </c>
      <c r="D34" s="1299"/>
      <c r="E34" s="1299"/>
      <c r="F34" s="1299"/>
      <c r="G34" s="1309" t="str">
        <f>人物卡!AR73</f>
        <v>☐</v>
      </c>
      <c r="H34" s="1317"/>
      <c r="I34" s="1318"/>
      <c r="J34" s="1318"/>
      <c r="K34" s="1318"/>
      <c r="L34" s="1318"/>
      <c r="M34" s="1319"/>
      <c r="N34" s="1240">
        <f t="shared" si="10"/>
        <v>0.0</v>
      </c>
      <c r="O34" s="1197" t="str">
        <f>IF(N34=0,"",人物卡!H47)</f>
        <v/>
      </c>
      <c r="P34" s="1197"/>
      <c r="Q34" s="1198">
        <f>IF(人物卡!R47-人物卡!J47=0,0,人物卡!R47)</f>
        <v>0.0</v>
      </c>
      <c r="R34" s="1199">
        <f t="shared" si="5"/>
        <v>0.0</v>
      </c>
      <c r="S34" s="1200">
        <f t="shared" si="6"/>
        <v>0.0</v>
      </c>
      <c r="T34" s="1201" t="str">
        <f>IF(W34=0,"",人物卡!#REF!)</f>
        <v/>
      </c>
      <c r="U34" s="1201"/>
      <c r="V34" s="1201"/>
      <c r="W34" s="1202">
        <f>IF(人物卡!AN47-人物卡!AF47=0,0,人物卡!AN47)</f>
        <v>0.0</v>
      </c>
      <c r="X34" s="1203">
        <f t="shared" si="2"/>
        <v>0.0</v>
      </c>
      <c r="Y34" s="1204">
        <f t="shared" si="3"/>
        <v>0.0</v>
      </c>
      <c r="Z34" s="1278"/>
      <c r="AA34" s="1279"/>
      <c r="AB34" s="1279"/>
      <c r="AC34" s="1279"/>
      <c r="AD34" s="1279"/>
      <c r="AE34" s="1280"/>
      <c r="AF34" s="1187"/>
      <c r="AG34" s="1187"/>
      <c r="AH34" s="1187"/>
      <c r="AI34" s="1187"/>
      <c r="AJ34" s="1187"/>
      <c r="AK34" s="1187"/>
      <c r="AL34" s="1187"/>
      <c r="AM34" s="1187"/>
      <c r="AN34" s="1187"/>
    </row>
    <row r="35" spans="8:8" ht="16.95" customHeight="1">
      <c r="B35" s="1313" t="s">
        <v>5869</v>
      </c>
      <c r="C35" s="1314">
        <f>人物卡!AA75</f>
        <v>0.0</v>
      </c>
      <c r="D35" s="1315"/>
      <c r="E35" s="1315"/>
      <c r="F35" s="1315"/>
      <c r="G35" s="1316" t="str">
        <f>人物卡!AR75</f>
        <v>☐</v>
      </c>
      <c r="H35" s="1317"/>
      <c r="I35" s="1318"/>
      <c r="J35" s="1318"/>
      <c r="K35" s="1318"/>
      <c r="L35" s="1318"/>
      <c r="M35" s="1319"/>
      <c r="N35" s="1240">
        <f t="shared" si="10"/>
        <v>0.0</v>
      </c>
      <c r="O35" s="1197" t="str">
        <f>IF(N35=0,"",人物卡!H48)</f>
        <v/>
      </c>
      <c r="P35" s="1197"/>
      <c r="Q35" s="1198">
        <f>IF(人物卡!R48-人物卡!J48=0,0,人物卡!R48)</f>
        <v>0.0</v>
      </c>
      <c r="R35" s="1199">
        <f t="shared" si="5"/>
        <v>0.0</v>
      </c>
      <c r="S35" s="1200">
        <f t="shared" si="6"/>
        <v>0.0</v>
      </c>
      <c r="T35" s="1201" t="str">
        <f>IF(W35=0,"",人物卡!AB48)</f>
        <v/>
      </c>
      <c r="U35" s="1201"/>
      <c r="V35" s="1201"/>
      <c r="W35" s="1202">
        <f>IF(人物卡!AN48-人物卡!AF48=0,0,人物卡!AN48)</f>
        <v>0.0</v>
      </c>
      <c r="X35" s="1203">
        <f t="shared" si="2"/>
        <v>0.0</v>
      </c>
      <c r="Y35" s="1204">
        <f t="shared" si="3"/>
        <v>0.0</v>
      </c>
      <c r="Z35" s="1278"/>
      <c r="AA35" s="1279"/>
      <c r="AB35" s="1279"/>
      <c r="AC35" s="1279"/>
      <c r="AD35" s="1279"/>
      <c r="AE35" s="1280"/>
      <c r="AF35" s="1187"/>
      <c r="AG35" s="1187"/>
      <c r="AH35" s="1187"/>
      <c r="AI35" s="1187"/>
      <c r="AJ35" s="1187"/>
      <c r="AK35" s="1187"/>
      <c r="AL35" s="1187"/>
      <c r="AM35" s="1187"/>
      <c r="AN35" s="1187"/>
    </row>
    <row r="36" spans="8:8" ht="16.95" customHeight="1">
      <c r="B36" s="1324"/>
      <c r="C36" s="1325"/>
      <c r="D36" s="1326"/>
      <c r="E36" s="1326"/>
      <c r="F36" s="1326"/>
      <c r="G36" s="1327"/>
      <c r="H36" s="1328"/>
      <c r="I36" s="1329"/>
      <c r="J36" s="1329"/>
      <c r="K36" s="1329"/>
      <c r="L36" s="1329"/>
      <c r="M36" s="1330"/>
      <c r="N36" s="1331" t="s">
        <v>327</v>
      </c>
      <c r="O36" s="1225">
        <f>人物卡!H49</f>
        <v>0.0</v>
      </c>
      <c r="P36" s="1225"/>
      <c r="Q36" s="1332">
        <f>人物卡!R49</f>
        <v>0.0</v>
      </c>
      <c r="R36" s="1333">
        <f>IF(Q36=0,32767,INT(Q36/2))</f>
        <v>32767.0</v>
      </c>
      <c r="S36" s="1334">
        <f>IF(Q36=0,32767,INT(Q36/5))</f>
        <v>32767.0</v>
      </c>
      <c r="T36" s="1222" t="str">
        <f>IF(W36=0,"",人物卡!AB49)</f>
        <v/>
      </c>
      <c r="U36" s="1222"/>
      <c r="V36" s="1222"/>
      <c r="W36" s="1335">
        <f>IF(人物卡!AN49-人物卡!AF49=0,0,人物卡!AN49)</f>
        <v>0.0</v>
      </c>
      <c r="X36" s="1336">
        <f t="shared" si="2"/>
        <v>0.0</v>
      </c>
      <c r="Y36" s="1337">
        <f t="shared" si="3"/>
        <v>0.0</v>
      </c>
      <c r="Z36" s="1287"/>
      <c r="AA36" s="1288"/>
      <c r="AB36" s="1288"/>
      <c r="AC36" s="1288"/>
      <c r="AD36" s="1288"/>
      <c r="AE36" s="1289"/>
      <c r="AF36" s="1338" t="s">
        <v>328</v>
      </c>
      <c r="AG36" s="1338"/>
      <c r="AH36" s="1338"/>
      <c r="AI36" s="1338"/>
      <c r="AJ36" s="1338"/>
      <c r="AK36" s="1338"/>
      <c r="AL36" s="1338"/>
      <c r="AM36" s="1338"/>
      <c r="AN36" s="1338"/>
      <c r="AO36" s="1338"/>
    </row>
    <row r="37" spans="8:8" ht="16.95" customHeight="1">
      <c r="B37" s="1338" t="s">
        <v>329</v>
      </c>
      <c r="C37" s="1338"/>
      <c r="D37" s="1338"/>
      <c r="E37" s="1338"/>
      <c r="F37" s="1338"/>
      <c r="G37" s="1338"/>
      <c r="H37" s="1338"/>
      <c r="I37" s="1338"/>
      <c r="J37" s="1338"/>
      <c r="K37" s="1338"/>
      <c r="L37" s="1338"/>
      <c r="M37" s="1338"/>
      <c r="N37" s="1338"/>
      <c r="O37" s="1338"/>
      <c r="P37" s="1339" t="s">
        <v>330</v>
      </c>
      <c r="Q37" s="1339"/>
      <c r="R37" s="1339"/>
      <c r="S37" s="1339"/>
      <c r="T37" s="1339"/>
      <c r="U37" s="1339"/>
      <c r="V37" s="1339"/>
      <c r="W37" s="1339"/>
      <c r="X37" s="1339"/>
      <c r="Y37" s="1339"/>
      <c r="Z37" s="1187"/>
      <c r="AA37" s="1187"/>
      <c r="AB37" s="1187"/>
      <c r="AC37" s="1187"/>
      <c r="AD37" s="1187"/>
      <c r="AE37" s="1187"/>
      <c r="AF37" s="1340" t="s">
        <v>331</v>
      </c>
      <c r="AG37" s="1340"/>
      <c r="AH37" s="1340"/>
      <c r="AI37" s="1340"/>
      <c r="AJ37" s="1340"/>
      <c r="AK37" s="1340"/>
      <c r="AL37" s="1340"/>
      <c r="AM37" s="1187"/>
      <c r="AN37" s="1187"/>
    </row>
    <row r="38" spans="8:8" ht="16.95" customHeight="1">
      <c r="B38" s="1341" t="s">
        <v>5954</v>
      </c>
      <c r="C38" s="1341"/>
      <c r="D38" s="1341"/>
      <c r="E38" s="1341"/>
      <c r="F38" s="1341"/>
      <c r="G38" s="1341"/>
      <c r="H38" s="1341"/>
      <c r="I38" s="1341"/>
      <c r="J38" s="1341"/>
      <c r="K38" s="1341"/>
      <c r="L38" s="1341"/>
      <c r="M38" s="1341"/>
      <c r="N38" s="1341"/>
      <c r="O38" s="1341"/>
      <c r="P38" s="1341"/>
      <c r="Q38" s="1341"/>
      <c r="R38" s="1341"/>
      <c r="S38" s="1341"/>
      <c r="T38" s="1341"/>
      <c r="U38" s="1341"/>
      <c r="V38" s="1341"/>
      <c r="W38" s="1341"/>
      <c r="X38" s="1341"/>
      <c r="Y38" s="1341"/>
      <c r="Z38" s="629"/>
      <c r="AA38" s="1342"/>
      <c r="AB38" s="1342"/>
      <c r="AC38" s="1342"/>
      <c r="AD38" s="1342"/>
      <c r="AE38" s="1342"/>
      <c r="AF38" s="1340"/>
      <c r="AG38" s="1340"/>
      <c r="AH38" s="1340"/>
      <c r="AI38" s="1340"/>
      <c r="AJ38" s="1340"/>
      <c r="AK38" s="1340"/>
      <c r="AL38" s="1340"/>
    </row>
    <row r="39" spans="8:8" ht="16.95" customHeight="1">
      <c r="B39" s="1343" t="s">
        <v>332</v>
      </c>
      <c r="C39" s="1343"/>
      <c r="D39" s="1343"/>
      <c r="E39" s="1343"/>
      <c r="F39" s="1343"/>
      <c r="G39" s="1343"/>
      <c r="H39" s="1343"/>
      <c r="I39" s="1343"/>
      <c r="J39" s="1343"/>
      <c r="K39" s="1343"/>
      <c r="L39" s="1343"/>
      <c r="M39" s="1343"/>
      <c r="N39" s="1343"/>
      <c r="O39" s="1343"/>
      <c r="P39" s="1343"/>
      <c r="Q39" s="1343"/>
      <c r="R39" s="1343"/>
      <c r="S39" s="1343"/>
      <c r="T39" s="1343"/>
      <c r="U39" s="1343"/>
      <c r="V39" s="1343"/>
      <c r="W39" s="1343"/>
      <c r="X39" s="1343"/>
      <c r="Y39" s="1343"/>
      <c r="Z39" s="629" t="s">
        <v>333</v>
      </c>
      <c r="AA39" s="1344" t="s">
        <v>5956</v>
      </c>
      <c r="AB39" s="1345"/>
      <c r="AC39" s="1345"/>
      <c r="AD39" s="1345"/>
      <c r="AE39" s="1346"/>
      <c r="AF39" s="1347" t="s">
        <v>334</v>
      </c>
      <c r="AG39" s="1347"/>
      <c r="AH39" s="1347"/>
      <c r="AI39" s="1347"/>
      <c r="AJ39" s="1347"/>
      <c r="AK39" s="1347"/>
      <c r="AL39" s="1347"/>
      <c r="AM39" s="1347"/>
      <c r="AN39" s="1347"/>
    </row>
    <row r="40" spans="8:8" ht="16.95" customHeight="1">
      <c r="B40" s="1348" t="str">
        <f>附表!S24</f>
        <v>.st 力量0str0敏捷0dex0意志0pow0体质0con0外貌0app0教育0edu0体型0siz0智力0灵感0int0san0san值0理智0理智值0幸运0运气0mp0魔法0hp0体力0会计5人类学1估价5考古学1取悦15魅惑15攀爬20计算机5计算机使用5电脑5信用0信誉0信用评级0克苏鲁0克苏鲁神话0cm0乔装5闪避0汽车20驾驶20汽车驾驶20电气维修10电子学1话术5斗殴25手枪20急救30历史5恐吓15跳跃20母语0法律5图书馆20图书馆使用20聆听20开锁1撬锁1锁匠1机械维修10医学1博物学10自然学10领航10导航10神秘学5重型操作1重型机械1操作重型机械1重型1说服10精神分析1心理学10骑术5妙手10侦查25潜行20生存10游泳20投掷20追踪10动物驯养5潜水1爆破1读唇1催眠1炮术1</v>
      </c>
      <c r="C40" s="1348"/>
      <c r="D40" s="1348"/>
      <c r="E40" s="1348"/>
      <c r="F40" s="1348"/>
      <c r="G40" s="1348"/>
      <c r="H40" s="1348"/>
      <c r="I40" s="1348"/>
      <c r="J40" s="1348"/>
      <c r="K40" s="1348"/>
      <c r="L40" s="1348"/>
      <c r="M40" s="1348"/>
      <c r="N40" s="1348"/>
      <c r="O40" s="1348"/>
      <c r="P40" s="1348"/>
      <c r="Q40" s="1348"/>
      <c r="R40" s="1348"/>
      <c r="S40" s="1348"/>
      <c r="T40" s="1348"/>
      <c r="U40" s="1348"/>
      <c r="V40" s="1348"/>
      <c r="W40" s="1348"/>
      <c r="X40" s="1348"/>
      <c r="Y40" s="1348"/>
      <c r="Z40" s="117"/>
      <c r="AA40" s="1349"/>
      <c r="AB40" s="1350"/>
      <c r="AC40" s="1350"/>
      <c r="AD40" s="1350"/>
      <c r="AE40" s="1351"/>
      <c r="AF40" s="629"/>
      <c r="AG40" s="629"/>
    </row>
    <row r="41" spans="8:8" ht="14.55" customFormat="1">
      <c r="B41" s="1348"/>
      <c r="C41" s="1348"/>
      <c r="D41" s="1348"/>
      <c r="E41" s="1348"/>
      <c r="F41" s="1348"/>
      <c r="G41" s="1348"/>
      <c r="H41" s="1348"/>
      <c r="I41" s="1348"/>
      <c r="J41" s="1348"/>
      <c r="K41" s="1348"/>
      <c r="L41" s="1348"/>
      <c r="M41" s="1348"/>
      <c r="N41" s="1348"/>
      <c r="O41" s="1348"/>
      <c r="P41" s="1348"/>
      <c r="Q41" s="1348"/>
      <c r="R41" s="1348"/>
      <c r="S41" s="1348"/>
      <c r="T41" s="1348"/>
      <c r="U41" s="1348"/>
      <c r="V41" s="1348"/>
      <c r="W41" s="1348"/>
      <c r="X41" s="1348"/>
      <c r="Y41" s="1348"/>
      <c r="Z41" s="117"/>
      <c r="AA41" s="1349"/>
      <c r="AB41" s="1350"/>
      <c r="AC41" s="1350"/>
      <c r="AD41" s="1350"/>
      <c r="AE41" s="1351"/>
      <c r="AF41" s="629"/>
      <c r="AG41" s="629"/>
    </row>
    <row r="42" spans="8:8" ht="14.55" customFormat="1">
      <c r="B42" s="1348"/>
      <c r="C42" s="1348"/>
      <c r="D42" s="1348"/>
      <c r="E42" s="1348"/>
      <c r="F42" s="1348"/>
      <c r="G42" s="1348"/>
      <c r="H42" s="1348"/>
      <c r="I42" s="1348"/>
      <c r="J42" s="1348"/>
      <c r="K42" s="1348"/>
      <c r="L42" s="1348"/>
      <c r="M42" s="1348"/>
      <c r="N42" s="1348"/>
      <c r="O42" s="1348"/>
      <c r="P42" s="1348"/>
      <c r="Q42" s="1348"/>
      <c r="R42" s="1348"/>
      <c r="S42" s="1348"/>
      <c r="T42" s="1348"/>
      <c r="U42" s="1348"/>
      <c r="V42" s="1348"/>
      <c r="W42" s="1348"/>
      <c r="X42" s="1348"/>
      <c r="Y42" s="1348"/>
      <c r="Z42" s="117"/>
      <c r="AA42" s="1349"/>
      <c r="AB42" s="1350"/>
      <c r="AC42" s="1350"/>
      <c r="AD42" s="1350"/>
      <c r="AE42" s="1351"/>
      <c r="AF42" s="629"/>
      <c r="AG42" s="629"/>
    </row>
    <row r="43" spans="8:8" ht="15.15" customFormat="1">
      <c r="B43" s="1348"/>
      <c r="C43" s="1348"/>
      <c r="D43" s="1348"/>
      <c r="E43" s="1348"/>
      <c r="F43" s="1348"/>
      <c r="G43" s="1348"/>
      <c r="H43" s="1348"/>
      <c r="I43" s="1348"/>
      <c r="J43" s="1348"/>
      <c r="K43" s="1348"/>
      <c r="L43" s="1348"/>
      <c r="M43" s="1348"/>
      <c r="N43" s="1348"/>
      <c r="O43" s="1348"/>
      <c r="P43" s="1348"/>
      <c r="Q43" s="1348"/>
      <c r="R43" s="1348"/>
      <c r="S43" s="1348"/>
      <c r="T43" s="1348"/>
      <c r="U43" s="1348"/>
      <c r="V43" s="1348"/>
      <c r="W43" s="1348"/>
      <c r="X43" s="1348"/>
      <c r="Y43" s="1348"/>
      <c r="Z43" s="117"/>
      <c r="AA43" s="1352"/>
      <c r="AB43" s="1353"/>
      <c r="AC43" s="1353"/>
      <c r="AD43" s="1353"/>
      <c r="AE43" s="1354"/>
      <c r="AF43" s="629"/>
      <c r="AG43" s="629"/>
    </row>
    <row r="44" spans="8:8" ht="15.75" customFormat="1">
      <c r="B44" s="1341" t="s">
        <v>5955</v>
      </c>
      <c r="C44" s="1341"/>
      <c r="D44" s="1341"/>
      <c r="E44" s="1341"/>
      <c r="F44" s="1341"/>
      <c r="G44" s="1341"/>
      <c r="H44" s="1341"/>
      <c r="I44" s="1341"/>
      <c r="J44" s="1341"/>
      <c r="K44" s="1341"/>
      <c r="L44" s="1341"/>
      <c r="M44" s="1341"/>
      <c r="N44" s="1341"/>
      <c r="O44" s="1341"/>
      <c r="P44" s="1341"/>
      <c r="Q44" s="1341"/>
      <c r="R44" s="1341"/>
      <c r="S44" s="1341"/>
      <c r="T44" s="1341"/>
      <c r="U44" s="1341"/>
      <c r="V44" s="1341"/>
      <c r="W44" s="1341"/>
      <c r="X44" s="1341"/>
      <c r="Y44" s="1341"/>
      <c r="Z44" s="629"/>
      <c r="AA44" s="629"/>
      <c r="AB44" s="629"/>
      <c r="AC44" s="629"/>
      <c r="AD44" s="629"/>
      <c r="AE44" s="629"/>
      <c r="AF44" s="629"/>
      <c r="AG44" s="629"/>
    </row>
    <row r="45" spans="8:8" ht="15.15" customFormat="1" customHeight="1">
      <c r="B45" s="1343" t="s">
        <v>332</v>
      </c>
      <c r="C45" s="1343"/>
      <c r="D45" s="1343"/>
      <c r="E45" s="1343"/>
      <c r="F45" s="1343"/>
      <c r="G45" s="1343"/>
      <c r="H45" s="1343"/>
      <c r="I45" s="1343"/>
      <c r="J45" s="1343"/>
      <c r="K45" s="1343"/>
      <c r="L45" s="1343"/>
      <c r="M45" s="1343"/>
      <c r="N45" s="1343"/>
      <c r="O45" s="1343"/>
      <c r="P45" s="1343"/>
      <c r="Q45" s="1343"/>
      <c r="R45" s="1343"/>
      <c r="S45" s="1343"/>
      <c r="T45" s="1343"/>
      <c r="U45" s="1343"/>
      <c r="V45" s="1343"/>
      <c r="W45" s="1343"/>
      <c r="X45" s="1343"/>
      <c r="Y45" s="1343"/>
      <c r="Z45" s="629" t="s">
        <v>333</v>
      </c>
      <c r="AA45" s="1355" t="s">
        <v>5861</v>
      </c>
      <c r="AB45" s="1356"/>
      <c r="AC45" s="1356"/>
      <c r="AD45" s="1356"/>
      <c r="AE45" s="1357"/>
      <c r="AF45" s="1358"/>
      <c r="AG45" s="629"/>
    </row>
    <row r="46" spans="8:8" ht="14.55" customFormat="1" customHeight="1">
      <c r="B46" s="1359" t="str">
        <f>附表!S63</f>
        <v>.st -力量0str0敏捷0dex0意志0pow0体质0con0外貌0app0教育0edu0体型0siz0智力0灵感0int0san0san值0理智0理智值0幸运0运气0mp0魔法0hp0体力0会计5人类学1估价5考古学1取悦15魅惑15攀爬20计算机5计算机使用5电脑5信用0信誉0信用评级0克苏鲁0克苏鲁神话0cm0乔装5闪避0汽车20驾驶20汽车驾驶20电气维修10电子学1话术5斗殴25手枪20急救30历史5恐吓15跳跃20母语0法律5图书馆20图书馆使用20聆听20开锁1撬锁1锁匠1机械维修10医学1博物学10自然学10领航10导航10神秘学5重型操作1重型机械1操作重型机械1重型1说服10精神分析1心理学10骑术5妙手10侦查25潜行20生存10游泳20投掷20追踪10动物驯养5潜水1爆破1读唇1催眠1炮术1</v>
      </c>
      <c r="C46" s="1360"/>
      <c r="D46" s="1360"/>
      <c r="E46" s="1360"/>
      <c r="F46" s="1360"/>
      <c r="G46" s="1360"/>
      <c r="H46" s="1360"/>
      <c r="I46" s="1360"/>
      <c r="J46" s="1360"/>
      <c r="K46" s="1360"/>
      <c r="L46" s="1360"/>
      <c r="M46" s="1360"/>
      <c r="N46" s="1360"/>
      <c r="O46" s="1360"/>
      <c r="P46" s="1360"/>
      <c r="Q46" s="1360"/>
      <c r="R46" s="1360"/>
      <c r="S46" s="1360"/>
      <c r="T46" s="1360"/>
      <c r="U46" s="1360"/>
      <c r="V46" s="1360"/>
      <c r="W46" s="1360"/>
      <c r="X46" s="1360"/>
      <c r="Y46" s="1361"/>
      <c r="Z46" s="117"/>
      <c r="AA46" s="1362"/>
      <c r="AB46" s="1363"/>
      <c r="AC46" s="1363"/>
      <c r="AD46" s="1363"/>
      <c r="AE46" s="1364"/>
      <c r="AF46" s="1358"/>
      <c r="AG46" s="629"/>
    </row>
    <row r="47" spans="8:8" ht="14.55" customFormat="1" customHeight="1">
      <c r="B47" s="1365"/>
      <c r="C47" s="1366"/>
      <c r="D47" s="1366"/>
      <c r="E47" s="1366"/>
      <c r="F47" s="1366"/>
      <c r="G47" s="1366"/>
      <c r="H47" s="1366"/>
      <c r="I47" s="1366"/>
      <c r="J47" s="1366"/>
      <c r="K47" s="1366"/>
      <c r="L47" s="1366"/>
      <c r="M47" s="1366"/>
      <c r="N47" s="1366"/>
      <c r="O47" s="1366"/>
      <c r="P47" s="1366"/>
      <c r="Q47" s="1366"/>
      <c r="R47" s="1366"/>
      <c r="S47" s="1366"/>
      <c r="T47" s="1366"/>
      <c r="U47" s="1366"/>
      <c r="V47" s="1366"/>
      <c r="W47" s="1366"/>
      <c r="X47" s="1366"/>
      <c r="Y47" s="1367"/>
      <c r="Z47" s="117"/>
      <c r="AA47" s="1362"/>
      <c r="AB47" s="1363"/>
      <c r="AC47" s="1363"/>
      <c r="AD47" s="1363"/>
      <c r="AE47" s="1364"/>
      <c r="AF47" s="1358"/>
      <c r="AG47" s="629"/>
    </row>
    <row r="48" spans="8:8" ht="14.55" customFormat="1" customHeight="1">
      <c r="B48" s="1365"/>
      <c r="C48" s="1366"/>
      <c r="D48" s="1366"/>
      <c r="E48" s="1366"/>
      <c r="F48" s="1366"/>
      <c r="G48" s="1366"/>
      <c r="H48" s="1366"/>
      <c r="I48" s="1366"/>
      <c r="J48" s="1366"/>
      <c r="K48" s="1366"/>
      <c r="L48" s="1366"/>
      <c r="M48" s="1366"/>
      <c r="N48" s="1366"/>
      <c r="O48" s="1366"/>
      <c r="P48" s="1366"/>
      <c r="Q48" s="1366"/>
      <c r="R48" s="1366"/>
      <c r="S48" s="1366"/>
      <c r="T48" s="1366"/>
      <c r="U48" s="1366"/>
      <c r="V48" s="1366"/>
      <c r="W48" s="1366"/>
      <c r="X48" s="1366"/>
      <c r="Y48" s="1367"/>
      <c r="Z48" s="117"/>
      <c r="AA48" s="1362"/>
      <c r="AB48" s="1363"/>
      <c r="AC48" s="1363"/>
      <c r="AD48" s="1363"/>
      <c r="AE48" s="1364"/>
      <c r="AF48" s="1358"/>
      <c r="AG48" s="629"/>
    </row>
    <row r="49" spans="8:8" ht="14.55" customFormat="1" customHeight="1">
      <c r="B49" s="1368"/>
      <c r="C49" s="1369"/>
      <c r="D49" s="1369"/>
      <c r="E49" s="1369"/>
      <c r="F49" s="1369"/>
      <c r="G49" s="1369"/>
      <c r="H49" s="1369"/>
      <c r="I49" s="1369"/>
      <c r="J49" s="1369"/>
      <c r="K49" s="1369"/>
      <c r="L49" s="1369"/>
      <c r="M49" s="1369"/>
      <c r="N49" s="1369"/>
      <c r="O49" s="1369"/>
      <c r="P49" s="1369"/>
      <c r="Q49" s="1369"/>
      <c r="R49" s="1369"/>
      <c r="S49" s="1369"/>
      <c r="T49" s="1369"/>
      <c r="U49" s="1369"/>
      <c r="V49" s="1369"/>
      <c r="W49" s="1369"/>
      <c r="X49" s="1369"/>
      <c r="Y49" s="1370"/>
      <c r="Z49" s="117"/>
      <c r="AA49" s="1371"/>
      <c r="AB49" s="1372"/>
      <c r="AC49" s="1372"/>
      <c r="AD49" s="1372"/>
      <c r="AE49" s="1373"/>
      <c r="AF49" s="1358"/>
      <c r="AG49" s="629"/>
    </row>
    <row r="50" spans="8:8" ht="16.95" customHeight="1">
      <c r="B50" s="1374" t="s">
        <v>5958</v>
      </c>
      <c r="C50" s="1374"/>
      <c r="D50" s="1374"/>
      <c r="E50" s="1374"/>
      <c r="F50" s="1374"/>
      <c r="G50" s="1374"/>
      <c r="H50" s="1374"/>
      <c r="I50" s="1374"/>
      <c r="J50" s="1374"/>
      <c r="K50" s="1374"/>
      <c r="L50" s="1374"/>
      <c r="M50" s="1374"/>
      <c r="N50" s="1374"/>
      <c r="O50" s="1374"/>
      <c r="P50" s="1374"/>
      <c r="Q50" s="1374"/>
      <c r="R50" s="1374"/>
      <c r="S50" s="1374"/>
      <c r="T50" s="1374"/>
      <c r="U50" s="1374"/>
      <c r="V50" s="1374"/>
      <c r="W50" s="1374"/>
      <c r="X50" s="1374"/>
      <c r="Y50" s="1374"/>
      <c r="Z50" s="1375"/>
      <c r="AA50" s="1376"/>
      <c r="AB50" s="1376"/>
      <c r="AC50" s="1376"/>
      <c r="AD50" s="1376"/>
      <c r="AE50" s="1376"/>
      <c r="AF50" s="1358"/>
      <c r="AG50" s="629"/>
    </row>
    <row r="51" spans="8:8" ht="16.95" customHeight="1">
      <c r="B51" s="1343" t="s">
        <v>332</v>
      </c>
      <c r="C51" s="1343"/>
      <c r="D51" s="1343"/>
      <c r="E51" s="1343"/>
      <c r="F51" s="1343"/>
      <c r="G51" s="1343"/>
      <c r="H51" s="1343"/>
      <c r="I51" s="1343"/>
      <c r="J51" s="1343"/>
      <c r="K51" s="1343"/>
      <c r="L51" s="1343"/>
      <c r="M51" s="1343"/>
      <c r="N51" s="1343"/>
      <c r="O51" s="1343"/>
      <c r="P51" s="1343"/>
      <c r="Q51" s="1343"/>
      <c r="R51" s="1343"/>
      <c r="S51" s="1343"/>
      <c r="T51" s="1343"/>
      <c r="U51" s="1343"/>
      <c r="V51" s="1343"/>
      <c r="W51" s="1343"/>
      <c r="X51" s="1343"/>
      <c r="Y51" s="1343"/>
      <c r="Z51" s="760" t="s">
        <v>333</v>
      </c>
      <c r="AA51" s="1344" t="s">
        <v>5957</v>
      </c>
      <c r="AB51" s="1377"/>
      <c r="AC51" s="1377"/>
      <c r="AD51" s="1377"/>
      <c r="AE51" s="1378"/>
      <c r="AF51" s="629"/>
      <c r="AG51" s="629"/>
    </row>
    <row r="52" spans="8:8" ht="16.95" customHeight="1">
      <c r="B52" s="1348" t="str">
        <f>附表!S76</f>
        <v>.st -力量0敏捷0意志0体质0外貌0教育0体型0智力0灵感0理智0幸运0魔法0hp0体力0会计5人类学1估价5考古学1取悦15攀爬20计算机5信用0克苏鲁0乔装5闪避0汽车20驾驶20汽车驾驶20电气维修10电子学1话术5斗殴25手枪20急救30历史5恐吓15跳跃20母语0法律5图书馆20聆听20开锁1锁匠1机械维修10医学1博物学10导航10神秘学5操作重型机械1重型1说服10精神分析1心理学10骑术5妙手10侦查25潜行20生存10游泳20投掷20追踪10动物驯养5潜水1爆破1读唇1催眠1炮术1</v>
      </c>
      <c r="C52" s="1348"/>
      <c r="D52" s="1348"/>
      <c r="E52" s="1348"/>
      <c r="F52" s="1348"/>
      <c r="G52" s="1348"/>
      <c r="H52" s="1348"/>
      <c r="I52" s="1348"/>
      <c r="J52" s="1348"/>
      <c r="K52" s="1348"/>
      <c r="L52" s="1348"/>
      <c r="M52" s="1348"/>
      <c r="N52" s="1348"/>
      <c r="O52" s="1348"/>
      <c r="P52" s="1348"/>
      <c r="Q52" s="1348"/>
      <c r="R52" s="1348"/>
      <c r="S52" s="1348"/>
      <c r="T52" s="1348"/>
      <c r="U52" s="1348"/>
      <c r="V52" s="1348"/>
      <c r="W52" s="1348"/>
      <c r="X52" s="1348"/>
      <c r="Y52" s="1348"/>
      <c r="AA52" s="1379"/>
      <c r="AB52" s="1380"/>
      <c r="AC52" s="1380"/>
      <c r="AD52" s="1380"/>
      <c r="AE52" s="1381"/>
      <c r="AF52" s="629"/>
      <c r="AG52" s="629"/>
    </row>
    <row r="53" spans="8:8" ht="16.95" customHeight="1">
      <c r="B53" s="1348"/>
      <c r="C53" s="1348"/>
      <c r="D53" s="1348"/>
      <c r="E53" s="1348"/>
      <c r="F53" s="1348"/>
      <c r="G53" s="1348"/>
      <c r="H53" s="1348"/>
      <c r="I53" s="1348"/>
      <c r="J53" s="1348"/>
      <c r="K53" s="1348"/>
      <c r="L53" s="1348"/>
      <c r="M53" s="1348"/>
      <c r="N53" s="1348"/>
      <c r="O53" s="1348"/>
      <c r="P53" s="1348"/>
      <c r="Q53" s="1348"/>
      <c r="R53" s="1348"/>
      <c r="S53" s="1348"/>
      <c r="T53" s="1348"/>
      <c r="U53" s="1348"/>
      <c r="V53" s="1348"/>
      <c r="W53" s="1348"/>
      <c r="X53" s="1348"/>
      <c r="Y53" s="1348"/>
      <c r="AA53" s="1379"/>
      <c r="AB53" s="1380"/>
      <c r="AC53" s="1380"/>
      <c r="AD53" s="1380"/>
      <c r="AE53" s="1381"/>
      <c r="AF53" s="629"/>
      <c r="AG53" s="629"/>
    </row>
    <row r="54" spans="8:8" ht="16.95" customHeight="1">
      <c r="B54" s="1348"/>
      <c r="C54" s="1348"/>
      <c r="D54" s="1348"/>
      <c r="E54" s="1348"/>
      <c r="F54" s="1348"/>
      <c r="G54" s="1348"/>
      <c r="H54" s="1348"/>
      <c r="I54" s="1348"/>
      <c r="J54" s="1348"/>
      <c r="K54" s="1348"/>
      <c r="L54" s="1348"/>
      <c r="M54" s="1348"/>
      <c r="N54" s="1348"/>
      <c r="O54" s="1348"/>
      <c r="P54" s="1348"/>
      <c r="Q54" s="1348"/>
      <c r="R54" s="1348"/>
      <c r="S54" s="1348"/>
      <c r="T54" s="1348"/>
      <c r="U54" s="1348"/>
      <c r="V54" s="1348"/>
      <c r="W54" s="1348"/>
      <c r="X54" s="1348"/>
      <c r="Y54" s="1348"/>
      <c r="AA54" s="1379"/>
      <c r="AB54" s="1380"/>
      <c r="AC54" s="1380"/>
      <c r="AD54" s="1380"/>
      <c r="AE54" s="1381"/>
      <c r="AF54" s="629"/>
      <c r="AG54" s="629"/>
    </row>
    <row r="55" spans="8:8" ht="16.95" customHeight="1">
      <c r="B55" s="1348"/>
      <c r="C55" s="1348"/>
      <c r="D55" s="1348"/>
      <c r="E55" s="1348"/>
      <c r="F55" s="1348"/>
      <c r="G55" s="1348"/>
      <c r="H55" s="1348"/>
      <c r="I55" s="1348"/>
      <c r="J55" s="1348"/>
      <c r="K55" s="1348"/>
      <c r="L55" s="1348"/>
      <c r="M55" s="1348"/>
      <c r="N55" s="1348"/>
      <c r="O55" s="1348"/>
      <c r="P55" s="1348"/>
      <c r="Q55" s="1348"/>
      <c r="R55" s="1348"/>
      <c r="S55" s="1348"/>
      <c r="T55" s="1348"/>
      <c r="U55" s="1348"/>
      <c r="V55" s="1348"/>
      <c r="W55" s="1348"/>
      <c r="X55" s="1348"/>
      <c r="Y55" s="1348"/>
      <c r="AA55" s="1382"/>
      <c r="AB55" s="1383"/>
      <c r="AC55" s="1383"/>
      <c r="AD55" s="1383"/>
      <c r="AE55" s="1384"/>
      <c r="AF55" s="629"/>
      <c r="AG55" s="629"/>
    </row>
    <row r="56" spans="8:8" ht="16.95" customHeight="1">
      <c r="B56" s="1385"/>
      <c r="C56" s="1385"/>
      <c r="D56" s="1385"/>
      <c r="E56" s="1385"/>
      <c r="F56" s="1385"/>
      <c r="G56" s="1385"/>
      <c r="H56" s="1385"/>
      <c r="I56" s="1385"/>
      <c r="J56" s="1385"/>
      <c r="K56" s="1385"/>
      <c r="L56" s="1385"/>
      <c r="M56" s="1385"/>
      <c r="N56" s="1385"/>
      <c r="O56" s="1385"/>
      <c r="P56" s="1385"/>
      <c r="Q56" s="1385"/>
      <c r="R56" s="1385"/>
      <c r="S56" s="1385"/>
      <c r="T56" s="1385"/>
      <c r="U56" s="1385"/>
      <c r="V56" s="1385"/>
      <c r="W56" s="1385"/>
      <c r="X56" s="1385"/>
      <c r="Y56" s="1385"/>
      <c r="AA56" s="1338"/>
      <c r="AB56" s="1338"/>
      <c r="AC56" s="1338"/>
      <c r="AD56" s="1338"/>
      <c r="AE56" s="1338"/>
      <c r="AF56" s="629"/>
      <c r="AG56" s="629"/>
    </row>
    <row r="57" spans="8:8" ht="16.95" customHeight="1">
      <c r="AA57" s="1386"/>
      <c r="AB57" s="1386"/>
      <c r="AC57" s="1386"/>
      <c r="AD57" s="1386"/>
      <c r="AE57" s="1386"/>
      <c r="AF57" s="629"/>
      <c r="AG57" s="629"/>
    </row>
    <row r="58" spans="8:8" ht="16.95" customHeight="1">
      <c r="AF58" s="629"/>
      <c r="AG58" s="629"/>
    </row>
    <row r="59" spans="8:8" ht="16.95" customHeight="1">
      <c r="AF59" s="629"/>
      <c r="AG59" s="629"/>
    </row>
    <row r="60" spans="8:8" ht="16.95" customHeight="1">
      <c r="AF60" s="629"/>
      <c r="AG60" s="629"/>
    </row>
    <row r="61" spans="8:8" ht="16.95" customHeight="1">
      <c r="AF61" s="629"/>
      <c r="AG61" s="629"/>
    </row>
    <row r="63" spans="8:8" ht="16.95" customHeight="1"/>
    <row r="64" spans="8:8" ht="16.95" customHeight="1">
      <c r="B64" s="1387" t="s">
        <v>335</v>
      </c>
      <c r="C64" s="1388"/>
      <c r="D64" s="1388"/>
      <c r="E64" s="1388"/>
      <c r="F64" s="1388"/>
      <c r="G64" s="1388"/>
      <c r="H64" s="1388"/>
      <c r="I64" s="1388"/>
      <c r="J64" s="1388"/>
      <c r="K64" s="1388"/>
      <c r="L64" s="1388"/>
      <c r="M64" s="1388"/>
      <c r="N64" s="1388"/>
      <c r="O64" s="1388"/>
      <c r="P64" s="1388"/>
      <c r="Q64" s="1388"/>
      <c r="R64" s="1388"/>
      <c r="S64" s="1388"/>
      <c r="T64" s="1388"/>
      <c r="U64" s="1388"/>
      <c r="V64" s="1388"/>
      <c r="W64" s="1388"/>
      <c r="X64" s="1388"/>
      <c r="Y64" s="1389"/>
      <c r="Z64" s="117"/>
      <c r="AA64" s="629"/>
      <c r="AB64" s="629"/>
      <c r="AC64" s="629"/>
      <c r="AD64" s="629"/>
      <c r="AE64" s="629"/>
    </row>
    <row r="65" spans="8:8" ht="16.95" customHeight="1">
      <c r="B65" s="1390" t="s">
        <v>336</v>
      </c>
      <c r="C65" s="1391"/>
      <c r="D65" s="1392" t="s">
        <v>337</v>
      </c>
      <c r="E65" s="1392"/>
      <c r="F65" s="1392" t="s">
        <v>338</v>
      </c>
      <c r="G65" s="1392"/>
      <c r="H65" s="1392"/>
      <c r="I65" s="1392"/>
      <c r="J65" s="1391" t="s">
        <v>336</v>
      </c>
      <c r="K65" s="1391"/>
      <c r="L65" s="1392" t="s">
        <v>337</v>
      </c>
      <c r="M65" s="1392"/>
      <c r="N65" s="1392" t="s">
        <v>338</v>
      </c>
      <c r="O65" s="1392"/>
      <c r="P65" s="1392"/>
      <c r="Q65" s="1392"/>
      <c r="R65" s="1391" t="s">
        <v>336</v>
      </c>
      <c r="S65" s="1391"/>
      <c r="T65" s="1392" t="s">
        <v>337</v>
      </c>
      <c r="U65" s="1392"/>
      <c r="V65" s="1392" t="s">
        <v>338</v>
      </c>
      <c r="W65" s="1392"/>
      <c r="X65" s="1392"/>
      <c r="Y65" s="1393"/>
      <c r="Z65" s="117"/>
      <c r="AA65" s="629"/>
      <c r="AB65" s="629"/>
      <c r="AC65" s="629"/>
      <c r="AD65" s="629"/>
      <c r="AE65" s="629"/>
      <c r="AF65" s="1394"/>
      <c r="AG65" s="1394"/>
      <c r="AH65" s="1394"/>
      <c r="AI65" s="397"/>
    </row>
    <row r="66" spans="8:8" ht="16.95" customHeight="1">
      <c r="B66" s="1395" t="s">
        <v>339</v>
      </c>
      <c r="C66" s="1396"/>
      <c r="D66" s="1396" t="s">
        <v>303</v>
      </c>
      <c r="E66" s="1396"/>
      <c r="F66" s="1397"/>
      <c r="G66" s="1397"/>
      <c r="H66" s="1397"/>
      <c r="I66" s="1398"/>
      <c r="J66" s="1396" t="s">
        <v>340</v>
      </c>
      <c r="K66" s="1396"/>
      <c r="L66" s="1396" t="s">
        <v>341</v>
      </c>
      <c r="M66" s="1396"/>
      <c r="N66" s="1399"/>
      <c r="O66" s="1399"/>
      <c r="P66" s="1399"/>
      <c r="Q66" s="1400"/>
      <c r="R66" s="1401" t="s">
        <v>105</v>
      </c>
      <c r="S66" s="1401"/>
      <c r="T66" s="1401" t="s">
        <v>342</v>
      </c>
      <c r="U66" s="1401"/>
      <c r="V66" s="1402" t="s">
        <v>343</v>
      </c>
      <c r="W66" s="1402"/>
      <c r="X66" s="1402"/>
      <c r="Y66" s="1403"/>
      <c r="Z66" s="117"/>
      <c r="AA66" s="629"/>
      <c r="AB66" s="629"/>
      <c r="AC66" s="629"/>
      <c r="AD66" s="629"/>
      <c r="AE66" s="629"/>
      <c r="AF66" s="1394"/>
      <c r="AG66" s="1394"/>
      <c r="AH66" s="1394"/>
      <c r="AI66" s="397"/>
    </row>
    <row r="67" spans="8:8" ht="16.95" customHeight="1">
      <c r="B67" s="1404" t="s">
        <v>344</v>
      </c>
      <c r="C67" s="1251"/>
      <c r="D67" s="1251" t="s">
        <v>304</v>
      </c>
      <c r="E67" s="1251"/>
      <c r="F67" s="1405"/>
      <c r="G67" s="1405"/>
      <c r="H67" s="1405"/>
      <c r="I67" s="1406"/>
      <c r="J67" s="1251" t="s">
        <v>345</v>
      </c>
      <c r="K67" s="1251"/>
      <c r="L67" s="1251" t="s">
        <v>346</v>
      </c>
      <c r="M67" s="1251"/>
      <c r="N67" s="1407" t="s">
        <v>347</v>
      </c>
      <c r="O67" s="1407"/>
      <c r="P67" s="1407"/>
      <c r="Q67" s="1408"/>
      <c r="R67" s="1409" t="s">
        <v>110</v>
      </c>
      <c r="S67" s="1409"/>
      <c r="T67" s="1251" t="s">
        <v>348</v>
      </c>
      <c r="U67" s="1251"/>
      <c r="V67" s="1251"/>
      <c r="W67" s="1251"/>
      <c r="X67" s="1251"/>
      <c r="Y67" s="1410"/>
      <c r="Z67" s="117"/>
      <c r="AA67" s="629"/>
      <c r="AB67" s="629"/>
      <c r="AC67" s="629"/>
      <c r="AD67" s="629"/>
      <c r="AE67" s="629"/>
      <c r="AF67" s="1394"/>
      <c r="AG67" s="1394"/>
      <c r="AH67" s="1394"/>
      <c r="AI67" s="397"/>
    </row>
    <row r="68" spans="8:8" ht="16.95" customHeight="1">
      <c r="B68" s="1395" t="s">
        <v>349</v>
      </c>
      <c r="C68" s="1396"/>
      <c r="D68" s="1396" t="s">
        <v>307</v>
      </c>
      <c r="E68" s="1396"/>
      <c r="F68" s="1397"/>
      <c r="G68" s="1397"/>
      <c r="H68" s="1397"/>
      <c r="I68" s="1398"/>
      <c r="J68" s="1396" t="s">
        <v>350</v>
      </c>
      <c r="K68" s="1396"/>
      <c r="L68" s="1396" t="s">
        <v>351</v>
      </c>
      <c r="M68" s="1396"/>
      <c r="N68" s="1399"/>
      <c r="O68" s="1399"/>
      <c r="P68" s="1399"/>
      <c r="Q68" s="1400"/>
      <c r="R68" s="1396" t="s">
        <v>352</v>
      </c>
      <c r="S68" s="1396"/>
      <c r="T68" s="1396" t="s">
        <v>353</v>
      </c>
      <c r="U68" s="1396"/>
      <c r="V68" s="1396" t="s">
        <v>354</v>
      </c>
      <c r="W68" s="1396"/>
      <c r="X68" s="1396"/>
      <c r="Y68" s="1411"/>
      <c r="Z68" s="117"/>
      <c r="AA68" s="629"/>
      <c r="AB68" s="629"/>
      <c r="AC68" s="629"/>
      <c r="AD68" s="629"/>
      <c r="AE68" s="629"/>
      <c r="AF68" s="1394"/>
      <c r="AG68" s="1394"/>
      <c r="AH68" s="1394"/>
      <c r="AI68" s="397"/>
    </row>
    <row r="69" spans="8:8" ht="16.95" customHeight="1">
      <c r="B69" s="1404" t="s">
        <v>355</v>
      </c>
      <c r="C69" s="1251"/>
      <c r="D69" s="1251" t="s">
        <v>310</v>
      </c>
      <c r="E69" s="1251"/>
      <c r="F69" s="1406"/>
      <c r="G69" s="1406"/>
      <c r="H69" s="1406"/>
      <c r="I69" s="1406"/>
      <c r="J69" s="1412"/>
      <c r="K69" s="1412"/>
      <c r="L69" s="1412"/>
      <c r="M69" s="1412"/>
      <c r="N69" s="1412"/>
      <c r="O69" s="1412"/>
      <c r="P69" s="1412"/>
      <c r="Q69" s="1413"/>
      <c r="R69" s="1414" t="s">
        <v>60</v>
      </c>
      <c r="S69" s="1414"/>
      <c r="T69" s="1414" t="s">
        <v>356</v>
      </c>
      <c r="U69" s="1414"/>
      <c r="V69" s="1415"/>
      <c r="W69" s="1415"/>
      <c r="X69" s="1415"/>
      <c r="Y69" s="1416"/>
      <c r="Z69" s="117"/>
      <c r="AA69" s="629"/>
      <c r="AB69" s="629"/>
      <c r="AC69" s="629"/>
      <c r="AD69" s="629"/>
      <c r="AE69" s="629"/>
      <c r="AF69" s="1394"/>
      <c r="AG69" s="1394"/>
      <c r="AH69" s="1394"/>
      <c r="AI69" s="397"/>
    </row>
    <row r="70" spans="8:8" ht="16.95" customHeight="1">
      <c r="B70" s="1395" t="s">
        <v>357</v>
      </c>
      <c r="C70" s="1396"/>
      <c r="D70" s="1396" t="s">
        <v>308</v>
      </c>
      <c r="E70" s="1396"/>
      <c r="F70" s="1397"/>
      <c r="G70" s="1397"/>
      <c r="H70" s="1397"/>
      <c r="I70" s="1398"/>
      <c r="J70" s="1187"/>
      <c r="K70" s="1187"/>
      <c r="L70" s="1187"/>
      <c r="M70" s="1187"/>
      <c r="N70" s="1187"/>
      <c r="O70" s="1187"/>
      <c r="P70" s="1187"/>
      <c r="Q70" s="1417"/>
      <c r="R70" s="1396" t="s">
        <v>67</v>
      </c>
      <c r="S70" s="1396"/>
      <c r="T70" s="1396" t="s">
        <v>358</v>
      </c>
      <c r="U70" s="1396"/>
      <c r="V70" s="1399"/>
      <c r="W70" s="1399"/>
      <c r="X70" s="1399"/>
      <c r="Y70" s="1418"/>
      <c r="Z70" s="117"/>
      <c r="AA70" s="629"/>
      <c r="AB70" s="629"/>
      <c r="AC70" s="629"/>
      <c r="AD70" s="629"/>
      <c r="AE70" s="629"/>
      <c r="AF70" s="1394"/>
      <c r="AG70" s="1394"/>
      <c r="AH70" s="1394"/>
      <c r="AI70" s="397"/>
    </row>
    <row r="71" spans="8:8" ht="16.95" customHeight="1">
      <c r="B71" s="1419" t="s">
        <v>359</v>
      </c>
      <c r="C71" s="1414"/>
      <c r="D71" s="1414" t="s">
        <v>306</v>
      </c>
      <c r="E71" s="1414"/>
      <c r="F71" s="1420" t="s">
        <v>360</v>
      </c>
      <c r="G71" s="1420"/>
      <c r="H71" s="1420"/>
      <c r="I71" s="1421"/>
      <c r="J71" s="1412"/>
      <c r="K71" s="1412"/>
      <c r="L71" s="1412"/>
      <c r="M71" s="1412"/>
      <c r="N71" s="1412"/>
      <c r="O71" s="1412"/>
      <c r="P71" s="1412"/>
      <c r="Q71" s="1413"/>
      <c r="R71" s="1414" t="s">
        <v>73</v>
      </c>
      <c r="S71" s="1414"/>
      <c r="T71" s="1414"/>
      <c r="U71" s="1414"/>
      <c r="V71" s="1420" t="s">
        <v>361</v>
      </c>
      <c r="W71" s="1420"/>
      <c r="X71" s="1420"/>
      <c r="Y71" s="1422"/>
      <c r="Z71" s="117"/>
      <c r="AA71" s="629"/>
      <c r="AB71" s="629"/>
      <c r="AC71" s="629"/>
      <c r="AD71" s="629"/>
      <c r="AE71" s="629"/>
      <c r="AF71" s="1394"/>
      <c r="AG71" s="1394"/>
      <c r="AH71" s="1394"/>
      <c r="AI71" s="397"/>
    </row>
    <row r="72" spans="8:8" ht="16.95" customHeight="1">
      <c r="B72" s="1423" t="s">
        <v>362</v>
      </c>
      <c r="C72" s="1401"/>
      <c r="D72" s="1401" t="s">
        <v>305</v>
      </c>
      <c r="E72" s="1401"/>
      <c r="F72" s="1424"/>
      <c r="G72" s="1424"/>
      <c r="H72" s="1424"/>
      <c r="I72" s="1425"/>
      <c r="J72" s="1426" t="s">
        <v>82</v>
      </c>
      <c r="K72" s="1426"/>
      <c r="L72" s="1401" t="s">
        <v>363</v>
      </c>
      <c r="M72" s="1401"/>
      <c r="N72" s="1402" t="s">
        <v>364</v>
      </c>
      <c r="O72" s="1402"/>
      <c r="P72" s="1402"/>
      <c r="Q72" s="1427"/>
      <c r="R72" s="1401" t="s">
        <v>75</v>
      </c>
      <c r="S72" s="1401"/>
      <c r="T72" s="1396"/>
      <c r="U72" s="1396"/>
      <c r="V72" s="1397" t="s">
        <v>365</v>
      </c>
      <c r="W72" s="1397"/>
      <c r="X72" s="1397"/>
      <c r="Y72" s="1428"/>
      <c r="Z72" s="117"/>
      <c r="AA72" s="629"/>
      <c r="AB72" s="629"/>
      <c r="AC72" s="629"/>
      <c r="AD72" s="629"/>
      <c r="AE72" s="629"/>
      <c r="AF72" s="1394"/>
      <c r="AG72" s="1394"/>
      <c r="AH72" s="1394"/>
      <c r="AI72" s="397"/>
    </row>
    <row r="73" spans="8:8" ht="16.95" customHeight="1">
      <c r="B73" s="1419" t="s">
        <v>366</v>
      </c>
      <c r="C73" s="1414"/>
      <c r="D73" s="1414" t="s">
        <v>309</v>
      </c>
      <c r="E73" s="1414"/>
      <c r="F73" s="1420"/>
      <c r="G73" s="1420"/>
      <c r="H73" s="1420"/>
      <c r="I73" s="1421"/>
      <c r="J73" s="1414" t="s">
        <v>90</v>
      </c>
      <c r="K73" s="1414"/>
      <c r="L73" s="1414" t="s">
        <v>367</v>
      </c>
      <c r="M73" s="1414"/>
      <c r="N73" s="1429" t="s">
        <v>368</v>
      </c>
      <c r="O73" s="1429"/>
      <c r="P73" s="1429"/>
      <c r="Q73" s="1430"/>
      <c r="R73" s="1414" t="s">
        <v>83</v>
      </c>
      <c r="S73" s="1414"/>
      <c r="T73" s="1414" t="s">
        <v>369</v>
      </c>
      <c r="U73" s="1414"/>
      <c r="V73" s="1420" t="s">
        <v>370</v>
      </c>
      <c r="W73" s="1420"/>
      <c r="X73" s="1420"/>
      <c r="Y73" s="1422"/>
      <c r="Z73" s="117"/>
      <c r="AA73" s="629"/>
      <c r="AB73" s="629"/>
      <c r="AC73" s="629"/>
      <c r="AD73" s="629"/>
      <c r="AE73" s="629"/>
      <c r="AF73" s="1394"/>
      <c r="AG73" s="1394"/>
      <c r="AH73" s="1394"/>
      <c r="AI73" s="397"/>
    </row>
    <row r="74" spans="8:8" ht="16.95" customHeight="1">
      <c r="B74" s="1431" t="s">
        <v>371</v>
      </c>
      <c r="C74" s="1432"/>
      <c r="D74" s="1432"/>
      <c r="E74" s="1432"/>
      <c r="F74" s="1433" t="s">
        <v>372</v>
      </c>
      <c r="G74" s="1433"/>
      <c r="H74" s="1433"/>
      <c r="I74" s="1434"/>
      <c r="J74" s="1435" t="s">
        <v>92</v>
      </c>
      <c r="K74" s="1435"/>
      <c r="L74" s="1435" t="s">
        <v>373</v>
      </c>
      <c r="M74" s="1435"/>
      <c r="N74" s="1436" t="s">
        <v>374</v>
      </c>
      <c r="O74" s="1436"/>
      <c r="P74" s="1436"/>
      <c r="Q74" s="1437"/>
      <c r="R74" s="1438" t="s">
        <v>128</v>
      </c>
      <c r="S74" s="1438"/>
      <c r="T74" s="1435" t="s">
        <v>375</v>
      </c>
      <c r="U74" s="1435"/>
      <c r="V74" s="1439"/>
      <c r="W74" s="1439"/>
      <c r="X74" s="1439"/>
      <c r="Y74" s="1440"/>
      <c r="Z74" s="117"/>
      <c r="AA74" s="629"/>
      <c r="AB74" s="629"/>
      <c r="AC74" s="629"/>
      <c r="AD74" s="629"/>
      <c r="AE74" s="629"/>
      <c r="AF74" s="1394"/>
      <c r="AG74" s="1394"/>
      <c r="AH74" s="1394"/>
      <c r="AI74" s="397"/>
    </row>
    <row r="75" spans="8:8" ht="16.95" customHeight="1">
      <c r="B75" s="1441" t="s">
        <v>376</v>
      </c>
      <c r="C75" s="1441"/>
      <c r="D75" s="1441"/>
      <c r="E75" s="1441"/>
      <c r="F75" s="1441"/>
      <c r="G75" s="1441"/>
      <c r="R75" s="440"/>
      <c r="S75" s="440"/>
      <c r="T75" s="440"/>
      <c r="U75" s="440"/>
      <c r="V75" s="440"/>
      <c r="W75" s="440"/>
      <c r="X75" s="440"/>
      <c r="Y75" s="440"/>
      <c r="Z75" s="629"/>
      <c r="AA75" s="629"/>
      <c r="AB75" s="629"/>
      <c r="AC75" s="629"/>
      <c r="AD75" s="629"/>
      <c r="AE75" s="629"/>
      <c r="AF75" s="1394"/>
      <c r="AG75" s="1394"/>
      <c r="AH75" s="1394"/>
      <c r="AI75" s="397"/>
    </row>
    <row r="76" spans="8:8" ht="16.95" customHeight="1">
      <c r="B76" s="1442"/>
      <c r="C76" s="1442"/>
      <c r="D76" s="1442"/>
      <c r="E76" s="1442"/>
      <c r="F76" s="1442"/>
      <c r="G76" s="1442"/>
      <c r="H76" s="629"/>
      <c r="I76" s="629"/>
      <c r="J76" s="629"/>
      <c r="K76" s="629"/>
      <c r="L76" s="629"/>
      <c r="M76" s="629"/>
      <c r="N76" s="629"/>
      <c r="O76" s="629"/>
      <c r="P76" s="629"/>
      <c r="Q76" s="629"/>
      <c r="R76" s="629"/>
      <c r="S76" s="629"/>
      <c r="T76" s="629"/>
      <c r="U76" s="629"/>
      <c r="V76" s="629"/>
      <c r="W76" s="629"/>
      <c r="X76" s="629"/>
      <c r="Y76" s="629"/>
      <c r="Z76" s="440"/>
      <c r="AA76" s="440"/>
      <c r="AB76" s="440"/>
      <c r="AF76" s="397"/>
    </row>
    <row r="77" spans="8:8" ht="16.95" customHeight="1">
      <c r="B77" s="1443" t="s">
        <v>377</v>
      </c>
      <c r="C77" s="1444"/>
      <c r="D77" s="1444"/>
      <c r="E77" s="1444"/>
      <c r="F77" s="1444"/>
      <c r="G77" s="1444"/>
      <c r="H77" s="1444"/>
      <c r="I77" s="1444"/>
      <c r="J77" s="1444"/>
      <c r="K77" s="1444"/>
      <c r="L77" s="1444"/>
      <c r="M77" s="1444"/>
      <c r="N77" s="1444"/>
      <c r="O77" s="1444"/>
      <c r="P77" s="1444"/>
      <c r="Q77" s="1444"/>
      <c r="R77" s="1444"/>
      <c r="S77" s="1444"/>
      <c r="T77" s="1444"/>
      <c r="U77" s="1444"/>
      <c r="V77" s="1444"/>
      <c r="W77" s="1444"/>
      <c r="X77" s="1444"/>
      <c r="Y77" s="1444"/>
      <c r="Z77" s="1444"/>
      <c r="AA77" s="1444"/>
      <c r="AB77" s="1444"/>
      <c r="AC77" s="1444"/>
      <c r="AD77" s="1444"/>
      <c r="AE77" s="1445"/>
    </row>
    <row r="78" spans="8:8" ht="15.15">
      <c r="B78" s="1446"/>
      <c r="C78" s="1447"/>
      <c r="D78" s="1447"/>
      <c r="E78" s="1447"/>
      <c r="F78" s="1447"/>
      <c r="G78" s="1447"/>
      <c r="H78" s="1447"/>
      <c r="I78" s="1447"/>
      <c r="J78" s="1447"/>
      <c r="K78" s="1447"/>
      <c r="L78" s="1447"/>
      <c r="M78" s="1447"/>
      <c r="N78" s="1447"/>
      <c r="O78" s="1447"/>
      <c r="P78" s="1447"/>
      <c r="Q78" s="1447"/>
      <c r="R78" s="1447"/>
      <c r="S78" s="1447"/>
      <c r="T78" s="1447"/>
      <c r="U78" s="1447"/>
      <c r="V78" s="1447"/>
      <c r="W78" s="1447"/>
      <c r="X78" s="1447"/>
      <c r="Y78" s="1447"/>
      <c r="Z78" s="1447"/>
      <c r="AA78" s="1447"/>
      <c r="AB78" s="1447"/>
      <c r="AC78" s="1447"/>
      <c r="AD78" s="1447"/>
      <c r="AE78" s="1448"/>
    </row>
    <row r="79" spans="8:8" ht="16.95" customHeight="1">
      <c r="B79" s="1449" t="s">
        <v>86</v>
      </c>
      <c r="C79" s="1450"/>
      <c r="D79" s="1450"/>
      <c r="E79" s="1451" t="s">
        <v>378</v>
      </c>
      <c r="F79" s="1451"/>
      <c r="G79" s="1451"/>
      <c r="H79" s="1451" t="s">
        <v>96</v>
      </c>
      <c r="I79" s="1451"/>
      <c r="J79" s="1452" t="s">
        <v>104</v>
      </c>
      <c r="K79" s="1452"/>
      <c r="L79" s="1452"/>
      <c r="M79" s="1452"/>
      <c r="N79" s="1452"/>
      <c r="O79" s="1452"/>
      <c r="P79" s="1452"/>
      <c r="Q79" s="1452"/>
      <c r="R79" s="1452"/>
      <c r="S79" s="1452"/>
      <c r="T79" s="1452"/>
      <c r="U79" s="1452"/>
      <c r="V79" s="1452"/>
      <c r="W79" s="1452"/>
      <c r="X79" s="1452"/>
      <c r="Y79" s="1452"/>
      <c r="Z79" s="1452"/>
      <c r="AA79" s="1452"/>
      <c r="AB79" s="1452"/>
      <c r="AC79" s="1452"/>
      <c r="AD79" s="1452"/>
      <c r="AE79" s="1453"/>
    </row>
    <row r="80" spans="8:8" ht="15.15">
      <c r="B80" s="1454" t="s">
        <v>379</v>
      </c>
      <c r="C80" s="1455"/>
      <c r="D80" s="1455"/>
      <c r="E80" s="1455" t="s">
        <v>380</v>
      </c>
      <c r="F80" s="1455"/>
      <c r="G80" s="1455"/>
      <c r="H80" s="1455">
        <v>70.0</v>
      </c>
      <c r="I80" s="1455"/>
      <c r="J80" s="1456" t="s">
        <v>381</v>
      </c>
      <c r="K80" s="1456"/>
      <c r="L80" s="1456"/>
      <c r="M80" s="1456"/>
      <c r="N80" s="1456"/>
      <c r="O80" s="1456"/>
      <c r="P80" s="1456"/>
      <c r="Q80" s="1456"/>
      <c r="R80" s="1456"/>
      <c r="S80" s="1456"/>
      <c r="T80" s="1456"/>
      <c r="U80" s="1456"/>
      <c r="V80" s="1456"/>
      <c r="W80" s="1456"/>
      <c r="X80" s="1456"/>
      <c r="Y80" s="1456"/>
      <c r="Z80" s="1456"/>
      <c r="AA80" s="1456"/>
      <c r="AB80" s="1456"/>
      <c r="AC80" s="1456"/>
      <c r="AD80" s="1456"/>
      <c r="AE80" s="1457"/>
    </row>
    <row r="81" spans="8:8" ht="15.15">
      <c r="B81" s="1454"/>
      <c r="C81" s="1455"/>
      <c r="D81" s="1455"/>
      <c r="E81" s="1455"/>
      <c r="F81" s="1455"/>
      <c r="G81" s="1455"/>
      <c r="H81" s="1455"/>
      <c r="I81" s="1455"/>
      <c r="J81" s="1456"/>
      <c r="K81" s="1456"/>
      <c r="L81" s="1456"/>
      <c r="M81" s="1456"/>
      <c r="N81" s="1456"/>
      <c r="O81" s="1456"/>
      <c r="P81" s="1456"/>
      <c r="Q81" s="1456"/>
      <c r="R81" s="1456"/>
      <c r="S81" s="1456"/>
      <c r="T81" s="1456"/>
      <c r="U81" s="1456"/>
      <c r="V81" s="1456"/>
      <c r="W81" s="1456"/>
      <c r="X81" s="1456"/>
      <c r="Y81" s="1456"/>
      <c r="Z81" s="1456"/>
      <c r="AA81" s="1456"/>
      <c r="AB81" s="1456"/>
      <c r="AC81" s="1456"/>
      <c r="AD81" s="1456"/>
      <c r="AE81" s="1457"/>
    </row>
    <row r="82" spans="8:8" ht="15.15">
      <c r="B82" s="1458" t="s">
        <v>382</v>
      </c>
      <c r="C82" s="1459"/>
      <c r="D82" s="1459"/>
      <c r="E82" s="1459" t="s">
        <v>383</v>
      </c>
      <c r="F82" s="1459"/>
      <c r="G82" s="1459"/>
      <c r="H82" s="1459">
        <v>60.0</v>
      </c>
      <c r="I82" s="1459"/>
      <c r="J82" s="1460" t="s">
        <v>384</v>
      </c>
      <c r="K82" s="1460"/>
      <c r="L82" s="1460"/>
      <c r="M82" s="1460"/>
      <c r="N82" s="1460"/>
      <c r="O82" s="1460"/>
      <c r="P82" s="1460"/>
      <c r="Q82" s="1460"/>
      <c r="R82" s="1460"/>
      <c r="S82" s="1460"/>
      <c r="T82" s="1460"/>
      <c r="U82" s="1460"/>
      <c r="V82" s="1460"/>
      <c r="W82" s="1460"/>
      <c r="X82" s="1460"/>
      <c r="Y82" s="1460"/>
      <c r="Z82" s="1460"/>
      <c r="AA82" s="1460"/>
      <c r="AB82" s="1460"/>
      <c r="AC82" s="1460"/>
      <c r="AD82" s="1460"/>
      <c r="AE82" s="1461"/>
    </row>
    <row r="83" spans="8:8" ht="15.15">
      <c r="B83" s="1458"/>
      <c r="C83" s="1459"/>
      <c r="D83" s="1459"/>
      <c r="E83" s="1459"/>
      <c r="F83" s="1459"/>
      <c r="G83" s="1459"/>
      <c r="H83" s="1459"/>
      <c r="I83" s="1459"/>
      <c r="J83" s="1460"/>
      <c r="K83" s="1460"/>
      <c r="L83" s="1460"/>
      <c r="M83" s="1460"/>
      <c r="N83" s="1460"/>
      <c r="O83" s="1460"/>
      <c r="P83" s="1460"/>
      <c r="Q83" s="1460"/>
      <c r="R83" s="1460"/>
      <c r="S83" s="1460"/>
      <c r="T83" s="1460"/>
      <c r="U83" s="1460"/>
      <c r="V83" s="1460"/>
      <c r="W83" s="1460"/>
      <c r="X83" s="1460"/>
      <c r="Y83" s="1460"/>
      <c r="Z83" s="1460"/>
      <c r="AA83" s="1460"/>
      <c r="AB83" s="1460"/>
      <c r="AC83" s="1460"/>
      <c r="AD83" s="1460"/>
      <c r="AE83" s="1461"/>
    </row>
    <row r="84" spans="8:8" ht="15.15">
      <c r="B84" s="1454" t="s">
        <v>385</v>
      </c>
      <c r="C84" s="1455"/>
      <c r="D84" s="1455"/>
      <c r="E84" s="1455" t="s">
        <v>383</v>
      </c>
      <c r="F84" s="1455"/>
      <c r="G84" s="1455"/>
      <c r="H84" s="1462">
        <v>60.0</v>
      </c>
      <c r="I84" s="1462"/>
      <c r="J84" s="1463" t="s">
        <v>386</v>
      </c>
      <c r="K84" s="1463"/>
      <c r="L84" s="1463"/>
      <c r="M84" s="1463"/>
      <c r="N84" s="1463"/>
      <c r="O84" s="1463"/>
      <c r="P84" s="1463"/>
      <c r="Q84" s="1463"/>
      <c r="R84" s="1463"/>
      <c r="S84" s="1463"/>
      <c r="T84" s="1463"/>
      <c r="U84" s="1463"/>
      <c r="V84" s="1463"/>
      <c r="W84" s="1463"/>
      <c r="X84" s="1463"/>
      <c r="Y84" s="1463"/>
      <c r="Z84" s="1463"/>
      <c r="AA84" s="1463"/>
      <c r="AB84" s="1463"/>
      <c r="AC84" s="1463"/>
      <c r="AD84" s="1463"/>
      <c r="AE84" s="1464"/>
    </row>
    <row r="85" spans="8:8" ht="15.15">
      <c r="B85" s="1454"/>
      <c r="C85" s="1455"/>
      <c r="D85" s="1455"/>
      <c r="E85" s="1455"/>
      <c r="F85" s="1455"/>
      <c r="G85" s="1455"/>
      <c r="H85" s="1462"/>
      <c r="I85" s="1462"/>
      <c r="J85" s="1463"/>
      <c r="K85" s="1463"/>
      <c r="L85" s="1463"/>
      <c r="M85" s="1463"/>
      <c r="N85" s="1463"/>
      <c r="O85" s="1463"/>
      <c r="P85" s="1463"/>
      <c r="Q85" s="1463"/>
      <c r="R85" s="1463"/>
      <c r="S85" s="1463"/>
      <c r="T85" s="1463"/>
      <c r="U85" s="1463"/>
      <c r="V85" s="1463"/>
      <c r="W85" s="1463"/>
      <c r="X85" s="1463"/>
      <c r="Y85" s="1463"/>
      <c r="Z85" s="1463"/>
      <c r="AA85" s="1463"/>
      <c r="AB85" s="1463"/>
      <c r="AC85" s="1463"/>
      <c r="AD85" s="1463"/>
      <c r="AE85" s="1464"/>
    </row>
    <row r="86" spans="8:8" ht="15.15">
      <c r="B86" s="1458" t="s">
        <v>387</v>
      </c>
      <c r="C86" s="1459"/>
      <c r="D86" s="1459"/>
      <c r="E86" s="1459" t="s">
        <v>383</v>
      </c>
      <c r="F86" s="1459"/>
      <c r="G86" s="1459"/>
      <c r="H86" s="1459">
        <v>60.0</v>
      </c>
      <c r="I86" s="1459"/>
      <c r="J86" s="1460" t="s">
        <v>388</v>
      </c>
      <c r="K86" s="1460"/>
      <c r="L86" s="1460"/>
      <c r="M86" s="1460"/>
      <c r="N86" s="1460"/>
      <c r="O86" s="1460"/>
      <c r="P86" s="1460"/>
      <c r="Q86" s="1460"/>
      <c r="R86" s="1460"/>
      <c r="S86" s="1460"/>
      <c r="T86" s="1460"/>
      <c r="U86" s="1460"/>
      <c r="V86" s="1460"/>
      <c r="W86" s="1460"/>
      <c r="X86" s="1460"/>
      <c r="Y86" s="1460"/>
      <c r="Z86" s="1460"/>
      <c r="AA86" s="1460"/>
      <c r="AB86" s="1460"/>
      <c r="AC86" s="1460"/>
      <c r="AD86" s="1460"/>
      <c r="AE86" s="1461"/>
    </row>
    <row r="87" spans="8:8" ht="15.15">
      <c r="B87" s="1458"/>
      <c r="C87" s="1459"/>
      <c r="D87" s="1459"/>
      <c r="E87" s="1459"/>
      <c r="F87" s="1459"/>
      <c r="G87" s="1459"/>
      <c r="H87" s="1459"/>
      <c r="I87" s="1459"/>
      <c r="J87" s="1460"/>
      <c r="K87" s="1460"/>
      <c r="L87" s="1460"/>
      <c r="M87" s="1460"/>
      <c r="N87" s="1460"/>
      <c r="O87" s="1460"/>
      <c r="P87" s="1460"/>
      <c r="Q87" s="1460"/>
      <c r="R87" s="1460"/>
      <c r="S87" s="1460"/>
      <c r="T87" s="1460"/>
      <c r="U87" s="1460"/>
      <c r="V87" s="1460"/>
      <c r="W87" s="1460"/>
      <c r="X87" s="1460"/>
      <c r="Y87" s="1460"/>
      <c r="Z87" s="1460"/>
      <c r="AA87" s="1460"/>
      <c r="AB87" s="1460"/>
      <c r="AC87" s="1460"/>
      <c r="AD87" s="1460"/>
      <c r="AE87" s="1461"/>
    </row>
    <row r="88" spans="8:8" ht="15.15">
      <c r="B88" s="1454" t="s">
        <v>389</v>
      </c>
      <c r="C88" s="1455"/>
      <c r="D88" s="1455"/>
      <c r="E88" s="1465" t="s">
        <v>390</v>
      </c>
      <c r="F88" s="1465"/>
      <c r="G88" s="1465"/>
      <c r="H88" s="1462">
        <v>0.0</v>
      </c>
      <c r="I88" s="1462"/>
      <c r="J88" s="1463" t="s">
        <v>391</v>
      </c>
      <c r="K88" s="1463"/>
      <c r="L88" s="1463"/>
      <c r="M88" s="1463"/>
      <c r="N88" s="1463"/>
      <c r="O88" s="1463"/>
      <c r="P88" s="1463"/>
      <c r="Q88" s="1463"/>
      <c r="R88" s="1463"/>
      <c r="S88" s="1463"/>
      <c r="T88" s="1463"/>
      <c r="U88" s="1463"/>
      <c r="V88" s="1463"/>
      <c r="W88" s="1463"/>
      <c r="X88" s="1463"/>
      <c r="Y88" s="1463"/>
      <c r="Z88" s="1463"/>
      <c r="AA88" s="1463"/>
      <c r="AB88" s="1463"/>
      <c r="AC88" s="1463"/>
      <c r="AD88" s="1463"/>
      <c r="AE88" s="1464"/>
    </row>
    <row r="89" spans="8:8" ht="15.15">
      <c r="B89" s="1454"/>
      <c r="C89" s="1455"/>
      <c r="D89" s="1455"/>
      <c r="E89" s="1465"/>
      <c r="F89" s="1465"/>
      <c r="G89" s="1465"/>
      <c r="H89" s="1462"/>
      <c r="I89" s="1462"/>
      <c r="J89" s="1463"/>
      <c r="K89" s="1463"/>
      <c r="L89" s="1463"/>
      <c r="M89" s="1463"/>
      <c r="N89" s="1463"/>
      <c r="O89" s="1463"/>
      <c r="P89" s="1463"/>
      <c r="Q89" s="1463"/>
      <c r="R89" s="1463"/>
      <c r="S89" s="1463"/>
      <c r="T89" s="1463"/>
      <c r="U89" s="1463"/>
      <c r="V89" s="1463"/>
      <c r="W89" s="1463"/>
      <c r="X89" s="1463"/>
      <c r="Y89" s="1463"/>
      <c r="Z89" s="1463"/>
      <c r="AA89" s="1463"/>
      <c r="AB89" s="1463"/>
      <c r="AC89" s="1463"/>
      <c r="AD89" s="1463"/>
      <c r="AE89" s="1464"/>
    </row>
    <row r="90" spans="8:8" ht="15.15">
      <c r="B90" s="1458" t="str">
        <f>IF(ISBLANK(人物卡!BC26),"",人物卡!BC26)</f>
        <v/>
      </c>
      <c r="C90" s="1459"/>
      <c r="D90" s="1459"/>
      <c r="E90" s="1459" t="str">
        <f>IF(ISBLANK(人物卡!BC28),"",人物卡!BC28)</f>
        <v/>
      </c>
      <c r="F90" s="1459"/>
      <c r="G90" s="1459"/>
      <c r="H90" s="1459" t="str">
        <f>IF(ISBLANK(人物卡!BG28),"",人物卡!BG28)</f>
        <v/>
      </c>
      <c r="I90" s="1459"/>
      <c r="J90" s="1460" t="str">
        <f>IF(ISBLANK(人物卡!BC30),"",人物卡!BC30)</f>
        <v/>
      </c>
      <c r="K90" s="1460"/>
      <c r="L90" s="1460"/>
      <c r="M90" s="1460"/>
      <c r="N90" s="1460"/>
      <c r="O90" s="1460"/>
      <c r="P90" s="1460"/>
      <c r="Q90" s="1460"/>
      <c r="R90" s="1460"/>
      <c r="S90" s="1460"/>
      <c r="T90" s="1460"/>
      <c r="U90" s="1460"/>
      <c r="V90" s="1460"/>
      <c r="W90" s="1460"/>
      <c r="X90" s="1460"/>
      <c r="Y90" s="1460"/>
      <c r="Z90" s="1460"/>
      <c r="AA90" s="1460"/>
      <c r="AB90" s="1460"/>
      <c r="AC90" s="1460"/>
      <c r="AD90" s="1460"/>
      <c r="AE90" s="1461"/>
    </row>
    <row r="91" spans="8:8" ht="15.15">
      <c r="B91" s="1466"/>
      <c r="C91" s="1467"/>
      <c r="D91" s="1467"/>
      <c r="E91" s="1467"/>
      <c r="F91" s="1467"/>
      <c r="G91" s="1467"/>
      <c r="H91" s="1467"/>
      <c r="I91" s="1467"/>
      <c r="J91" s="1468"/>
      <c r="K91" s="1468"/>
      <c r="L91" s="1468"/>
      <c r="M91" s="1468"/>
      <c r="N91" s="1468"/>
      <c r="O91" s="1468"/>
      <c r="P91" s="1468"/>
      <c r="Q91" s="1468"/>
      <c r="R91" s="1468"/>
      <c r="S91" s="1468"/>
      <c r="T91" s="1468"/>
      <c r="U91" s="1468"/>
      <c r="V91" s="1468"/>
      <c r="W91" s="1468"/>
      <c r="X91" s="1468"/>
      <c r="Y91" s="1468"/>
      <c r="Z91" s="1468"/>
      <c r="AA91" s="1468"/>
      <c r="AB91" s="1468"/>
      <c r="AC91" s="1468"/>
      <c r="AD91" s="1468"/>
      <c r="AE91" s="1469"/>
    </row>
    <row r="97" spans="8:8" ht="15.15"/>
    <row r="98" spans="8:8" ht="15.15"/>
    <row r="99" spans="8:8" ht="15.15"/>
    <row r="100" spans="8:8" ht="15.15"/>
    <row r="101" spans="8:8" ht="15.15"/>
    <row r="102" spans="8:8" ht="15.15"/>
    <row r="103" spans="8:8" ht="15.15"/>
    <row r="104" spans="8:8" ht="15.15"/>
    <row r="105" spans="8:8" ht="15.15"/>
    <row r="106" spans="8:8" ht="15.15"/>
    <row r="107" spans="8:8" ht="15.15"/>
    <row r="108" spans="8:8" ht="15.15"/>
    <row r="109" spans="8:8" ht="15.15"/>
    <row r="110" spans="8:8" ht="15.15"/>
    <row r="111" spans="8:8" ht="15.15"/>
    <row r="112" spans="8:8" ht="15.15"/>
    <row r="113" spans="8:8" ht="15.15"/>
    <row r="114" spans="8:8" ht="15.15"/>
    <row r="115" spans="8:8" ht="15.15"/>
    <row r="116" spans="8:8" ht="15.15"/>
    <row r="117" spans="8:8" ht="15.15"/>
    <row r="118" spans="8:8" ht="15.15"/>
    <row r="119" spans="8:8" ht="15.15"/>
    <row r="120" spans="8:8" ht="15.15"/>
    <row r="121" spans="8:8" ht="15.15"/>
    <row r="122" spans="8:8" ht="15.15"/>
    <row r="123" spans="8:8" ht="15.15"/>
    <row r="124" spans="8:8" ht="15.15"/>
  </sheetData>
  <sheetProtection sheet="1" selectLockedCells="1"/>
  <protectedRanges>
    <protectedRange sqref="AG3:AG6 AJ3:AJ6" name="技能表以上"/>
    <protectedRange sqref="E3:E6 H3:H6 B3:B6 K3:K6 AA4 AD4" name="技能表以上_1"/>
  </protectedRanges>
  <mergeCells count="338">
    <mergeCell ref="T13:V13"/>
    <mergeCell ref="N73:Q73"/>
    <mergeCell ref="K24:M24"/>
    <mergeCell ref="T70:U70"/>
    <mergeCell ref="O34:P34"/>
    <mergeCell ref="N29:P29"/>
    <mergeCell ref="Z34:AE36"/>
    <mergeCell ref="D72:E72"/>
    <mergeCell ref="B23:D23"/>
    <mergeCell ref="B7:B8"/>
    <mergeCell ref="T74:U74"/>
    <mergeCell ref="Z16:AA16"/>
    <mergeCell ref="O8:P8"/>
    <mergeCell ref="L65:M65"/>
    <mergeCell ref="H23:J23"/>
    <mergeCell ref="R73:S73"/>
    <mergeCell ref="K19:L19"/>
    <mergeCell ref="Z11:AA11"/>
    <mergeCell ref="F70:I70"/>
    <mergeCell ref="T25:V25"/>
    <mergeCell ref="T71:U71"/>
    <mergeCell ref="E86:G87"/>
    <mergeCell ref="T15:V15"/>
    <mergeCell ref="V68:Y68"/>
    <mergeCell ref="Z2:AE2"/>
    <mergeCell ref="T68:U68"/>
    <mergeCell ref="Z50:AE50"/>
    <mergeCell ref="T17:V17"/>
    <mergeCell ref="V65:Y65"/>
    <mergeCell ref="Z25:AC25"/>
    <mergeCell ref="Z15:AA15"/>
    <mergeCell ref="B11:M11"/>
    <mergeCell ref="B82:D83"/>
    <mergeCell ref="AF37:AL38"/>
    <mergeCell ref="J84:AE85"/>
    <mergeCell ref="O35:P35"/>
    <mergeCell ref="AF36:AO36"/>
    <mergeCell ref="J88:AE89"/>
    <mergeCell ref="H82:I83"/>
    <mergeCell ref="H84:I85"/>
    <mergeCell ref="H90:I91"/>
    <mergeCell ref="B18:D18"/>
    <mergeCell ref="O28:P28"/>
    <mergeCell ref="L5:L6"/>
    <mergeCell ref="E84:G85"/>
    <mergeCell ref="N14:P14"/>
    <mergeCell ref="I9:J10"/>
    <mergeCell ref="N16:P16"/>
    <mergeCell ref="I18:J18"/>
    <mergeCell ref="B88:D89"/>
    <mergeCell ref="B44:Y44"/>
    <mergeCell ref="J73:K73"/>
    <mergeCell ref="AB9:AE9"/>
    <mergeCell ref="T7:V7"/>
    <mergeCell ref="J90:AE91"/>
    <mergeCell ref="Z5:AE5"/>
    <mergeCell ref="T67:U67"/>
    <mergeCell ref="H80:I81"/>
    <mergeCell ref="B70:C70"/>
    <mergeCell ref="F74:I74"/>
    <mergeCell ref="F72:I72"/>
    <mergeCell ref="B79:D79"/>
    <mergeCell ref="N68:Q68"/>
    <mergeCell ref="R66:S66"/>
    <mergeCell ref="C3:C4"/>
    <mergeCell ref="O33:P33"/>
    <mergeCell ref="AB12:AE12"/>
    <mergeCell ref="Z3:Z4"/>
    <mergeCell ref="B74:C74"/>
    <mergeCell ref="AA57:AE57"/>
    <mergeCell ref="R69:S69"/>
    <mergeCell ref="D67:E67"/>
    <mergeCell ref="R72:S72"/>
    <mergeCell ref="N66:Q66"/>
    <mergeCell ref="Z17:AA17"/>
    <mergeCell ref="D71:E71"/>
    <mergeCell ref="B5:B6"/>
    <mergeCell ref="Z9:AA9"/>
    <mergeCell ref="Z6:AA6"/>
    <mergeCell ref="E88:G89"/>
    <mergeCell ref="O24:P24"/>
    <mergeCell ref="V71:Y71"/>
    <mergeCell ref="B86:D87"/>
    <mergeCell ref="B77:AE78"/>
    <mergeCell ref="AA56:AE56"/>
    <mergeCell ref="H86:I87"/>
    <mergeCell ref="D74:E74"/>
    <mergeCell ref="AD23:AE23"/>
    <mergeCell ref="B40:Y43"/>
    <mergeCell ref="V73:Y73"/>
    <mergeCell ref="B38:Y38"/>
    <mergeCell ref="C32:F32"/>
    <mergeCell ref="B73:C73"/>
    <mergeCell ref="T33:V33"/>
    <mergeCell ref="N67:Q67"/>
    <mergeCell ref="L66:M66"/>
    <mergeCell ref="F69:I69"/>
    <mergeCell ref="D68:E68"/>
    <mergeCell ref="B3:B4"/>
    <mergeCell ref="J86:AE87"/>
    <mergeCell ref="AB13:AE13"/>
    <mergeCell ref="D66:E66"/>
    <mergeCell ref="T16:V16"/>
    <mergeCell ref="B66:C66"/>
    <mergeCell ref="N72:Q72"/>
    <mergeCell ref="L72:M72"/>
    <mergeCell ref="J68:K68"/>
    <mergeCell ref="D70:E70"/>
    <mergeCell ref="B84:D85"/>
    <mergeCell ref="I5:I6"/>
    <mergeCell ref="Z21:AE21"/>
    <mergeCell ref="B71:C71"/>
    <mergeCell ref="L73:M73"/>
    <mergeCell ref="AB7:AE7"/>
    <mergeCell ref="J72:K72"/>
    <mergeCell ref="C28:F28"/>
    <mergeCell ref="AD3:AE4"/>
    <mergeCell ref="B72:C72"/>
    <mergeCell ref="N32:P32"/>
    <mergeCell ref="V67:Y67"/>
    <mergeCell ref="AD30:AE30"/>
    <mergeCell ref="T26:V26"/>
    <mergeCell ref="E79:G79"/>
    <mergeCell ref="D65:E65"/>
    <mergeCell ref="D7:D8"/>
    <mergeCell ref="N2:Y2"/>
    <mergeCell ref="AD22:AE22"/>
    <mergeCell ref="C7:C8"/>
    <mergeCell ref="T4:V4"/>
    <mergeCell ref="E23:G23"/>
    <mergeCell ref="B9:B10"/>
    <mergeCell ref="U18:V18"/>
    <mergeCell ref="C30:F30"/>
    <mergeCell ref="P37:Y37"/>
    <mergeCell ref="B26:D26"/>
    <mergeCell ref="C31:F31"/>
    <mergeCell ref="C34:F34"/>
    <mergeCell ref="N18:P18"/>
    <mergeCell ref="T35:V35"/>
    <mergeCell ref="Z31:AC31"/>
    <mergeCell ref="Z28:AC28"/>
    <mergeCell ref="E24:G24"/>
    <mergeCell ref="E25:G25"/>
    <mergeCell ref="H22:J22"/>
    <mergeCell ref="E18:F18"/>
    <mergeCell ref="O36:P36"/>
    <mergeCell ref="AB16:AE16"/>
    <mergeCell ref="U14:V14"/>
    <mergeCell ref="AD33:AE33"/>
    <mergeCell ref="L9:M10"/>
    <mergeCell ref="G19:H19"/>
    <mergeCell ref="Z8:AA8"/>
    <mergeCell ref="T31:V31"/>
    <mergeCell ref="L7:M8"/>
    <mergeCell ref="Z27:AC27"/>
    <mergeCell ref="K22:M22"/>
    <mergeCell ref="Z29:AC29"/>
    <mergeCell ref="N12:P12"/>
    <mergeCell ref="T36:V36"/>
    <mergeCell ref="T11:V11"/>
    <mergeCell ref="Z7:AA7"/>
    <mergeCell ref="L3:L4"/>
    <mergeCell ref="C33:F33"/>
    <mergeCell ref="O22:P22"/>
    <mergeCell ref="T29:V29"/>
    <mergeCell ref="O25:P25"/>
    <mergeCell ref="O27:P27"/>
    <mergeCell ref="O26:P26"/>
    <mergeCell ref="T22:V22"/>
    <mergeCell ref="I7:I8"/>
    <mergeCell ref="AB15:AE15"/>
    <mergeCell ref="T30:V30"/>
    <mergeCell ref="AD25:AE25"/>
    <mergeCell ref="U24:V24"/>
    <mergeCell ref="AD29:AE29"/>
    <mergeCell ref="Z26:AC26"/>
    <mergeCell ref="AF39:AN39"/>
    <mergeCell ref="E80:G81"/>
    <mergeCell ref="R70:S70"/>
    <mergeCell ref="F67:I67"/>
    <mergeCell ref="V74:Y74"/>
    <mergeCell ref="V69:Y69"/>
    <mergeCell ref="V66:Y66"/>
    <mergeCell ref="B80:D81"/>
    <mergeCell ref="F5:F6"/>
    <mergeCell ref="T32:V32"/>
    <mergeCell ref="AB11:AE11"/>
    <mergeCell ref="B22:D22"/>
    <mergeCell ref="F9:G10"/>
    <mergeCell ref="U19:V19"/>
    <mergeCell ref="N4:P4"/>
    <mergeCell ref="K5:K6"/>
    <mergeCell ref="G7:G8"/>
    <mergeCell ref="B51:Y51"/>
    <mergeCell ref="B75:G76"/>
    <mergeCell ref="B52:Y55"/>
    <mergeCell ref="B50:Y50"/>
    <mergeCell ref="B46:Y49"/>
    <mergeCell ref="T66:U66"/>
    <mergeCell ref="B45:Y45"/>
    <mergeCell ref="N10:P10"/>
    <mergeCell ref="T28:V28"/>
    <mergeCell ref="AB14:AE14"/>
    <mergeCell ref="I19:J19"/>
    <mergeCell ref="H7:H8"/>
    <mergeCell ref="E5:E6"/>
    <mergeCell ref="K26:M26"/>
    <mergeCell ref="Z12:AA12"/>
    <mergeCell ref="Z13:AA13"/>
    <mergeCell ref="H3:H4"/>
    <mergeCell ref="F3:F4"/>
    <mergeCell ref="AD27:AE27"/>
    <mergeCell ref="E7:E8"/>
    <mergeCell ref="B20:M20"/>
    <mergeCell ref="N17:P17"/>
    <mergeCell ref="AB6:AE6"/>
    <mergeCell ref="B39:Y39"/>
    <mergeCell ref="H79:I79"/>
    <mergeCell ref="B64:Y64"/>
    <mergeCell ref="R74:S74"/>
    <mergeCell ref="J67:K67"/>
    <mergeCell ref="L68:M68"/>
    <mergeCell ref="R67:S67"/>
    <mergeCell ref="L67:M67"/>
    <mergeCell ref="T6:V6"/>
    <mergeCell ref="F65:I65"/>
    <mergeCell ref="B21:M21"/>
    <mergeCell ref="R68:S68"/>
    <mergeCell ref="K3:K4"/>
    <mergeCell ref="B69:C69"/>
    <mergeCell ref="N65:Q65"/>
    <mergeCell ref="C36:G36"/>
    <mergeCell ref="Z22:AC22"/>
    <mergeCell ref="C9:D10"/>
    <mergeCell ref="N6:P6"/>
    <mergeCell ref="AD24:AE24"/>
    <mergeCell ref="AB10:AE10"/>
    <mergeCell ref="C35:F35"/>
    <mergeCell ref="AA39:AE43"/>
    <mergeCell ref="AA3:AB4"/>
    <mergeCell ref="K25:M25"/>
    <mergeCell ref="E9:E10"/>
    <mergeCell ref="T21:V21"/>
    <mergeCell ref="N11:P11"/>
    <mergeCell ref="Z10:AA10"/>
    <mergeCell ref="Z32:AC32"/>
    <mergeCell ref="N19:P19"/>
    <mergeCell ref="V72:Y72"/>
    <mergeCell ref="F73:I73"/>
    <mergeCell ref="N74:Q74"/>
    <mergeCell ref="I3:I4"/>
    <mergeCell ref="O23:P23"/>
    <mergeCell ref="AB8:AE8"/>
    <mergeCell ref="B25:D25"/>
    <mergeCell ref="H26:J26"/>
    <mergeCell ref="B90:D91"/>
    <mergeCell ref="H25:J25"/>
    <mergeCell ref="C5:C6"/>
    <mergeCell ref="H24:J24"/>
    <mergeCell ref="G18:H18"/>
    <mergeCell ref="E26:G26"/>
    <mergeCell ref="E3:E4"/>
    <mergeCell ref="AA51:AE55"/>
    <mergeCell ref="E90:G91"/>
    <mergeCell ref="B67:C67"/>
    <mergeCell ref="B68:C68"/>
    <mergeCell ref="R65:S65"/>
    <mergeCell ref="L74:M74"/>
    <mergeCell ref="R71:S71"/>
    <mergeCell ref="J65:K65"/>
    <mergeCell ref="T12:V12"/>
    <mergeCell ref="F68:I68"/>
    <mergeCell ref="J74:K74"/>
    <mergeCell ref="T23:V23"/>
    <mergeCell ref="N30:P30"/>
    <mergeCell ref="D73:E73"/>
    <mergeCell ref="T65:U65"/>
    <mergeCell ref="AD28:AE28"/>
    <mergeCell ref="O9:P9"/>
    <mergeCell ref="H88:I89"/>
    <mergeCell ref="B65:C65"/>
    <mergeCell ref="H5:H6"/>
    <mergeCell ref="N15:P15"/>
    <mergeCell ref="B17:M17"/>
    <mergeCell ref="T10:V10"/>
    <mergeCell ref="J82:AE83"/>
    <mergeCell ref="U20:V20"/>
    <mergeCell ref="J79:AE79"/>
    <mergeCell ref="J80:AE81"/>
    <mergeCell ref="AD26:AE26"/>
    <mergeCell ref="K9:K10"/>
    <mergeCell ref="B19:D19"/>
    <mergeCell ref="T5:V5"/>
    <mergeCell ref="D69:E69"/>
    <mergeCell ref="N3:P3"/>
    <mergeCell ref="T27:V27"/>
    <mergeCell ref="N31:P31"/>
    <mergeCell ref="F66:I66"/>
    <mergeCell ref="T72:U72"/>
    <mergeCell ref="F71:I71"/>
    <mergeCell ref="AD31:AE31"/>
    <mergeCell ref="T9:V9"/>
    <mergeCell ref="T34:V34"/>
    <mergeCell ref="Z30:AC30"/>
    <mergeCell ref="Z14:AA14"/>
    <mergeCell ref="T73:U73"/>
    <mergeCell ref="AA45:AE49"/>
    <mergeCell ref="O7:P7"/>
    <mergeCell ref="B37:O37"/>
    <mergeCell ref="K18:L18"/>
    <mergeCell ref="O21:P21"/>
    <mergeCell ref="E19:F19"/>
    <mergeCell ref="T3:V3"/>
    <mergeCell ref="C29:F29"/>
    <mergeCell ref="B2:M2"/>
    <mergeCell ref="N5:P5"/>
    <mergeCell ref="B24:D24"/>
    <mergeCell ref="J66:K66"/>
    <mergeCell ref="H9:H10"/>
    <mergeCell ref="Z33:AC33"/>
    <mergeCell ref="Z18:AE20"/>
    <mergeCell ref="T8:V8"/>
    <mergeCell ref="N20:P20"/>
    <mergeCell ref="F7:F8"/>
    <mergeCell ref="AD32:AE32"/>
    <mergeCell ref="K7:K8"/>
    <mergeCell ref="E22:G22"/>
    <mergeCell ref="AB17:AE17"/>
    <mergeCell ref="T69:U69"/>
    <mergeCell ref="H28:M36"/>
    <mergeCell ref="V70:Y70"/>
    <mergeCell ref="Z24:AC24"/>
    <mergeCell ref="Z23:AC23"/>
    <mergeCell ref="K23:M23"/>
    <mergeCell ref="E82:G83"/>
    <mergeCell ref="N13:P13"/>
    <mergeCell ref="B27:M27"/>
    <mergeCell ref="J7:J8"/>
  </mergeCells>
  <dataValidations count="37">
    <dataValidation allowBlank="1" type="list" errorStyle="stop" showInputMessage="1" showErrorMessage="1" sqref="AC3">
      <formula1>#REF!</formula1>
    </dataValidation>
    <dataValidation allowBlank="1" type="any" operator="between" errorStyle="stop" showInputMessage="1" showErrorMessage="1" sqref="E5:F5"/>
    <dataValidation allowBlank="1" type="any" operator="between" errorStyle="stop" showInputMessage="1" showErrorMessage="1" sqref="G6"/>
    <dataValidation allowBlank="1" type="any" operator="between" errorStyle="stop" showInputMessage="1" showErrorMessage="1" sqref="M4"/>
    <dataValidation allowBlank="1" type="any" operator="between" errorStyle="stop" showInputMessage="1" showErrorMessage="1" sqref="B3:D3"/>
    <dataValidation allowBlank="1" type="any" operator="between" errorStyle="stop" showInputMessage="1" showErrorMessage="1" sqref="B5:C5"/>
    <dataValidation allowBlank="1" type="any" operator="between" errorStyle="stop" showInputMessage="1" showErrorMessage="1" sqref="J4"/>
    <dataValidation allowBlank="1" type="any" operator="between" errorStyle="stop" showInputMessage="1" showErrorMessage="1" sqref="E4:F4"/>
    <dataValidation allowBlank="1" type="any" operator="between" errorStyle="stop" showInputMessage="1" showErrorMessage="1" sqref="G4"/>
    <dataValidation allowBlank="1" type="any" operator="between" errorStyle="stop" showInputMessage="1" showErrorMessage="1" sqref="H4:I4"/>
    <dataValidation allowBlank="1" type="any" operator="between" errorStyle="stop" showInputMessage="1" showErrorMessage="1" sqref="G5"/>
    <dataValidation allowBlank="1" type="any" operator="between" errorStyle="stop" showInputMessage="1" showErrorMessage="1" sqref="E6:F6"/>
    <dataValidation allowBlank="1" type="any" operator="between" errorStyle="stop" showInputMessage="1" showErrorMessage="1" sqref="K3:L3"/>
    <dataValidation allowBlank="1" type="any" operator="between" errorStyle="stop" showInputMessage="1" showErrorMessage="1" sqref="B4:D4"/>
    <dataValidation allowBlank="1" type="any" operator="between" errorStyle="stop" showInputMessage="1" showErrorMessage="1" sqref="J5"/>
    <dataValidation allowBlank="1" type="any" operator="between" errorStyle="stop" showInputMessage="1" showErrorMessage="1" sqref="D6"/>
    <dataValidation allowBlank="1" type="any" operator="between" errorStyle="stop" showInputMessage="1" showErrorMessage="1" sqref="K5:L5"/>
    <dataValidation allowBlank="1" type="any" operator="between" errorStyle="stop" showInputMessage="1" showErrorMessage="1" sqref="H3:I3"/>
    <dataValidation allowBlank="1" type="any" operator="between" errorStyle="stop" showInputMessage="1" showErrorMessage="1" sqref="H6:I6"/>
    <dataValidation allowBlank="1" type="any" operator="between" errorStyle="stop" showInputMessage="1" showErrorMessage="1" sqref="K4:L4"/>
    <dataValidation allowBlank="1" type="any" operator="between" errorStyle="stop" showInputMessage="1" showErrorMessage="1" sqref="G3"/>
    <dataValidation allowBlank="1" type="any" operator="between" errorStyle="stop" showInputMessage="1" showErrorMessage="1" sqref="J3"/>
    <dataValidation allowBlank="1" type="any" operator="between" errorStyle="stop" showInputMessage="1" showErrorMessage="1" sqref="M3"/>
    <dataValidation allowBlank="1" type="any" operator="between" errorStyle="stop" showInputMessage="1" showErrorMessage="1" sqref="H5:I5"/>
    <dataValidation allowBlank="1" type="any" operator="between" errorStyle="stop" showInputMessage="1" showErrorMessage="1" sqref="E3:F3"/>
    <dataValidation allowBlank="1" type="any" operator="between" errorStyle="stop" showInputMessage="1" showErrorMessage="1" sqref="M5"/>
    <dataValidation allowBlank="1" type="any" operator="between" errorStyle="stop" showInputMessage="1" showErrorMessage="1" sqref="J6"/>
    <dataValidation allowBlank="1" type="any" operator="between" errorStyle="stop" showInputMessage="1" showErrorMessage="1" sqref="D5"/>
    <dataValidation allowBlank="1" type="any" operator="between" errorStyle="stop" showInputMessage="1" showErrorMessage="1" sqref="M6"/>
    <dataValidation allowBlank="1" type="any" operator="between" errorStyle="stop" showErrorMessage="1" sqref="M18"/>
    <dataValidation allowBlank="1" type="any" operator="between" errorStyle="stop" showErrorMessage="1" sqref="K18:L18"/>
    <dataValidation allowBlank="1" type="any" operator="between" errorStyle="stop" showErrorMessage="1" sqref="I18:J18"/>
    <dataValidation allowBlank="1" type="any" operator="between" errorStyle="stop" showInputMessage="1" showErrorMessage="1" sqref="B6:C6"/>
    <dataValidation allowBlank="1" type="list" errorStyle="stop" showInputMessage="1" showErrorMessage="1" sqref="AA3">
      <formula1>#REF!</formula1>
    </dataValidation>
    <dataValidation allowBlank="1" type="list" errorStyle="stop" showInputMessage="1" showErrorMessage="1" sqref="AC4">
      <formula1>#REF!</formula1>
    </dataValidation>
    <dataValidation allowBlank="1" type="any" operator="between" errorStyle="stop" showInputMessage="1" showErrorMessage="1" sqref="K6:L6"/>
    <dataValidation allowBlank="1" type="list" errorStyle="stop" showInputMessage="1" showErrorMessage="1" sqref="Z3">
      <formula1>"公元,公元前"</formula1>
    </dataValidation>
  </dataValidations>
  <pageMargins left="0.75" right="0.75" top="1.0" bottom="1.0" header="0.511805555555556" footer="0.511805555555556"/>
  <drawing r:id="rId1"/>
</worksheet>
</file>

<file path=xl/worksheets/sheet5.xml><?xml version="1.0" encoding="utf-8"?>
<worksheet xmlns:r="http://schemas.openxmlformats.org/officeDocument/2006/relationships" xmlns="http://schemas.openxmlformats.org/spreadsheetml/2006/main">
  <dimension ref="A1:ID284"/>
  <sheetViews>
    <sheetView workbookViewId="0" showGridLines="0" showRowColHeaders="0" zoomScale="60">
      <pane ySplit="1" topLeftCell="A2" state="frozen" activePane="bottomLeft"/>
      <selection pane="bottomLeft" activeCell="C3" sqref="C3"/>
    </sheetView>
  </sheetViews>
  <sheetFormatPr defaultRowHeight="15.75" defaultColWidth="9"/>
  <cols>
    <col min="1" max="1" customWidth="1" width="4.7773438" style="1470"/>
    <col min="2" max="3" customWidth="1" width="12.6640625" style="1471"/>
    <col min="4" max="4" customWidth="1" width="6.109375" style="1472"/>
    <col min="5" max="5" customWidth="1" width="26.554688" style="1470"/>
    <col min="6" max="6" customWidth="1" width="7.6640625" style="1470"/>
    <col min="7" max="7" customWidth="1" width="138.0" style="1470"/>
    <col min="8" max="8" customWidth="1" width="12.886719" style="1471"/>
    <col min="9" max="9" customWidth="1" width="9.886719" style="1470"/>
    <col min="10" max="10" customWidth="1" width="9.441406" style="1470"/>
    <col min="11" max="11" hidden="1" customWidth="0" width="13.109375" style="1470"/>
    <col min="12" max="12" hidden="1" customWidth="0" width="13.777344" style="1473"/>
    <col min="13" max="13" hidden="1" customWidth="0" width="17.664062" style="1473"/>
    <col min="14" max="14" hidden="1" customWidth="0" width="17.109375" style="1473"/>
    <col min="15" max="15" customWidth="1" width="10.777344" style="1473"/>
    <col min="16" max="16" customWidth="1" width="8.5546875" style="1473"/>
    <col min="17" max="17" customWidth="1" width="23.664062" style="1474"/>
    <col min="18" max="18" customWidth="1" width="8.109375" style="1473"/>
    <col min="19" max="20" customWidth="1" width="9.0" style="1473"/>
    <col min="21" max="21" customWidth="1" width="11.332031" style="1473"/>
    <col min="22" max="22" customWidth="1" width="9.0" style="1473"/>
    <col min="23" max="16384" customWidth="0" width="9.0" style="1473"/>
  </cols>
  <sheetData>
    <row r="1" spans="8:8" ht="31.5">
      <c r="A1" s="1475" t="s">
        <v>392</v>
      </c>
      <c r="B1" s="1476" t="s">
        <v>12</v>
      </c>
      <c r="C1" s="1476"/>
      <c r="D1" s="1477" t="s">
        <v>90</v>
      </c>
      <c r="E1" s="1478" t="s">
        <v>393</v>
      </c>
      <c r="F1" s="1478" t="s">
        <v>394</v>
      </c>
      <c r="G1" s="1479" t="s">
        <v>395</v>
      </c>
      <c r="H1" s="1480"/>
      <c r="I1" s="1480"/>
      <c r="J1" s="1480"/>
      <c r="K1" s="1481" t="s">
        <v>396</v>
      </c>
      <c r="L1" s="1481"/>
      <c r="M1" s="1481" t="s">
        <v>143</v>
      </c>
      <c r="N1" s="1481"/>
      <c r="O1" s="1482"/>
      <c r="P1" s="1482"/>
      <c r="Q1" s="1483"/>
      <c r="R1" s="1482"/>
      <c r="S1" s="1482"/>
      <c r="T1" s="1482"/>
      <c r="U1" s="1482"/>
      <c r="V1" s="1482"/>
      <c r="W1" s="1482"/>
      <c r="X1" s="1482"/>
      <c r="Y1" s="1482"/>
      <c r="Z1" s="1482"/>
      <c r="AA1" s="1482"/>
      <c r="AB1" s="1482"/>
      <c r="AC1" s="1482"/>
      <c r="AD1" s="1482"/>
      <c r="AE1" s="1482"/>
      <c r="AF1" s="1482"/>
      <c r="AG1" s="1482"/>
      <c r="AH1" s="1482"/>
      <c r="AI1" s="1482"/>
      <c r="AJ1" s="1482"/>
      <c r="AK1" s="1482"/>
      <c r="AL1" s="1482"/>
      <c r="AM1" s="1482"/>
      <c r="AN1" s="1482"/>
      <c r="AO1" s="1482"/>
      <c r="AP1" s="1482"/>
      <c r="AQ1" s="1482"/>
      <c r="AR1" s="1482"/>
      <c r="AS1" s="1482"/>
      <c r="AT1" s="1482"/>
      <c r="AU1" s="1482"/>
      <c r="AV1" s="1482"/>
      <c r="AW1" s="1482"/>
      <c r="AX1" s="1482"/>
      <c r="AY1" s="1482"/>
      <c r="AZ1" s="1482"/>
      <c r="BA1" s="1482"/>
      <c r="BB1" s="1482"/>
      <c r="BC1" s="1482"/>
      <c r="BD1" s="1482"/>
      <c r="BE1" s="1482"/>
      <c r="BF1" s="1482"/>
      <c r="BG1" s="1482"/>
      <c r="BH1" s="1482"/>
      <c r="BI1" s="1482"/>
      <c r="BJ1" s="1482"/>
      <c r="BK1" s="1482"/>
      <c r="BL1" s="1482"/>
      <c r="BM1" s="1482"/>
      <c r="BN1" s="1482"/>
      <c r="BO1" s="1482"/>
      <c r="BP1" s="1482"/>
      <c r="BQ1" s="1482"/>
      <c r="BR1" s="1482"/>
      <c r="BS1" s="1482"/>
      <c r="BT1" s="1482"/>
      <c r="BU1" s="1482"/>
      <c r="BV1" s="1482"/>
      <c r="BW1" s="1482"/>
      <c r="BX1" s="1482"/>
      <c r="BY1" s="1482"/>
      <c r="BZ1" s="1482"/>
      <c r="CA1" s="1482"/>
      <c r="CB1" s="1482"/>
      <c r="CC1" s="1482"/>
      <c r="CD1" s="1482"/>
      <c r="CE1" s="1482"/>
      <c r="CF1" s="1482"/>
      <c r="CG1" s="1482"/>
      <c r="CH1" s="1482"/>
      <c r="CI1" s="1482"/>
      <c r="CJ1" s="1482"/>
      <c r="CK1" s="1482"/>
      <c r="CL1" s="1482"/>
      <c r="CM1" s="1482"/>
      <c r="CN1" s="1482"/>
      <c r="CO1" s="1482"/>
      <c r="CP1" s="1482"/>
      <c r="CQ1" s="1482"/>
      <c r="CR1" s="1482"/>
      <c r="CS1" s="1482"/>
      <c r="CT1" s="1482"/>
      <c r="CU1" s="1482"/>
      <c r="CV1" s="1482"/>
      <c r="CW1" s="1482"/>
      <c r="CX1" s="1482"/>
      <c r="CY1" s="1482"/>
      <c r="CZ1" s="1482"/>
      <c r="DA1" s="1482"/>
      <c r="DB1" s="1482"/>
      <c r="DC1" s="1482"/>
      <c r="DD1" s="1482"/>
      <c r="DE1" s="1482"/>
      <c r="DF1" s="1482"/>
      <c r="DG1" s="1482"/>
      <c r="DH1" s="1482"/>
      <c r="DI1" s="1482"/>
      <c r="DJ1" s="1482"/>
      <c r="DK1" s="1482"/>
      <c r="DL1" s="1482"/>
      <c r="DM1" s="1482"/>
      <c r="DN1" s="1482"/>
      <c r="DO1" s="1482"/>
      <c r="DP1" s="1482"/>
      <c r="DQ1" s="1482"/>
      <c r="DR1" s="1482"/>
      <c r="DS1" s="1482"/>
      <c r="DT1" s="1482"/>
      <c r="DU1" s="1482"/>
      <c r="DV1" s="1482"/>
      <c r="DW1" s="1482"/>
      <c r="DX1" s="1482"/>
      <c r="DY1" s="1482"/>
      <c r="DZ1" s="1482"/>
      <c r="EA1" s="1482"/>
      <c r="EB1" s="1482"/>
      <c r="EC1" s="1482"/>
      <c r="ED1" s="1482"/>
      <c r="EE1" s="1482"/>
      <c r="EF1" s="1482"/>
      <c r="EG1" s="1482"/>
      <c r="EH1" s="1482"/>
      <c r="EI1" s="1482"/>
      <c r="EJ1" s="1482"/>
      <c r="EK1" s="1482"/>
      <c r="EL1" s="1482"/>
      <c r="EM1" s="1482"/>
      <c r="EN1" s="1482"/>
      <c r="EO1" s="1482"/>
      <c r="EP1" s="1482"/>
      <c r="EQ1" s="1482"/>
      <c r="ER1" s="1482"/>
      <c r="ES1" s="1482"/>
      <c r="ET1" s="1482"/>
      <c r="EU1" s="1482"/>
      <c r="EV1" s="1482"/>
      <c r="EW1" s="1482"/>
      <c r="EX1" s="1482"/>
      <c r="EY1" s="1482"/>
      <c r="EZ1" s="1482"/>
      <c r="FA1" s="1482"/>
      <c r="FB1" s="1482"/>
      <c r="FC1" s="1482"/>
      <c r="FD1" s="1482"/>
      <c r="FE1" s="1482"/>
      <c r="FF1" s="1482"/>
      <c r="FG1" s="1482"/>
      <c r="FH1" s="1482"/>
      <c r="FI1" s="1482"/>
      <c r="FJ1" s="1482"/>
      <c r="FK1" s="1482"/>
      <c r="FL1" s="1482"/>
      <c r="FM1" s="1482"/>
      <c r="FN1" s="1482"/>
      <c r="FO1" s="1482"/>
      <c r="FP1" s="1482"/>
    </row>
    <row r="2" spans="8:8">
      <c r="A2" s="1484">
        <v>0.0</v>
      </c>
      <c r="B2" s="1485" t="s">
        <v>5943</v>
      </c>
      <c r="C2" s="1485"/>
      <c r="D2" s="1485"/>
      <c r="E2" s="1485"/>
      <c r="F2" s="1485"/>
      <c r="G2" s="1486"/>
      <c r="H2" s="1487" t="s">
        <v>397</v>
      </c>
      <c r="I2" s="1488" t="s">
        <v>398</v>
      </c>
      <c r="J2" s="1489"/>
      <c r="K2" s="1490"/>
      <c r="L2" s="1491"/>
      <c r="M2" s="1491"/>
      <c r="N2" s="1491"/>
      <c r="O2" s="1483"/>
      <c r="P2" s="1483"/>
      <c r="Q2" s="629"/>
      <c r="R2" s="1492"/>
      <c r="S2" s="1482"/>
      <c r="T2" s="1482"/>
      <c r="U2" s="1482"/>
      <c r="V2" s="1482"/>
      <c r="W2" s="1482"/>
      <c r="X2" s="1482"/>
      <c r="Y2" s="1482"/>
      <c r="Z2" s="1482"/>
      <c r="AA2" s="1482"/>
      <c r="AB2" s="1482"/>
      <c r="AC2" s="1482"/>
      <c r="AD2" s="1482"/>
      <c r="AE2" s="1482"/>
      <c r="AF2" s="1482"/>
      <c r="AG2" s="1482"/>
      <c r="AH2" s="1482"/>
      <c r="AI2" s="1482"/>
      <c r="AJ2" s="1482"/>
      <c r="AK2" s="1482"/>
      <c r="AL2" s="1482"/>
      <c r="AM2" s="1482"/>
      <c r="AN2" s="1482"/>
      <c r="AO2" s="1482"/>
      <c r="AP2" s="1482"/>
      <c r="AQ2" s="1482"/>
      <c r="AR2" s="1482"/>
      <c r="AS2" s="1482"/>
      <c r="AT2" s="1482"/>
      <c r="AU2" s="1482"/>
      <c r="AV2" s="1482"/>
      <c r="AW2" s="1482"/>
      <c r="AX2" s="1482"/>
      <c r="AY2" s="1482"/>
      <c r="AZ2" s="1482"/>
      <c r="BA2" s="1482"/>
      <c r="BB2" s="1482"/>
      <c r="BC2" s="1482"/>
      <c r="BD2" s="1482"/>
      <c r="BE2" s="1482"/>
      <c r="BF2" s="1482"/>
      <c r="BG2" s="1482"/>
      <c r="BH2" s="1482"/>
      <c r="BI2" s="1482"/>
      <c r="BJ2" s="1482"/>
      <c r="BK2" s="1482"/>
      <c r="BL2" s="1482"/>
      <c r="BM2" s="1482"/>
      <c r="BN2" s="1482"/>
      <c r="BO2" s="1482"/>
      <c r="BP2" s="1482"/>
      <c r="BQ2" s="1482"/>
      <c r="BR2" s="1482"/>
      <c r="BS2" s="1482"/>
      <c r="BT2" s="1482"/>
      <c r="BU2" s="1482"/>
      <c r="BV2" s="1482"/>
      <c r="BW2" s="1482"/>
      <c r="BX2" s="1482"/>
      <c r="BY2" s="1482"/>
      <c r="BZ2" s="1482"/>
      <c r="CA2" s="1482"/>
      <c r="CB2" s="1482"/>
      <c r="CC2" s="1482"/>
      <c r="CD2" s="1482"/>
      <c r="CE2" s="1482"/>
      <c r="CF2" s="1482"/>
      <c r="CG2" s="1482"/>
      <c r="CH2" s="1482"/>
      <c r="CI2" s="1482"/>
      <c r="CJ2" s="1482"/>
      <c r="CK2" s="1482"/>
      <c r="CL2" s="1482"/>
      <c r="CM2" s="1482"/>
      <c r="CN2" s="1482"/>
      <c r="CO2" s="1482"/>
      <c r="CP2" s="1482"/>
      <c r="CQ2" s="1482"/>
      <c r="CR2" s="1482"/>
      <c r="CS2" s="1482"/>
      <c r="CT2" s="1482"/>
      <c r="CU2" s="1482"/>
      <c r="CV2" s="1482"/>
      <c r="CW2" s="1482"/>
      <c r="CX2" s="1482"/>
      <c r="CY2" s="1482"/>
      <c r="CZ2" s="1482"/>
      <c r="DA2" s="1482"/>
      <c r="DB2" s="1482"/>
      <c r="DC2" s="1482"/>
      <c r="DD2" s="1482"/>
      <c r="DE2" s="1482"/>
      <c r="DF2" s="1482"/>
      <c r="DG2" s="1482"/>
      <c r="DH2" s="1482"/>
      <c r="DI2" s="1482"/>
      <c r="DJ2" s="1482"/>
      <c r="DK2" s="1482"/>
      <c r="DL2" s="1482"/>
      <c r="DM2" s="1482"/>
      <c r="DN2" s="1482"/>
      <c r="DO2" s="1482"/>
      <c r="DP2" s="1482"/>
      <c r="DQ2" s="1482"/>
      <c r="DR2" s="1482"/>
      <c r="DS2" s="1482"/>
      <c r="DT2" s="1482"/>
      <c r="DU2" s="1482"/>
      <c r="DV2" s="1482"/>
      <c r="DW2" s="1482"/>
      <c r="DX2" s="1482"/>
      <c r="DY2" s="1482"/>
      <c r="DZ2" s="1482"/>
      <c r="EA2" s="1482"/>
      <c r="EB2" s="1482"/>
      <c r="EC2" s="1482"/>
      <c r="ED2" s="1482"/>
      <c r="EE2" s="1482"/>
      <c r="EF2" s="1482"/>
      <c r="EG2" s="1482"/>
      <c r="EH2" s="1482"/>
      <c r="EI2" s="1482"/>
      <c r="EJ2" s="1482"/>
      <c r="EK2" s="1482"/>
      <c r="EL2" s="1482"/>
      <c r="EM2" s="1482"/>
      <c r="EN2" s="1482"/>
      <c r="EO2" s="1482"/>
      <c r="EP2" s="1482"/>
      <c r="EQ2" s="1482"/>
      <c r="ER2" s="1482"/>
      <c r="ES2" s="1482"/>
      <c r="ET2" s="1482"/>
      <c r="EU2" s="1482"/>
      <c r="EV2" s="1482"/>
      <c r="EW2" s="1482"/>
      <c r="EX2" s="1482"/>
      <c r="EY2" s="1482"/>
      <c r="EZ2" s="1482"/>
      <c r="FA2" s="1482"/>
      <c r="FB2" s="1482"/>
      <c r="FC2" s="1482"/>
      <c r="FD2" s="1482"/>
      <c r="FE2" s="1482"/>
      <c r="FF2" s="1482"/>
      <c r="FG2" s="1482"/>
      <c r="FH2" s="1482"/>
      <c r="FI2" s="1482"/>
      <c r="FJ2" s="1482"/>
      <c r="FK2" s="1482"/>
      <c r="FL2" s="1482"/>
      <c r="FM2" s="1482"/>
      <c r="FN2" s="1482"/>
    </row>
    <row r="3" spans="8:8" ht="17.25" customHeight="1">
      <c r="A3" s="1493">
        <v>1.0</v>
      </c>
      <c r="B3" s="1494" t="str">
        <f>IF(C3="","自定义职业",C3)</f>
        <v>自定义职业</v>
      </c>
      <c r="C3" s="1495"/>
      <c r="D3" s="1496"/>
      <c r="E3" s="1497" t="str">
        <f>附表!AA9</f>
        <v>教育×4</v>
      </c>
      <c r="F3" s="1498">
        <f>SUM(附表!AF10:AF12)</f>
        <v>0.0</v>
      </c>
      <c r="G3" s="1499" t="str">
        <f>IF(I3&lt;&gt;"",I3&amp;"，"&amp;I4&amp;"，"&amp;I5&amp;"，"&amp;I6&amp;"，"&amp;I7&amp;"，"&amp;I8&amp;"，"&amp;I9&amp;"，"&amp;I10,"不多于8个本职技能。在右侧职业属性中输入第二职业属性的数值（留空则视为EDU）并自行设置起始信誉。使用自定义职业前，请先咨询你的守秘人。")</f>
        <v>不多于8个本职技能。在右侧职业属性中输入第二职业属性的数值（留空则视为EDU）并自行设置起始信誉。使用自定义职业前，请先咨询你的守秘人。</v>
      </c>
      <c r="H3" s="1487"/>
      <c r="I3" s="1500"/>
      <c r="J3" s="1501"/>
      <c r="K3" s="1502" t="s">
        <v>399</v>
      </c>
      <c r="L3" s="1502"/>
      <c r="M3" s="1503" t="s">
        <v>400</v>
      </c>
      <c r="N3" s="1504"/>
      <c r="O3" s="1483"/>
      <c r="P3" s="1483"/>
      <c r="Q3" s="629"/>
      <c r="R3" s="1492"/>
      <c r="S3" s="1482"/>
      <c r="T3" s="1482"/>
      <c r="U3" s="1482"/>
      <c r="V3" s="1482"/>
      <c r="W3" s="1482"/>
      <c r="X3" s="1482"/>
      <c r="Y3" s="1482"/>
      <c r="Z3" s="1482"/>
      <c r="AA3" s="1482"/>
      <c r="AB3" s="1482"/>
      <c r="AC3" s="1482"/>
      <c r="AD3" s="1482"/>
      <c r="AE3" s="1482"/>
      <c r="AF3" s="1482"/>
      <c r="AG3" s="1482"/>
      <c r="AH3" s="1482"/>
      <c r="AI3" s="1482"/>
      <c r="AJ3" s="1482"/>
      <c r="AK3" s="1482"/>
      <c r="AL3" s="1482"/>
      <c r="AM3" s="1482"/>
      <c r="AN3" s="1482"/>
      <c r="AO3" s="1482"/>
      <c r="AP3" s="1482"/>
      <c r="AQ3" s="1482"/>
      <c r="AR3" s="1482"/>
      <c r="AS3" s="1482"/>
      <c r="AT3" s="1482"/>
      <c r="AU3" s="1482"/>
      <c r="AV3" s="1482"/>
      <c r="AW3" s="1482"/>
      <c r="AX3" s="1482"/>
      <c r="AY3" s="1482"/>
      <c r="AZ3" s="1482"/>
      <c r="BA3" s="1482"/>
      <c r="BB3" s="1482"/>
      <c r="BC3" s="1482"/>
      <c r="BD3" s="1482"/>
      <c r="BE3" s="1482"/>
      <c r="BF3" s="1482"/>
      <c r="BG3" s="1482"/>
      <c r="BH3" s="1482"/>
      <c r="BI3" s="1482"/>
      <c r="BJ3" s="1482"/>
      <c r="BK3" s="1482"/>
      <c r="BL3" s="1482"/>
      <c r="BM3" s="1482"/>
      <c r="BN3" s="1482"/>
      <c r="BO3" s="1482"/>
      <c r="BP3" s="1482"/>
      <c r="BQ3" s="1482"/>
      <c r="BR3" s="1482"/>
      <c r="BS3" s="1482"/>
      <c r="BT3" s="1482"/>
      <c r="BU3" s="1482"/>
      <c r="BV3" s="1482"/>
      <c r="BW3" s="1482"/>
      <c r="BX3" s="1482"/>
      <c r="BY3" s="1482"/>
      <c r="BZ3" s="1482"/>
      <c r="CA3" s="1482"/>
      <c r="CB3" s="1482"/>
      <c r="CC3" s="1482"/>
      <c r="CD3" s="1482"/>
      <c r="CE3" s="1482"/>
      <c r="CF3" s="1482"/>
      <c r="CG3" s="1482"/>
      <c r="CH3" s="1482"/>
      <c r="CI3" s="1482"/>
      <c r="CJ3" s="1482"/>
      <c r="CK3" s="1482"/>
      <c r="CL3" s="1482"/>
      <c r="CM3" s="1482"/>
      <c r="CN3" s="1482"/>
      <c r="CO3" s="1482"/>
      <c r="CP3" s="1482"/>
      <c r="CQ3" s="1482"/>
      <c r="CR3" s="1482"/>
      <c r="CS3" s="1482"/>
      <c r="CT3" s="1482"/>
      <c r="CU3" s="1482"/>
      <c r="CV3" s="1482"/>
      <c r="CW3" s="1482"/>
      <c r="CX3" s="1482"/>
      <c r="CY3" s="1482"/>
      <c r="CZ3" s="1482"/>
      <c r="DA3" s="1482"/>
      <c r="DB3" s="1482"/>
      <c r="DC3" s="1482"/>
      <c r="DD3" s="1482"/>
      <c r="DE3" s="1482"/>
      <c r="DF3" s="1482"/>
      <c r="DG3" s="1482"/>
      <c r="DH3" s="1482"/>
      <c r="DI3" s="1482"/>
      <c r="DJ3" s="1482"/>
      <c r="DK3" s="1482"/>
      <c r="DL3" s="1482"/>
      <c r="DM3" s="1482"/>
      <c r="DN3" s="1482"/>
      <c r="DO3" s="1482"/>
      <c r="DP3" s="1482"/>
      <c r="DQ3" s="1482"/>
      <c r="DR3" s="1482"/>
      <c r="DS3" s="1482"/>
      <c r="DT3" s="1482"/>
      <c r="DU3" s="1482"/>
      <c r="DV3" s="1482"/>
      <c r="DW3" s="1482"/>
      <c r="DX3" s="1482"/>
      <c r="DY3" s="1482"/>
      <c r="DZ3" s="1482"/>
      <c r="EA3" s="1482"/>
      <c r="EB3" s="1482"/>
      <c r="EC3" s="1482"/>
      <c r="ED3" s="1482"/>
      <c r="EE3" s="1482"/>
      <c r="EF3" s="1482"/>
      <c r="EG3" s="1482"/>
      <c r="EH3" s="1482"/>
      <c r="EI3" s="1482"/>
      <c r="EJ3" s="1482"/>
      <c r="EK3" s="1482"/>
      <c r="EL3" s="1482"/>
      <c r="EM3" s="1482"/>
      <c r="EN3" s="1482"/>
      <c r="EO3" s="1482"/>
      <c r="EP3" s="1482"/>
      <c r="EQ3" s="1482"/>
      <c r="ER3" s="1482"/>
      <c r="ES3" s="1482"/>
      <c r="ET3" s="1482"/>
      <c r="EU3" s="1482"/>
      <c r="EV3" s="1482"/>
      <c r="EW3" s="1482"/>
      <c r="EX3" s="1482"/>
      <c r="EY3" s="1482"/>
      <c r="EZ3" s="1482"/>
      <c r="FA3" s="1482"/>
      <c r="FB3" s="1482"/>
      <c r="FC3" s="1482"/>
      <c r="FD3" s="1482"/>
      <c r="FE3" s="1482"/>
      <c r="FF3" s="1482"/>
      <c r="FG3" s="1482"/>
      <c r="FH3" s="1482"/>
      <c r="FI3" s="1482"/>
      <c r="FJ3" s="1482"/>
      <c r="FK3" s="1482"/>
      <c r="FL3" s="1482"/>
      <c r="FM3" s="1482"/>
      <c r="FN3" s="1482"/>
    </row>
    <row r="4" spans="8:8">
      <c r="A4" s="1484">
        <v>2.0</v>
      </c>
      <c r="B4" s="1505" t="s">
        <v>401</v>
      </c>
      <c r="C4" s="1505"/>
      <c r="D4" s="1480" t="s">
        <v>402</v>
      </c>
      <c r="E4" s="1480" t="s">
        <v>403</v>
      </c>
      <c r="F4" s="1506">
        <f>EDU*4</f>
        <v>0.0</v>
      </c>
      <c r="G4" s="1507" t="s">
        <v>404</v>
      </c>
      <c r="H4" s="1487"/>
      <c r="I4" s="1500"/>
      <c r="J4" s="1501"/>
      <c r="K4" s="1502" t="s">
        <v>405</v>
      </c>
      <c r="L4" s="1502"/>
      <c r="M4" s="1503" t="s">
        <v>406</v>
      </c>
      <c r="N4" s="1504"/>
      <c r="O4" s="1483"/>
      <c r="P4" s="1483"/>
      <c r="Q4" s="629"/>
      <c r="R4" s="1492"/>
      <c r="S4" s="1482"/>
      <c r="T4" s="1482"/>
      <c r="U4" s="1482"/>
      <c r="V4" s="1482"/>
      <c r="W4" s="1482"/>
      <c r="X4" s="1482"/>
      <c r="Y4" s="1482"/>
      <c r="Z4" s="1482"/>
      <c r="AA4" s="1482"/>
      <c r="AB4" s="1482"/>
      <c r="AC4" s="1482"/>
      <c r="AD4" s="1482"/>
      <c r="AE4" s="1482"/>
      <c r="AF4" s="1482"/>
      <c r="AG4" s="1482"/>
      <c r="AH4" s="1482"/>
      <c r="AI4" s="1482"/>
      <c r="AJ4" s="1482"/>
      <c r="AK4" s="1482"/>
      <c r="AL4" s="1482"/>
      <c r="AM4" s="1482"/>
      <c r="AN4" s="1482"/>
      <c r="AO4" s="1482"/>
      <c r="AP4" s="1482"/>
      <c r="AQ4" s="1482"/>
      <c r="AR4" s="1482"/>
      <c r="AS4" s="1482"/>
      <c r="AT4" s="1482"/>
      <c r="AU4" s="1482"/>
      <c r="AV4" s="1482"/>
      <c r="AW4" s="1482"/>
      <c r="AX4" s="1482"/>
      <c r="AY4" s="1482"/>
      <c r="AZ4" s="1482"/>
      <c r="BA4" s="1482"/>
      <c r="BB4" s="1482"/>
      <c r="BC4" s="1482"/>
      <c r="BD4" s="1482"/>
      <c r="BE4" s="1482"/>
      <c r="BF4" s="1482"/>
      <c r="BG4" s="1482"/>
      <c r="BH4" s="1482"/>
      <c r="BI4" s="1482"/>
      <c r="BJ4" s="1482"/>
      <c r="BK4" s="1482"/>
      <c r="BL4" s="1482"/>
      <c r="BM4" s="1482"/>
      <c r="BN4" s="1482"/>
      <c r="BO4" s="1482"/>
      <c r="BP4" s="1482"/>
      <c r="BQ4" s="1482"/>
      <c r="BR4" s="1482"/>
      <c r="BS4" s="1482"/>
      <c r="BT4" s="1482"/>
      <c r="BU4" s="1482"/>
      <c r="BV4" s="1482"/>
      <c r="BW4" s="1482"/>
      <c r="BX4" s="1482"/>
      <c r="BY4" s="1482"/>
      <c r="BZ4" s="1482"/>
      <c r="CA4" s="1482"/>
      <c r="CB4" s="1482"/>
      <c r="CC4" s="1482"/>
      <c r="CD4" s="1482"/>
      <c r="CE4" s="1482"/>
      <c r="CF4" s="1482"/>
      <c r="CG4" s="1482"/>
      <c r="CH4" s="1482"/>
      <c r="CI4" s="1482"/>
      <c r="CJ4" s="1482"/>
      <c r="CK4" s="1482"/>
      <c r="CL4" s="1482"/>
      <c r="CM4" s="1482"/>
      <c r="CN4" s="1482"/>
      <c r="CO4" s="1482"/>
      <c r="CP4" s="1482"/>
      <c r="CQ4" s="1482"/>
      <c r="CR4" s="1482"/>
      <c r="CS4" s="1482"/>
      <c r="CT4" s="1482"/>
      <c r="CU4" s="1482"/>
      <c r="CV4" s="1482"/>
      <c r="CW4" s="1482"/>
      <c r="CX4" s="1482"/>
      <c r="CY4" s="1482"/>
      <c r="CZ4" s="1482"/>
      <c r="DA4" s="1482"/>
      <c r="DB4" s="1482"/>
      <c r="DC4" s="1482"/>
      <c r="DD4" s="1482"/>
      <c r="DE4" s="1482"/>
      <c r="DF4" s="1482"/>
      <c r="DG4" s="1482"/>
      <c r="DH4" s="1482"/>
      <c r="DI4" s="1482"/>
      <c r="DJ4" s="1482"/>
      <c r="DK4" s="1482"/>
      <c r="DL4" s="1482"/>
      <c r="DM4" s="1482"/>
      <c r="DN4" s="1482"/>
      <c r="DO4" s="1482"/>
      <c r="DP4" s="1482"/>
      <c r="DQ4" s="1482"/>
      <c r="DR4" s="1482"/>
      <c r="DS4" s="1482"/>
      <c r="DT4" s="1482"/>
      <c r="DU4" s="1482"/>
      <c r="DV4" s="1482"/>
      <c r="DW4" s="1482"/>
      <c r="DX4" s="1482"/>
      <c r="DY4" s="1482"/>
      <c r="DZ4" s="1482"/>
      <c r="EA4" s="1482"/>
      <c r="EB4" s="1482"/>
      <c r="EC4" s="1482"/>
      <c r="ED4" s="1482"/>
      <c r="EE4" s="1482"/>
      <c r="EF4" s="1482"/>
      <c r="EG4" s="1482"/>
      <c r="EH4" s="1482"/>
      <c r="EI4" s="1482"/>
      <c r="EJ4" s="1482"/>
      <c r="EK4" s="1482"/>
      <c r="EL4" s="1482"/>
      <c r="EM4" s="1482"/>
      <c r="EN4" s="1482"/>
      <c r="EO4" s="1482"/>
      <c r="EP4" s="1482"/>
      <c r="EQ4" s="1482"/>
      <c r="ER4" s="1482"/>
      <c r="ES4" s="1482"/>
      <c r="ET4" s="1482"/>
      <c r="EU4" s="1482"/>
      <c r="EV4" s="1482"/>
      <c r="EW4" s="1482"/>
      <c r="EX4" s="1482"/>
      <c r="EY4" s="1482"/>
      <c r="EZ4" s="1482"/>
      <c r="FA4" s="1482"/>
      <c r="FB4" s="1482"/>
      <c r="FC4" s="1482"/>
      <c r="FD4" s="1482"/>
      <c r="FE4" s="1482"/>
      <c r="FF4" s="1482"/>
      <c r="FG4" s="1482"/>
      <c r="FH4" s="1482"/>
      <c r="FI4" s="1482"/>
      <c r="FJ4" s="1482"/>
      <c r="FK4" s="1482"/>
      <c r="FL4" s="1482"/>
      <c r="FM4" s="1482"/>
      <c r="FN4" s="1482"/>
    </row>
    <row r="5" spans="8:8">
      <c r="A5" s="1508">
        <v>3.0</v>
      </c>
      <c r="B5" s="1509" t="s">
        <v>407</v>
      </c>
      <c r="C5" s="1509"/>
      <c r="D5" s="1510" t="s">
        <v>408</v>
      </c>
      <c r="E5" s="1511" t="s">
        <v>409</v>
      </c>
      <c r="F5" s="1511">
        <f>EDU*2+DEX*2</f>
        <v>0.0</v>
      </c>
      <c r="G5" s="1512" t="s">
        <v>410</v>
      </c>
      <c r="H5" s="1487"/>
      <c r="I5" s="1500"/>
      <c r="J5" s="1501"/>
      <c r="K5" s="1502" t="s">
        <v>411</v>
      </c>
      <c r="L5" s="1502"/>
      <c r="M5" s="1503" t="s">
        <v>412</v>
      </c>
      <c r="N5" s="1504"/>
      <c r="O5" s="1483"/>
      <c r="P5" s="1483"/>
      <c r="Q5" s="629"/>
      <c r="R5" s="1492"/>
      <c r="S5" s="1482"/>
      <c r="T5" s="1482"/>
      <c r="U5" s="1482"/>
      <c r="V5" s="1482"/>
      <c r="W5" s="1482"/>
      <c r="X5" s="1482"/>
      <c r="Y5" s="1482"/>
      <c r="Z5" s="1482"/>
      <c r="AA5" s="1482"/>
      <c r="AB5" s="1482"/>
      <c r="AC5" s="1482"/>
      <c r="AD5" s="1482"/>
      <c r="AE5" s="1482"/>
      <c r="AF5" s="1482"/>
      <c r="AG5" s="1482"/>
      <c r="AH5" s="1482"/>
      <c r="AI5" s="1482"/>
      <c r="AJ5" s="1482"/>
      <c r="AK5" s="1482"/>
      <c r="AL5" s="1482"/>
      <c r="AM5" s="1482"/>
      <c r="AN5" s="1482"/>
      <c r="AO5" s="1482"/>
      <c r="AP5" s="1482"/>
      <c r="AQ5" s="1482"/>
      <c r="AR5" s="1482"/>
      <c r="AS5" s="1482"/>
      <c r="AT5" s="1482"/>
      <c r="AU5" s="1482"/>
      <c r="AV5" s="1482"/>
      <c r="AW5" s="1482"/>
      <c r="AX5" s="1482"/>
      <c r="AY5" s="1482"/>
      <c r="AZ5" s="1482"/>
      <c r="BA5" s="1482"/>
      <c r="BB5" s="1482"/>
      <c r="BC5" s="1482"/>
      <c r="BD5" s="1482"/>
      <c r="BE5" s="1482"/>
      <c r="BF5" s="1482"/>
      <c r="BG5" s="1482"/>
      <c r="BH5" s="1482"/>
      <c r="BI5" s="1482"/>
      <c r="BJ5" s="1482"/>
      <c r="BK5" s="1482"/>
      <c r="BL5" s="1482"/>
      <c r="BM5" s="1482"/>
      <c r="BN5" s="1482"/>
      <c r="BO5" s="1482"/>
      <c r="BP5" s="1482"/>
      <c r="BQ5" s="1482"/>
      <c r="BR5" s="1482"/>
      <c r="BS5" s="1482"/>
      <c r="BT5" s="1482"/>
      <c r="BU5" s="1482"/>
      <c r="BV5" s="1482"/>
      <c r="BW5" s="1482"/>
      <c r="BX5" s="1482"/>
      <c r="BY5" s="1482"/>
      <c r="BZ5" s="1482"/>
      <c r="CA5" s="1482"/>
      <c r="CB5" s="1482"/>
      <c r="CC5" s="1482"/>
      <c r="CD5" s="1482"/>
      <c r="CE5" s="1482"/>
      <c r="CF5" s="1482"/>
      <c r="CG5" s="1482"/>
      <c r="CH5" s="1482"/>
      <c r="CI5" s="1482"/>
      <c r="CJ5" s="1482"/>
      <c r="CK5" s="1482"/>
      <c r="CL5" s="1482"/>
      <c r="CM5" s="1482"/>
      <c r="CN5" s="1482"/>
      <c r="CO5" s="1482"/>
      <c r="CP5" s="1482"/>
      <c r="CQ5" s="1482"/>
      <c r="CR5" s="1482"/>
      <c r="CS5" s="1482"/>
      <c r="CT5" s="1482"/>
      <c r="CU5" s="1482"/>
      <c r="CV5" s="1482"/>
      <c r="CW5" s="1482"/>
      <c r="CX5" s="1482"/>
      <c r="CY5" s="1482"/>
      <c r="CZ5" s="1482"/>
      <c r="DA5" s="1482"/>
      <c r="DB5" s="1482"/>
      <c r="DC5" s="1482"/>
      <c r="DD5" s="1482"/>
      <c r="DE5" s="1482"/>
      <c r="DF5" s="1482"/>
      <c r="DG5" s="1482"/>
      <c r="DH5" s="1482"/>
      <c r="DI5" s="1482"/>
      <c r="DJ5" s="1482"/>
      <c r="DK5" s="1482"/>
      <c r="DL5" s="1482"/>
      <c r="DM5" s="1482"/>
      <c r="DN5" s="1482"/>
      <c r="DO5" s="1482"/>
      <c r="DP5" s="1482"/>
      <c r="DQ5" s="1482"/>
      <c r="DR5" s="1482"/>
      <c r="DS5" s="1482"/>
      <c r="DT5" s="1482"/>
      <c r="DU5" s="1482"/>
      <c r="DV5" s="1482"/>
      <c r="DW5" s="1482"/>
      <c r="DX5" s="1482"/>
      <c r="DY5" s="1482"/>
      <c r="DZ5" s="1482"/>
      <c r="EA5" s="1482"/>
      <c r="EB5" s="1482"/>
      <c r="EC5" s="1482"/>
      <c r="ED5" s="1482"/>
      <c r="EE5" s="1482"/>
      <c r="EF5" s="1482"/>
      <c r="EG5" s="1482"/>
      <c r="EH5" s="1482"/>
      <c r="EI5" s="1482"/>
      <c r="EJ5" s="1482"/>
      <c r="EK5" s="1482"/>
      <c r="EL5" s="1482"/>
      <c r="EM5" s="1482"/>
      <c r="EN5" s="1482"/>
      <c r="EO5" s="1482"/>
      <c r="EP5" s="1482"/>
      <c r="EQ5" s="1482"/>
      <c r="ER5" s="1482"/>
      <c r="ES5" s="1482"/>
      <c r="ET5" s="1482"/>
      <c r="EU5" s="1482"/>
      <c r="EV5" s="1482"/>
      <c r="EW5" s="1482"/>
      <c r="EX5" s="1482"/>
      <c r="EY5" s="1482"/>
      <c r="EZ5" s="1482"/>
      <c r="FA5" s="1482"/>
      <c r="FB5" s="1482"/>
      <c r="FC5" s="1482"/>
      <c r="FD5" s="1482"/>
      <c r="FE5" s="1482"/>
      <c r="FF5" s="1482"/>
      <c r="FG5" s="1482"/>
      <c r="FH5" s="1482"/>
      <c r="FI5" s="1482"/>
      <c r="FJ5" s="1482"/>
      <c r="FK5" s="1482"/>
      <c r="FL5" s="1482"/>
      <c r="FM5" s="1482"/>
      <c r="FN5" s="1482"/>
    </row>
    <row r="6" spans="8:8">
      <c r="A6" s="1484">
        <v>4.0</v>
      </c>
      <c r="B6" s="1505" t="s">
        <v>413</v>
      </c>
      <c r="C6" s="1505"/>
      <c r="D6" s="1480" t="s">
        <v>414</v>
      </c>
      <c r="E6" s="1480" t="s">
        <v>415</v>
      </c>
      <c r="F6" s="1506">
        <f>EDU*2+APP*2</f>
        <v>0.0</v>
      </c>
      <c r="G6" s="1507" t="s">
        <v>416</v>
      </c>
      <c r="H6" s="1487"/>
      <c r="I6" s="1500"/>
      <c r="J6" s="1501"/>
      <c r="K6" s="1502" t="s">
        <v>417</v>
      </c>
      <c r="L6" s="1502"/>
      <c r="M6" s="1503" t="s">
        <v>418</v>
      </c>
      <c r="N6" s="1504"/>
      <c r="O6" s="1483"/>
      <c r="P6" s="1483"/>
      <c r="Q6" s="629"/>
      <c r="R6" s="1513"/>
      <c r="S6" s="1482"/>
      <c r="T6" s="1482"/>
      <c r="U6" s="1482"/>
      <c r="V6" s="1482"/>
      <c r="W6" s="1482"/>
      <c r="X6" s="1482"/>
      <c r="Y6" s="1482"/>
      <c r="Z6" s="1482"/>
      <c r="AA6" s="1482"/>
      <c r="AB6" s="1482"/>
      <c r="AC6" s="1482"/>
      <c r="AD6" s="1482"/>
      <c r="AE6" s="1482"/>
      <c r="AF6" s="1482"/>
      <c r="AG6" s="1482"/>
      <c r="AH6" s="1482"/>
      <c r="AI6" s="1482"/>
      <c r="AJ6" s="1482"/>
      <c r="AK6" s="1482"/>
      <c r="AL6" s="1482"/>
      <c r="AM6" s="1482"/>
      <c r="AN6" s="1482"/>
      <c r="AO6" s="1482"/>
      <c r="AP6" s="1482"/>
      <c r="AQ6" s="1482"/>
      <c r="AR6" s="1482"/>
      <c r="AS6" s="1482"/>
      <c r="AT6" s="1482"/>
      <c r="AU6" s="1482"/>
      <c r="AV6" s="1482"/>
      <c r="AW6" s="1482"/>
      <c r="AX6" s="1482"/>
      <c r="AY6" s="1482"/>
      <c r="AZ6" s="1482"/>
      <c r="BA6" s="1482"/>
      <c r="BB6" s="1482"/>
      <c r="BC6" s="1482"/>
      <c r="BD6" s="1482"/>
      <c r="BE6" s="1482"/>
      <c r="BF6" s="1482"/>
      <c r="BG6" s="1482"/>
      <c r="BH6" s="1482"/>
      <c r="BI6" s="1482"/>
      <c r="BJ6" s="1482"/>
      <c r="BK6" s="1482"/>
      <c r="BL6" s="1482"/>
      <c r="BM6" s="1482"/>
      <c r="BN6" s="1482"/>
      <c r="BO6" s="1482"/>
      <c r="BP6" s="1482"/>
      <c r="BQ6" s="1482"/>
      <c r="BR6" s="1482"/>
      <c r="BS6" s="1482"/>
      <c r="BT6" s="1482"/>
      <c r="BU6" s="1482"/>
      <c r="BV6" s="1482"/>
      <c r="BW6" s="1482"/>
      <c r="BX6" s="1482"/>
      <c r="BY6" s="1482"/>
      <c r="BZ6" s="1482"/>
      <c r="CA6" s="1482"/>
      <c r="CB6" s="1482"/>
      <c r="CC6" s="1482"/>
      <c r="CD6" s="1482"/>
      <c r="CE6" s="1482"/>
      <c r="CF6" s="1482"/>
      <c r="CG6" s="1482"/>
      <c r="CH6" s="1482"/>
      <c r="CI6" s="1482"/>
      <c r="CJ6" s="1482"/>
      <c r="CK6" s="1482"/>
      <c r="CL6" s="1482"/>
      <c r="CM6" s="1482"/>
      <c r="CN6" s="1482"/>
      <c r="CO6" s="1482"/>
      <c r="CP6" s="1482"/>
      <c r="CQ6" s="1482"/>
      <c r="CR6" s="1482"/>
      <c r="CS6" s="1482"/>
      <c r="CT6" s="1482"/>
      <c r="CU6" s="1482"/>
      <c r="CV6" s="1482"/>
      <c r="CW6" s="1482"/>
      <c r="CX6" s="1482"/>
      <c r="CY6" s="1482"/>
      <c r="CZ6" s="1482"/>
      <c r="DA6" s="1482"/>
      <c r="DB6" s="1482"/>
      <c r="DC6" s="1482"/>
      <c r="DD6" s="1482"/>
      <c r="DE6" s="1482"/>
      <c r="DF6" s="1482"/>
      <c r="DG6" s="1482"/>
      <c r="DH6" s="1482"/>
      <c r="DI6" s="1482"/>
      <c r="DJ6" s="1482"/>
      <c r="DK6" s="1482"/>
      <c r="DL6" s="1482"/>
      <c r="DM6" s="1482"/>
      <c r="DN6" s="1482"/>
      <c r="DO6" s="1482"/>
      <c r="DP6" s="1482"/>
      <c r="DQ6" s="1482"/>
      <c r="DR6" s="1482"/>
      <c r="DS6" s="1482"/>
      <c r="DT6" s="1482"/>
      <c r="DU6" s="1482"/>
      <c r="DV6" s="1482"/>
      <c r="DW6" s="1482"/>
      <c r="DX6" s="1482"/>
      <c r="DY6" s="1482"/>
      <c r="DZ6" s="1482"/>
      <c r="EA6" s="1482"/>
      <c r="EB6" s="1482"/>
      <c r="EC6" s="1482"/>
      <c r="ED6" s="1482"/>
      <c r="EE6" s="1482"/>
      <c r="EF6" s="1482"/>
      <c r="EG6" s="1482"/>
      <c r="EH6" s="1482"/>
      <c r="EI6" s="1482"/>
      <c r="EJ6" s="1482"/>
      <c r="EK6" s="1482"/>
      <c r="EL6" s="1482"/>
      <c r="EM6" s="1482"/>
      <c r="EN6" s="1482"/>
      <c r="EO6" s="1482"/>
      <c r="EP6" s="1482"/>
      <c r="EQ6" s="1482"/>
      <c r="ER6" s="1482"/>
      <c r="ES6" s="1482"/>
      <c r="ET6" s="1482"/>
      <c r="EU6" s="1482"/>
      <c r="EV6" s="1482"/>
      <c r="EW6" s="1482"/>
      <c r="EX6" s="1482"/>
      <c r="EY6" s="1482"/>
      <c r="EZ6" s="1482"/>
      <c r="FA6" s="1482"/>
      <c r="FB6" s="1482"/>
      <c r="FC6" s="1482"/>
      <c r="FD6" s="1482"/>
      <c r="FE6" s="1482"/>
      <c r="FF6" s="1482"/>
      <c r="FG6" s="1482"/>
      <c r="FH6" s="1482"/>
      <c r="FI6" s="1482"/>
      <c r="FJ6" s="1482"/>
      <c r="FK6" s="1482"/>
      <c r="FL6" s="1482"/>
      <c r="FM6" s="1482"/>
      <c r="FN6" s="1482"/>
    </row>
    <row r="7" spans="8:8" ht="16.5" customHeight="1">
      <c r="A7" s="1508">
        <v>5.0</v>
      </c>
      <c r="B7" s="1509" t="s">
        <v>419</v>
      </c>
      <c r="C7" s="1509"/>
      <c r="D7" s="1510" t="s">
        <v>420</v>
      </c>
      <c r="E7" s="1511" t="s">
        <v>415</v>
      </c>
      <c r="F7" s="1511">
        <f>EDU*2+APP*2</f>
        <v>0.0</v>
      </c>
      <c r="G7" s="1512" t="s">
        <v>421</v>
      </c>
      <c r="H7" s="1487"/>
      <c r="I7" s="1500"/>
      <c r="J7" s="1501"/>
      <c r="K7" s="1502" t="s">
        <v>422</v>
      </c>
      <c r="L7" s="1502"/>
      <c r="M7" s="1503" t="s">
        <v>418</v>
      </c>
      <c r="N7" s="1504"/>
      <c r="O7" s="1483"/>
      <c r="P7" s="1483"/>
      <c r="Q7" s="629"/>
      <c r="R7" s="1514"/>
      <c r="S7" s="1482"/>
      <c r="T7" s="1482"/>
      <c r="U7" s="1482"/>
      <c r="V7" s="1482"/>
      <c r="W7" s="1482"/>
      <c r="X7" s="1482"/>
      <c r="Y7" s="1482"/>
      <c r="Z7" s="1482"/>
      <c r="AA7" s="1482"/>
      <c r="AB7" s="1482"/>
      <c r="AC7" s="1482"/>
      <c r="AD7" s="1482"/>
      <c r="AE7" s="1482"/>
      <c r="AF7" s="1482"/>
      <c r="AG7" s="1482"/>
      <c r="AH7" s="1482"/>
      <c r="AI7" s="1482"/>
      <c r="AJ7" s="1482"/>
      <c r="AK7" s="1482"/>
      <c r="AL7" s="1482"/>
      <c r="AM7" s="1482"/>
      <c r="AN7" s="1482"/>
      <c r="AO7" s="1482"/>
      <c r="AP7" s="1482"/>
      <c r="AQ7" s="1482"/>
      <c r="AR7" s="1482"/>
      <c r="AS7" s="1482"/>
      <c r="AT7" s="1482"/>
      <c r="AU7" s="1482"/>
      <c r="AV7" s="1482"/>
      <c r="AW7" s="1482"/>
      <c r="AX7" s="1482"/>
      <c r="AY7" s="1482"/>
      <c r="AZ7" s="1482"/>
      <c r="BA7" s="1482"/>
      <c r="BB7" s="1482"/>
      <c r="BC7" s="1482"/>
      <c r="BD7" s="1482"/>
      <c r="BE7" s="1482"/>
      <c r="BF7" s="1482"/>
      <c r="BG7" s="1482"/>
      <c r="BH7" s="1482"/>
      <c r="BI7" s="1482"/>
      <c r="BJ7" s="1482"/>
      <c r="BK7" s="1482"/>
      <c r="BL7" s="1482"/>
      <c r="BM7" s="1482"/>
      <c r="BN7" s="1482"/>
      <c r="BO7" s="1482"/>
      <c r="BP7" s="1482"/>
      <c r="BQ7" s="1482"/>
      <c r="BR7" s="1482"/>
      <c r="BS7" s="1482"/>
      <c r="BT7" s="1482"/>
      <c r="BU7" s="1482"/>
      <c r="BV7" s="1482"/>
      <c r="BW7" s="1482"/>
      <c r="BX7" s="1482"/>
      <c r="BY7" s="1482"/>
      <c r="BZ7" s="1482"/>
      <c r="CA7" s="1482"/>
      <c r="CB7" s="1482"/>
      <c r="CC7" s="1482"/>
      <c r="CD7" s="1482"/>
      <c r="CE7" s="1482"/>
      <c r="CF7" s="1482"/>
      <c r="CG7" s="1482"/>
      <c r="CH7" s="1482"/>
      <c r="CI7" s="1482"/>
      <c r="CJ7" s="1482"/>
      <c r="CK7" s="1482"/>
      <c r="CL7" s="1482"/>
      <c r="CM7" s="1482"/>
      <c r="CN7" s="1482"/>
      <c r="CO7" s="1482"/>
      <c r="CP7" s="1482"/>
      <c r="CQ7" s="1482"/>
      <c r="CR7" s="1482"/>
      <c r="CS7" s="1482"/>
      <c r="CT7" s="1482"/>
      <c r="CU7" s="1482"/>
      <c r="CV7" s="1482"/>
      <c r="CW7" s="1482"/>
      <c r="CX7" s="1482"/>
      <c r="CY7" s="1482"/>
      <c r="CZ7" s="1482"/>
      <c r="DA7" s="1482"/>
      <c r="DB7" s="1482"/>
      <c r="DC7" s="1482"/>
      <c r="DD7" s="1482"/>
      <c r="DE7" s="1482"/>
      <c r="DF7" s="1482"/>
      <c r="DG7" s="1482"/>
      <c r="DH7" s="1482"/>
      <c r="DI7" s="1482"/>
      <c r="DJ7" s="1482"/>
      <c r="DK7" s="1482"/>
      <c r="DL7" s="1482"/>
      <c r="DM7" s="1482"/>
      <c r="DN7" s="1482"/>
      <c r="DO7" s="1482"/>
      <c r="DP7" s="1482"/>
      <c r="DQ7" s="1482"/>
      <c r="DR7" s="1482"/>
      <c r="DS7" s="1482"/>
      <c r="DT7" s="1482"/>
      <c r="DU7" s="1482"/>
      <c r="DV7" s="1482"/>
      <c r="DW7" s="1482"/>
      <c r="DX7" s="1482"/>
      <c r="DY7" s="1482"/>
      <c r="DZ7" s="1482"/>
      <c r="EA7" s="1482"/>
      <c r="EB7" s="1482"/>
      <c r="EC7" s="1482"/>
      <c r="ED7" s="1482"/>
      <c r="EE7" s="1482"/>
      <c r="EF7" s="1482"/>
      <c r="EG7" s="1482"/>
      <c r="EH7" s="1482"/>
      <c r="EI7" s="1482"/>
      <c r="EJ7" s="1482"/>
      <c r="EK7" s="1482"/>
      <c r="EL7" s="1482"/>
      <c r="EM7" s="1482"/>
      <c r="EN7" s="1482"/>
      <c r="EO7" s="1482"/>
      <c r="EP7" s="1482"/>
      <c r="EQ7" s="1482"/>
      <c r="ER7" s="1482"/>
      <c r="ES7" s="1482"/>
      <c r="ET7" s="1482"/>
      <c r="EU7" s="1482"/>
      <c r="EV7" s="1482"/>
      <c r="EW7" s="1482"/>
      <c r="EX7" s="1482"/>
      <c r="EY7" s="1482"/>
      <c r="EZ7" s="1482"/>
      <c r="FA7" s="1482"/>
      <c r="FB7" s="1482"/>
      <c r="FC7" s="1482"/>
      <c r="FD7" s="1482"/>
      <c r="FE7" s="1482"/>
      <c r="FF7" s="1482"/>
      <c r="FG7" s="1482"/>
      <c r="FH7" s="1482"/>
      <c r="FI7" s="1482"/>
      <c r="FJ7" s="1482"/>
      <c r="FK7" s="1482"/>
      <c r="FL7" s="1482"/>
      <c r="FM7" s="1482"/>
      <c r="FN7" s="1482"/>
    </row>
    <row r="8" spans="8:8">
      <c r="A8" s="1484">
        <v>6.0</v>
      </c>
      <c r="B8" s="1505" t="s">
        <v>423</v>
      </c>
      <c r="C8" s="1505"/>
      <c r="D8" s="1480" t="s">
        <v>424</v>
      </c>
      <c r="E8" s="1480" t="s">
        <v>425</v>
      </c>
      <c r="F8" s="1506">
        <f>EDU*2+MAX(STR*2,DEX*2)</f>
        <v>0.0</v>
      </c>
      <c r="G8" s="1507" t="s">
        <v>426</v>
      </c>
      <c r="H8" s="1487"/>
      <c r="I8" s="1500"/>
      <c r="J8" s="1501"/>
      <c r="K8" s="1502" t="s">
        <v>427</v>
      </c>
      <c r="L8" s="1502"/>
      <c r="M8" s="1503" t="s">
        <v>428</v>
      </c>
      <c r="N8" s="1504"/>
      <c r="O8" s="1474"/>
      <c r="P8" s="1474"/>
      <c r="Q8" s="629"/>
      <c r="R8" s="1513"/>
    </row>
    <row r="9" spans="8:8">
      <c r="A9" s="1508">
        <v>7.0</v>
      </c>
      <c r="B9" s="1509" t="s">
        <v>429</v>
      </c>
      <c r="C9" s="1509"/>
      <c r="D9" s="1510" t="s">
        <v>430</v>
      </c>
      <c r="E9" s="1511" t="s">
        <v>431</v>
      </c>
      <c r="F9" s="1511">
        <f>EDU*4</f>
        <v>0.0</v>
      </c>
      <c r="G9" s="1512" t="s">
        <v>432</v>
      </c>
      <c r="H9" s="1487"/>
      <c r="I9" s="1500" t="s">
        <v>206</v>
      </c>
      <c r="J9" s="1501"/>
      <c r="K9" s="1502" t="s">
        <v>433</v>
      </c>
      <c r="L9" s="1502"/>
      <c r="M9" s="1503" t="s">
        <v>434</v>
      </c>
      <c r="N9" s="1504"/>
      <c r="O9" s="1474"/>
      <c r="P9" s="1474"/>
      <c r="Q9" s="629"/>
      <c r="R9" s="1492"/>
      <c r="S9" s="1482"/>
      <c r="T9" s="1482"/>
      <c r="U9" s="1482"/>
      <c r="V9" s="1482"/>
      <c r="W9" s="1482"/>
      <c r="X9" s="1482"/>
      <c r="Y9" s="1482"/>
      <c r="Z9" s="1482"/>
      <c r="AA9" s="1482"/>
      <c r="AB9" s="1482"/>
      <c r="AC9" s="1482"/>
      <c r="AD9" s="1482"/>
      <c r="AE9" s="1482"/>
      <c r="AF9" s="1482"/>
      <c r="AG9" s="1482"/>
      <c r="AH9" s="1482"/>
      <c r="AI9" s="1482"/>
      <c r="AJ9" s="1482"/>
      <c r="AK9" s="1482"/>
      <c r="AL9" s="1482"/>
    </row>
    <row r="10" spans="8:8">
      <c r="A10" s="1484">
        <v>8.0</v>
      </c>
      <c r="B10" s="1505" t="s">
        <v>435</v>
      </c>
      <c r="C10" s="1505"/>
      <c r="D10" s="1480" t="s">
        <v>436</v>
      </c>
      <c r="E10" s="1480" t="s">
        <v>437</v>
      </c>
      <c r="F10" s="1506">
        <f>EDU*2+MAX(APP*2,POW*2)</f>
        <v>0.0</v>
      </c>
      <c r="G10" s="1507" t="s">
        <v>438</v>
      </c>
      <c r="H10" s="1487"/>
      <c r="I10" s="1500" t="s">
        <v>206</v>
      </c>
      <c r="J10" s="1501"/>
      <c r="K10" s="1502" t="s">
        <v>439</v>
      </c>
      <c r="L10" s="1502"/>
      <c r="M10" s="1503" t="s">
        <v>440</v>
      </c>
      <c r="N10" s="1504"/>
      <c r="O10" s="1474"/>
      <c r="P10" s="1474"/>
      <c r="Q10" s="629"/>
      <c r="R10" s="1492"/>
      <c r="S10" s="629"/>
      <c r="T10" s="629"/>
      <c r="U10" s="629"/>
      <c r="V10" s="629"/>
      <c r="W10" s="629"/>
      <c r="X10" s="629"/>
      <c r="Y10" s="629"/>
      <c r="Z10" s="629"/>
      <c r="AA10" s="629"/>
      <c r="AB10" s="629"/>
      <c r="AC10" s="629"/>
      <c r="AD10" s="629"/>
      <c r="AE10" s="629"/>
      <c r="AF10" s="629"/>
      <c r="AG10" s="629"/>
      <c r="AH10" s="1482"/>
      <c r="AI10" s="1482"/>
      <c r="AJ10" s="1482"/>
      <c r="AK10" s="1482"/>
      <c r="AL10" s="1482"/>
    </row>
    <row r="11" spans="8:8" ht="17.25" customHeight="1">
      <c r="A11" s="1508">
        <v>9.0</v>
      </c>
      <c r="B11" s="1509" t="s">
        <v>441</v>
      </c>
      <c r="C11" s="1509"/>
      <c r="D11" s="1510" t="s">
        <v>402</v>
      </c>
      <c r="E11" s="1511" t="s">
        <v>431</v>
      </c>
      <c r="F11" s="1511">
        <f>EDU*4</f>
        <v>0.0</v>
      </c>
      <c r="G11" s="1512" t="s">
        <v>442</v>
      </c>
      <c r="I11" s="1515" t="s">
        <v>5837</v>
      </c>
      <c r="J11" s="1516"/>
      <c r="K11" s="1502" t="s">
        <v>443</v>
      </c>
      <c r="L11" s="1502"/>
      <c r="M11" s="1503" t="s">
        <v>444</v>
      </c>
      <c r="N11" s="1504"/>
      <c r="O11" s="1474"/>
      <c r="P11" s="1474"/>
      <c r="Q11" s="629"/>
      <c r="R11" s="1492"/>
      <c r="S11" s="629"/>
      <c r="T11" s="629"/>
      <c r="U11" s="629"/>
      <c r="V11" s="629"/>
      <c r="W11" s="629"/>
      <c r="X11" s="629"/>
      <c r="Y11" s="629"/>
      <c r="Z11" s="629"/>
      <c r="AA11" s="629"/>
      <c r="AB11" s="629"/>
      <c r="AC11" s="629"/>
      <c r="AD11" s="629"/>
      <c r="AE11" s="629"/>
      <c r="AF11" s="629"/>
      <c r="AG11" s="629"/>
      <c r="AH11" s="1482"/>
      <c r="AI11" s="1482"/>
      <c r="AJ11" s="1482"/>
      <c r="AK11" s="1482"/>
      <c r="AL11" s="1482"/>
    </row>
    <row r="12" spans="8:8">
      <c r="A12" s="1484">
        <v>10.0</v>
      </c>
      <c r="B12" s="1505" t="s">
        <v>445</v>
      </c>
      <c r="C12" s="1505"/>
      <c r="D12" s="1480" t="s">
        <v>446</v>
      </c>
      <c r="E12" s="1480" t="s">
        <v>431</v>
      </c>
      <c r="F12" s="1506">
        <f>EDU*4</f>
        <v>0.0</v>
      </c>
      <c r="G12" s="1507" t="s">
        <v>447</v>
      </c>
      <c r="H12" s="1473"/>
      <c r="I12" s="1473"/>
      <c r="J12" s="1473"/>
      <c r="K12" s="1502" t="s">
        <v>448</v>
      </c>
      <c r="L12" s="1502"/>
      <c r="M12" s="1503" t="s">
        <v>449</v>
      </c>
      <c r="N12" s="1504"/>
      <c r="O12" s="1474"/>
      <c r="P12" s="1474"/>
      <c r="Q12" s="629"/>
      <c r="R12" s="1492"/>
      <c r="S12" s="629"/>
      <c r="T12" s="629"/>
      <c r="U12" s="629"/>
      <c r="V12" s="629"/>
      <c r="W12" s="629"/>
      <c r="X12" s="629"/>
      <c r="Y12" s="629"/>
      <c r="Z12" s="629"/>
      <c r="AA12" s="629"/>
      <c r="AB12" s="629"/>
      <c r="AC12" s="629"/>
      <c r="AD12" s="629"/>
      <c r="AE12" s="629"/>
      <c r="AF12" s="629"/>
      <c r="AG12" s="629"/>
      <c r="AH12" s="1482"/>
      <c r="AI12" s="1482"/>
      <c r="AJ12" s="1482"/>
      <c r="AK12" s="1482"/>
      <c r="AL12" s="1482"/>
    </row>
    <row r="13" spans="8:8">
      <c r="A13" s="1508">
        <v>11.0</v>
      </c>
      <c r="B13" s="1509" t="s">
        <v>450</v>
      </c>
      <c r="C13" s="1509"/>
      <c r="D13" s="1510" t="s">
        <v>436</v>
      </c>
      <c r="E13" s="1511" t="s">
        <v>431</v>
      </c>
      <c r="F13" s="1511">
        <f>EDU*4</f>
        <v>0.0</v>
      </c>
      <c r="G13" s="1517" t="s">
        <v>451</v>
      </c>
      <c r="H13" s="1518" t="s">
        <v>452</v>
      </c>
      <c r="I13" s="1519"/>
      <c r="J13" s="1520"/>
      <c r="K13" s="1502" t="s">
        <v>453</v>
      </c>
      <c r="L13" s="1502"/>
      <c r="M13" s="1503" t="s">
        <v>454</v>
      </c>
      <c r="N13" s="1504"/>
      <c r="O13" s="1474"/>
      <c r="P13" s="1474"/>
      <c r="Q13" s="629"/>
      <c r="R13" s="1492"/>
      <c r="S13" s="629"/>
      <c r="T13" s="629"/>
      <c r="U13" s="629"/>
      <c r="V13" s="629"/>
      <c r="W13" s="629"/>
      <c r="X13" s="629"/>
      <c r="Y13" s="629"/>
      <c r="Z13" s="629"/>
      <c r="AA13" s="629"/>
      <c r="AB13" s="629"/>
      <c r="AC13" s="629"/>
      <c r="AD13" s="629"/>
      <c r="AE13" s="629"/>
      <c r="AF13" s="629"/>
      <c r="AG13" s="629"/>
      <c r="AH13" s="1482"/>
      <c r="AI13" s="1482"/>
      <c r="AJ13" s="1482"/>
      <c r="AK13" s="1482"/>
      <c r="AL13" s="1482"/>
    </row>
    <row r="14" spans="8:8">
      <c r="A14" s="1484">
        <v>12.0</v>
      </c>
      <c r="B14" s="1505" t="s">
        <v>455</v>
      </c>
      <c r="C14" s="1505"/>
      <c r="D14" s="1480" t="s">
        <v>402</v>
      </c>
      <c r="E14" s="1480" t="s">
        <v>431</v>
      </c>
      <c r="F14" s="1506">
        <f>EDU*4</f>
        <v>0.0</v>
      </c>
      <c r="G14" s="1521" t="s">
        <v>456</v>
      </c>
      <c r="H14" s="1522" t="s">
        <v>457</v>
      </c>
      <c r="I14" s="1523" t="s">
        <v>458</v>
      </c>
      <c r="J14" s="1524" t="s">
        <v>459</v>
      </c>
      <c r="K14" s="1502" t="s">
        <v>460</v>
      </c>
      <c r="L14" s="1502"/>
      <c r="M14" s="1503" t="s">
        <v>461</v>
      </c>
      <c r="N14" s="1504"/>
      <c r="O14" s="1474"/>
      <c r="P14" s="1474"/>
      <c r="Q14" s="629"/>
      <c r="R14" s="1492"/>
      <c r="S14" s="629"/>
      <c r="T14" s="629"/>
      <c r="U14" s="629"/>
      <c r="V14" s="629"/>
      <c r="W14" s="629"/>
      <c r="X14" s="629"/>
      <c r="Y14" s="629"/>
      <c r="Z14" s="629"/>
      <c r="AA14" s="629"/>
      <c r="AB14" s="629"/>
      <c r="AC14" s="629"/>
      <c r="AD14" s="629"/>
      <c r="AE14" s="629"/>
      <c r="AF14" s="629"/>
      <c r="AG14" s="629"/>
      <c r="AH14" s="1482"/>
      <c r="AI14" s="1482"/>
      <c r="AJ14" s="1482"/>
      <c r="AK14" s="1482"/>
      <c r="AL14" s="1482"/>
    </row>
    <row r="15" spans="8:8" ht="17.25" customHeight="1">
      <c r="A15" s="1508">
        <v>13.0</v>
      </c>
      <c r="B15" s="1509" t="s">
        <v>462</v>
      </c>
      <c r="C15" s="1509"/>
      <c r="D15" s="1510" t="s">
        <v>463</v>
      </c>
      <c r="E15" s="1511" t="s">
        <v>464</v>
      </c>
      <c r="F15" s="1511">
        <f>EDU*2+MAX(DEX*2,POW*2)</f>
        <v>0.0</v>
      </c>
      <c r="G15" s="1517" t="s">
        <v>465</v>
      </c>
      <c r="H15" s="1525" t="s">
        <v>339</v>
      </c>
      <c r="I15" s="1526" t="s">
        <v>171</v>
      </c>
      <c r="J15" s="1527">
        <f>IF(I15="√",2,0)</f>
        <v>0.0</v>
      </c>
      <c r="K15" s="1502" t="s">
        <v>466</v>
      </c>
      <c r="L15" s="1502"/>
      <c r="M15" s="1503" t="s">
        <v>467</v>
      </c>
      <c r="N15" s="1504"/>
      <c r="O15" s="1474"/>
      <c r="P15" s="1474"/>
      <c r="Q15" s="629"/>
      <c r="R15" s="1492"/>
      <c r="S15" s="629"/>
      <c r="T15" s="629"/>
      <c r="U15" s="629"/>
      <c r="V15" s="629"/>
      <c r="W15" s="629"/>
      <c r="X15" s="629"/>
      <c r="Y15" s="629"/>
      <c r="Z15" s="629"/>
      <c r="AA15" s="629"/>
      <c r="AB15" s="629"/>
      <c r="AC15" s="629"/>
      <c r="AD15" s="629"/>
      <c r="AE15" s="629"/>
      <c r="AF15" s="629"/>
      <c r="AG15" s="629"/>
      <c r="AH15" s="1482"/>
      <c r="AI15" s="1482"/>
      <c r="AJ15" s="1482"/>
      <c r="AK15" s="1482"/>
      <c r="AL15" s="1482"/>
    </row>
    <row r="16" spans="8:8" ht="17.25" customHeight="1">
      <c r="A16" s="1484">
        <v>14.0</v>
      </c>
      <c r="B16" s="1505" t="s">
        <v>468</v>
      </c>
      <c r="C16" s="1505"/>
      <c r="D16" s="1480" t="s">
        <v>469</v>
      </c>
      <c r="E16" s="1480" t="s">
        <v>425</v>
      </c>
      <c r="F16" s="1506">
        <f>EDU*2+MAX(STR*2,DEX*2)</f>
        <v>0.0</v>
      </c>
      <c r="G16" s="1521" t="s">
        <v>470</v>
      </c>
      <c r="H16" s="1528" t="s">
        <v>344</v>
      </c>
      <c r="I16" s="1529" t="s">
        <v>171</v>
      </c>
      <c r="J16" s="1530">
        <f>IF(I16="√",2,0)</f>
        <v>0.0</v>
      </c>
      <c r="K16" s="1502" t="s">
        <v>471</v>
      </c>
      <c r="L16" s="1502"/>
      <c r="M16" s="1503" t="s">
        <v>472</v>
      </c>
      <c r="N16" s="1504"/>
      <c r="O16" s="1474"/>
      <c r="P16" s="1474"/>
      <c r="Q16" s="629"/>
      <c r="R16" s="1492"/>
      <c r="S16" s="629"/>
      <c r="T16" s="629"/>
      <c r="U16" s="629"/>
      <c r="V16" s="629"/>
      <c r="W16" s="629"/>
      <c r="X16" s="629"/>
      <c r="Y16" s="629"/>
      <c r="Z16" s="629"/>
      <c r="AA16" s="629"/>
      <c r="AB16" s="629"/>
      <c r="AC16" s="629"/>
      <c r="AD16" s="629"/>
      <c r="AE16" s="629"/>
      <c r="AF16" s="629"/>
      <c r="AG16" s="629"/>
      <c r="AH16" s="1482"/>
      <c r="AI16" s="1482"/>
      <c r="AJ16" s="1482"/>
      <c r="AK16" s="1482"/>
      <c r="AL16" s="1482"/>
    </row>
    <row r="17" spans="8:8" ht="16.5" customHeight="1">
      <c r="A17" s="1508">
        <v>15.0</v>
      </c>
      <c r="B17" s="1509" t="s">
        <v>473</v>
      </c>
      <c r="C17" s="1509"/>
      <c r="D17" s="1510" t="s">
        <v>474</v>
      </c>
      <c r="E17" s="1511" t="s">
        <v>425</v>
      </c>
      <c r="F17" s="1511">
        <f>EDU*2+MAX(STR*2,DEX*2)</f>
        <v>0.0</v>
      </c>
      <c r="G17" s="1517" t="s">
        <v>475</v>
      </c>
      <c r="H17" s="1525" t="s">
        <v>349</v>
      </c>
      <c r="I17" s="1526" t="s">
        <v>171</v>
      </c>
      <c r="J17" s="1527">
        <f>IF(I17="√",2,0)</f>
        <v>0.0</v>
      </c>
      <c r="K17" s="1502" t="s">
        <v>476</v>
      </c>
      <c r="L17" s="1502"/>
      <c r="M17" s="1503" t="s">
        <v>477</v>
      </c>
      <c r="N17" s="1504"/>
      <c r="O17" s="1474"/>
      <c r="P17" s="1474"/>
      <c r="Q17" s="629"/>
      <c r="R17" s="1492"/>
      <c r="S17" s="629"/>
      <c r="T17" s="629"/>
      <c r="U17" s="629"/>
      <c r="V17" s="629"/>
      <c r="W17" s="629"/>
      <c r="X17" s="629"/>
      <c r="Y17" s="629"/>
      <c r="Z17" s="629"/>
      <c r="AA17" s="629"/>
      <c r="AB17" s="629"/>
      <c r="AC17" s="629"/>
      <c r="AD17" s="629"/>
      <c r="AE17" s="629"/>
      <c r="AF17" s="629"/>
      <c r="AG17" s="629"/>
      <c r="AH17" s="1482"/>
      <c r="AI17" s="1482"/>
      <c r="AJ17" s="1482"/>
      <c r="AK17" s="1482"/>
      <c r="AL17" s="1482"/>
    </row>
    <row r="18" spans="8:8">
      <c r="A18" s="1484">
        <v>16.0</v>
      </c>
      <c r="B18" s="1505" t="s">
        <v>478</v>
      </c>
      <c r="C18" s="1505"/>
      <c r="D18" s="1480" t="s">
        <v>479</v>
      </c>
      <c r="E18" s="1480" t="s">
        <v>431</v>
      </c>
      <c r="F18" s="1506">
        <f>EDU*4</f>
        <v>0.0</v>
      </c>
      <c r="G18" s="1521" t="s">
        <v>480</v>
      </c>
      <c r="H18" s="1528" t="s">
        <v>355</v>
      </c>
      <c r="I18" s="1529" t="s">
        <v>171</v>
      </c>
      <c r="J18" s="1530">
        <f t="shared" si="0" ref="J18:J23">IF(I18="√",2,0)</f>
        <v>0.0</v>
      </c>
      <c r="K18" s="1502" t="s">
        <v>481</v>
      </c>
      <c r="L18" s="1502"/>
      <c r="M18" s="1503" t="s">
        <v>482</v>
      </c>
      <c r="N18" s="1504"/>
      <c r="O18" s="1474"/>
      <c r="P18" s="1474"/>
      <c r="Q18" s="629"/>
      <c r="R18" s="1492"/>
      <c r="S18" s="629"/>
      <c r="T18" s="629"/>
      <c r="U18" s="629"/>
      <c r="V18" s="629"/>
      <c r="W18" s="629"/>
      <c r="X18" s="629"/>
      <c r="Y18" s="629"/>
      <c r="Z18" s="629"/>
      <c r="AA18" s="629"/>
      <c r="AB18" s="629"/>
      <c r="AC18" s="629"/>
      <c r="AD18" s="629"/>
      <c r="AE18" s="629"/>
      <c r="AF18" s="629"/>
      <c r="AG18" s="629"/>
      <c r="AH18" s="1482"/>
      <c r="AI18" s="1482"/>
      <c r="AJ18" s="1482"/>
      <c r="AK18" s="1482"/>
      <c r="AL18" s="1482"/>
    </row>
    <row r="19" spans="8:8" ht="16.5" customHeight="1">
      <c r="A19" s="1508">
        <v>17.0</v>
      </c>
      <c r="B19" s="1509" t="s">
        <v>483</v>
      </c>
      <c r="C19" s="1509"/>
      <c r="D19" s="1510" t="s">
        <v>484</v>
      </c>
      <c r="E19" s="1511" t="s">
        <v>415</v>
      </c>
      <c r="F19" s="1511">
        <f>EDU*2+APP*2</f>
        <v>0.0</v>
      </c>
      <c r="G19" s="1517" t="s">
        <v>485</v>
      </c>
      <c r="H19" s="1525" t="s">
        <v>357</v>
      </c>
      <c r="I19" s="1526" t="s">
        <v>171</v>
      </c>
      <c r="J19" s="1527">
        <f t="shared" si="0"/>
        <v>0.0</v>
      </c>
      <c r="K19" s="1502" t="s">
        <v>486</v>
      </c>
      <c r="L19" s="1502"/>
      <c r="M19" s="1503" t="s">
        <v>487</v>
      </c>
      <c r="N19" s="1504"/>
      <c r="O19" s="1474"/>
      <c r="P19" s="1474"/>
      <c r="Q19" s="629"/>
      <c r="R19" s="1492"/>
      <c r="S19" s="629"/>
      <c r="T19" s="629"/>
      <c r="U19" s="629"/>
      <c r="V19" s="629"/>
      <c r="W19" s="629"/>
      <c r="X19" s="629"/>
      <c r="Y19" s="629"/>
      <c r="Z19" s="629"/>
      <c r="AA19" s="629"/>
      <c r="AB19" s="629"/>
      <c r="AC19" s="629"/>
      <c r="AD19" s="629"/>
      <c r="AE19" s="629"/>
      <c r="AF19" s="629"/>
      <c r="AG19" s="629"/>
      <c r="AH19" s="1482"/>
      <c r="AI19" s="1482"/>
      <c r="AJ19" s="1482"/>
      <c r="AK19" s="1482"/>
      <c r="AL19" s="1482"/>
    </row>
    <row r="20" spans="8:8" ht="16.5" customHeight="1">
      <c r="A20" s="1484">
        <v>18.0</v>
      </c>
      <c r="B20" s="1505" t="s">
        <v>488</v>
      </c>
      <c r="C20" s="1505"/>
      <c r="D20" s="1480" t="s">
        <v>489</v>
      </c>
      <c r="E20" s="1480" t="s">
        <v>425</v>
      </c>
      <c r="F20" s="1506">
        <f>EDU*2+MAX(STR*2,DEX*2)</f>
        <v>0.0</v>
      </c>
      <c r="G20" s="1521" t="s">
        <v>490</v>
      </c>
      <c r="H20" s="1528" t="s">
        <v>359</v>
      </c>
      <c r="I20" s="1529" t="s">
        <v>171</v>
      </c>
      <c r="J20" s="1530">
        <f t="shared" si="0"/>
        <v>0.0</v>
      </c>
      <c r="K20" s="1502" t="s">
        <v>491</v>
      </c>
      <c r="L20" s="1502"/>
      <c r="M20" s="1503" t="s">
        <v>492</v>
      </c>
      <c r="N20" s="1504"/>
      <c r="O20" s="1474"/>
      <c r="P20" s="1474"/>
      <c r="Q20" s="629"/>
      <c r="R20" s="1492"/>
      <c r="S20" s="117"/>
      <c r="T20" s="117"/>
      <c r="U20" s="117"/>
      <c r="V20" s="117"/>
      <c r="W20" s="117"/>
      <c r="X20" s="117"/>
      <c r="Y20" s="117"/>
      <c r="Z20" s="117"/>
      <c r="AA20" s="117"/>
      <c r="AB20" s="117"/>
      <c r="AC20" s="117"/>
      <c r="AD20" s="117"/>
      <c r="AE20" s="1482"/>
      <c r="AF20" s="1482"/>
      <c r="AG20" s="1482"/>
      <c r="AH20" s="1482"/>
      <c r="AI20" s="1482"/>
      <c r="AJ20" s="1482"/>
      <c r="AK20" s="1482"/>
      <c r="AL20" s="1482"/>
    </row>
    <row r="21" spans="8:8">
      <c r="A21" s="1508">
        <v>19.0</v>
      </c>
      <c r="B21" s="1509" t="s">
        <v>493</v>
      </c>
      <c r="C21" s="1509"/>
      <c r="D21" s="1510" t="s">
        <v>494</v>
      </c>
      <c r="E21" s="1511" t="s">
        <v>431</v>
      </c>
      <c r="F21" s="1511">
        <f>EDU*4</f>
        <v>0.0</v>
      </c>
      <c r="G21" s="1517" t="s">
        <v>495</v>
      </c>
      <c r="H21" s="1525" t="s">
        <v>366</v>
      </c>
      <c r="I21" s="1526" t="s">
        <v>496</v>
      </c>
      <c r="J21" s="1527">
        <f>IF(I21="√",IF(SUM(J15:J20,J22:J23)&gt;0,2,4),0)</f>
        <v>4.0</v>
      </c>
      <c r="K21" s="1502" t="s">
        <v>497</v>
      </c>
      <c r="L21" s="1502"/>
      <c r="M21" s="1503" t="s">
        <v>498</v>
      </c>
      <c r="N21" s="1504"/>
      <c r="O21" s="1474"/>
      <c r="P21" s="1474"/>
      <c r="Q21" s="629"/>
      <c r="R21" s="1514"/>
      <c r="S21" s="117"/>
      <c r="T21" s="117"/>
      <c r="U21" s="117"/>
      <c r="V21" s="117"/>
      <c r="W21" s="117"/>
      <c r="X21" s="117"/>
      <c r="Y21" s="117"/>
      <c r="Z21" s="117"/>
      <c r="AA21" s="117"/>
      <c r="AB21" s="117"/>
      <c r="AC21" s="117"/>
      <c r="AD21" s="117"/>
      <c r="AE21" s="1482"/>
      <c r="AF21" s="1482"/>
      <c r="AG21" s="1482"/>
      <c r="AH21" s="1482"/>
      <c r="AI21" s="1482"/>
      <c r="AJ21" s="1482"/>
      <c r="AK21" s="1482"/>
      <c r="AL21" s="1482"/>
    </row>
    <row r="22" spans="8:8" ht="16.5" customHeight="1">
      <c r="A22" s="1484">
        <v>20.0</v>
      </c>
      <c r="B22" s="1505" t="s">
        <v>499</v>
      </c>
      <c r="C22" s="1505"/>
      <c r="D22" s="1480" t="s">
        <v>479</v>
      </c>
      <c r="E22" s="1480" t="s">
        <v>425</v>
      </c>
      <c r="F22" s="1506">
        <f>EDU*2+MAX(STR*2,DEX*2)</f>
        <v>0.0</v>
      </c>
      <c r="G22" s="1521" t="s">
        <v>500</v>
      </c>
      <c r="H22" s="1528" t="s">
        <v>362</v>
      </c>
      <c r="I22" s="1529" t="s">
        <v>171</v>
      </c>
      <c r="J22" s="1530">
        <f t="shared" si="0"/>
        <v>0.0</v>
      </c>
      <c r="K22" s="1502" t="s">
        <v>501</v>
      </c>
      <c r="L22" s="1502"/>
      <c r="M22" s="1503" t="s">
        <v>502</v>
      </c>
      <c r="N22" s="1504"/>
      <c r="O22" s="1474"/>
      <c r="P22" s="1474"/>
      <c r="Q22" s="629"/>
      <c r="R22" s="1514"/>
      <c r="S22" s="117"/>
      <c r="T22" s="117"/>
      <c r="U22" s="117"/>
      <c r="V22" s="117"/>
      <c r="W22" s="117"/>
      <c r="X22" s="117"/>
      <c r="Y22" s="117"/>
      <c r="Z22" s="117"/>
      <c r="AA22" s="117"/>
      <c r="AB22" s="117"/>
      <c r="AC22" s="117"/>
      <c r="AD22" s="117"/>
      <c r="AE22" s="1482"/>
      <c r="AF22" s="1482"/>
      <c r="AG22" s="1482"/>
      <c r="AH22" s="1482"/>
      <c r="AI22" s="1482"/>
      <c r="AJ22" s="1482"/>
      <c r="AK22" s="1482"/>
      <c r="AL22" s="1482"/>
    </row>
    <row r="23" spans="8:8" ht="16.5" customHeight="1">
      <c r="A23" s="1508">
        <v>21.0</v>
      </c>
      <c r="B23" s="1509" t="s">
        <v>503</v>
      </c>
      <c r="C23" s="1509"/>
      <c r="D23" s="1510" t="s">
        <v>504</v>
      </c>
      <c r="E23" s="1511" t="s">
        <v>505</v>
      </c>
      <c r="F23" s="1511">
        <f>EDU*2+STR*2</f>
        <v>0.0</v>
      </c>
      <c r="G23" s="1517" t="s">
        <v>506</v>
      </c>
      <c r="H23" s="1525" t="s">
        <v>371</v>
      </c>
      <c r="I23" s="1526" t="s">
        <v>171</v>
      </c>
      <c r="J23" s="1527">
        <f t="shared" si="0"/>
        <v>0.0</v>
      </c>
      <c r="K23" s="1502" t="s">
        <v>507</v>
      </c>
      <c r="L23" s="1502"/>
      <c r="M23" s="1503" t="s">
        <v>508</v>
      </c>
      <c r="N23" s="1504"/>
      <c r="O23" s="1474"/>
      <c r="P23" s="1474"/>
      <c r="Q23" s="629"/>
      <c r="R23" s="1492"/>
      <c r="S23" s="117"/>
      <c r="T23" s="117"/>
      <c r="U23" s="117"/>
      <c r="V23" s="117"/>
      <c r="W23" s="117"/>
      <c r="X23" s="117"/>
      <c r="Y23" s="117"/>
      <c r="Z23" s="117"/>
      <c r="AA23" s="117"/>
      <c r="AB23" s="117"/>
      <c r="AC23" s="117"/>
      <c r="AD23" s="1482"/>
      <c r="AE23" s="1482"/>
      <c r="AF23" s="1482"/>
      <c r="AG23" s="1482"/>
      <c r="AH23" s="1482"/>
      <c r="AI23" s="1482"/>
      <c r="AJ23" s="1482"/>
      <c r="AK23" s="1482"/>
      <c r="AL23" s="1482"/>
    </row>
    <row r="24" spans="8:8">
      <c r="A24" s="1484">
        <v>22.0</v>
      </c>
      <c r="B24" s="1505" t="s">
        <v>509</v>
      </c>
      <c r="C24" s="1505"/>
      <c r="D24" s="1480" t="s">
        <v>414</v>
      </c>
      <c r="E24" s="1480" t="s">
        <v>431</v>
      </c>
      <c r="F24" s="1506">
        <f>EDU*4</f>
        <v>0.0</v>
      </c>
      <c r="G24" s="1507" t="s">
        <v>510</v>
      </c>
      <c r="H24" s="1531" t="s">
        <v>511</v>
      </c>
      <c r="I24" s="1532"/>
      <c r="J24" s="1533"/>
      <c r="K24" s="1534"/>
      <c r="L24" s="1534"/>
      <c r="M24" s="1534"/>
      <c r="N24" s="1534"/>
      <c r="O24" s="1534"/>
      <c r="P24" s="1534"/>
      <c r="Q24" s="629"/>
      <c r="R24" s="1513"/>
      <c r="S24" s="117"/>
      <c r="T24" s="117"/>
      <c r="U24" s="117"/>
      <c r="V24" s="117"/>
      <c r="W24" s="117"/>
      <c r="X24" s="117"/>
      <c r="Y24" s="117"/>
      <c r="Z24" s="117"/>
      <c r="AA24" s="117"/>
      <c r="AB24" s="117"/>
      <c r="AC24" s="117"/>
      <c r="AD24" s="1482"/>
      <c r="AE24" s="1482"/>
      <c r="AF24" s="1482"/>
      <c r="AG24" s="1482"/>
      <c r="AH24" s="1482"/>
      <c r="AI24" s="1482"/>
      <c r="AJ24" s="1482"/>
      <c r="AK24" s="1482"/>
      <c r="AL24" s="1482"/>
    </row>
    <row r="25" spans="8:8">
      <c r="A25" s="1508">
        <v>23.0</v>
      </c>
      <c r="B25" s="1509" t="s">
        <v>512</v>
      </c>
      <c r="C25" s="1509"/>
      <c r="D25" s="1510" t="s">
        <v>504</v>
      </c>
      <c r="E25" s="1511" t="s">
        <v>431</v>
      </c>
      <c r="F25" s="1511">
        <f>EDU*4</f>
        <v>0.0</v>
      </c>
      <c r="G25" s="1512" t="s">
        <v>513</v>
      </c>
      <c r="H25" s="1535" t="s">
        <v>514</v>
      </c>
      <c r="I25" s="1536"/>
      <c r="J25" s="1537"/>
      <c r="K25" s="1502" t="s">
        <v>515</v>
      </c>
      <c r="L25" s="1502"/>
      <c r="M25" s="1503" t="s">
        <v>516</v>
      </c>
      <c r="N25" s="1504"/>
      <c r="O25" s="1474"/>
      <c r="P25" s="1474"/>
      <c r="Q25" s="629"/>
      <c r="R25" s="1514"/>
      <c r="S25" s="1482"/>
      <c r="T25" s="1482"/>
      <c r="U25" s="1482"/>
      <c r="V25" s="1482"/>
      <c r="W25" s="1482"/>
      <c r="X25" s="1482"/>
      <c r="Y25" s="1482"/>
      <c r="Z25" s="1482"/>
      <c r="AA25" s="1482"/>
      <c r="AB25" s="1482"/>
      <c r="AC25" s="1482"/>
      <c r="AD25" s="1482"/>
      <c r="AE25" s="1482"/>
      <c r="AF25" s="1482"/>
      <c r="AG25" s="1482"/>
      <c r="AH25" s="1482"/>
      <c r="AI25" s="1482"/>
      <c r="AJ25" s="1482"/>
      <c r="AK25" s="1482"/>
      <c r="AL25" s="1482"/>
    </row>
    <row r="26" spans="8:8">
      <c r="A26" s="1484">
        <v>24.0</v>
      </c>
      <c r="B26" s="1505" t="s">
        <v>517</v>
      </c>
      <c r="C26" s="1505"/>
      <c r="D26" s="1480" t="s">
        <v>518</v>
      </c>
      <c r="E26" s="1480" t="s">
        <v>431</v>
      </c>
      <c r="F26" s="1506">
        <f>EDU*4</f>
        <v>0.0</v>
      </c>
      <c r="G26" s="1507" t="s">
        <v>519</v>
      </c>
      <c r="J26" s="1473"/>
      <c r="K26" s="1502" t="s">
        <v>520</v>
      </c>
      <c r="L26" s="1502"/>
      <c r="M26" s="1503" t="s">
        <v>521</v>
      </c>
      <c r="N26" s="1504"/>
      <c r="O26" s="1474"/>
      <c r="P26" s="1474"/>
      <c r="Q26" s="629"/>
      <c r="R26" s="1514"/>
      <c r="S26" s="1482"/>
      <c r="T26" s="1482"/>
      <c r="U26" s="1482"/>
      <c r="V26" s="1482"/>
      <c r="W26" s="1482"/>
      <c r="X26" s="1482"/>
      <c r="Y26" s="1482"/>
      <c r="Z26" s="1482"/>
      <c r="AA26" s="1482"/>
      <c r="AB26" s="1482"/>
      <c r="AC26" s="1482"/>
      <c r="AD26" s="1482"/>
      <c r="AE26" s="1482"/>
      <c r="AF26" s="1482"/>
      <c r="AG26" s="1482"/>
      <c r="AH26" s="1482"/>
      <c r="AI26" s="1482"/>
      <c r="AJ26" s="1482"/>
      <c r="AK26" s="1482"/>
      <c r="AL26" s="1482"/>
    </row>
    <row r="27" spans="8:8">
      <c r="A27" s="1508">
        <v>25.0</v>
      </c>
      <c r="B27" s="1509" t="s">
        <v>522</v>
      </c>
      <c r="C27" s="1509"/>
      <c r="D27" s="1510" t="s">
        <v>518</v>
      </c>
      <c r="E27" s="1511" t="s">
        <v>431</v>
      </c>
      <c r="F27" s="1511">
        <f>EDU*4</f>
        <v>0.0</v>
      </c>
      <c r="G27" s="1512" t="s">
        <v>523</v>
      </c>
      <c r="J27" s="1473"/>
      <c r="K27" s="1502" t="s">
        <v>524</v>
      </c>
      <c r="L27" s="1502"/>
      <c r="M27" s="1503" t="s">
        <v>525</v>
      </c>
      <c r="N27" s="1504"/>
      <c r="O27" s="1474"/>
      <c r="P27" s="1474"/>
      <c r="Q27" s="629"/>
      <c r="R27" s="1513"/>
      <c r="S27" s="1482"/>
      <c r="T27" s="1482"/>
      <c r="U27" s="1482"/>
      <c r="V27" s="1482"/>
      <c r="W27" s="1482"/>
      <c r="X27" s="1482"/>
      <c r="Y27" s="1482"/>
      <c r="Z27" s="1482"/>
      <c r="AA27" s="1482"/>
      <c r="AB27" s="1482"/>
      <c r="AC27" s="1482"/>
      <c r="AD27" s="1482"/>
      <c r="AE27" s="1482"/>
      <c r="AF27" s="1482"/>
      <c r="AG27" s="1482"/>
      <c r="AH27" s="1482"/>
      <c r="AI27" s="1482"/>
      <c r="AJ27" s="1482"/>
      <c r="AK27" s="1482"/>
      <c r="AL27" s="1482"/>
    </row>
    <row r="28" spans="8:8" ht="17.25" customHeight="1">
      <c r="A28" s="1484">
        <v>26.0</v>
      </c>
      <c r="B28" s="1505" t="s">
        <v>526</v>
      </c>
      <c r="C28" s="1505"/>
      <c r="D28" s="1480" t="s">
        <v>408</v>
      </c>
      <c r="E28" s="1480" t="s">
        <v>425</v>
      </c>
      <c r="F28" s="1506">
        <f>EDU*2+MAX(STR*2,DEX*2)</f>
        <v>0.0</v>
      </c>
      <c r="G28" s="1507" t="s">
        <v>527</v>
      </c>
      <c r="J28" s="1473"/>
      <c r="K28" s="1502" t="s">
        <v>528</v>
      </c>
      <c r="L28" s="1502"/>
      <c r="M28" s="1503" t="s">
        <v>529</v>
      </c>
      <c r="N28" s="1504"/>
      <c r="O28" s="1474"/>
      <c r="P28" s="1474"/>
      <c r="Q28" s="629"/>
      <c r="R28" s="1492"/>
      <c r="S28" s="1482"/>
      <c r="T28" s="1482"/>
      <c r="U28" s="1482"/>
      <c r="V28" s="1482"/>
      <c r="W28" s="1482"/>
      <c r="X28" s="1482"/>
      <c r="Y28" s="1482"/>
      <c r="Z28" s="1482"/>
      <c r="AA28" s="1482"/>
      <c r="AB28" s="1482"/>
      <c r="AC28" s="1482"/>
      <c r="AD28" s="1482"/>
      <c r="AE28" s="1482"/>
      <c r="AF28" s="1482"/>
      <c r="AG28" s="1482"/>
      <c r="AH28" s="1482"/>
      <c r="AI28" s="1482"/>
      <c r="AJ28" s="1482"/>
      <c r="AK28" s="1482"/>
      <c r="AL28" s="1482"/>
    </row>
    <row r="29" spans="8:8" ht="16.5" customHeight="1">
      <c r="A29" s="1508">
        <v>27.0</v>
      </c>
      <c r="B29" s="1509" t="s">
        <v>530</v>
      </c>
      <c r="C29" s="1509"/>
      <c r="D29" s="1510" t="s">
        <v>436</v>
      </c>
      <c r="E29" s="1511" t="s">
        <v>531</v>
      </c>
      <c r="F29" s="1511">
        <f>EDU*2+DEX*2</f>
        <v>0.0</v>
      </c>
      <c r="G29" s="1512" t="s">
        <v>532</v>
      </c>
      <c r="J29" s="1473"/>
      <c r="K29" s="1502" t="s">
        <v>533</v>
      </c>
      <c r="L29" s="1502"/>
      <c r="M29" s="1503" t="s">
        <v>534</v>
      </c>
      <c r="N29" s="1504"/>
      <c r="O29" s="1474"/>
      <c r="P29" s="1474"/>
      <c r="Q29" s="629"/>
      <c r="R29" s="1492"/>
      <c r="S29" s="1482"/>
      <c r="T29" s="1482"/>
      <c r="U29" s="1482"/>
      <c r="V29" s="1482"/>
      <c r="W29" s="1482"/>
      <c r="X29" s="1482"/>
      <c r="Y29" s="1482"/>
      <c r="Z29" s="1482"/>
      <c r="AA29" s="1482"/>
      <c r="AB29" s="1482"/>
      <c r="AC29" s="1482"/>
      <c r="AD29" s="1482"/>
      <c r="AE29" s="1482"/>
      <c r="AF29" s="1482"/>
      <c r="AG29" s="1482"/>
      <c r="AH29" s="1482"/>
      <c r="AI29" s="1482"/>
      <c r="AJ29" s="1482"/>
      <c r="AK29" s="1482"/>
      <c r="AL29" s="1482"/>
    </row>
    <row r="30" spans="8:8" ht="17.25" customHeight="1">
      <c r="A30" s="1484">
        <v>28.0</v>
      </c>
      <c r="B30" s="1505" t="s">
        <v>535</v>
      </c>
      <c r="C30" s="1505"/>
      <c r="D30" s="1480" t="s">
        <v>536</v>
      </c>
      <c r="E30" s="1480" t="s">
        <v>425</v>
      </c>
      <c r="F30" s="1506">
        <f>EDU*2+MAX(STR*2,DEX*2)</f>
        <v>0.0</v>
      </c>
      <c r="G30" s="1507" t="s">
        <v>537</v>
      </c>
      <c r="J30" s="1473"/>
      <c r="K30" s="1502" t="s">
        <v>538</v>
      </c>
      <c r="L30" s="1502"/>
      <c r="M30" s="1503" t="s">
        <v>539</v>
      </c>
      <c r="N30" s="1504"/>
      <c r="O30" s="1474"/>
      <c r="P30" s="1474"/>
      <c r="Q30" s="629"/>
      <c r="R30" s="1492"/>
      <c r="S30" s="1482"/>
      <c r="T30" s="1482"/>
      <c r="U30" s="1482"/>
      <c r="V30" s="1482"/>
      <c r="W30" s="1482"/>
      <c r="X30" s="1482"/>
      <c r="Y30" s="1482"/>
      <c r="Z30" s="1482"/>
      <c r="AA30" s="1482"/>
      <c r="AB30" s="1482"/>
      <c r="AC30" s="1482"/>
      <c r="AD30" s="1482"/>
      <c r="AE30" s="1482"/>
      <c r="AF30" s="1482"/>
      <c r="AG30" s="1482"/>
      <c r="AH30" s="1482"/>
      <c r="AI30" s="1482"/>
      <c r="AJ30" s="1482"/>
      <c r="AK30" s="1482"/>
      <c r="AL30" s="1482"/>
    </row>
    <row r="31" spans="8:8" ht="17.25" customHeight="1">
      <c r="A31" s="1508">
        <v>29.0</v>
      </c>
      <c r="B31" s="1509" t="s">
        <v>540</v>
      </c>
      <c r="C31" s="1509"/>
      <c r="D31" s="1510" t="s">
        <v>541</v>
      </c>
      <c r="E31" s="1511" t="s">
        <v>542</v>
      </c>
      <c r="F31" s="1511">
        <f>EDU*2+MAX(STR*2,DEX*2)</f>
        <v>0.0</v>
      </c>
      <c r="G31" s="1512" t="s">
        <v>543</v>
      </c>
      <c r="K31" s="1502" t="s">
        <v>544</v>
      </c>
      <c r="L31" s="1502"/>
      <c r="M31" s="1503" t="s">
        <v>545</v>
      </c>
      <c r="N31" s="1504"/>
      <c r="O31" s="1474"/>
      <c r="P31" s="1474"/>
      <c r="Q31" s="629"/>
      <c r="R31" s="1492"/>
      <c r="S31" s="1482"/>
      <c r="T31" s="1482"/>
      <c r="U31" s="1482"/>
      <c r="V31" s="1482"/>
      <c r="W31" s="1482"/>
      <c r="X31" s="1482"/>
      <c r="Y31" s="1482"/>
      <c r="Z31" s="1482"/>
      <c r="AA31" s="1482"/>
      <c r="AB31" s="1482"/>
      <c r="AC31" s="1482"/>
      <c r="AD31" s="1482"/>
      <c r="AE31" s="1482"/>
      <c r="AF31" s="1482"/>
      <c r="AG31" s="1482"/>
      <c r="AH31" s="1482"/>
      <c r="AI31" s="1482"/>
      <c r="AJ31" s="1482"/>
      <c r="AK31" s="1482"/>
      <c r="AL31" s="1482"/>
    </row>
    <row r="32" spans="8:8" ht="17.25" customHeight="1">
      <c r="A32" s="1484">
        <v>30.0</v>
      </c>
      <c r="B32" s="1505" t="s">
        <v>546</v>
      </c>
      <c r="C32" s="1505"/>
      <c r="D32" s="1480" t="s">
        <v>547</v>
      </c>
      <c r="E32" s="1480" t="s">
        <v>548</v>
      </c>
      <c r="F32" s="1506">
        <f>EDU*2+STR*2</f>
        <v>0.0</v>
      </c>
      <c r="G32" s="1507" t="s">
        <v>549</v>
      </c>
      <c r="K32" s="1502" t="s">
        <v>550</v>
      </c>
      <c r="L32" s="1502"/>
      <c r="M32" s="1503" t="s">
        <v>551</v>
      </c>
      <c r="N32" s="1504"/>
      <c r="O32" s="1474"/>
      <c r="P32" s="1474"/>
      <c r="Q32" s="629"/>
      <c r="R32" s="1513"/>
      <c r="S32" s="1482"/>
      <c r="T32" s="1482"/>
      <c r="U32" s="1482"/>
      <c r="V32" s="1482"/>
      <c r="W32" s="1482"/>
      <c r="X32" s="1482"/>
      <c r="Y32" s="1482"/>
      <c r="Z32" s="1482"/>
      <c r="AA32" s="1482"/>
      <c r="AB32" s="1482"/>
      <c r="AC32" s="1482"/>
      <c r="AD32" s="1482"/>
      <c r="AE32" s="1482"/>
      <c r="AF32" s="1482"/>
      <c r="AG32" s="1482"/>
      <c r="AH32" s="1482"/>
      <c r="AI32" s="1482"/>
      <c r="AJ32" s="1482"/>
      <c r="AK32" s="1482"/>
      <c r="AL32" s="1482"/>
    </row>
    <row r="33" spans="8:8" ht="17.25" customHeight="1">
      <c r="A33" s="1508">
        <v>31.0</v>
      </c>
      <c r="B33" s="1509" t="s">
        <v>552</v>
      </c>
      <c r="C33" s="1509"/>
      <c r="D33" s="1510" t="s">
        <v>553</v>
      </c>
      <c r="E33" s="1511" t="s">
        <v>554</v>
      </c>
      <c r="F33" s="1511">
        <f>EDU*2+DEX*2</f>
        <v>0.0</v>
      </c>
      <c r="G33" s="1512" t="s">
        <v>555</v>
      </c>
      <c r="K33" s="1502" t="s">
        <v>556</v>
      </c>
      <c r="L33" s="1502"/>
      <c r="M33" s="1503" t="s">
        <v>545</v>
      </c>
      <c r="N33" s="1504"/>
      <c r="O33" s="1474"/>
      <c r="P33" s="1474"/>
      <c r="Q33" s="629"/>
      <c r="R33" s="1514"/>
      <c r="S33" s="1482"/>
      <c r="T33" s="1482"/>
      <c r="U33" s="1482"/>
      <c r="V33" s="1482"/>
      <c r="W33" s="1482"/>
      <c r="X33" s="1482"/>
      <c r="Y33" s="1482"/>
      <c r="Z33" s="1482"/>
      <c r="AA33" s="1482"/>
      <c r="AB33" s="1482"/>
      <c r="AC33" s="1482"/>
      <c r="AD33" s="1482"/>
      <c r="AE33" s="1482"/>
      <c r="AF33" s="1482"/>
      <c r="AG33" s="1482"/>
      <c r="AH33" s="1482"/>
      <c r="AI33" s="1482"/>
      <c r="AJ33" s="1482"/>
      <c r="AK33" s="1482"/>
      <c r="AL33" s="1482"/>
    </row>
    <row r="34" spans="8:8" ht="17.25" customHeight="1">
      <c r="A34" s="1484">
        <v>32.0</v>
      </c>
      <c r="B34" s="1505" t="s">
        <v>557</v>
      </c>
      <c r="C34" s="1505"/>
      <c r="D34" s="1480" t="s">
        <v>558</v>
      </c>
      <c r="E34" s="1480" t="s">
        <v>559</v>
      </c>
      <c r="F34" s="1506">
        <f>EDU*2+APP*2</f>
        <v>0.0</v>
      </c>
      <c r="G34" s="1507" t="s">
        <v>560</v>
      </c>
      <c r="K34" s="1502" t="s">
        <v>561</v>
      </c>
      <c r="L34" s="1502"/>
      <c r="M34" s="1503" t="s">
        <v>562</v>
      </c>
      <c r="N34" s="1504"/>
      <c r="O34" s="1474"/>
      <c r="P34" s="1474"/>
      <c r="Q34" s="629"/>
      <c r="R34" s="1513"/>
      <c r="S34" s="1482"/>
      <c r="T34" s="1482"/>
      <c r="U34" s="1482"/>
      <c r="V34" s="1482"/>
      <c r="W34" s="1482"/>
      <c r="X34" s="1482"/>
      <c r="Y34" s="1482"/>
      <c r="Z34" s="1482"/>
      <c r="AA34" s="1482"/>
      <c r="AB34" s="1482"/>
      <c r="AC34" s="1482"/>
      <c r="AD34" s="1482"/>
      <c r="AE34" s="1482"/>
      <c r="AF34" s="1482"/>
      <c r="AG34" s="1482"/>
      <c r="AH34" s="1482"/>
      <c r="AI34" s="1482"/>
      <c r="AJ34" s="1482"/>
      <c r="AK34" s="1482"/>
      <c r="AL34" s="1482"/>
    </row>
    <row r="35" spans="8:8" ht="17.25" customHeight="1">
      <c r="A35" s="1508">
        <v>33.0</v>
      </c>
      <c r="B35" s="1509" t="s">
        <v>563</v>
      </c>
      <c r="C35" s="1509"/>
      <c r="D35" s="1510" t="s">
        <v>564</v>
      </c>
      <c r="E35" s="1511" t="s">
        <v>565</v>
      </c>
      <c r="F35" s="1511">
        <f>EDU*2+MAX(DEX*2,APP*2)</f>
        <v>0.0</v>
      </c>
      <c r="G35" s="1512" t="s">
        <v>566</v>
      </c>
      <c r="K35" s="1502" t="s">
        <v>567</v>
      </c>
      <c r="L35" s="1502"/>
      <c r="M35" s="1503" t="s">
        <v>545</v>
      </c>
      <c r="N35" s="1504"/>
      <c r="O35" s="1474"/>
      <c r="P35" s="1474"/>
      <c r="Q35" s="629"/>
      <c r="R35" s="1492"/>
      <c r="S35" s="1482"/>
      <c r="T35" s="1482"/>
      <c r="U35" s="1482"/>
      <c r="V35" s="1482"/>
      <c r="W35" s="1482"/>
      <c r="X35" s="1482"/>
      <c r="Y35" s="1482"/>
      <c r="Z35" s="1482"/>
      <c r="AA35" s="1482"/>
      <c r="AB35" s="1482"/>
      <c r="AC35" s="1482"/>
      <c r="AD35" s="1482"/>
      <c r="AE35" s="1482"/>
      <c r="AF35" s="1482"/>
      <c r="AG35" s="1482"/>
      <c r="AH35" s="1482"/>
      <c r="AI35" s="1482"/>
      <c r="AJ35" s="1482"/>
      <c r="AK35" s="1482"/>
      <c r="AL35" s="1482"/>
    </row>
    <row r="36" spans="8:8" ht="17.25" customHeight="1">
      <c r="A36" s="1484">
        <v>34.0</v>
      </c>
      <c r="B36" s="1505" t="s">
        <v>568</v>
      </c>
      <c r="C36" s="1505"/>
      <c r="D36" s="1480" t="s">
        <v>569</v>
      </c>
      <c r="E36" s="1480" t="s">
        <v>559</v>
      </c>
      <c r="F36" s="1506">
        <f>EDU*2+APP*2</f>
        <v>0.0</v>
      </c>
      <c r="G36" s="1507" t="s">
        <v>570</v>
      </c>
      <c r="K36" s="1502" t="s">
        <v>571</v>
      </c>
      <c r="L36" s="1502"/>
      <c r="M36" s="1503" t="s">
        <v>572</v>
      </c>
      <c r="N36" s="1504"/>
      <c r="O36" s="1474"/>
      <c r="P36" s="1474"/>
      <c r="Q36" s="629"/>
      <c r="R36" s="1474"/>
    </row>
    <row r="37" spans="8:8" ht="17.25" customHeight="1">
      <c r="A37" s="1508">
        <v>35.0</v>
      </c>
      <c r="B37" s="1509" t="s">
        <v>573</v>
      </c>
      <c r="C37" s="1509"/>
      <c r="D37" s="1510" t="s">
        <v>494</v>
      </c>
      <c r="E37" s="1511" t="s">
        <v>559</v>
      </c>
      <c r="F37" s="1511">
        <f>EDU*2+APP*2</f>
        <v>0.0</v>
      </c>
      <c r="G37" s="1512" t="s">
        <v>574</v>
      </c>
      <c r="K37" s="1502" t="s">
        <v>575</v>
      </c>
      <c r="L37" s="1502"/>
      <c r="M37" s="1503" t="s">
        <v>576</v>
      </c>
      <c r="N37" s="1504"/>
      <c r="O37" s="1474"/>
      <c r="P37" s="1474"/>
      <c r="Q37" s="629"/>
      <c r="R37" s="1474"/>
    </row>
    <row r="38" spans="8:8">
      <c r="A38" s="1484">
        <v>36.0</v>
      </c>
      <c r="B38" s="1505" t="s">
        <v>577</v>
      </c>
      <c r="C38" s="1505"/>
      <c r="D38" s="1480" t="s">
        <v>578</v>
      </c>
      <c r="E38" s="1480" t="s">
        <v>431</v>
      </c>
      <c r="F38" s="1506">
        <f>EDU*4</f>
        <v>0.0</v>
      </c>
      <c r="G38" s="1507" t="s">
        <v>5933</v>
      </c>
      <c r="K38" s="1502" t="s">
        <v>579</v>
      </c>
      <c r="L38" s="1502"/>
      <c r="M38" s="1503" t="s">
        <v>580</v>
      </c>
      <c r="N38" s="1504"/>
      <c r="O38" s="1474"/>
      <c r="P38" s="1474"/>
      <c r="Q38" s="629"/>
      <c r="R38" s="1474"/>
    </row>
    <row r="39" spans="8:8" ht="17.25" customHeight="1">
      <c r="A39" s="1508">
        <v>37.0</v>
      </c>
      <c r="B39" s="1509" t="s">
        <v>581</v>
      </c>
      <c r="C39" s="1509"/>
      <c r="D39" s="1510" t="s">
        <v>578</v>
      </c>
      <c r="E39" s="1511" t="s">
        <v>582</v>
      </c>
      <c r="F39" s="1511">
        <f>EDU*2+MAX(DEX*2,APP*2)</f>
        <v>0.0</v>
      </c>
      <c r="G39" s="1512" t="s">
        <v>583</v>
      </c>
      <c r="K39" s="1502" t="s">
        <v>584</v>
      </c>
      <c r="L39" s="1502"/>
      <c r="M39" s="1503" t="s">
        <v>585</v>
      </c>
      <c r="N39" s="1504"/>
      <c r="O39" s="1474"/>
      <c r="P39" s="1474"/>
      <c r="Q39" s="629"/>
      <c r="R39" s="1474"/>
    </row>
    <row r="40" spans="8:8" ht="17.25" customHeight="1">
      <c r="A40" s="1484">
        <v>38.0</v>
      </c>
      <c r="B40" s="1505" t="s">
        <v>586</v>
      </c>
      <c r="C40" s="1505"/>
      <c r="D40" s="1480" t="s">
        <v>587</v>
      </c>
      <c r="E40" s="1480" t="s">
        <v>425</v>
      </c>
      <c r="F40" s="1506">
        <f>EDU*2+MAX(STR*2,DEX*2)</f>
        <v>0.0</v>
      </c>
      <c r="G40" s="1507" t="s">
        <v>588</v>
      </c>
      <c r="K40" s="1502" t="s">
        <v>589</v>
      </c>
      <c r="L40" s="1502"/>
      <c r="M40" s="1503" t="s">
        <v>590</v>
      </c>
      <c r="N40" s="1504"/>
      <c r="O40" s="1474"/>
      <c r="P40" s="1474"/>
      <c r="Q40" s="629"/>
      <c r="R40" s="1474"/>
    </row>
    <row r="41" spans="8:8">
      <c r="A41" s="1508">
        <v>39.0</v>
      </c>
      <c r="B41" s="1509" t="s">
        <v>591</v>
      </c>
      <c r="C41" s="1509"/>
      <c r="D41" s="1510" t="s">
        <v>536</v>
      </c>
      <c r="E41" s="1511" t="s">
        <v>431</v>
      </c>
      <c r="F41" s="1511">
        <f>EDU*4</f>
        <v>0.0</v>
      </c>
      <c r="G41" s="1512" t="s">
        <v>592</v>
      </c>
      <c r="K41" s="1502" t="s">
        <v>593</v>
      </c>
      <c r="L41" s="1502"/>
      <c r="M41" s="1503" t="s">
        <v>594</v>
      </c>
      <c r="N41" s="1504"/>
      <c r="O41" s="1474"/>
      <c r="P41" s="1474"/>
      <c r="Q41" s="629"/>
      <c r="R41" s="1474"/>
    </row>
    <row r="42" spans="8:8">
      <c r="A42" s="1484">
        <v>40.0</v>
      </c>
      <c r="B42" s="1505" t="s">
        <v>595</v>
      </c>
      <c r="C42" s="1505"/>
      <c r="D42" s="1480" t="s">
        <v>489</v>
      </c>
      <c r="E42" s="1480" t="s">
        <v>431</v>
      </c>
      <c r="F42" s="1506">
        <f>EDU*4</f>
        <v>0.0</v>
      </c>
      <c r="G42" s="1507" t="s">
        <v>5942</v>
      </c>
      <c r="K42" s="1502" t="s">
        <v>596</v>
      </c>
      <c r="L42" s="1502"/>
      <c r="M42" s="1503" t="s">
        <v>597</v>
      </c>
      <c r="N42" s="1504"/>
      <c r="O42" s="1474"/>
      <c r="P42" s="1474"/>
      <c r="Q42" s="629"/>
      <c r="R42" s="1474"/>
    </row>
    <row r="43" spans="8:8">
      <c r="A43" s="1508">
        <v>41.0</v>
      </c>
      <c r="B43" s="1509" t="s">
        <v>598</v>
      </c>
      <c r="C43" s="1509"/>
      <c r="D43" s="1510" t="s">
        <v>578</v>
      </c>
      <c r="E43" s="1511" t="s">
        <v>431</v>
      </c>
      <c r="F43" s="1511">
        <f>EDU*4</f>
        <v>0.0</v>
      </c>
      <c r="G43" s="1512" t="s">
        <v>599</v>
      </c>
      <c r="K43" s="1502" t="s">
        <v>600</v>
      </c>
      <c r="L43" s="1502"/>
      <c r="M43" s="1503" t="s">
        <v>601</v>
      </c>
      <c r="N43" s="1504"/>
      <c r="O43" s="1474"/>
      <c r="P43" s="1474"/>
      <c r="Q43" s="629"/>
      <c r="R43" s="1474"/>
    </row>
    <row r="44" spans="8:8" ht="17.25" customHeight="1">
      <c r="A44" s="1484">
        <v>42.0</v>
      </c>
      <c r="B44" s="1505" t="s">
        <v>602</v>
      </c>
      <c r="C44" s="1505"/>
      <c r="D44" s="1480" t="s">
        <v>603</v>
      </c>
      <c r="E44" s="1480" t="s">
        <v>415</v>
      </c>
      <c r="F44" s="1506">
        <f>EDU*2+APP*2</f>
        <v>0.0</v>
      </c>
      <c r="G44" s="1507" t="s">
        <v>604</v>
      </c>
      <c r="K44" s="1502" t="s">
        <v>605</v>
      </c>
      <c r="L44" s="1502"/>
      <c r="M44" s="1503" t="s">
        <v>606</v>
      </c>
      <c r="N44" s="1504"/>
      <c r="O44" s="1474"/>
      <c r="P44" s="1474"/>
      <c r="Q44" s="629"/>
      <c r="R44" s="1474"/>
    </row>
    <row r="45" spans="8:8" ht="17.25" customHeight="1">
      <c r="A45" s="1508">
        <v>43.0</v>
      </c>
      <c r="B45" s="1509" t="s">
        <v>607</v>
      </c>
      <c r="C45" s="1509"/>
      <c r="D45" s="1510" t="s">
        <v>479</v>
      </c>
      <c r="E45" s="1511" t="s">
        <v>554</v>
      </c>
      <c r="F45" s="1511">
        <f>EDU*2+DEX*2</f>
        <v>0.0</v>
      </c>
      <c r="G45" s="1512" t="s">
        <v>608</v>
      </c>
      <c r="K45" s="1502" t="s">
        <v>609</v>
      </c>
      <c r="L45" s="1502"/>
      <c r="M45" s="1503" t="s">
        <v>610</v>
      </c>
      <c r="N45" s="1504"/>
      <c r="O45" s="1474"/>
      <c r="P45" s="1474"/>
      <c r="Q45" s="629"/>
      <c r="R45" s="1474"/>
    </row>
    <row r="46" spans="8:8">
      <c r="A46" s="1484">
        <v>44.0</v>
      </c>
      <c r="B46" s="1505" t="s">
        <v>611</v>
      </c>
      <c r="C46" s="1505"/>
      <c r="D46" s="1480" t="s">
        <v>612</v>
      </c>
      <c r="E46" s="1480" t="s">
        <v>431</v>
      </c>
      <c r="F46" s="1506">
        <f>EDU*4</f>
        <v>0.0</v>
      </c>
      <c r="G46" s="1507" t="s">
        <v>613</v>
      </c>
      <c r="K46" s="1502" t="s">
        <v>614</v>
      </c>
      <c r="L46" s="1502"/>
      <c r="M46" s="1503" t="s">
        <v>615</v>
      </c>
      <c r="N46" s="1504"/>
      <c r="O46" s="1474"/>
      <c r="P46" s="1474"/>
      <c r="Q46" s="629"/>
      <c r="R46" s="1474"/>
    </row>
    <row r="47" spans="8:8" ht="17.25" customHeight="1">
      <c r="A47" s="1508">
        <v>45.0</v>
      </c>
      <c r="B47" s="1509" t="s">
        <v>616</v>
      </c>
      <c r="C47" s="1509"/>
      <c r="D47" s="1510" t="s">
        <v>617</v>
      </c>
      <c r="E47" s="1511" t="s">
        <v>618</v>
      </c>
      <c r="F47" s="1511">
        <f>EDU*2+MAX(DEX*2,APP*2,STR*2)</f>
        <v>0.0</v>
      </c>
      <c r="G47" s="1512" t="s">
        <v>619</v>
      </c>
      <c r="K47" s="1502" t="s">
        <v>620</v>
      </c>
      <c r="L47" s="1502"/>
      <c r="M47" s="1503" t="s">
        <v>621</v>
      </c>
      <c r="N47" s="1504"/>
      <c r="O47" s="1474"/>
      <c r="P47" s="1474"/>
      <c r="Q47" s="629"/>
      <c r="R47" s="1474"/>
    </row>
    <row r="48" spans="8:8" ht="17.25" customHeight="1">
      <c r="A48" s="1484">
        <v>46.0</v>
      </c>
      <c r="B48" s="1505" t="s">
        <v>622</v>
      </c>
      <c r="C48" s="1505"/>
      <c r="D48" s="1480" t="s">
        <v>436</v>
      </c>
      <c r="E48" s="1480" t="s">
        <v>409</v>
      </c>
      <c r="F48" s="1506">
        <f>EDU*2+DEX*2</f>
        <v>0.0</v>
      </c>
      <c r="G48" s="1507" t="s">
        <v>623</v>
      </c>
      <c r="K48" s="1502" t="s">
        <v>624</v>
      </c>
      <c r="L48" s="1502"/>
      <c r="M48" s="1503" t="s">
        <v>625</v>
      </c>
      <c r="N48" s="1504"/>
      <c r="O48" s="1474"/>
      <c r="P48" s="1474"/>
      <c r="Q48" s="629"/>
      <c r="R48" s="1474"/>
    </row>
    <row r="49" spans="8:8" ht="17.25" customHeight="1">
      <c r="A49" s="1508">
        <v>47.0</v>
      </c>
      <c r="B49" s="1509" t="s">
        <v>626</v>
      </c>
      <c r="C49" s="1509"/>
      <c r="D49" s="1510" t="s">
        <v>408</v>
      </c>
      <c r="E49" s="1511" t="s">
        <v>425</v>
      </c>
      <c r="F49" s="1511">
        <f>EDU*2+MAX(STR*2,DEX*2)</f>
        <v>0.0</v>
      </c>
      <c r="G49" s="1512" t="s">
        <v>627</v>
      </c>
      <c r="K49" s="1502" t="s">
        <v>628</v>
      </c>
      <c r="L49" s="1502"/>
      <c r="M49" s="1503" t="s">
        <v>629</v>
      </c>
      <c r="N49" s="1504"/>
      <c r="O49" s="1474"/>
      <c r="P49" s="1474"/>
      <c r="Q49" s="629"/>
      <c r="R49" s="1474"/>
    </row>
    <row r="50" spans="8:8" ht="17.25" customHeight="1">
      <c r="A50" s="1484">
        <v>48.0</v>
      </c>
      <c r="B50" s="1505" t="s">
        <v>630</v>
      </c>
      <c r="C50" s="1505"/>
      <c r="D50" s="1480" t="s">
        <v>479</v>
      </c>
      <c r="E50" s="1480" t="s">
        <v>554</v>
      </c>
      <c r="F50" s="1506">
        <f>EDU*2+DEX*2</f>
        <v>0.0</v>
      </c>
      <c r="G50" s="1507" t="s">
        <v>631</v>
      </c>
      <c r="K50" s="1502" t="s">
        <v>632</v>
      </c>
      <c r="L50" s="1502"/>
      <c r="M50" s="1503" t="s">
        <v>633</v>
      </c>
      <c r="N50" s="1504"/>
      <c r="O50" s="1474"/>
      <c r="P50" s="1474"/>
      <c r="Q50" s="629"/>
      <c r="R50" s="1474"/>
    </row>
    <row r="51" spans="8:8">
      <c r="A51" s="1508">
        <v>49.0</v>
      </c>
      <c r="B51" s="1509" t="s">
        <v>634</v>
      </c>
      <c r="C51" s="1509"/>
      <c r="D51" s="1510" t="s">
        <v>635</v>
      </c>
      <c r="E51" s="1511" t="s">
        <v>431</v>
      </c>
      <c r="F51" s="1511">
        <f>EDU*4</f>
        <v>0.0</v>
      </c>
      <c r="G51" s="1512" t="s">
        <v>636</v>
      </c>
      <c r="K51" s="1502" t="s">
        <v>637</v>
      </c>
      <c r="L51" s="1502"/>
      <c r="M51" s="1503" t="s">
        <v>638</v>
      </c>
      <c r="N51" s="1504"/>
      <c r="O51" s="1474"/>
      <c r="P51" s="1474"/>
      <c r="Q51" s="629"/>
      <c r="R51" s="1474"/>
    </row>
    <row r="52" spans="8:8" ht="17.25" customHeight="1">
      <c r="A52" s="1484">
        <v>50.0</v>
      </c>
      <c r="B52" s="1505" t="s">
        <v>639</v>
      </c>
      <c r="C52" s="1505"/>
      <c r="D52" s="1480" t="s">
        <v>640</v>
      </c>
      <c r="E52" s="1480" t="s">
        <v>559</v>
      </c>
      <c r="F52" s="1506">
        <f>EDU*2+APP*2</f>
        <v>0.0</v>
      </c>
      <c r="G52" s="1507" t="s">
        <v>641</v>
      </c>
      <c r="K52" s="1502" t="s">
        <v>642</v>
      </c>
      <c r="L52" s="1502"/>
      <c r="M52" s="1503" t="s">
        <v>643</v>
      </c>
      <c r="N52" s="1504"/>
      <c r="O52" s="1474"/>
      <c r="P52" s="1474"/>
      <c r="Q52" s="629"/>
      <c r="R52" s="1474"/>
    </row>
    <row r="53" spans="8:8">
      <c r="A53" s="1508">
        <v>51.0</v>
      </c>
      <c r="B53" s="1509" t="s">
        <v>644</v>
      </c>
      <c r="C53" s="1509"/>
      <c r="D53" s="1510" t="s">
        <v>536</v>
      </c>
      <c r="E53" s="1511" t="s">
        <v>431</v>
      </c>
      <c r="F53" s="1511">
        <f>EDU*4</f>
        <v>0.0</v>
      </c>
      <c r="G53" s="1512" t="s">
        <v>645</v>
      </c>
      <c r="K53" s="1502" t="s">
        <v>646</v>
      </c>
      <c r="L53" s="1502"/>
      <c r="M53" s="1503" t="s">
        <v>647</v>
      </c>
      <c r="N53" s="1504"/>
      <c r="O53" s="1474"/>
      <c r="P53" s="1474"/>
      <c r="Q53" s="629"/>
      <c r="R53" s="1474"/>
    </row>
    <row r="54" spans="8:8" ht="16.5" customHeight="1">
      <c r="A54" s="1484">
        <v>52.0</v>
      </c>
      <c r="B54" s="1505" t="s">
        <v>648</v>
      </c>
      <c r="C54" s="1505"/>
      <c r="D54" s="1480" t="s">
        <v>474</v>
      </c>
      <c r="E54" s="1480" t="s">
        <v>415</v>
      </c>
      <c r="F54" s="1506">
        <f>EDU*2+APP*2</f>
        <v>0.0</v>
      </c>
      <c r="G54" s="1507" t="s">
        <v>649</v>
      </c>
      <c r="K54" s="1502" t="s">
        <v>650</v>
      </c>
      <c r="L54" s="1502"/>
      <c r="M54" s="1503" t="s">
        <v>651</v>
      </c>
      <c r="N54" s="1504"/>
      <c r="O54" s="1474"/>
      <c r="P54" s="1474"/>
      <c r="Q54" s="629"/>
      <c r="R54" s="1474"/>
    </row>
    <row r="55" spans="8:8" ht="17.25" customHeight="1">
      <c r="A55" s="1508">
        <v>53.0</v>
      </c>
      <c r="B55" s="1509" t="s">
        <v>652</v>
      </c>
      <c r="C55" s="1509"/>
      <c r="D55" s="1510" t="s">
        <v>653</v>
      </c>
      <c r="E55" s="1511" t="s">
        <v>618</v>
      </c>
      <c r="F55" s="1511">
        <f>EDU*2+MAX(DEX*2,APP*2,STR*2)</f>
        <v>0.0</v>
      </c>
      <c r="G55" s="1512" t="s">
        <v>654</v>
      </c>
      <c r="K55" s="1502" t="s">
        <v>655</v>
      </c>
      <c r="L55" s="1502"/>
      <c r="M55" s="1503" t="s">
        <v>656</v>
      </c>
      <c r="N55" s="1504"/>
      <c r="O55" s="1474"/>
      <c r="P55" s="1474"/>
      <c r="Q55" s="629"/>
      <c r="R55" s="1474"/>
    </row>
    <row r="56" spans="8:8" ht="16.5" customHeight="1">
      <c r="A56" s="1484">
        <v>54.0</v>
      </c>
      <c r="B56" s="1505" t="s">
        <v>657</v>
      </c>
      <c r="C56" s="1505"/>
      <c r="D56" s="1480" t="s">
        <v>479</v>
      </c>
      <c r="E56" s="1480" t="s">
        <v>425</v>
      </c>
      <c r="F56" s="1506">
        <f>EDU*2+MAX(STR*2,DEX*2)</f>
        <v>0.0</v>
      </c>
      <c r="G56" s="1507" t="s">
        <v>658</v>
      </c>
      <c r="K56" s="1502" t="s">
        <v>659</v>
      </c>
      <c r="L56" s="1502"/>
      <c r="M56" s="1503" t="s">
        <v>660</v>
      </c>
      <c r="N56" s="1504"/>
      <c r="O56" s="1474"/>
      <c r="P56" s="1474"/>
      <c r="Q56" s="629"/>
      <c r="R56" s="1474"/>
    </row>
    <row r="57" spans="8:8">
      <c r="A57" s="1508">
        <v>55.0</v>
      </c>
      <c r="B57" s="1509" t="s">
        <v>661</v>
      </c>
      <c r="C57" s="1509"/>
      <c r="D57" s="1510" t="s">
        <v>494</v>
      </c>
      <c r="E57" s="1511" t="s">
        <v>431</v>
      </c>
      <c r="F57" s="1511">
        <f>EDU*4</f>
        <v>0.0</v>
      </c>
      <c r="G57" s="1512" t="s">
        <v>662</v>
      </c>
      <c r="H57" s="1470"/>
      <c r="K57" s="1502" t="s">
        <v>663</v>
      </c>
      <c r="L57" s="1502"/>
      <c r="M57" s="1503" t="s">
        <v>664</v>
      </c>
      <c r="N57" s="1504"/>
      <c r="O57" s="1474"/>
      <c r="P57" s="1474"/>
      <c r="Q57" s="629"/>
      <c r="R57" s="1474"/>
    </row>
    <row r="58" spans="8:8" ht="15.0" customHeight="1">
      <c r="A58" s="1484">
        <v>56.0</v>
      </c>
      <c r="B58" s="1505" t="s">
        <v>665</v>
      </c>
      <c r="C58" s="1505"/>
      <c r="D58" s="1480" t="s">
        <v>479</v>
      </c>
      <c r="E58" s="1480" t="s">
        <v>425</v>
      </c>
      <c r="F58" s="1506">
        <f>EDU*2+MAX(STR*2,DEX*2)</f>
        <v>0.0</v>
      </c>
      <c r="G58" s="1507" t="s">
        <v>666</v>
      </c>
      <c r="H58" s="1470"/>
      <c r="K58" s="1502" t="s">
        <v>667</v>
      </c>
      <c r="L58" s="1502"/>
      <c r="M58" s="1503" t="s">
        <v>668</v>
      </c>
      <c r="N58" s="1504"/>
      <c r="O58" s="1474"/>
      <c r="P58" s="1474"/>
      <c r="Q58" s="629"/>
      <c r="R58" s="1474"/>
    </row>
    <row r="59" spans="8:8" ht="16.05" customHeight="1">
      <c r="A59" s="1508">
        <v>57.0</v>
      </c>
      <c r="B59" s="1509" t="s">
        <v>669</v>
      </c>
      <c r="C59" s="1509"/>
      <c r="D59" s="1510" t="s">
        <v>436</v>
      </c>
      <c r="E59" s="1511" t="s">
        <v>431</v>
      </c>
      <c r="F59" s="1511">
        <f>EDU*4</f>
        <v>0.0</v>
      </c>
      <c r="G59" s="1512" t="s">
        <v>670</v>
      </c>
      <c r="H59" s="1470"/>
      <c r="K59" s="1502" t="s">
        <v>671</v>
      </c>
      <c r="L59" s="1502"/>
      <c r="M59" s="1538" t="s">
        <v>672</v>
      </c>
      <c r="N59" s="1504"/>
      <c r="O59" s="1474"/>
      <c r="P59" s="1474"/>
      <c r="Q59" s="629"/>
      <c r="R59" s="1474"/>
    </row>
    <row r="60" spans="8:8">
      <c r="A60" s="1484">
        <v>58.0</v>
      </c>
      <c r="B60" s="1505" t="s">
        <v>673</v>
      </c>
      <c r="C60" s="1505"/>
      <c r="D60" s="1480" t="s">
        <v>674</v>
      </c>
      <c r="E60" s="1480" t="s">
        <v>431</v>
      </c>
      <c r="F60" s="1506">
        <f>EDU*4</f>
        <v>0.0</v>
      </c>
      <c r="G60" s="1507" t="s">
        <v>675</v>
      </c>
      <c r="H60" s="1470"/>
      <c r="K60" s="1502" t="s">
        <v>676</v>
      </c>
      <c r="L60" s="1502"/>
      <c r="M60" s="1503" t="s">
        <v>677</v>
      </c>
      <c r="N60" s="1504"/>
      <c r="O60" s="1474"/>
      <c r="P60" s="1474"/>
      <c r="Q60" s="629"/>
      <c r="R60" s="1474"/>
    </row>
    <row r="61" spans="8:8">
      <c r="A61" s="1508">
        <v>59.0</v>
      </c>
      <c r="B61" s="1509" t="s">
        <v>678</v>
      </c>
      <c r="C61" s="1509"/>
      <c r="D61" s="1510" t="s">
        <v>679</v>
      </c>
      <c r="E61" s="1511" t="s">
        <v>680</v>
      </c>
      <c r="F61" s="1511">
        <f>EDU*2+MAX(DEX*2,APP*2)</f>
        <v>0.0</v>
      </c>
      <c r="G61" s="1512" t="s">
        <v>681</v>
      </c>
      <c r="H61" s="1470"/>
      <c r="K61" s="1502" t="s">
        <v>682</v>
      </c>
      <c r="L61" s="1502"/>
      <c r="M61" s="1503" t="s">
        <v>683</v>
      </c>
      <c r="N61" s="1504"/>
      <c r="O61" s="1474"/>
      <c r="P61" s="1474"/>
      <c r="Q61" s="629"/>
      <c r="R61" s="1474"/>
    </row>
    <row r="62" spans="8:8">
      <c r="A62" s="1484">
        <v>60.0</v>
      </c>
      <c r="B62" s="1505" t="s">
        <v>684</v>
      </c>
      <c r="C62" s="1505"/>
      <c r="D62" s="1480" t="s">
        <v>685</v>
      </c>
      <c r="E62" s="1480" t="s">
        <v>415</v>
      </c>
      <c r="F62" s="1506">
        <f>EDU*2+APP*2</f>
        <v>0.0</v>
      </c>
      <c r="G62" s="1507" t="s">
        <v>686</v>
      </c>
      <c r="H62" s="1470"/>
      <c r="K62" s="1502" t="s">
        <v>687</v>
      </c>
      <c r="L62" s="1502"/>
      <c r="M62" s="1503" t="s">
        <v>688</v>
      </c>
      <c r="N62" s="1504"/>
      <c r="O62" s="1474"/>
      <c r="P62" s="1474"/>
      <c r="Q62" s="629"/>
      <c r="R62" s="1474"/>
    </row>
    <row r="63" spans="8:8">
      <c r="A63" s="1508">
        <v>61.0</v>
      </c>
      <c r="B63" s="1509" t="s">
        <v>689</v>
      </c>
      <c r="C63" s="1509"/>
      <c r="D63" s="1510" t="s">
        <v>408</v>
      </c>
      <c r="E63" s="1511" t="s">
        <v>425</v>
      </c>
      <c r="F63" s="1511">
        <f>EDU*2+MAX(STR*2,DEX*2)</f>
        <v>0.0</v>
      </c>
      <c r="G63" s="1512" t="s">
        <v>690</v>
      </c>
      <c r="H63" s="1470"/>
      <c r="K63" s="1502" t="s">
        <v>691</v>
      </c>
      <c r="L63" s="1502"/>
      <c r="M63" s="1503" t="s">
        <v>688</v>
      </c>
      <c r="N63" s="1504"/>
      <c r="O63" s="1474"/>
      <c r="P63" s="1474"/>
      <c r="Q63" s="629"/>
      <c r="R63" s="1474"/>
    </row>
    <row r="64" spans="8:8">
      <c r="A64" s="1484">
        <v>62.0</v>
      </c>
      <c r="B64" s="1505" t="s">
        <v>692</v>
      </c>
      <c r="C64" s="1505"/>
      <c r="D64" s="1480" t="s">
        <v>693</v>
      </c>
      <c r="E64" s="1480" t="s">
        <v>559</v>
      </c>
      <c r="F64" s="1506">
        <f>EDU*2+APP*2</f>
        <v>0.0</v>
      </c>
      <c r="G64" s="1507" t="s">
        <v>694</v>
      </c>
      <c r="H64" s="1470"/>
      <c r="K64" s="1502" t="s">
        <v>695</v>
      </c>
      <c r="L64" s="1502"/>
      <c r="M64" s="1503" t="s">
        <v>696</v>
      </c>
      <c r="N64" s="1504"/>
      <c r="O64" s="1474"/>
      <c r="P64" s="1474"/>
      <c r="Q64" s="629"/>
      <c r="R64" s="1474"/>
    </row>
    <row r="65" spans="8:8">
      <c r="A65" s="1508">
        <v>63.0</v>
      </c>
      <c r="B65" s="1509" t="s">
        <v>697</v>
      </c>
      <c r="C65" s="1509"/>
      <c r="D65" s="1510" t="s">
        <v>617</v>
      </c>
      <c r="E65" s="1511" t="s">
        <v>698</v>
      </c>
      <c r="F65" s="1511">
        <f>EDU*2+MAX(DEX*2,APP*2)</f>
        <v>0.0</v>
      </c>
      <c r="G65" s="1512" t="s">
        <v>699</v>
      </c>
      <c r="H65" s="1470"/>
      <c r="K65" s="1502" t="s">
        <v>700</v>
      </c>
      <c r="L65" s="1502"/>
      <c r="M65" s="1503" t="s">
        <v>701</v>
      </c>
      <c r="N65" s="1504"/>
      <c r="O65" s="1474"/>
      <c r="P65" s="1474"/>
      <c r="Q65" s="629"/>
      <c r="R65" s="1474"/>
    </row>
    <row r="66" spans="8:8">
      <c r="A66" s="1484">
        <v>64.0</v>
      </c>
      <c r="B66" s="1505" t="s">
        <v>702</v>
      </c>
      <c r="C66" s="1505"/>
      <c r="D66" s="1480" t="s">
        <v>703</v>
      </c>
      <c r="E66" s="1480" t="s">
        <v>704</v>
      </c>
      <c r="F66" s="1506">
        <f>EDU*2+STR*2</f>
        <v>0.0</v>
      </c>
      <c r="G66" s="1507" t="s">
        <v>705</v>
      </c>
      <c r="H66" s="1470"/>
      <c r="K66" s="1502" t="s">
        <v>706</v>
      </c>
      <c r="L66" s="1502"/>
      <c r="M66" s="1503" t="s">
        <v>707</v>
      </c>
      <c r="N66" s="1504"/>
      <c r="O66" s="1474"/>
      <c r="P66" s="1474"/>
      <c r="Q66" s="629"/>
      <c r="R66" s="1474"/>
    </row>
    <row r="67" spans="8:8">
      <c r="A67" s="1508">
        <v>65.0</v>
      </c>
      <c r="B67" s="1509" t="s">
        <v>708</v>
      </c>
      <c r="C67" s="1509"/>
      <c r="D67" s="1510" t="s">
        <v>479</v>
      </c>
      <c r="E67" s="1511" t="s">
        <v>431</v>
      </c>
      <c r="F67" s="1511">
        <f>EDU*4</f>
        <v>0.0</v>
      </c>
      <c r="G67" s="1512" t="s">
        <v>709</v>
      </c>
      <c r="H67" s="1470"/>
      <c r="K67" s="1502" t="s">
        <v>710</v>
      </c>
      <c r="L67" s="1502"/>
      <c r="M67" s="1503" t="s">
        <v>711</v>
      </c>
      <c r="N67" s="1504"/>
      <c r="O67" s="1474"/>
      <c r="P67" s="1474"/>
      <c r="Q67" s="629"/>
      <c r="R67" s="1474"/>
    </row>
    <row r="68" spans="8:8">
      <c r="A68" s="1484">
        <v>66.0</v>
      </c>
      <c r="B68" s="1505" t="s">
        <v>712</v>
      </c>
      <c r="C68" s="1505"/>
      <c r="D68" s="1480" t="s">
        <v>479</v>
      </c>
      <c r="E68" s="1480" t="s">
        <v>431</v>
      </c>
      <c r="F68" s="1506">
        <f>EDU*4</f>
        <v>0.0</v>
      </c>
      <c r="G68" s="1507" t="s">
        <v>713</v>
      </c>
      <c r="H68" s="1470"/>
      <c r="K68" s="1502" t="s">
        <v>714</v>
      </c>
      <c r="L68" s="1502"/>
      <c r="M68" s="1503" t="s">
        <v>715</v>
      </c>
      <c r="N68" s="1504"/>
      <c r="O68" s="1474"/>
      <c r="P68" s="1474"/>
      <c r="R68" s="1474"/>
      <c r="S68" s="1474"/>
    </row>
    <row r="69" spans="8:8">
      <c r="A69" s="1508">
        <v>67.0</v>
      </c>
      <c r="B69" s="1509" t="s">
        <v>716</v>
      </c>
      <c r="C69" s="1509"/>
      <c r="D69" s="1510" t="s">
        <v>717</v>
      </c>
      <c r="E69" s="1511" t="s">
        <v>431</v>
      </c>
      <c r="F69" s="1511">
        <f>EDU*4</f>
        <v>0.0</v>
      </c>
      <c r="G69" s="1512" t="s">
        <v>718</v>
      </c>
      <c r="H69" s="1470"/>
      <c r="K69" s="1502" t="s">
        <v>719</v>
      </c>
      <c r="L69" s="1502"/>
      <c r="M69" s="1503" t="s">
        <v>720</v>
      </c>
      <c r="N69" s="1504"/>
      <c r="O69" s="1474"/>
      <c r="P69" s="1474"/>
      <c r="R69" s="1474"/>
      <c r="S69" s="1474"/>
    </row>
    <row r="70" spans="8:8">
      <c r="A70" s="1484">
        <v>68.0</v>
      </c>
      <c r="B70" s="1505" t="s">
        <v>721</v>
      </c>
      <c r="C70" s="1505"/>
      <c r="D70" s="1480" t="s">
        <v>635</v>
      </c>
      <c r="E70" s="1480" t="s">
        <v>431</v>
      </c>
      <c r="F70" s="1506">
        <f>EDU*4</f>
        <v>0.0</v>
      </c>
      <c r="G70" s="1507" t="s">
        <v>722</v>
      </c>
      <c r="H70" s="1470"/>
      <c r="K70" s="1502" t="s">
        <v>723</v>
      </c>
      <c r="L70" s="1502"/>
      <c r="M70" s="1503" t="s">
        <v>724</v>
      </c>
      <c r="N70" s="1504"/>
      <c r="O70" s="1474"/>
      <c r="P70" s="1474"/>
      <c r="R70" s="1474"/>
      <c r="S70" s="1474"/>
      <c r="T70" s="1474"/>
    </row>
    <row r="71" spans="8:8">
      <c r="A71" s="1508">
        <v>69.0</v>
      </c>
      <c r="B71" s="1509" t="s">
        <v>725</v>
      </c>
      <c r="C71" s="1509"/>
      <c r="D71" s="1510" t="s">
        <v>479</v>
      </c>
      <c r="E71" s="1511" t="s">
        <v>425</v>
      </c>
      <c r="F71" s="1511">
        <f>EDU*2+MAX(STR*2,DEX*2)</f>
        <v>0.0</v>
      </c>
      <c r="G71" s="1512" t="s">
        <v>726</v>
      </c>
      <c r="H71" s="1470"/>
      <c r="K71" s="1502" t="s">
        <v>727</v>
      </c>
      <c r="L71" s="1502"/>
      <c r="M71" s="1503" t="s">
        <v>728</v>
      </c>
      <c r="N71" s="1504"/>
      <c r="O71" s="1474"/>
      <c r="P71" s="1474"/>
      <c r="R71" s="1474"/>
      <c r="S71" s="1474"/>
      <c r="T71" s="1474"/>
    </row>
    <row r="72" spans="8:8" ht="16.5" customHeight="1">
      <c r="A72" s="1484">
        <v>70.0</v>
      </c>
      <c r="B72" s="1505" t="s">
        <v>729</v>
      </c>
      <c r="C72" s="1505"/>
      <c r="D72" s="1480" t="s">
        <v>479</v>
      </c>
      <c r="E72" s="1480" t="s">
        <v>425</v>
      </c>
      <c r="F72" s="1506">
        <f>EDU*2+MAX(STR*2,DEX*2)</f>
        <v>0.0</v>
      </c>
      <c r="G72" s="1507" t="s">
        <v>730</v>
      </c>
      <c r="H72" s="1470"/>
      <c r="K72" s="1502" t="s">
        <v>731</v>
      </c>
      <c r="L72" s="1502"/>
      <c r="M72" s="1503" t="s">
        <v>728</v>
      </c>
      <c r="N72" s="1504"/>
      <c r="O72" s="1474"/>
      <c r="P72" s="1474"/>
      <c r="R72" s="1474"/>
      <c r="S72" s="1474"/>
      <c r="T72" s="1474"/>
    </row>
    <row r="73" spans="8:8" ht="16.5" customHeight="1">
      <c r="A73" s="1508">
        <v>71.0</v>
      </c>
      <c r="B73" s="1509" t="s">
        <v>732</v>
      </c>
      <c r="C73" s="1509"/>
      <c r="D73" s="1510" t="s">
        <v>479</v>
      </c>
      <c r="E73" s="1511" t="s">
        <v>425</v>
      </c>
      <c r="F73" s="1511">
        <f>EDU*2+MAX(STR*2,DEX*2)</f>
        <v>0.0</v>
      </c>
      <c r="G73" s="1512" t="s">
        <v>733</v>
      </c>
      <c r="H73" s="1470"/>
      <c r="K73" s="1502" t="s">
        <v>734</v>
      </c>
      <c r="L73" s="1502"/>
      <c r="M73" s="1503" t="s">
        <v>728</v>
      </c>
      <c r="N73" s="1504"/>
      <c r="O73" s="1474"/>
      <c r="P73" s="1474"/>
      <c r="R73" s="1474"/>
      <c r="S73" s="1474"/>
      <c r="T73" s="1474"/>
    </row>
    <row r="74" spans="8:8">
      <c r="A74" s="1484">
        <v>72.0</v>
      </c>
      <c r="B74" s="1505" t="s">
        <v>735</v>
      </c>
      <c r="C74" s="1505"/>
      <c r="D74" s="1480" t="s">
        <v>612</v>
      </c>
      <c r="E74" s="1480" t="s">
        <v>431</v>
      </c>
      <c r="F74" s="1506">
        <f>EDU*4</f>
        <v>0.0</v>
      </c>
      <c r="G74" s="1507" t="s">
        <v>736</v>
      </c>
      <c r="H74" s="1470"/>
      <c r="K74" s="1502" t="s">
        <v>737</v>
      </c>
      <c r="L74" s="1502"/>
      <c r="M74" s="1503" t="s">
        <v>738</v>
      </c>
      <c r="N74" s="1504"/>
      <c r="O74" s="1474"/>
      <c r="P74" s="1474"/>
      <c r="R74" s="1474"/>
      <c r="S74" s="1474"/>
      <c r="T74" s="1474"/>
    </row>
    <row r="75" spans="8:8">
      <c r="A75" s="1508">
        <v>73.0</v>
      </c>
      <c r="B75" s="1509" t="s">
        <v>739</v>
      </c>
      <c r="C75" s="1509"/>
      <c r="D75" s="1510" t="s">
        <v>740</v>
      </c>
      <c r="E75" s="1511" t="s">
        <v>431</v>
      </c>
      <c r="F75" s="1511">
        <f>EDU*4</f>
        <v>0.0</v>
      </c>
      <c r="G75" s="1512" t="s">
        <v>741</v>
      </c>
      <c r="H75" s="1470"/>
      <c r="K75" s="1502" t="s">
        <v>742</v>
      </c>
      <c r="L75" s="1502"/>
      <c r="M75" s="1503" t="s">
        <v>743</v>
      </c>
      <c r="N75" s="1504"/>
      <c r="O75" s="1474"/>
      <c r="P75" s="1474"/>
      <c r="R75" s="1474"/>
      <c r="S75" s="1474"/>
      <c r="T75" s="1474"/>
    </row>
    <row r="76" spans="8:8">
      <c r="A76" s="1484">
        <v>74.0</v>
      </c>
      <c r="B76" s="1505" t="s">
        <v>744</v>
      </c>
      <c r="C76" s="1505"/>
      <c r="D76" s="1480" t="s">
        <v>414</v>
      </c>
      <c r="E76" s="1480" t="s">
        <v>431</v>
      </c>
      <c r="F76" s="1506">
        <f>EDU*4</f>
        <v>0.0</v>
      </c>
      <c r="G76" s="1507" t="s">
        <v>745</v>
      </c>
      <c r="H76" s="1470"/>
      <c r="K76" s="1502" t="s">
        <v>746</v>
      </c>
      <c r="L76" s="1502"/>
      <c r="M76" s="1503" t="s">
        <v>747</v>
      </c>
      <c r="N76" s="1504"/>
      <c r="O76" s="1474"/>
      <c r="P76" s="1474"/>
      <c r="R76" s="1474"/>
      <c r="S76" s="1474"/>
      <c r="T76" s="1474"/>
    </row>
    <row r="77" spans="8:8" ht="16.5" customHeight="1">
      <c r="A77" s="1508">
        <v>75.0</v>
      </c>
      <c r="B77" s="1509" t="s">
        <v>748</v>
      </c>
      <c r="C77" s="1509"/>
      <c r="D77" s="1510" t="s">
        <v>749</v>
      </c>
      <c r="E77" s="1511" t="s">
        <v>425</v>
      </c>
      <c r="F77" s="1511">
        <f>EDU*2+MAX(STR*2,DEX*2)</f>
        <v>0.0</v>
      </c>
      <c r="G77" s="1512" t="s">
        <v>750</v>
      </c>
      <c r="H77" s="1470"/>
      <c r="K77" s="1502" t="s">
        <v>751</v>
      </c>
      <c r="L77" s="1502"/>
      <c r="M77" s="1503" t="s">
        <v>752</v>
      </c>
      <c r="N77" s="1504"/>
      <c r="O77" s="1474"/>
      <c r="P77" s="1474"/>
      <c r="R77" s="1474"/>
      <c r="S77" s="1474"/>
      <c r="T77" s="1474"/>
    </row>
    <row r="78" spans="8:8" ht="17.25" customHeight="1">
      <c r="A78" s="1484">
        <v>76.0</v>
      </c>
      <c r="B78" s="1505" t="s">
        <v>753</v>
      </c>
      <c r="C78" s="1505"/>
      <c r="D78" s="1480" t="s">
        <v>754</v>
      </c>
      <c r="E78" s="1480" t="s">
        <v>415</v>
      </c>
      <c r="F78" s="1506">
        <f>EDU*2+APP*2</f>
        <v>0.0</v>
      </c>
      <c r="G78" s="1507" t="s">
        <v>755</v>
      </c>
      <c r="H78" s="1470"/>
      <c r="K78" s="1502" t="s">
        <v>756</v>
      </c>
      <c r="L78" s="1502"/>
      <c r="M78" s="1503" t="s">
        <v>757</v>
      </c>
      <c r="N78" s="1504"/>
      <c r="O78" s="1474"/>
      <c r="P78" s="1474"/>
      <c r="R78" s="1474"/>
      <c r="S78" s="1474"/>
      <c r="T78" s="1474"/>
    </row>
    <row r="79" spans="8:8" ht="17.25" customHeight="1">
      <c r="A79" s="1508">
        <v>77.0</v>
      </c>
      <c r="B79" s="1509" t="s">
        <v>758</v>
      </c>
      <c r="C79" s="1509"/>
      <c r="D79" s="1510" t="s">
        <v>536</v>
      </c>
      <c r="E79" s="1511" t="s">
        <v>425</v>
      </c>
      <c r="F79" s="1511">
        <f>EDU*2+MAX(STR*2,DEX*2)</f>
        <v>0.0</v>
      </c>
      <c r="G79" s="1512" t="s">
        <v>759</v>
      </c>
      <c r="H79" s="1470"/>
      <c r="K79" s="1502" t="s">
        <v>760</v>
      </c>
      <c r="L79" s="1502"/>
      <c r="M79" s="1503" t="s">
        <v>761</v>
      </c>
      <c r="N79" s="1504"/>
      <c r="O79" s="1474"/>
      <c r="P79" s="1474"/>
      <c r="R79" s="1474"/>
      <c r="S79" s="1474"/>
      <c r="T79" s="1474"/>
    </row>
    <row r="80" spans="8:8">
      <c r="A80" s="1484">
        <v>78.0</v>
      </c>
      <c r="B80" s="1505" t="s">
        <v>762</v>
      </c>
      <c r="C80" s="1505"/>
      <c r="D80" s="1480" t="s">
        <v>635</v>
      </c>
      <c r="E80" s="1480" t="s">
        <v>431</v>
      </c>
      <c r="F80" s="1506">
        <f>EDU*4</f>
        <v>0.0</v>
      </c>
      <c r="G80" s="1507" t="s">
        <v>763</v>
      </c>
      <c r="H80" s="1470"/>
      <c r="K80" s="1502" t="s">
        <v>764</v>
      </c>
      <c r="L80" s="1502"/>
      <c r="M80" s="1503" t="s">
        <v>765</v>
      </c>
      <c r="N80" s="1539"/>
      <c r="O80" s="1474"/>
      <c r="P80" s="1474"/>
      <c r="R80" s="1474"/>
      <c r="S80" s="1474"/>
      <c r="T80" s="1474"/>
    </row>
    <row r="81" spans="8:8" ht="16.5" customHeight="1">
      <c r="A81" s="1508">
        <v>79.0</v>
      </c>
      <c r="B81" s="1509" t="s">
        <v>766</v>
      </c>
      <c r="C81" s="1509"/>
      <c r="D81" s="1510" t="s">
        <v>479</v>
      </c>
      <c r="E81" s="1511" t="s">
        <v>767</v>
      </c>
      <c r="F81" s="1511">
        <f>EDU*2+MAX(POW*2,DEX*2)</f>
        <v>0.0</v>
      </c>
      <c r="G81" s="1512" t="s">
        <v>768</v>
      </c>
      <c r="H81" s="1470"/>
      <c r="K81" s="1502" t="s">
        <v>769</v>
      </c>
      <c r="L81" s="1502"/>
      <c r="M81" s="1503" t="s">
        <v>770</v>
      </c>
      <c r="N81" s="1539"/>
      <c r="O81" s="1474"/>
      <c r="P81" s="1474"/>
      <c r="R81" s="1474"/>
      <c r="S81" s="1474"/>
      <c r="T81" s="1474"/>
    </row>
    <row r="82" spans="8:8">
      <c r="A82" s="1484">
        <v>80.0</v>
      </c>
      <c r="B82" s="1505" t="s">
        <v>771</v>
      </c>
      <c r="C82" s="1505"/>
      <c r="D82" s="1480" t="s">
        <v>479</v>
      </c>
      <c r="E82" s="1480" t="s">
        <v>431</v>
      </c>
      <c r="F82" s="1506">
        <f>EDU*4</f>
        <v>0.0</v>
      </c>
      <c r="G82" s="1507" t="s">
        <v>772</v>
      </c>
      <c r="H82" s="1470"/>
      <c r="K82" s="1502" t="s">
        <v>773</v>
      </c>
      <c r="L82" s="1502"/>
      <c r="M82" s="1503" t="s">
        <v>774</v>
      </c>
      <c r="N82" s="1539"/>
      <c r="O82" s="1474"/>
      <c r="P82" s="1474"/>
      <c r="R82" s="1474"/>
      <c r="S82" s="1474"/>
      <c r="T82" s="1474"/>
    </row>
    <row r="83" spans="8:8" ht="16.05" customHeight="1">
      <c r="A83" s="1508">
        <v>81.0</v>
      </c>
      <c r="B83" s="1509" t="s">
        <v>775</v>
      </c>
      <c r="C83" s="1509"/>
      <c r="D83" s="1510" t="s">
        <v>776</v>
      </c>
      <c r="E83" s="1511" t="s">
        <v>431</v>
      </c>
      <c r="F83" s="1511">
        <f>EDU*4</f>
        <v>0.0</v>
      </c>
      <c r="G83" s="1512" t="s">
        <v>777</v>
      </c>
      <c r="H83" s="1470"/>
      <c r="K83" s="1502" t="s">
        <v>778</v>
      </c>
      <c r="L83" s="1502"/>
      <c r="M83" s="1538" t="s">
        <v>779</v>
      </c>
      <c r="N83" s="1539"/>
      <c r="O83" s="1474"/>
      <c r="P83" s="1474"/>
      <c r="R83" s="1474"/>
      <c r="S83" s="1474"/>
      <c r="T83" s="1474"/>
    </row>
    <row r="84" spans="8:8" ht="16.5" customHeight="1">
      <c r="A84" s="1484">
        <v>82.0</v>
      </c>
      <c r="B84" s="1505" t="s">
        <v>780</v>
      </c>
      <c r="C84" s="1505"/>
      <c r="D84" s="1480" t="s">
        <v>781</v>
      </c>
      <c r="E84" s="1480" t="s">
        <v>425</v>
      </c>
      <c r="F84" s="1506">
        <f>EDU*2+MAX(STR*2,DEX*2)</f>
        <v>0.0</v>
      </c>
      <c r="G84" s="1507" t="s">
        <v>782</v>
      </c>
      <c r="K84" s="1502" t="s">
        <v>783</v>
      </c>
      <c r="L84" s="1502"/>
      <c r="M84" s="1503" t="s">
        <v>784</v>
      </c>
      <c r="N84" s="1539"/>
      <c r="O84" s="1474"/>
      <c r="P84" s="1474"/>
      <c r="R84" s="1474"/>
      <c r="S84" s="1474"/>
      <c r="T84" s="1474"/>
    </row>
    <row r="85" spans="8:8" ht="15.0" customHeight="1">
      <c r="A85" s="1508">
        <v>83.0</v>
      </c>
      <c r="B85" s="1509" t="s">
        <v>785</v>
      </c>
      <c r="C85" s="1509"/>
      <c r="D85" s="1510" t="s">
        <v>479</v>
      </c>
      <c r="E85" s="1511" t="s">
        <v>431</v>
      </c>
      <c r="F85" s="1511">
        <f>EDU*4</f>
        <v>0.0</v>
      </c>
      <c r="G85" s="1512" t="s">
        <v>786</v>
      </c>
      <c r="K85" s="1502" t="s">
        <v>787</v>
      </c>
      <c r="L85" s="1502"/>
      <c r="M85" s="1538" t="s">
        <v>788</v>
      </c>
      <c r="N85" s="1539"/>
      <c r="O85" s="1474"/>
      <c r="P85" s="1474"/>
      <c r="R85" s="1474"/>
      <c r="S85" s="1474"/>
      <c r="T85" s="1474"/>
    </row>
    <row r="86" spans="8:8">
      <c r="A86" s="1484">
        <v>84.0</v>
      </c>
      <c r="B86" s="1505" t="s">
        <v>789</v>
      </c>
      <c r="C86" s="1505"/>
      <c r="D86" s="1480" t="s">
        <v>790</v>
      </c>
      <c r="E86" s="1480" t="s">
        <v>431</v>
      </c>
      <c r="F86" s="1506">
        <f>EDU*4</f>
        <v>0.0</v>
      </c>
      <c r="G86" s="1507" t="s">
        <v>791</v>
      </c>
      <c r="K86" s="1502" t="s">
        <v>792</v>
      </c>
      <c r="L86" s="1502"/>
      <c r="M86" s="1503" t="s">
        <v>793</v>
      </c>
      <c r="N86" s="1539"/>
      <c r="O86" s="1474"/>
      <c r="P86" s="1474"/>
      <c r="R86" s="1474"/>
      <c r="S86" s="1474"/>
      <c r="T86" s="1474"/>
    </row>
    <row r="87" spans="8:8">
      <c r="A87" s="1508">
        <v>85.0</v>
      </c>
      <c r="B87" s="1509" t="s">
        <v>794</v>
      </c>
      <c r="C87" s="1509"/>
      <c r="D87" s="1510" t="s">
        <v>479</v>
      </c>
      <c r="E87" s="1511" t="s">
        <v>431</v>
      </c>
      <c r="F87" s="1511">
        <f>EDU*4</f>
        <v>0.0</v>
      </c>
      <c r="G87" s="1512" t="s">
        <v>795</v>
      </c>
      <c r="K87" s="1502" t="s">
        <v>796</v>
      </c>
      <c r="L87" s="1502"/>
      <c r="M87" s="1503" t="s">
        <v>797</v>
      </c>
      <c r="N87" s="1539"/>
      <c r="O87" s="1474"/>
      <c r="P87" s="1474"/>
      <c r="R87" s="1474"/>
      <c r="S87" s="1474"/>
      <c r="T87" s="1474"/>
    </row>
    <row r="88" spans="8:8">
      <c r="A88" s="1484">
        <v>86.0</v>
      </c>
      <c r="B88" s="1505" t="s">
        <v>798</v>
      </c>
      <c r="C88" s="1505"/>
      <c r="D88" s="1480" t="s">
        <v>635</v>
      </c>
      <c r="E88" s="1480" t="s">
        <v>431</v>
      </c>
      <c r="F88" s="1506">
        <f>EDU*4</f>
        <v>0.0</v>
      </c>
      <c r="G88" s="1507" t="s">
        <v>799</v>
      </c>
      <c r="K88" s="1502" t="s">
        <v>800</v>
      </c>
      <c r="L88" s="1502"/>
      <c r="M88" s="1503" t="s">
        <v>797</v>
      </c>
      <c r="N88" s="1539"/>
      <c r="O88" s="1474"/>
      <c r="P88" s="1474"/>
      <c r="R88" s="1474"/>
      <c r="S88" s="1474"/>
      <c r="T88" s="1474"/>
    </row>
    <row r="89" spans="8:8" ht="16.5" customHeight="1">
      <c r="A89" s="1508">
        <v>87.0</v>
      </c>
      <c r="B89" s="1509" t="s">
        <v>801</v>
      </c>
      <c r="C89" s="1509"/>
      <c r="D89" s="1510" t="s">
        <v>749</v>
      </c>
      <c r="E89" s="1511" t="s">
        <v>531</v>
      </c>
      <c r="F89" s="1511">
        <f>EDU*2+DEX*2</f>
        <v>0.0</v>
      </c>
      <c r="G89" s="1512" t="s">
        <v>802</v>
      </c>
      <c r="K89" s="1502" t="s">
        <v>803</v>
      </c>
      <c r="L89" s="1502"/>
      <c r="M89" s="1503" t="s">
        <v>804</v>
      </c>
      <c r="N89" s="1539"/>
      <c r="O89" s="1474"/>
      <c r="P89" s="1474"/>
      <c r="R89" s="1474"/>
      <c r="S89" s="1474"/>
      <c r="T89" s="1474"/>
    </row>
    <row r="90" spans="8:8">
      <c r="A90" s="1484">
        <v>88.0</v>
      </c>
      <c r="B90" s="1505" t="s">
        <v>805</v>
      </c>
      <c r="C90" s="1505"/>
      <c r="D90" s="1480" t="s">
        <v>536</v>
      </c>
      <c r="E90" s="1480" t="s">
        <v>431</v>
      </c>
      <c r="F90" s="1506">
        <f>EDU*4</f>
        <v>0.0</v>
      </c>
      <c r="G90" s="1507" t="s">
        <v>806</v>
      </c>
      <c r="K90" s="1502" t="s">
        <v>807</v>
      </c>
      <c r="L90" s="1502"/>
      <c r="M90" s="1503" t="s">
        <v>808</v>
      </c>
      <c r="N90" s="1539"/>
      <c r="O90" s="1474"/>
      <c r="P90" s="1474"/>
      <c r="R90" s="1474"/>
      <c r="S90" s="1474"/>
      <c r="T90" s="1474"/>
    </row>
    <row r="91" spans="8:8" ht="16.5" customHeight="1">
      <c r="A91" s="1508">
        <v>89.0</v>
      </c>
      <c r="B91" s="1509" t="s">
        <v>809</v>
      </c>
      <c r="C91" s="1509"/>
      <c r="D91" s="1510" t="s">
        <v>489</v>
      </c>
      <c r="E91" s="1511" t="s">
        <v>425</v>
      </c>
      <c r="F91" s="1511">
        <f>EDU*2+MAX(STR*2,DEX*2)</f>
        <v>0.0</v>
      </c>
      <c r="G91" s="1512" t="s">
        <v>810</v>
      </c>
      <c r="K91" s="1502" t="s">
        <v>811</v>
      </c>
      <c r="L91" s="1502"/>
      <c r="M91" s="1503" t="s">
        <v>812</v>
      </c>
      <c r="N91" s="1539"/>
      <c r="O91" s="1474"/>
      <c r="P91" s="1474"/>
      <c r="R91" s="1474"/>
      <c r="S91" s="1474"/>
      <c r="T91" s="1474"/>
    </row>
    <row r="92" spans="8:8" ht="16.5" customHeight="1">
      <c r="A92" s="1484">
        <v>90.0</v>
      </c>
      <c r="B92" s="1505" t="s">
        <v>813</v>
      </c>
      <c r="C92" s="1505"/>
      <c r="D92" s="1480" t="s">
        <v>479</v>
      </c>
      <c r="E92" s="1480" t="s">
        <v>425</v>
      </c>
      <c r="F92" s="1506">
        <f>EDU*2+MAX(STR*2,DEX*2)</f>
        <v>0.0</v>
      </c>
      <c r="G92" s="1507" t="s">
        <v>814</v>
      </c>
      <c r="K92" s="1502" t="s">
        <v>815</v>
      </c>
      <c r="L92" s="1502"/>
      <c r="M92" s="1503" t="s">
        <v>816</v>
      </c>
      <c r="N92" s="1539"/>
      <c r="O92" s="1474"/>
      <c r="P92" s="1474"/>
      <c r="R92" s="1474"/>
      <c r="S92" s="1474"/>
      <c r="T92" s="1474"/>
    </row>
    <row r="93" spans="8:8" ht="16.5" customHeight="1">
      <c r="A93" s="1508">
        <v>91.0</v>
      </c>
      <c r="B93" s="1509" t="s">
        <v>817</v>
      </c>
      <c r="C93" s="1509"/>
      <c r="D93" s="1510" t="s">
        <v>479</v>
      </c>
      <c r="E93" s="1511" t="s">
        <v>425</v>
      </c>
      <c r="F93" s="1511">
        <f>EDU*2+MAX(STR*2,DEX*2)</f>
        <v>0.0</v>
      </c>
      <c r="G93" s="1512" t="s">
        <v>818</v>
      </c>
      <c r="K93" s="1502" t="s">
        <v>819</v>
      </c>
      <c r="L93" s="1502"/>
      <c r="M93" s="1503" t="s">
        <v>820</v>
      </c>
      <c r="N93" s="1539"/>
      <c r="O93" s="1474"/>
      <c r="P93" s="1474"/>
      <c r="R93" s="1474"/>
      <c r="S93" s="1474"/>
      <c r="T93" s="1474"/>
    </row>
    <row r="94" spans="8:8">
      <c r="A94" s="1484">
        <v>92.0</v>
      </c>
      <c r="B94" s="1505" t="s">
        <v>821</v>
      </c>
      <c r="C94" s="1505"/>
      <c r="D94" s="1480" t="s">
        <v>749</v>
      </c>
      <c r="E94" s="1480" t="s">
        <v>431</v>
      </c>
      <c r="F94" s="1506">
        <f>EDU*4</f>
        <v>0.0</v>
      </c>
      <c r="G94" s="1507" t="s">
        <v>822</v>
      </c>
      <c r="K94" s="1502" t="s">
        <v>823</v>
      </c>
      <c r="L94" s="1502"/>
      <c r="M94" s="1503" t="s">
        <v>824</v>
      </c>
      <c r="N94" s="1539"/>
      <c r="O94" s="1474"/>
      <c r="P94" s="1474"/>
      <c r="R94" s="1474"/>
      <c r="S94" s="1474"/>
      <c r="T94" s="1474"/>
    </row>
    <row r="95" spans="8:8" ht="16.5" customHeight="1">
      <c r="A95" s="1508">
        <v>93.0</v>
      </c>
      <c r="B95" s="1509" t="s">
        <v>825</v>
      </c>
      <c r="C95" s="1509"/>
      <c r="D95" s="1510" t="s">
        <v>826</v>
      </c>
      <c r="E95" s="1511" t="s">
        <v>425</v>
      </c>
      <c r="F95" s="1511">
        <f>EDU*2+MAX(STR*2,DEX*2)</f>
        <v>0.0</v>
      </c>
      <c r="G95" s="1512" t="s">
        <v>827</v>
      </c>
      <c r="K95" s="1502" t="s">
        <v>828</v>
      </c>
      <c r="L95" s="1502"/>
      <c r="M95" s="1503" t="s">
        <v>829</v>
      </c>
      <c r="N95" s="1539"/>
      <c r="O95" s="1474"/>
      <c r="P95" s="1474"/>
      <c r="R95" s="1474"/>
      <c r="S95" s="1474"/>
      <c r="T95" s="1474"/>
    </row>
    <row r="96" spans="8:8" ht="17.25" customHeight="1">
      <c r="A96" s="1484">
        <v>94.0</v>
      </c>
      <c r="B96" s="1505" t="s">
        <v>830</v>
      </c>
      <c r="C96" s="1505"/>
      <c r="D96" s="1480" t="s">
        <v>831</v>
      </c>
      <c r="E96" s="1480" t="s">
        <v>415</v>
      </c>
      <c r="F96" s="1506">
        <f>EDU*2+APP*2</f>
        <v>0.0</v>
      </c>
      <c r="G96" s="1507" t="s">
        <v>832</v>
      </c>
      <c r="K96" s="1502" t="s">
        <v>833</v>
      </c>
      <c r="L96" s="1502"/>
      <c r="M96" s="1503" t="s">
        <v>834</v>
      </c>
      <c r="N96" s="1539"/>
      <c r="O96" s="1474"/>
      <c r="P96" s="1474"/>
      <c r="R96" s="1474"/>
      <c r="S96" s="1474"/>
      <c r="T96" s="1474"/>
    </row>
    <row r="97" spans="8:8">
      <c r="A97" s="1508">
        <v>95.0</v>
      </c>
      <c r="B97" s="1509" t="s">
        <v>835</v>
      </c>
      <c r="C97" s="1509"/>
      <c r="D97" s="1510" t="s">
        <v>612</v>
      </c>
      <c r="E97" s="1511" t="s">
        <v>431</v>
      </c>
      <c r="F97" s="1511">
        <f>EDU*4</f>
        <v>0.0</v>
      </c>
      <c r="G97" s="1512" t="s">
        <v>836</v>
      </c>
      <c r="K97" s="1502" t="s">
        <v>837</v>
      </c>
      <c r="L97" s="1502"/>
      <c r="M97" s="1503" t="s">
        <v>838</v>
      </c>
      <c r="N97" s="1539"/>
      <c r="O97" s="1474"/>
      <c r="P97" s="1474"/>
      <c r="R97" s="1474"/>
      <c r="S97" s="1474"/>
      <c r="T97" s="1474"/>
    </row>
    <row r="98" spans="8:8">
      <c r="A98" s="1484">
        <v>96.0</v>
      </c>
      <c r="B98" s="1505" t="s">
        <v>839</v>
      </c>
      <c r="C98" s="1505"/>
      <c r="D98" s="1480" t="s">
        <v>436</v>
      </c>
      <c r="E98" s="1480" t="s">
        <v>431</v>
      </c>
      <c r="F98" s="1506">
        <f>EDU*4</f>
        <v>0.0</v>
      </c>
      <c r="G98" s="1507" t="s">
        <v>840</v>
      </c>
      <c r="K98" s="1502" t="s">
        <v>841</v>
      </c>
      <c r="L98" s="1502"/>
      <c r="M98" s="1503" t="s">
        <v>842</v>
      </c>
      <c r="N98" s="1539"/>
      <c r="O98" s="1474"/>
      <c r="P98" s="1474"/>
      <c r="R98" s="1474"/>
      <c r="S98" s="1474"/>
      <c r="T98" s="1474"/>
    </row>
    <row r="99" spans="8:8">
      <c r="A99" s="1508">
        <v>97.0</v>
      </c>
      <c r="B99" s="1509" t="s">
        <v>843</v>
      </c>
      <c r="C99" s="1509"/>
      <c r="D99" s="1510" t="s">
        <v>479</v>
      </c>
      <c r="E99" s="1511" t="s">
        <v>431</v>
      </c>
      <c r="F99" s="1511">
        <f>EDU*4</f>
        <v>0.0</v>
      </c>
      <c r="G99" s="1512" t="s">
        <v>844</v>
      </c>
      <c r="K99" s="1502" t="s">
        <v>845</v>
      </c>
      <c r="L99" s="1502"/>
      <c r="M99" s="1503" t="s">
        <v>846</v>
      </c>
      <c r="N99" s="1539"/>
      <c r="O99" s="1474"/>
      <c r="P99" s="1474"/>
      <c r="R99" s="1474"/>
      <c r="S99" s="1474"/>
      <c r="T99" s="1474"/>
    </row>
    <row r="100" spans="8:8">
      <c r="A100" s="1484">
        <v>98.0</v>
      </c>
      <c r="B100" s="1505" t="s">
        <v>847</v>
      </c>
      <c r="C100" s="1505"/>
      <c r="D100" s="1480" t="s">
        <v>479</v>
      </c>
      <c r="E100" s="1480" t="s">
        <v>848</v>
      </c>
      <c r="F100" s="1506">
        <f>EDU*2+MAX(STR*2,DEX*2)</f>
        <v>0.0</v>
      </c>
      <c r="G100" s="1507" t="s">
        <v>849</v>
      </c>
      <c r="K100" s="1502" t="s">
        <v>850</v>
      </c>
      <c r="L100" s="1502"/>
      <c r="M100" s="1503" t="s">
        <v>851</v>
      </c>
      <c r="N100" s="1539"/>
      <c r="O100" s="1474"/>
      <c r="P100" s="1474"/>
      <c r="R100" s="1474"/>
      <c r="S100" s="1474"/>
      <c r="T100" s="1474"/>
    </row>
    <row r="101" spans="8:8">
      <c r="A101" s="1508">
        <v>99.0</v>
      </c>
      <c r="B101" s="1509" t="s">
        <v>852</v>
      </c>
      <c r="C101" s="1509"/>
      <c r="D101" s="1510" t="s">
        <v>494</v>
      </c>
      <c r="E101" s="1511" t="s">
        <v>848</v>
      </c>
      <c r="F101" s="1511">
        <f>EDU*2+MAX(STR*2,DEX*2)</f>
        <v>0.0</v>
      </c>
      <c r="G101" s="1512" t="s">
        <v>853</v>
      </c>
      <c r="K101" s="1502" t="s">
        <v>854</v>
      </c>
      <c r="L101" s="1502"/>
      <c r="M101" s="1503" t="s">
        <v>855</v>
      </c>
      <c r="N101" s="1539"/>
      <c r="O101" s="1474"/>
      <c r="P101" s="1474"/>
      <c r="R101" s="1474"/>
      <c r="S101" s="1474"/>
      <c r="T101" s="1474"/>
    </row>
    <row r="102" spans="8:8" ht="17.25" customHeight="1">
      <c r="A102" s="1484">
        <v>100.0</v>
      </c>
      <c r="B102" s="1505" t="s">
        <v>856</v>
      </c>
      <c r="C102" s="1505"/>
      <c r="D102" s="1480" t="s">
        <v>414</v>
      </c>
      <c r="E102" s="1480" t="s">
        <v>559</v>
      </c>
      <c r="F102" s="1506">
        <f>EDU*2+APP*2</f>
        <v>0.0</v>
      </c>
      <c r="G102" s="1507" t="s">
        <v>857</v>
      </c>
      <c r="K102" s="1502" t="s">
        <v>858</v>
      </c>
      <c r="L102" s="1502"/>
      <c r="M102" s="1503" t="s">
        <v>859</v>
      </c>
      <c r="N102" s="1539"/>
      <c r="O102" s="1474"/>
      <c r="P102" s="1474"/>
      <c r="R102" s="1474"/>
      <c r="S102" s="1474"/>
      <c r="T102" s="1474"/>
    </row>
    <row r="103" spans="8:8">
      <c r="A103" s="1508">
        <v>101.0</v>
      </c>
      <c r="B103" s="1509" t="s">
        <v>860</v>
      </c>
      <c r="C103" s="1509"/>
      <c r="D103" s="1510" t="s">
        <v>463</v>
      </c>
      <c r="E103" s="1511" t="s">
        <v>431</v>
      </c>
      <c r="F103" s="1511">
        <f>EDU*4</f>
        <v>0.0</v>
      </c>
      <c r="G103" s="1512" t="s">
        <v>861</v>
      </c>
      <c r="K103" s="1502" t="s">
        <v>862</v>
      </c>
      <c r="L103" s="1502"/>
      <c r="M103" s="1503" t="s">
        <v>863</v>
      </c>
      <c r="N103" s="1539"/>
      <c r="O103" s="1474"/>
      <c r="P103" s="1474"/>
      <c r="R103" s="1474"/>
      <c r="S103" s="1474"/>
      <c r="T103" s="1474"/>
    </row>
    <row r="104" spans="8:8" ht="17.25" customHeight="1">
      <c r="A104" s="1484">
        <v>102.0</v>
      </c>
      <c r="B104" s="1505" t="s">
        <v>864</v>
      </c>
      <c r="C104" s="1505"/>
      <c r="D104" s="1480" t="s">
        <v>479</v>
      </c>
      <c r="E104" s="1480" t="s">
        <v>865</v>
      </c>
      <c r="F104" s="1506">
        <f>EDU*2+MAX(DEX*2,APP*2)</f>
        <v>0.0</v>
      </c>
      <c r="G104" s="1507" t="s">
        <v>866</v>
      </c>
      <c r="K104" s="1502" t="s">
        <v>867</v>
      </c>
      <c r="L104" s="1502"/>
      <c r="M104" s="1503" t="s">
        <v>868</v>
      </c>
      <c r="N104" s="1539"/>
      <c r="O104" s="1474"/>
      <c r="P104" s="1474"/>
      <c r="R104" s="1474"/>
      <c r="S104" s="1474"/>
      <c r="T104" s="1474"/>
    </row>
    <row r="105" spans="8:8" ht="17.25" customHeight="1">
      <c r="A105" s="1508">
        <v>103.0</v>
      </c>
      <c r="B105" s="1509" t="s">
        <v>869</v>
      </c>
      <c r="C105" s="1509"/>
      <c r="D105" s="1510" t="s">
        <v>494</v>
      </c>
      <c r="E105" s="1511" t="s">
        <v>680</v>
      </c>
      <c r="F105" s="1511">
        <f>EDU*2+MAX(DEX*2,APP*2)</f>
        <v>0.0</v>
      </c>
      <c r="G105" s="1512" t="s">
        <v>870</v>
      </c>
      <c r="K105" s="1502" t="s">
        <v>871</v>
      </c>
      <c r="L105" s="1502"/>
      <c r="M105" s="1503" t="s">
        <v>872</v>
      </c>
      <c r="N105" s="1539"/>
      <c r="O105" s="1474"/>
      <c r="P105" s="1474"/>
      <c r="R105" s="1474"/>
      <c r="S105" s="1474"/>
      <c r="T105" s="1474"/>
    </row>
    <row r="106" spans="8:8" ht="16.5" customHeight="1">
      <c r="A106" s="1484">
        <v>104.0</v>
      </c>
      <c r="B106" s="1505" t="s">
        <v>873</v>
      </c>
      <c r="C106" s="1505"/>
      <c r="D106" s="1480" t="s">
        <v>479</v>
      </c>
      <c r="E106" s="1480" t="s">
        <v>425</v>
      </c>
      <c r="F106" s="1506">
        <f>EDU*2+MAX(STR*2,DEX*2)</f>
        <v>0.0</v>
      </c>
      <c r="G106" s="1507" t="s">
        <v>874</v>
      </c>
      <c r="K106" s="1502" t="s">
        <v>850</v>
      </c>
      <c r="L106" s="1502"/>
      <c r="M106" s="1503" t="s">
        <v>875</v>
      </c>
      <c r="N106" s="1539"/>
      <c r="O106" s="1474"/>
      <c r="P106" s="1474"/>
      <c r="R106" s="1474"/>
      <c r="S106" s="1474"/>
      <c r="T106" s="1474"/>
    </row>
    <row r="107" spans="8:8" ht="17.25" customHeight="1">
      <c r="A107" s="1508">
        <v>105.0</v>
      </c>
      <c r="B107" s="1509" t="s">
        <v>876</v>
      </c>
      <c r="C107" s="1509"/>
      <c r="D107" s="1510" t="s">
        <v>578</v>
      </c>
      <c r="E107" s="1511" t="s">
        <v>582</v>
      </c>
      <c r="F107" s="1511">
        <f>EDU*2+MAX(DEX*2,APP*2)</f>
        <v>0.0</v>
      </c>
      <c r="G107" s="1512" t="s">
        <v>877</v>
      </c>
      <c r="K107" s="1502" t="s">
        <v>878</v>
      </c>
      <c r="L107" s="1502"/>
      <c r="M107" s="1503" t="s">
        <v>879</v>
      </c>
      <c r="N107" s="1539"/>
      <c r="O107" s="1474"/>
      <c r="P107" s="1474"/>
      <c r="R107" s="1474"/>
      <c r="S107" s="1474"/>
      <c r="T107" s="1474"/>
    </row>
    <row r="108" spans="8:8">
      <c r="A108" s="1484">
        <v>106.0</v>
      </c>
      <c r="B108" s="1505" t="s">
        <v>880</v>
      </c>
      <c r="C108" s="1505"/>
      <c r="D108" s="1480" t="s">
        <v>881</v>
      </c>
      <c r="E108" s="1480" t="s">
        <v>431</v>
      </c>
      <c r="F108" s="1506">
        <f>EDU*4</f>
        <v>0.0</v>
      </c>
      <c r="G108" s="1507" t="s">
        <v>882</v>
      </c>
      <c r="K108" s="1502" t="s">
        <v>883</v>
      </c>
      <c r="L108" s="1502"/>
      <c r="M108" s="1503" t="s">
        <v>884</v>
      </c>
      <c r="N108" s="1539"/>
      <c r="O108" s="1474"/>
      <c r="P108" s="1474"/>
      <c r="R108" s="1474"/>
      <c r="S108" s="1474"/>
      <c r="T108" s="1474"/>
    </row>
    <row r="109" spans="8:8" ht="16.5" customHeight="1">
      <c r="A109" s="1508">
        <v>107.0</v>
      </c>
      <c r="B109" s="1509" t="s">
        <v>885</v>
      </c>
      <c r="C109" s="1509"/>
      <c r="D109" s="1510" t="s">
        <v>886</v>
      </c>
      <c r="E109" s="1511" t="s">
        <v>425</v>
      </c>
      <c r="F109" s="1511">
        <f>EDU*2+MAX(STR*2,DEX*2)</f>
        <v>0.0</v>
      </c>
      <c r="G109" s="1512" t="s">
        <v>887</v>
      </c>
      <c r="K109" s="1502" t="s">
        <v>888</v>
      </c>
      <c r="L109" s="1502"/>
      <c r="M109" s="1503" t="s">
        <v>889</v>
      </c>
      <c r="N109" s="1539"/>
      <c r="O109" s="1474"/>
      <c r="P109" s="1474"/>
      <c r="R109" s="1474"/>
      <c r="S109" s="1474"/>
      <c r="T109" s="1474"/>
    </row>
    <row r="110" spans="8:8" ht="16.5" customHeight="1">
      <c r="A110" s="1484">
        <v>108.0</v>
      </c>
      <c r="B110" s="1505" t="s">
        <v>890</v>
      </c>
      <c r="C110" s="1505"/>
      <c r="D110" s="1480" t="s">
        <v>891</v>
      </c>
      <c r="E110" s="1480" t="s">
        <v>425</v>
      </c>
      <c r="F110" s="1506">
        <f>EDU*2+MAX(STR*2,DEX*2)</f>
        <v>0.0</v>
      </c>
      <c r="G110" s="1507" t="s">
        <v>892</v>
      </c>
      <c r="K110" s="1502" t="s">
        <v>893</v>
      </c>
      <c r="L110" s="1502"/>
      <c r="M110" s="1503" t="s">
        <v>894</v>
      </c>
      <c r="N110" s="1539"/>
      <c r="O110" s="1474"/>
      <c r="P110" s="1474"/>
      <c r="R110" s="1474"/>
      <c r="S110" s="1474"/>
      <c r="T110" s="1474"/>
    </row>
    <row r="111" spans="8:8">
      <c r="A111" s="1508">
        <v>109.0</v>
      </c>
      <c r="B111" s="1509" t="s">
        <v>895</v>
      </c>
      <c r="C111" s="1509"/>
      <c r="D111" s="1510" t="s">
        <v>494</v>
      </c>
      <c r="E111" s="1511" t="s">
        <v>431</v>
      </c>
      <c r="F111" s="1511">
        <f>EDU*4</f>
        <v>0.0</v>
      </c>
      <c r="G111" s="1512" t="s">
        <v>896</v>
      </c>
      <c r="K111" s="1502" t="s">
        <v>897</v>
      </c>
      <c r="L111" s="1502"/>
      <c r="M111" s="1503" t="s">
        <v>898</v>
      </c>
      <c r="N111" s="1539"/>
      <c r="O111" s="1474"/>
      <c r="P111" s="1474"/>
      <c r="R111" s="1474"/>
      <c r="S111" s="1474"/>
      <c r="T111" s="1474"/>
    </row>
    <row r="112" spans="8:8">
      <c r="A112" s="1484">
        <v>110.0</v>
      </c>
      <c r="B112" s="1505" t="s">
        <v>899</v>
      </c>
      <c r="C112" s="1505"/>
      <c r="D112" s="1480" t="s">
        <v>831</v>
      </c>
      <c r="E112" s="1480" t="s">
        <v>431</v>
      </c>
      <c r="F112" s="1506">
        <f>EDU*4</f>
        <v>0.0</v>
      </c>
      <c r="G112" s="1507" t="s">
        <v>900</v>
      </c>
      <c r="K112" s="1502" t="s">
        <v>901</v>
      </c>
      <c r="L112" s="1502"/>
      <c r="M112" s="1503" t="s">
        <v>902</v>
      </c>
      <c r="N112" s="1539"/>
      <c r="O112" s="1474"/>
      <c r="P112" s="1474"/>
      <c r="R112" s="1474"/>
      <c r="S112" s="1474"/>
      <c r="T112" s="1474"/>
    </row>
    <row r="113" spans="8:8" ht="17.25" customHeight="1">
      <c r="A113" s="1508">
        <v>111.0</v>
      </c>
      <c r="B113" s="1509" t="s">
        <v>903</v>
      </c>
      <c r="C113" s="1509"/>
      <c r="D113" s="1510" t="s">
        <v>408</v>
      </c>
      <c r="E113" s="1511" t="s">
        <v>698</v>
      </c>
      <c r="F113" s="1511">
        <f>EDU*2+MAX(DEX*2,APP*2)</f>
        <v>0.0</v>
      </c>
      <c r="G113" s="1512" t="s">
        <v>904</v>
      </c>
      <c r="K113" s="1502" t="s">
        <v>905</v>
      </c>
      <c r="L113" s="1502"/>
      <c r="M113" s="1503" t="s">
        <v>906</v>
      </c>
      <c r="N113" s="1539"/>
      <c r="O113" s="1474"/>
      <c r="P113" s="1474"/>
      <c r="R113" s="1474"/>
      <c r="S113" s="1474"/>
      <c r="T113" s="1474"/>
    </row>
    <row r="114" spans="8:8">
      <c r="A114" s="1484">
        <v>112.0</v>
      </c>
      <c r="B114" s="1505" t="s">
        <v>907</v>
      </c>
      <c r="C114" s="1505"/>
      <c r="D114" s="1480" t="s">
        <v>408</v>
      </c>
      <c r="E114" s="1480" t="s">
        <v>431</v>
      </c>
      <c r="F114" s="1506">
        <f>EDU*4</f>
        <v>0.0</v>
      </c>
      <c r="G114" s="1507" t="s">
        <v>908</v>
      </c>
      <c r="K114" s="1502" t="s">
        <v>909</v>
      </c>
      <c r="L114" s="1502"/>
      <c r="M114" s="1503" t="s">
        <v>910</v>
      </c>
      <c r="N114" s="1539"/>
      <c r="O114" s="1474"/>
      <c r="P114" s="1474"/>
      <c r="R114" s="1474"/>
      <c r="S114" s="1474"/>
      <c r="T114" s="1474"/>
    </row>
    <row r="115" spans="8:8">
      <c r="A115" s="1508">
        <v>113.0</v>
      </c>
      <c r="B115" s="1509" t="s">
        <v>911</v>
      </c>
      <c r="C115" s="1509"/>
      <c r="D115" s="1510" t="s">
        <v>912</v>
      </c>
      <c r="E115" s="1511" t="s">
        <v>431</v>
      </c>
      <c r="F115" s="1511">
        <f>EDU*4</f>
        <v>0.0</v>
      </c>
      <c r="G115" s="1512" t="s">
        <v>913</v>
      </c>
      <c r="K115" s="1502" t="s">
        <v>914</v>
      </c>
      <c r="L115" s="1502"/>
      <c r="M115" s="1503" t="s">
        <v>915</v>
      </c>
      <c r="N115" s="1539"/>
      <c r="O115" s="1474"/>
      <c r="P115" s="1474"/>
      <c r="R115" s="1474"/>
      <c r="S115" s="1474"/>
      <c r="T115" s="1474"/>
    </row>
    <row r="116" spans="8:8" ht="16.5" customHeight="1">
      <c r="A116" s="1484">
        <v>114.0</v>
      </c>
      <c r="B116" s="1505" t="s">
        <v>916</v>
      </c>
      <c r="C116" s="1505"/>
      <c r="D116" s="1480" t="s">
        <v>754</v>
      </c>
      <c r="E116" s="1480" t="s">
        <v>437</v>
      </c>
      <c r="F116" s="1506">
        <f>EDU*2+MAX(APP*2,POW*2)</f>
        <v>0.0</v>
      </c>
      <c r="G116" s="1507" t="s">
        <v>917</v>
      </c>
      <c r="K116" s="1502" t="s">
        <v>918</v>
      </c>
      <c r="L116" s="1502"/>
      <c r="M116" s="1503" t="s">
        <v>919</v>
      </c>
      <c r="N116" s="1539"/>
      <c r="O116" s="1474"/>
      <c r="P116" s="1474"/>
      <c r="R116" s="1474"/>
      <c r="S116" s="1474"/>
      <c r="T116" s="1474"/>
    </row>
    <row r="117" spans="8:8">
      <c r="A117" s="1540">
        <v>115.0</v>
      </c>
      <c r="B117" s="1541" t="s">
        <v>920</v>
      </c>
      <c r="C117" s="1541"/>
      <c r="D117" s="1542" t="s">
        <v>414</v>
      </c>
      <c r="E117" s="1543" t="s">
        <v>431</v>
      </c>
      <c r="F117" s="1543">
        <f>EDU*4</f>
        <v>0.0</v>
      </c>
      <c r="G117" s="1544" t="s">
        <v>921</v>
      </c>
      <c r="K117" s="1502" t="s">
        <v>922</v>
      </c>
      <c r="L117" s="1502"/>
      <c r="M117" s="1503" t="s">
        <v>923</v>
      </c>
      <c r="N117" s="1539"/>
      <c r="O117" s="1474"/>
      <c r="P117" s="1474"/>
      <c r="R117" s="1474"/>
      <c r="S117" s="1474"/>
      <c r="T117" s="1474"/>
    </row>
    <row r="118" spans="8:8">
      <c r="A118" s="1545">
        <v>116.0</v>
      </c>
      <c r="B118" s="1546" t="s">
        <v>924</v>
      </c>
      <c r="C118" s="1546"/>
      <c r="D118" s="1547" t="s">
        <v>640</v>
      </c>
      <c r="E118" s="1548" t="s">
        <v>559</v>
      </c>
      <c r="F118" s="1547">
        <f>EDU*2+APP*2</f>
        <v>0.0</v>
      </c>
      <c r="G118" s="1549" t="s">
        <v>925</v>
      </c>
      <c r="H118" s="1550" t="s">
        <v>926</v>
      </c>
      <c r="I118" s="1550"/>
      <c r="K118" s="1551" t="s">
        <v>927</v>
      </c>
      <c r="L118" s="1474"/>
      <c r="M118" s="1552" t="s">
        <v>928</v>
      </c>
      <c r="N118" s="1474"/>
      <c r="O118" s="1474"/>
      <c r="P118" s="1474"/>
      <c r="R118" s="1474"/>
      <c r="S118" s="1474"/>
      <c r="T118" s="1474"/>
    </row>
    <row r="119" spans="8:8">
      <c r="A119" s="1553">
        <v>117.0</v>
      </c>
      <c r="B119" s="1554" t="s">
        <v>929</v>
      </c>
      <c r="C119" s="1554"/>
      <c r="D119" s="1555" t="s">
        <v>408</v>
      </c>
      <c r="E119" s="1556" t="s">
        <v>425</v>
      </c>
      <c r="F119" s="1557">
        <f>EDU*2+MAX(STR*2,DEX*2)</f>
        <v>0.0</v>
      </c>
      <c r="G119" s="1558" t="s">
        <v>930</v>
      </c>
      <c r="H119" s="1550"/>
      <c r="I119" s="1550"/>
      <c r="K119" s="1551" t="s">
        <v>476</v>
      </c>
      <c r="L119" s="1474"/>
      <c r="M119" s="1552" t="s">
        <v>928</v>
      </c>
      <c r="N119" s="1474"/>
      <c r="O119" s="1474"/>
      <c r="P119" s="1474"/>
      <c r="R119" s="1474"/>
      <c r="S119" s="1474"/>
      <c r="T119" s="1474"/>
    </row>
    <row r="120" spans="8:8">
      <c r="A120" s="1559">
        <v>118.0</v>
      </c>
      <c r="B120" s="1560" t="s">
        <v>931</v>
      </c>
      <c r="C120" s="1560"/>
      <c r="D120" s="1561" t="s">
        <v>932</v>
      </c>
      <c r="E120" s="1562" t="s">
        <v>425</v>
      </c>
      <c r="F120" s="1561">
        <f>EDU*2+MAX(STR*2,DEX*2)</f>
        <v>0.0</v>
      </c>
      <c r="G120" s="1563" t="s">
        <v>933</v>
      </c>
      <c r="H120" s="1550"/>
      <c r="I120" s="1550"/>
      <c r="K120" s="1551" t="s">
        <v>934</v>
      </c>
      <c r="L120" s="1474"/>
      <c r="M120" s="1551" t="s">
        <v>935</v>
      </c>
      <c r="N120" s="1474"/>
      <c r="O120" s="1474"/>
      <c r="P120" s="1474"/>
      <c r="R120" s="1474"/>
      <c r="S120" s="1474"/>
      <c r="T120" s="1474"/>
    </row>
    <row r="121" spans="8:8">
      <c r="A121" s="1553">
        <v>119.0</v>
      </c>
      <c r="B121" s="1554" t="s">
        <v>936</v>
      </c>
      <c r="C121" s="1554"/>
      <c r="D121" s="1555" t="s">
        <v>402</v>
      </c>
      <c r="E121" s="1556" t="s">
        <v>425</v>
      </c>
      <c r="F121" s="1557">
        <f>EDU*2+MAX(STR*2,DEX*2)</f>
        <v>0.0</v>
      </c>
      <c r="G121" s="1558" t="s">
        <v>937</v>
      </c>
      <c r="H121" s="1550"/>
      <c r="I121" s="1550"/>
      <c r="K121" s="1551" t="s">
        <v>938</v>
      </c>
      <c r="L121" s="1474"/>
      <c r="M121" s="1552" t="s">
        <v>928</v>
      </c>
      <c r="N121" s="1474"/>
      <c r="O121" s="1474"/>
      <c r="P121" s="1474"/>
      <c r="R121" s="1474"/>
      <c r="S121" s="1474"/>
      <c r="T121" s="1474"/>
    </row>
    <row r="122" spans="8:8">
      <c r="A122" s="1559">
        <v>120.0</v>
      </c>
      <c r="B122" s="1560" t="s">
        <v>939</v>
      </c>
      <c r="C122" s="1560"/>
      <c r="D122" s="1561" t="s">
        <v>408</v>
      </c>
      <c r="E122" s="1562" t="s">
        <v>425</v>
      </c>
      <c r="F122" s="1561">
        <f>EDU*2+MAX(STR*2,DEX*2)</f>
        <v>0.0</v>
      </c>
      <c r="G122" s="1563" t="s">
        <v>940</v>
      </c>
      <c r="H122" s="1550"/>
      <c r="I122" s="1550"/>
      <c r="K122" s="1551" t="s">
        <v>941</v>
      </c>
      <c r="L122" s="1474"/>
      <c r="M122" s="1551" t="s">
        <v>935</v>
      </c>
      <c r="N122" s="1474"/>
      <c r="O122" s="1474"/>
      <c r="P122" s="1474"/>
      <c r="R122" s="1474"/>
      <c r="S122" s="1474"/>
      <c r="T122" s="1474"/>
    </row>
    <row r="123" spans="8:8">
      <c r="A123" s="1553">
        <v>121.0</v>
      </c>
      <c r="B123" s="1554" t="s">
        <v>942</v>
      </c>
      <c r="C123" s="1554"/>
      <c r="D123" s="1555" t="s">
        <v>717</v>
      </c>
      <c r="E123" s="1556" t="s">
        <v>431</v>
      </c>
      <c r="F123" s="1557">
        <f t="shared" si="1" ref="F123:F128">EDU*4</f>
        <v>0.0</v>
      </c>
      <c r="G123" s="1558" t="s">
        <v>943</v>
      </c>
      <c r="H123" s="1550"/>
      <c r="I123" s="1550"/>
      <c r="K123" s="1551" t="s">
        <v>944</v>
      </c>
      <c r="L123" s="1474"/>
      <c r="M123" s="1551" t="s">
        <v>935</v>
      </c>
      <c r="N123" s="1474"/>
      <c r="O123" s="1474"/>
      <c r="P123" s="1474"/>
      <c r="R123" s="1474"/>
      <c r="S123" s="1474"/>
      <c r="T123" s="1474"/>
    </row>
    <row r="124" spans="8:8">
      <c r="A124" s="1559">
        <v>122.0</v>
      </c>
      <c r="B124" s="1560" t="s">
        <v>945</v>
      </c>
      <c r="C124" s="1560"/>
      <c r="D124" s="1561" t="s">
        <v>717</v>
      </c>
      <c r="E124" s="1562" t="s">
        <v>431</v>
      </c>
      <c r="F124" s="1561">
        <f t="shared" si="1"/>
        <v>0.0</v>
      </c>
      <c r="G124" s="1563" t="s">
        <v>946</v>
      </c>
      <c r="H124" s="1564" t="s">
        <v>947</v>
      </c>
      <c r="I124" s="1564"/>
      <c r="K124" s="1551" t="s">
        <v>948</v>
      </c>
      <c r="L124" s="1474"/>
      <c r="M124" s="1551" t="s">
        <v>935</v>
      </c>
      <c r="N124" s="1474"/>
      <c r="O124" s="1474"/>
      <c r="P124" s="1474"/>
      <c r="R124" s="1474"/>
      <c r="S124" s="1474"/>
      <c r="T124" s="1474"/>
    </row>
    <row r="125" spans="8:8">
      <c r="A125" s="1553">
        <v>123.0</v>
      </c>
      <c r="B125" s="1554" t="s">
        <v>949</v>
      </c>
      <c r="C125" s="1554"/>
      <c r="D125" s="1555" t="s">
        <v>749</v>
      </c>
      <c r="E125" s="1556" t="s">
        <v>431</v>
      </c>
      <c r="F125" s="1557">
        <f t="shared" si="1"/>
        <v>0.0</v>
      </c>
      <c r="G125" s="1558" t="s">
        <v>950</v>
      </c>
      <c r="H125" s="1564" t="s">
        <v>951</v>
      </c>
      <c r="I125" s="1564"/>
      <c r="K125" s="1551" t="s">
        <v>515</v>
      </c>
      <c r="L125" s="1474"/>
      <c r="M125" s="1551" t="s">
        <v>935</v>
      </c>
      <c r="N125" s="1474"/>
      <c r="O125" s="1474"/>
      <c r="P125" s="1474"/>
      <c r="R125" s="1474"/>
      <c r="S125" s="1474"/>
      <c r="T125" s="1474"/>
    </row>
    <row r="126" spans="8:8">
      <c r="A126" s="1559">
        <v>124.0</v>
      </c>
      <c r="B126" s="1560" t="s">
        <v>952</v>
      </c>
      <c r="C126" s="1560"/>
      <c r="D126" s="1561" t="s">
        <v>504</v>
      </c>
      <c r="E126" s="1562" t="s">
        <v>431</v>
      </c>
      <c r="F126" s="1561">
        <f t="shared" si="1"/>
        <v>0.0</v>
      </c>
      <c r="G126" s="1563" t="s">
        <v>513</v>
      </c>
      <c r="K126" s="1551" t="s">
        <v>515</v>
      </c>
      <c r="L126" s="1474"/>
      <c r="M126" s="1551" t="s">
        <v>935</v>
      </c>
      <c r="N126" s="1474"/>
      <c r="O126" s="1474"/>
      <c r="P126" s="1474"/>
      <c r="R126" s="1474"/>
      <c r="S126" s="1474"/>
      <c r="T126" s="1474"/>
    </row>
    <row r="127" spans="8:8">
      <c r="A127" s="1553">
        <v>125.0</v>
      </c>
      <c r="B127" s="1554" t="s">
        <v>953</v>
      </c>
      <c r="C127" s="1554"/>
      <c r="D127" s="1555" t="s">
        <v>504</v>
      </c>
      <c r="E127" s="1556" t="s">
        <v>431</v>
      </c>
      <c r="F127" s="1557">
        <f t="shared" si="1"/>
        <v>0.0</v>
      </c>
      <c r="G127" s="1558" t="s">
        <v>954</v>
      </c>
      <c r="K127" s="1551" t="s">
        <v>955</v>
      </c>
      <c r="L127" s="1474"/>
      <c r="M127" s="1551" t="s">
        <v>935</v>
      </c>
      <c r="N127" s="1474"/>
      <c r="O127" s="1474"/>
      <c r="P127" s="1474"/>
      <c r="R127" s="1474"/>
      <c r="S127" s="1474"/>
      <c r="T127" s="1474"/>
    </row>
    <row r="128" spans="8:8">
      <c r="A128" s="1559">
        <v>126.0</v>
      </c>
      <c r="B128" s="1560" t="s">
        <v>956</v>
      </c>
      <c r="C128" s="1560"/>
      <c r="D128" s="1561" t="s">
        <v>402</v>
      </c>
      <c r="E128" s="1562" t="s">
        <v>431</v>
      </c>
      <c r="F128" s="1561">
        <f t="shared" si="1"/>
        <v>0.0</v>
      </c>
      <c r="G128" s="1563" t="s">
        <v>957</v>
      </c>
      <c r="K128" s="1551" t="s">
        <v>958</v>
      </c>
      <c r="L128" s="1474"/>
      <c r="M128" s="1551" t="s">
        <v>935</v>
      </c>
      <c r="N128" s="1474"/>
      <c r="O128" s="1474"/>
      <c r="P128" s="1474"/>
      <c r="R128" s="1474"/>
      <c r="S128" s="1474"/>
      <c r="T128" s="1474"/>
    </row>
    <row r="129" spans="8:8">
      <c r="A129" s="1553">
        <v>127.0</v>
      </c>
      <c r="B129" s="1554" t="s">
        <v>959</v>
      </c>
      <c r="C129" s="1554"/>
      <c r="D129" s="1555" t="s">
        <v>754</v>
      </c>
      <c r="E129" s="1556" t="s">
        <v>437</v>
      </c>
      <c r="F129" s="1557">
        <f>EDU*2+MAX(APP*2,POW*2)</f>
        <v>0.0</v>
      </c>
      <c r="G129" s="1558" t="s">
        <v>960</v>
      </c>
      <c r="K129" s="1551" t="s">
        <v>961</v>
      </c>
      <c r="L129" s="1474"/>
      <c r="M129" s="1551" t="s">
        <v>935</v>
      </c>
      <c r="N129" s="1474"/>
      <c r="O129" s="1474"/>
      <c r="P129" s="1474"/>
      <c r="R129" s="1474"/>
      <c r="S129" s="1474"/>
      <c r="T129" s="1474"/>
    </row>
    <row r="130" spans="8:8">
      <c r="A130" s="1559">
        <v>128.0</v>
      </c>
      <c r="B130" s="1560" t="s">
        <v>962</v>
      </c>
      <c r="C130" s="1560"/>
      <c r="D130" s="1561" t="s">
        <v>578</v>
      </c>
      <c r="E130" s="1562" t="s">
        <v>431</v>
      </c>
      <c r="F130" s="1561">
        <f>EDU*4</f>
        <v>0.0</v>
      </c>
      <c r="G130" s="1563" t="s">
        <v>963</v>
      </c>
      <c r="K130" s="1551" t="s">
        <v>964</v>
      </c>
      <c r="L130" s="1474"/>
      <c r="M130" s="1551" t="s">
        <v>935</v>
      </c>
      <c r="N130" s="1474"/>
      <c r="O130" s="1474"/>
      <c r="P130" s="1474"/>
      <c r="R130" s="1474"/>
      <c r="S130" s="1474"/>
      <c r="T130" s="1474"/>
    </row>
    <row r="131" spans="8:8">
      <c r="A131" s="1553">
        <v>129.0</v>
      </c>
      <c r="B131" s="1554" t="s">
        <v>965</v>
      </c>
      <c r="C131" s="1554"/>
      <c r="D131" s="1555" t="s">
        <v>717</v>
      </c>
      <c r="E131" s="1565" t="s">
        <v>865</v>
      </c>
      <c r="F131" s="1557">
        <f>EDU*2+MAX(DEX*2,APP*2)</f>
        <v>0.0</v>
      </c>
      <c r="G131" s="1558" t="s">
        <v>966</v>
      </c>
      <c r="K131" s="1551" t="s">
        <v>967</v>
      </c>
      <c r="L131" s="1474"/>
      <c r="M131" s="1551" t="s">
        <v>935</v>
      </c>
      <c r="N131" s="1474"/>
      <c r="O131" s="1474"/>
      <c r="P131" s="1474"/>
      <c r="R131" s="1474"/>
      <c r="S131" s="1474"/>
      <c r="T131" s="1474"/>
    </row>
    <row r="132" spans="8:8">
      <c r="A132" s="1559">
        <v>130.0</v>
      </c>
      <c r="B132" s="1560" t="s">
        <v>968</v>
      </c>
      <c r="C132" s="1560"/>
      <c r="D132" s="1561" t="s">
        <v>717</v>
      </c>
      <c r="E132" s="1470" t="s">
        <v>865</v>
      </c>
      <c r="F132" s="1561">
        <f>EDU*2+MAX(DEX*2,APP*2)</f>
        <v>0.0</v>
      </c>
      <c r="G132" s="1563" t="s">
        <v>969</v>
      </c>
      <c r="K132" s="1551" t="s">
        <v>970</v>
      </c>
      <c r="L132" s="1474"/>
      <c r="M132" s="1551" t="s">
        <v>935</v>
      </c>
      <c r="N132" s="1474"/>
      <c r="O132" s="1474"/>
      <c r="P132" s="1474"/>
      <c r="R132" s="1474"/>
      <c r="S132" s="1474"/>
      <c r="T132" s="1474"/>
    </row>
    <row r="133" spans="8:8">
      <c r="A133" s="1553">
        <v>131.0</v>
      </c>
      <c r="B133" s="1554" t="s">
        <v>971</v>
      </c>
      <c r="C133" s="1554"/>
      <c r="D133" s="1555" t="s">
        <v>479</v>
      </c>
      <c r="E133" s="1556" t="s">
        <v>531</v>
      </c>
      <c r="F133" s="1557">
        <f>EDU*2+DEX*2</f>
        <v>0.0</v>
      </c>
      <c r="G133" s="1558" t="s">
        <v>972</v>
      </c>
      <c r="K133" s="1551" t="s">
        <v>973</v>
      </c>
      <c r="L133" s="1474"/>
      <c r="M133" s="1551" t="s">
        <v>935</v>
      </c>
      <c r="N133" s="1474"/>
      <c r="O133" s="1474"/>
      <c r="P133" s="1474"/>
      <c r="R133" s="1474"/>
      <c r="S133" s="1474"/>
      <c r="T133" s="1474"/>
    </row>
    <row r="134" spans="8:8">
      <c r="A134" s="1559">
        <v>132.0</v>
      </c>
      <c r="B134" s="1560" t="s">
        <v>974</v>
      </c>
      <c r="C134" s="1560"/>
      <c r="D134" s="1561" t="s">
        <v>402</v>
      </c>
      <c r="E134" s="1470" t="s">
        <v>403</v>
      </c>
      <c r="F134" s="1561">
        <f>EDU*4</f>
        <v>0.0</v>
      </c>
      <c r="G134" s="1563" t="s">
        <v>975</v>
      </c>
      <c r="K134" s="1551" t="s">
        <v>976</v>
      </c>
      <c r="L134" s="1474"/>
      <c r="M134" s="1551" t="s">
        <v>935</v>
      </c>
      <c r="N134" s="1474"/>
      <c r="O134" s="1474"/>
      <c r="P134" s="1474"/>
      <c r="R134" s="1474"/>
      <c r="S134" s="1474"/>
      <c r="T134" s="1474"/>
    </row>
    <row r="135" spans="8:8">
      <c r="A135" s="1553">
        <v>133.0</v>
      </c>
      <c r="B135" s="1554" t="s">
        <v>977</v>
      </c>
      <c r="C135" s="1554"/>
      <c r="D135" s="1555" t="s">
        <v>612</v>
      </c>
      <c r="E135" s="1556" t="s">
        <v>431</v>
      </c>
      <c r="F135" s="1557">
        <f>EDU*4</f>
        <v>0.0</v>
      </c>
      <c r="G135" s="1558" t="s">
        <v>736</v>
      </c>
      <c r="K135" s="1551" t="s">
        <v>976</v>
      </c>
      <c r="L135" s="1474"/>
      <c r="M135" s="1551" t="s">
        <v>935</v>
      </c>
      <c r="N135" s="1474"/>
      <c r="O135" s="1474"/>
      <c r="P135" s="1474"/>
      <c r="R135" s="1474"/>
      <c r="S135" s="1474"/>
      <c r="T135" s="1474"/>
    </row>
    <row r="136" spans="8:8">
      <c r="A136" s="1559">
        <v>134.0</v>
      </c>
      <c r="B136" s="1560" t="s">
        <v>978</v>
      </c>
      <c r="C136" s="1560"/>
      <c r="D136" s="1561" t="s">
        <v>402</v>
      </c>
      <c r="E136" s="1562" t="s">
        <v>431</v>
      </c>
      <c r="F136" s="1561">
        <f>EDU*4</f>
        <v>0.0</v>
      </c>
      <c r="G136" s="1563" t="s">
        <v>613</v>
      </c>
      <c r="K136" s="1551" t="s">
        <v>614</v>
      </c>
      <c r="L136" s="1474"/>
      <c r="M136" s="1551" t="s">
        <v>935</v>
      </c>
      <c r="N136" s="1474"/>
      <c r="O136" s="1474"/>
      <c r="P136" s="1474"/>
      <c r="R136" s="1474"/>
      <c r="S136" s="1474"/>
      <c r="T136" s="1474"/>
    </row>
    <row r="137" spans="8:8">
      <c r="A137" s="1553">
        <v>135.0</v>
      </c>
      <c r="B137" s="1554" t="s">
        <v>979</v>
      </c>
      <c r="C137" s="1554"/>
      <c r="D137" s="1555" t="s">
        <v>717</v>
      </c>
      <c r="E137" s="1556" t="s">
        <v>431</v>
      </c>
      <c r="F137" s="1557">
        <f>EDU*4</f>
        <v>0.0</v>
      </c>
      <c r="G137" s="1558" t="s">
        <v>613</v>
      </c>
      <c r="K137" s="1551" t="s">
        <v>614</v>
      </c>
      <c r="L137" s="1474"/>
      <c r="M137" s="1551" t="s">
        <v>935</v>
      </c>
      <c r="N137" s="1474"/>
      <c r="O137" s="1474"/>
      <c r="P137" s="1474"/>
      <c r="R137" s="1474"/>
      <c r="S137" s="1474"/>
      <c r="T137" s="1474"/>
    </row>
    <row r="138" spans="8:8">
      <c r="A138" s="1559">
        <v>136.0</v>
      </c>
      <c r="B138" s="1560" t="s">
        <v>980</v>
      </c>
      <c r="C138" s="1560"/>
      <c r="D138" s="1561" t="s">
        <v>612</v>
      </c>
      <c r="E138" s="1562" t="s">
        <v>431</v>
      </c>
      <c r="F138" s="1561">
        <f>EDU*4</f>
        <v>0.0</v>
      </c>
      <c r="G138" s="1563" t="s">
        <v>613</v>
      </c>
      <c r="K138" s="1551" t="s">
        <v>981</v>
      </c>
      <c r="L138" s="1474"/>
      <c r="M138" s="1551" t="s">
        <v>935</v>
      </c>
      <c r="N138" s="1474"/>
      <c r="O138" s="1474"/>
      <c r="P138" s="1474"/>
      <c r="R138" s="1474"/>
      <c r="S138" s="1474"/>
      <c r="T138" s="1474"/>
    </row>
    <row r="139" spans="8:8">
      <c r="A139" s="1553">
        <v>137.0</v>
      </c>
      <c r="B139" s="1554" t="s">
        <v>982</v>
      </c>
      <c r="C139" s="1554"/>
      <c r="D139" s="1555" t="s">
        <v>446</v>
      </c>
      <c r="E139" s="1565" t="s">
        <v>554</v>
      </c>
      <c r="F139" s="1557">
        <f>EDU*2+DEX*2</f>
        <v>0.0</v>
      </c>
      <c r="G139" s="1558" t="s">
        <v>983</v>
      </c>
      <c r="K139" s="1551" t="s">
        <v>984</v>
      </c>
      <c r="L139" s="1474"/>
      <c r="M139" s="1551" t="s">
        <v>935</v>
      </c>
      <c r="N139" s="1474"/>
      <c r="O139" s="1474"/>
      <c r="P139" s="1474"/>
      <c r="R139" s="1474"/>
      <c r="S139" s="1474"/>
      <c r="T139" s="1474"/>
    </row>
    <row r="140" spans="8:8">
      <c r="A140" s="1559">
        <v>138.0</v>
      </c>
      <c r="B140" s="1560" t="s">
        <v>985</v>
      </c>
      <c r="C140" s="1560"/>
      <c r="D140" s="1561" t="s">
        <v>479</v>
      </c>
      <c r="E140" s="1562" t="s">
        <v>431</v>
      </c>
      <c r="F140" s="1561">
        <f>EDU*4</f>
        <v>0.0</v>
      </c>
      <c r="G140" s="1563" t="s">
        <v>986</v>
      </c>
      <c r="K140" s="1551" t="s">
        <v>987</v>
      </c>
      <c r="L140" s="1474"/>
      <c r="M140" s="1551" t="s">
        <v>935</v>
      </c>
      <c r="N140" s="1474"/>
      <c r="O140" s="1474"/>
      <c r="P140" s="1474"/>
      <c r="R140" s="1474"/>
      <c r="S140" s="1474"/>
      <c r="T140" s="1474"/>
    </row>
    <row r="141" spans="8:8">
      <c r="A141" s="1553">
        <v>139.0</v>
      </c>
      <c r="B141" s="1554" t="s">
        <v>988</v>
      </c>
      <c r="C141" s="1554"/>
      <c r="D141" s="1555" t="s">
        <v>479</v>
      </c>
      <c r="E141" s="1556" t="s">
        <v>767</v>
      </c>
      <c r="F141" s="1557">
        <f>EDU*2+MAX(DEX*2,POW*2)</f>
        <v>0.0</v>
      </c>
      <c r="G141" s="1558" t="s">
        <v>989</v>
      </c>
      <c r="K141" s="1551" t="s">
        <v>990</v>
      </c>
      <c r="L141" s="1474"/>
      <c r="M141" s="1551" t="s">
        <v>935</v>
      </c>
      <c r="N141" s="1474"/>
      <c r="O141" s="1474"/>
      <c r="P141" s="1474"/>
      <c r="R141" s="1474"/>
      <c r="S141" s="1474"/>
      <c r="T141" s="1474"/>
    </row>
    <row r="142" spans="8:8">
      <c r="A142" s="1559">
        <v>140.0</v>
      </c>
      <c r="B142" s="1560" t="s">
        <v>991</v>
      </c>
      <c r="C142" s="1560"/>
      <c r="D142" s="1561" t="s">
        <v>446</v>
      </c>
      <c r="E142" s="1562" t="s">
        <v>431</v>
      </c>
      <c r="F142" s="1561">
        <f>EDU*4</f>
        <v>0.0</v>
      </c>
      <c r="G142" s="1563" t="s">
        <v>992</v>
      </c>
      <c r="K142" s="1551" t="s">
        <v>993</v>
      </c>
      <c r="L142" s="1474"/>
      <c r="M142" s="1551" t="s">
        <v>935</v>
      </c>
      <c r="N142" s="1474"/>
      <c r="O142" s="1474"/>
      <c r="P142" s="1474"/>
      <c r="R142" s="1474"/>
      <c r="S142" s="1474"/>
      <c r="T142" s="1474"/>
    </row>
    <row r="143" spans="8:8">
      <c r="A143" s="1553">
        <v>141.0</v>
      </c>
      <c r="B143" s="1554" t="s">
        <v>994</v>
      </c>
      <c r="C143" s="1554"/>
      <c r="D143" s="1555" t="s">
        <v>749</v>
      </c>
      <c r="E143" s="1556" t="s">
        <v>425</v>
      </c>
      <c r="F143" s="1557">
        <f>EDU*2+MAX(STR*2,DEX*2)</f>
        <v>0.0</v>
      </c>
      <c r="G143" s="1558" t="s">
        <v>995</v>
      </c>
      <c r="K143" s="1551" t="s">
        <v>996</v>
      </c>
      <c r="L143" s="1474"/>
      <c r="M143" s="1551" t="s">
        <v>935</v>
      </c>
      <c r="N143" s="1474"/>
      <c r="O143" s="1474"/>
      <c r="P143" s="1474"/>
      <c r="R143" s="1474"/>
      <c r="S143" s="1474"/>
      <c r="T143" s="1474"/>
    </row>
    <row r="144" spans="8:8">
      <c r="A144" s="1559">
        <v>142.0</v>
      </c>
      <c r="B144" s="1560" t="s">
        <v>997</v>
      </c>
      <c r="C144" s="1560"/>
      <c r="D144" s="1561" t="s">
        <v>998</v>
      </c>
      <c r="E144" s="1562" t="s">
        <v>425</v>
      </c>
      <c r="F144" s="1561">
        <f>EDU*2+MAX(STR*2,DEX*2)</f>
        <v>0.0</v>
      </c>
      <c r="G144" s="1563" t="s">
        <v>999</v>
      </c>
      <c r="K144" s="1551" t="s">
        <v>1000</v>
      </c>
      <c r="L144" s="1474"/>
      <c r="M144" s="1551" t="s">
        <v>935</v>
      </c>
      <c r="N144" s="1474"/>
      <c r="O144" s="1474"/>
      <c r="P144" s="1474"/>
      <c r="R144" s="1474"/>
      <c r="S144" s="1474"/>
      <c r="T144" s="1474"/>
    </row>
    <row r="145" spans="8:8">
      <c r="A145" s="1553">
        <v>143.0</v>
      </c>
      <c r="B145" s="1554" t="s">
        <v>1001</v>
      </c>
      <c r="C145" s="1554"/>
      <c r="D145" s="1555" t="s">
        <v>479</v>
      </c>
      <c r="E145" s="1556" t="s">
        <v>767</v>
      </c>
      <c r="F145" s="1557">
        <f>EDU*2+MAX(POW*2,DEX*2)</f>
        <v>0.0</v>
      </c>
      <c r="G145" s="1558" t="s">
        <v>1002</v>
      </c>
      <c r="K145" s="1551" t="s">
        <v>1003</v>
      </c>
      <c r="L145" s="1474"/>
      <c r="M145" s="1551" t="s">
        <v>935</v>
      </c>
      <c r="N145" s="1474"/>
      <c r="O145" s="1474"/>
      <c r="P145" s="1474"/>
      <c r="R145" s="1474"/>
      <c r="S145" s="1474"/>
      <c r="T145" s="1474"/>
    </row>
    <row r="146" spans="8:8">
      <c r="A146" s="1559">
        <v>144.0</v>
      </c>
      <c r="B146" s="1560" t="s">
        <v>1004</v>
      </c>
      <c r="C146" s="1560"/>
      <c r="D146" s="1561" t="s">
        <v>402</v>
      </c>
      <c r="E146" s="1470" t="s">
        <v>554</v>
      </c>
      <c r="F146" s="1561">
        <f>EDU*2+DEX*2</f>
        <v>0.0</v>
      </c>
      <c r="G146" s="1563" t="s">
        <v>1005</v>
      </c>
      <c r="K146" s="1551" t="s">
        <v>1006</v>
      </c>
      <c r="L146" s="1474"/>
      <c r="M146" s="1551" t="s">
        <v>935</v>
      </c>
      <c r="N146" s="1474"/>
      <c r="O146" s="1474"/>
      <c r="P146" s="1474"/>
      <c r="R146" s="1474"/>
      <c r="S146" s="1474"/>
      <c r="T146" s="1474"/>
    </row>
    <row r="147" spans="8:8">
      <c r="A147" s="1553">
        <v>145.0</v>
      </c>
      <c r="B147" s="1554" t="s">
        <v>1007</v>
      </c>
      <c r="C147" s="1554"/>
      <c r="D147" s="1555" t="s">
        <v>717</v>
      </c>
      <c r="E147" s="1556" t="s">
        <v>431</v>
      </c>
      <c r="F147" s="1557">
        <f>EDU*4</f>
        <v>0.0</v>
      </c>
      <c r="G147" s="1558" t="s">
        <v>1008</v>
      </c>
      <c r="K147" s="1551" t="s">
        <v>1009</v>
      </c>
      <c r="L147" s="1474"/>
      <c r="M147" s="1551" t="s">
        <v>935</v>
      </c>
      <c r="N147" s="1474"/>
      <c r="O147" s="1474"/>
      <c r="P147" s="1474"/>
      <c r="R147" s="1474"/>
      <c r="S147" s="1474"/>
      <c r="T147" s="1474"/>
    </row>
    <row r="148" spans="8:8">
      <c r="A148" s="1559">
        <v>146.0</v>
      </c>
      <c r="B148" s="1560" t="s">
        <v>1010</v>
      </c>
      <c r="C148" s="1560"/>
      <c r="D148" s="1561" t="s">
        <v>414</v>
      </c>
      <c r="E148" s="1470" t="s">
        <v>559</v>
      </c>
      <c r="F148" s="1561">
        <f>EDU*2+APP*2</f>
        <v>0.0</v>
      </c>
      <c r="G148" s="1563" t="s">
        <v>857</v>
      </c>
      <c r="K148" s="1551" t="s">
        <v>1011</v>
      </c>
      <c r="L148" s="1474"/>
      <c r="M148" s="1551" t="s">
        <v>935</v>
      </c>
      <c r="N148" s="1474"/>
      <c r="O148" s="1474"/>
      <c r="P148" s="1474"/>
      <c r="R148" s="1474"/>
      <c r="S148" s="1474"/>
      <c r="T148" s="1474"/>
    </row>
    <row r="149" spans="8:8">
      <c r="A149" s="1553">
        <v>147.0</v>
      </c>
      <c r="B149" s="1554" t="s">
        <v>1012</v>
      </c>
      <c r="C149" s="1554"/>
      <c r="D149" s="1555" t="s">
        <v>479</v>
      </c>
      <c r="E149" s="1565" t="s">
        <v>559</v>
      </c>
      <c r="F149" s="1557">
        <f>EDU*2+APP*2</f>
        <v>0.0</v>
      </c>
      <c r="G149" s="1558" t="s">
        <v>1013</v>
      </c>
      <c r="K149" s="1551" t="s">
        <v>984</v>
      </c>
      <c r="L149" s="1474"/>
      <c r="M149" s="1551" t="s">
        <v>935</v>
      </c>
      <c r="N149" s="1474"/>
      <c r="O149" s="1474"/>
      <c r="P149" s="1474"/>
      <c r="R149" s="1474"/>
      <c r="S149" s="1474"/>
      <c r="T149" s="1474"/>
    </row>
    <row r="150" spans="8:8">
      <c r="A150" s="1559">
        <v>148.0</v>
      </c>
      <c r="B150" s="1560" t="s">
        <v>1014</v>
      </c>
      <c r="C150" s="1560"/>
      <c r="D150" s="1561" t="s">
        <v>932</v>
      </c>
      <c r="E150" s="1562" t="s">
        <v>431</v>
      </c>
      <c r="F150" s="1561">
        <f>EDU*4</f>
        <v>0.0</v>
      </c>
      <c r="G150" s="1563" t="s">
        <v>1015</v>
      </c>
      <c r="K150" s="1551" t="s">
        <v>1016</v>
      </c>
      <c r="L150" s="1474"/>
      <c r="M150" s="1551" t="s">
        <v>935</v>
      </c>
      <c r="N150" s="1474"/>
      <c r="O150" s="1474"/>
      <c r="P150" s="1474"/>
      <c r="R150" s="1474"/>
      <c r="S150" s="1474"/>
      <c r="T150" s="1474"/>
    </row>
    <row r="151" spans="8:8">
      <c r="A151" s="1553">
        <v>149.0</v>
      </c>
      <c r="B151" s="1554" t="s">
        <v>1017</v>
      </c>
      <c r="C151" s="1554"/>
      <c r="D151" s="1555" t="s">
        <v>408</v>
      </c>
      <c r="E151" s="1556" t="s">
        <v>425</v>
      </c>
      <c r="F151" s="1557">
        <f>EDU*2+MAX(STR*2,DEX*2)</f>
        <v>0.0</v>
      </c>
      <c r="G151" s="1558" t="s">
        <v>1018</v>
      </c>
      <c r="K151" s="1551" t="s">
        <v>1019</v>
      </c>
      <c r="L151" s="1474"/>
      <c r="M151" s="1551" t="s">
        <v>935</v>
      </c>
      <c r="N151" s="1474"/>
      <c r="O151" s="1474"/>
      <c r="P151" s="1474"/>
      <c r="R151" s="1474"/>
      <c r="S151" s="1474"/>
      <c r="T151" s="1474"/>
    </row>
    <row r="152" spans="8:8">
      <c r="A152" s="1559">
        <v>150.0</v>
      </c>
      <c r="B152" s="1560" t="s">
        <v>1020</v>
      </c>
      <c r="C152" s="1560"/>
      <c r="D152" s="1561" t="s">
        <v>1021</v>
      </c>
      <c r="E152" s="1562" t="s">
        <v>431</v>
      </c>
      <c r="F152" s="1561">
        <f t="shared" si="2" ref="F152:F157">EDU*4</f>
        <v>0.0</v>
      </c>
      <c r="G152" s="1563" t="s">
        <v>1022</v>
      </c>
      <c r="K152" s="1551" t="s">
        <v>1023</v>
      </c>
      <c r="L152" s="1474"/>
      <c r="M152" s="1551" t="s">
        <v>935</v>
      </c>
      <c r="N152" s="1474"/>
      <c r="O152" s="1474"/>
      <c r="P152" s="1474"/>
      <c r="R152" s="1474"/>
      <c r="S152" s="1474"/>
      <c r="T152" s="1474"/>
    </row>
    <row r="153" spans="8:8">
      <c r="A153" s="1553">
        <v>151.0</v>
      </c>
      <c r="B153" s="1554" t="s">
        <v>1024</v>
      </c>
      <c r="C153" s="1554"/>
      <c r="D153" s="1555" t="s">
        <v>578</v>
      </c>
      <c r="E153" s="1556" t="s">
        <v>431</v>
      </c>
      <c r="F153" s="1557">
        <f t="shared" si="2"/>
        <v>0.0</v>
      </c>
      <c r="G153" s="1558" t="s">
        <v>1025</v>
      </c>
      <c r="K153" s="1551" t="s">
        <v>1026</v>
      </c>
      <c r="L153" s="1474"/>
      <c r="M153" s="1551" t="s">
        <v>935</v>
      </c>
      <c r="N153" s="1474"/>
      <c r="O153" s="1474"/>
      <c r="P153" s="1474"/>
      <c r="R153" s="1474"/>
      <c r="S153" s="1474"/>
      <c r="T153" s="1474"/>
    </row>
    <row r="154" spans="8:8">
      <c r="A154" s="1559">
        <v>152.0</v>
      </c>
      <c r="B154" s="1560" t="s">
        <v>1027</v>
      </c>
      <c r="C154" s="1560"/>
      <c r="D154" s="1561" t="s">
        <v>489</v>
      </c>
      <c r="E154" s="1562" t="s">
        <v>431</v>
      </c>
      <c r="F154" s="1561">
        <f t="shared" si="2"/>
        <v>0.0</v>
      </c>
      <c r="G154" s="1563" t="s">
        <v>1028</v>
      </c>
      <c r="K154" s="1551" t="s">
        <v>1029</v>
      </c>
      <c r="L154" s="1474"/>
      <c r="M154" s="1551" t="s">
        <v>935</v>
      </c>
      <c r="N154" s="1474"/>
      <c r="O154" s="1474"/>
      <c r="P154" s="1474"/>
      <c r="R154" s="1474"/>
      <c r="S154" s="1474"/>
      <c r="T154" s="1474"/>
    </row>
    <row r="155" spans="8:8">
      <c r="A155" s="1553">
        <v>153.0</v>
      </c>
      <c r="B155" s="1554" t="s">
        <v>1030</v>
      </c>
      <c r="C155" s="1554"/>
      <c r="D155" s="1555" t="s">
        <v>479</v>
      </c>
      <c r="E155" s="1556" t="s">
        <v>431</v>
      </c>
      <c r="F155" s="1557">
        <f t="shared" si="2"/>
        <v>0.0</v>
      </c>
      <c r="G155" s="1558" t="s">
        <v>1031</v>
      </c>
      <c r="K155" s="1551" t="s">
        <v>1032</v>
      </c>
      <c r="L155" s="1474"/>
      <c r="M155" s="1551" t="s">
        <v>935</v>
      </c>
      <c r="N155" s="1474"/>
      <c r="O155" s="1474"/>
      <c r="P155" s="1474"/>
      <c r="R155" s="1474"/>
      <c r="S155" s="1474"/>
      <c r="T155" s="1474"/>
    </row>
    <row r="156" spans="8:8" ht="14.1" customHeight="1">
      <c r="A156" s="1559">
        <v>154.0</v>
      </c>
      <c r="B156" s="1560" t="s">
        <v>1033</v>
      </c>
      <c r="C156" s="1560"/>
      <c r="D156" s="1561" t="s">
        <v>536</v>
      </c>
      <c r="E156" s="1562" t="s">
        <v>431</v>
      </c>
      <c r="F156" s="1561">
        <f t="shared" si="2"/>
        <v>0.0</v>
      </c>
      <c r="G156" s="1563" t="s">
        <v>1034</v>
      </c>
      <c r="K156" s="1566" t="s">
        <v>1035</v>
      </c>
      <c r="L156" s="1474"/>
      <c r="M156" s="1551" t="s">
        <v>935</v>
      </c>
      <c r="N156" s="1474"/>
      <c r="O156" s="1474"/>
      <c r="P156" s="1474"/>
      <c r="R156" s="1474"/>
      <c r="S156" s="1474"/>
      <c r="T156" s="1474"/>
    </row>
    <row r="157" spans="8:8">
      <c r="A157" s="1553">
        <v>155.0</v>
      </c>
      <c r="B157" s="1554" t="s">
        <v>1036</v>
      </c>
      <c r="C157" s="1554"/>
      <c r="D157" s="1555" t="s">
        <v>479</v>
      </c>
      <c r="E157" s="1556" t="s">
        <v>431</v>
      </c>
      <c r="F157" s="1557">
        <f t="shared" si="2"/>
        <v>0.0</v>
      </c>
      <c r="G157" s="1558" t="s">
        <v>1037</v>
      </c>
      <c r="K157" s="1551" t="s">
        <v>1038</v>
      </c>
      <c r="L157" s="1474"/>
      <c r="M157" s="1551" t="s">
        <v>935</v>
      </c>
      <c r="N157" s="1474"/>
      <c r="O157" s="1567" t="s">
        <v>1039</v>
      </c>
      <c r="P157" s="1568"/>
      <c r="Q157" s="1569" t="s">
        <v>1040</v>
      </c>
      <c r="R157" s="1474"/>
      <c r="S157" s="1474"/>
      <c r="T157" s="1474"/>
    </row>
    <row r="158" spans="8:8">
      <c r="A158" s="1570">
        <v>156.0</v>
      </c>
      <c r="B158" s="1571" t="s">
        <v>1041</v>
      </c>
      <c r="C158" s="1571"/>
      <c r="D158" s="1572" t="s">
        <v>479</v>
      </c>
      <c r="E158" s="1573" t="s">
        <v>425</v>
      </c>
      <c r="F158" s="1572">
        <f>EDU*2+MAX(STR*2,DEX*2)</f>
        <v>0.0</v>
      </c>
      <c r="G158" s="1574" t="s">
        <v>1042</v>
      </c>
      <c r="K158" s="1551" t="s">
        <v>1043</v>
      </c>
      <c r="L158" s="1474"/>
      <c r="M158" s="1551" t="s">
        <v>935</v>
      </c>
      <c r="N158" s="1474"/>
      <c r="O158" s="1575" t="s">
        <v>1044</v>
      </c>
      <c r="P158" s="1576"/>
      <c r="Q158" s="1577" t="s">
        <v>1045</v>
      </c>
      <c r="R158" s="1474"/>
      <c r="S158" s="1474"/>
      <c r="T158" s="1474"/>
    </row>
    <row r="159" spans="8:8">
      <c r="A159" s="1578">
        <v>157.0</v>
      </c>
      <c r="B159" s="1579" t="s">
        <v>1046</v>
      </c>
      <c r="C159" s="1579"/>
      <c r="D159" s="1580" t="s">
        <v>489</v>
      </c>
      <c r="E159" s="1581" t="s">
        <v>425</v>
      </c>
      <c r="F159" s="1582">
        <f>EDU*2+MAX(STR*2,DEX*2)</f>
        <v>0.0</v>
      </c>
      <c r="G159" s="1583" t="s">
        <v>1047</v>
      </c>
      <c r="H159" s="1550" t="s">
        <v>1048</v>
      </c>
      <c r="I159" s="1550"/>
      <c r="J159" s="1473"/>
      <c r="K159" s="1584" t="s">
        <v>1049</v>
      </c>
      <c r="L159" s="1585"/>
      <c r="M159" s="1584" t="s">
        <v>1050</v>
      </c>
      <c r="N159" s="1586"/>
      <c r="O159" s="1587" t="s">
        <v>1051</v>
      </c>
      <c r="P159" s="1588"/>
      <c r="Q159" s="1589" t="s">
        <v>1052</v>
      </c>
      <c r="R159" s="1474"/>
      <c r="S159" s="1474"/>
      <c r="T159" s="1474"/>
    </row>
    <row r="160" spans="8:8">
      <c r="A160" s="1559">
        <v>158.0</v>
      </c>
      <c r="B160" s="1560" t="s">
        <v>1053</v>
      </c>
      <c r="C160" s="1560"/>
      <c r="D160" s="1561" t="s">
        <v>881</v>
      </c>
      <c r="E160" s="1562" t="s">
        <v>425</v>
      </c>
      <c r="F160" s="1561">
        <f>EDU*2+MAX(STR*2,DEX*2)</f>
        <v>0.0</v>
      </c>
      <c r="G160" s="1563" t="s">
        <v>1054</v>
      </c>
      <c r="H160" s="1550"/>
      <c r="I160" s="1550"/>
      <c r="J160" s="1473"/>
      <c r="K160" s="1584" t="s">
        <v>1055</v>
      </c>
      <c r="L160" s="1585"/>
      <c r="M160" s="1584" t="s">
        <v>1050</v>
      </c>
      <c r="N160" s="1586"/>
      <c r="O160" s="1575" t="s">
        <v>1056</v>
      </c>
      <c r="P160" s="1576"/>
      <c r="Q160" s="1577" t="s">
        <v>1045</v>
      </c>
      <c r="R160" s="1474"/>
      <c r="S160" s="1474"/>
      <c r="T160" s="1474"/>
    </row>
    <row r="161" spans="8:8" ht="31.5">
      <c r="A161" s="1553">
        <v>159.0</v>
      </c>
      <c r="B161" s="1554" t="s">
        <v>1057</v>
      </c>
      <c r="C161" s="1554"/>
      <c r="D161" s="1555" t="s">
        <v>1058</v>
      </c>
      <c r="E161" s="1556" t="s">
        <v>431</v>
      </c>
      <c r="F161" s="1557">
        <f>EDU*4</f>
        <v>0.0</v>
      </c>
      <c r="G161" s="1558" t="s">
        <v>1059</v>
      </c>
      <c r="H161" s="1550"/>
      <c r="I161" s="1550"/>
      <c r="J161" s="1473"/>
      <c r="K161" s="1584" t="s">
        <v>1060</v>
      </c>
      <c r="L161" s="1585"/>
      <c r="M161" s="1584" t="s">
        <v>1050</v>
      </c>
      <c r="N161" s="1586"/>
      <c r="O161" s="1587" t="s">
        <v>1061</v>
      </c>
      <c r="P161" s="1588"/>
      <c r="Q161" s="1589" t="s">
        <v>1045</v>
      </c>
      <c r="R161" s="1474"/>
      <c r="S161" s="1474"/>
      <c r="T161" s="1474"/>
    </row>
    <row r="162" spans="8:8">
      <c r="A162" s="1559">
        <v>160.0</v>
      </c>
      <c r="B162" s="1560" t="s">
        <v>1062</v>
      </c>
      <c r="C162" s="1560"/>
      <c r="D162" s="1561" t="s">
        <v>578</v>
      </c>
      <c r="E162" s="1562" t="s">
        <v>431</v>
      </c>
      <c r="F162" s="1561">
        <f>EDU*4</f>
        <v>0.0</v>
      </c>
      <c r="G162" s="1563" t="s">
        <v>1063</v>
      </c>
      <c r="H162" s="1550"/>
      <c r="I162" s="1550"/>
      <c r="J162" s="1473"/>
      <c r="K162" s="1584" t="s">
        <v>515</v>
      </c>
      <c r="L162" s="1585"/>
      <c r="M162" s="1584" t="s">
        <v>1050</v>
      </c>
      <c r="N162" s="1586"/>
      <c r="O162" s="1575" t="s">
        <v>1064</v>
      </c>
      <c r="P162" s="1576"/>
      <c r="Q162" s="1577" t="s">
        <v>1065</v>
      </c>
      <c r="R162" s="1474"/>
      <c r="S162" s="1474"/>
      <c r="T162" s="1474"/>
    </row>
    <row r="163" spans="8:8">
      <c r="A163" s="1553">
        <v>161.0</v>
      </c>
      <c r="B163" s="1554" t="s">
        <v>1066</v>
      </c>
      <c r="C163" s="1554"/>
      <c r="D163" s="1555" t="s">
        <v>489</v>
      </c>
      <c r="E163" s="1556" t="s">
        <v>431</v>
      </c>
      <c r="F163" s="1557">
        <f>EDU*4</f>
        <v>0.0</v>
      </c>
      <c r="G163" s="1558" t="s">
        <v>1067</v>
      </c>
      <c r="H163" s="1550"/>
      <c r="I163" s="1550"/>
      <c r="J163" s="1473"/>
      <c r="K163" s="1584"/>
      <c r="L163" s="1585"/>
      <c r="M163" s="1584" t="s">
        <v>1050</v>
      </c>
      <c r="N163" s="1586"/>
      <c r="O163" s="1587" t="s">
        <v>1068</v>
      </c>
      <c r="P163" s="1588"/>
      <c r="Q163" s="1589" t="s">
        <v>1052</v>
      </c>
      <c r="R163" s="1474"/>
      <c r="S163" s="1474"/>
      <c r="T163" s="1474"/>
    </row>
    <row r="164" spans="8:8">
      <c r="A164" s="1559">
        <v>162.0</v>
      </c>
      <c r="B164" s="1560" t="s">
        <v>1069</v>
      </c>
      <c r="C164" s="1560"/>
      <c r="D164" s="1561" t="s">
        <v>408</v>
      </c>
      <c r="E164" s="1562" t="s">
        <v>425</v>
      </c>
      <c r="F164" s="1561">
        <f>EDU*2+MAX(STR*2,DEX*2)</f>
        <v>0.0</v>
      </c>
      <c r="G164" s="1563" t="s">
        <v>1070</v>
      </c>
      <c r="H164" s="1550"/>
      <c r="I164" s="1550"/>
      <c r="J164" s="1473"/>
      <c r="K164" s="1584"/>
      <c r="L164" s="1585"/>
      <c r="M164" s="1584" t="s">
        <v>1050</v>
      </c>
      <c r="N164" s="1586"/>
      <c r="O164" s="1575" t="s">
        <v>1071</v>
      </c>
      <c r="P164" s="1576"/>
      <c r="Q164" s="1577" t="s">
        <v>1072</v>
      </c>
      <c r="R164" s="1474"/>
      <c r="S164" s="1474"/>
      <c r="T164" s="1474"/>
    </row>
    <row r="165" spans="8:8">
      <c r="A165" s="1553">
        <v>163.0</v>
      </c>
      <c r="B165" s="1554" t="s">
        <v>1073</v>
      </c>
      <c r="C165" s="1554"/>
      <c r="D165" s="1555" t="s">
        <v>881</v>
      </c>
      <c r="E165" s="1556" t="s">
        <v>431</v>
      </c>
      <c r="F165" s="1557">
        <f>EDU*4</f>
        <v>0.0</v>
      </c>
      <c r="G165" s="1558" t="s">
        <v>1074</v>
      </c>
      <c r="H165" s="1564" t="s">
        <v>947</v>
      </c>
      <c r="I165" s="1564"/>
      <c r="J165" s="1473"/>
      <c r="K165" s="1584" t="s">
        <v>1075</v>
      </c>
      <c r="L165" s="1585"/>
      <c r="M165" s="1584" t="s">
        <v>1050</v>
      </c>
      <c r="N165" s="1586"/>
      <c r="O165" s="1590" t="s">
        <v>1076</v>
      </c>
      <c r="P165" s="1591"/>
      <c r="Q165" s="1592" t="s">
        <v>1045</v>
      </c>
      <c r="R165" s="1474"/>
      <c r="S165" s="1474"/>
      <c r="T165" s="1474"/>
    </row>
    <row r="166" spans="8:8" ht="18.0" customHeight="1">
      <c r="A166" s="1559">
        <v>164.0</v>
      </c>
      <c r="B166" s="1560" t="s">
        <v>1077</v>
      </c>
      <c r="C166" s="1560"/>
      <c r="D166" s="1561" t="s">
        <v>547</v>
      </c>
      <c r="E166" s="1562" t="s">
        <v>431</v>
      </c>
      <c r="F166" s="1561">
        <f>EDU*4</f>
        <v>0.0</v>
      </c>
      <c r="G166" s="1593" t="s">
        <v>1078</v>
      </c>
      <c r="J166" s="1473"/>
      <c r="K166" s="1584"/>
      <c r="L166" s="1585"/>
      <c r="M166" s="1584" t="s">
        <v>1050</v>
      </c>
      <c r="N166" s="1585"/>
      <c r="O166" s="1594" t="s">
        <v>1079</v>
      </c>
      <c r="P166" s="1594"/>
      <c r="Q166" s="1594"/>
      <c r="R166" s="1474"/>
      <c r="S166" s="1474"/>
      <c r="T166" s="1474"/>
    </row>
    <row r="167" spans="8:8">
      <c r="A167" s="1553">
        <v>165.0</v>
      </c>
      <c r="B167" s="1554" t="s">
        <v>1080</v>
      </c>
      <c r="C167" s="1554"/>
      <c r="D167" s="1555" t="s">
        <v>408</v>
      </c>
      <c r="E167" s="1556" t="s">
        <v>431</v>
      </c>
      <c r="F167" s="1557">
        <f>EDU*4</f>
        <v>0.0</v>
      </c>
      <c r="G167" s="1558" t="s">
        <v>1081</v>
      </c>
      <c r="J167" s="1473"/>
      <c r="K167" s="1595"/>
      <c r="L167" s="1596"/>
      <c r="M167" s="1595" t="s">
        <v>1050</v>
      </c>
      <c r="N167" s="1596"/>
      <c r="O167" s="1594"/>
      <c r="P167" s="1594"/>
      <c r="Q167" s="1594"/>
      <c r="R167" s="1474"/>
      <c r="S167" s="1474"/>
      <c r="T167" s="1474"/>
    </row>
    <row r="168" spans="8:8">
      <c r="A168" s="1559">
        <v>166.0</v>
      </c>
      <c r="B168" s="1560" t="s">
        <v>1082</v>
      </c>
      <c r="C168" s="1560"/>
      <c r="D168" s="1561" t="s">
        <v>446</v>
      </c>
      <c r="E168" s="1562" t="s">
        <v>431</v>
      </c>
      <c r="F168" s="1561">
        <f>EDU*4</f>
        <v>0.0</v>
      </c>
      <c r="G168" s="1563" t="s">
        <v>1083</v>
      </c>
      <c r="J168" s="1480"/>
      <c r="K168" s="1597"/>
      <c r="L168" s="1483"/>
      <c r="M168" s="1597" t="s">
        <v>1050</v>
      </c>
      <c r="N168" s="1483"/>
      <c r="O168" s="1594"/>
      <c r="P168" s="1594"/>
      <c r="Q168" s="1594"/>
      <c r="R168" s="1474"/>
      <c r="S168" s="1474"/>
      <c r="T168" s="1474"/>
    </row>
    <row r="169" spans="8:8">
      <c r="A169" s="1553">
        <v>167.0</v>
      </c>
      <c r="B169" s="1554" t="s">
        <v>1084</v>
      </c>
      <c r="C169" s="1554"/>
      <c r="D169" s="1555" t="s">
        <v>536</v>
      </c>
      <c r="E169" s="1556" t="s">
        <v>431</v>
      </c>
      <c r="F169" s="1557">
        <f>EDU*4</f>
        <v>0.0</v>
      </c>
      <c r="G169" s="1558" t="s">
        <v>1085</v>
      </c>
      <c r="J169" s="1480"/>
      <c r="K169" s="1597" t="s">
        <v>1086</v>
      </c>
      <c r="L169" s="1483"/>
      <c r="M169" s="1597" t="s">
        <v>1050</v>
      </c>
      <c r="N169" s="1483"/>
      <c r="O169" s="1598" t="s">
        <v>1087</v>
      </c>
      <c r="P169" s="1598"/>
      <c r="Q169" s="1598"/>
      <c r="R169" s="1474"/>
      <c r="S169" s="1474"/>
      <c r="T169" s="1474"/>
    </row>
    <row r="170" spans="8:8">
      <c r="A170" s="1559">
        <v>168.0</v>
      </c>
      <c r="B170" s="1560" t="s">
        <v>1088</v>
      </c>
      <c r="C170" s="1560"/>
      <c r="D170" s="1561" t="s">
        <v>617</v>
      </c>
      <c r="E170" s="1562" t="s">
        <v>425</v>
      </c>
      <c r="F170" s="1561">
        <f>EDU*2+MAX(STR*2,DEX*2)</f>
        <v>0.0</v>
      </c>
      <c r="G170" s="1563" t="s">
        <v>1089</v>
      </c>
      <c r="J170" s="1480"/>
      <c r="K170" s="1597" t="s">
        <v>1090</v>
      </c>
      <c r="L170" s="1483"/>
      <c r="M170" s="1597" t="s">
        <v>1050</v>
      </c>
      <c r="N170" s="1483"/>
      <c r="O170" s="1598"/>
      <c r="P170" s="1598"/>
      <c r="Q170" s="1598"/>
      <c r="R170" s="1474"/>
      <c r="S170" s="1474"/>
      <c r="T170" s="1474"/>
    </row>
    <row r="171" spans="8:8">
      <c r="A171" s="1599">
        <v>169.0</v>
      </c>
      <c r="B171" s="1600" t="s">
        <v>1091</v>
      </c>
      <c r="C171" s="1600"/>
      <c r="D171" s="1601" t="s">
        <v>504</v>
      </c>
      <c r="E171" s="1602" t="s">
        <v>505</v>
      </c>
      <c r="F171" s="1603">
        <f>EDU*2+STR*2</f>
        <v>0.0</v>
      </c>
      <c r="G171" s="1604" t="s">
        <v>1092</v>
      </c>
      <c r="J171" s="1480"/>
      <c r="K171" s="1597"/>
      <c r="L171" s="1483"/>
      <c r="M171" s="1597" t="s">
        <v>1050</v>
      </c>
      <c r="N171" s="1483"/>
      <c r="O171" s="1598" t="s">
        <v>1093</v>
      </c>
      <c r="P171" s="1598"/>
      <c r="Q171" s="1598"/>
      <c r="R171" s="1474"/>
      <c r="S171" s="1474"/>
      <c r="T171" s="1474"/>
    </row>
    <row r="172" spans="8:8">
      <c r="A172" s="1559">
        <v>170.0</v>
      </c>
      <c r="B172" s="1560" t="s">
        <v>1094</v>
      </c>
      <c r="C172" s="1560"/>
      <c r="D172" s="1561" t="s">
        <v>479</v>
      </c>
      <c r="E172" s="1562" t="s">
        <v>425</v>
      </c>
      <c r="F172" s="1561">
        <f>EDU*2+MAX(STR*2,DEX*2)</f>
        <v>0.0</v>
      </c>
      <c r="G172" s="1563" t="s">
        <v>1095</v>
      </c>
      <c r="H172" s="1550" t="s">
        <v>1096</v>
      </c>
      <c r="I172" s="1550"/>
      <c r="K172" s="1551" t="s">
        <v>1097</v>
      </c>
      <c r="L172" s="1474"/>
      <c r="M172" s="1551" t="s">
        <v>1098</v>
      </c>
      <c r="N172" s="1474"/>
      <c r="O172" s="1598"/>
      <c r="P172" s="1598"/>
      <c r="Q172" s="1598"/>
      <c r="R172" s="1474"/>
      <c r="S172" s="1474"/>
      <c r="T172" s="1474"/>
    </row>
    <row r="173" spans="8:8">
      <c r="A173" s="1553">
        <v>171.0</v>
      </c>
      <c r="B173" s="1554" t="s">
        <v>1099</v>
      </c>
      <c r="C173" s="1554"/>
      <c r="D173" s="1555" t="s">
        <v>446</v>
      </c>
      <c r="E173" s="1556" t="s">
        <v>431</v>
      </c>
      <c r="F173" s="1557">
        <f>EDU*4</f>
        <v>0.0</v>
      </c>
      <c r="G173" s="1558" t="s">
        <v>1100</v>
      </c>
      <c r="H173" s="1550"/>
      <c r="I173" s="1550"/>
      <c r="K173" s="1551" t="s">
        <v>1101</v>
      </c>
      <c r="L173" s="1474"/>
      <c r="M173" s="1551" t="s">
        <v>1098</v>
      </c>
      <c r="N173" s="1474"/>
      <c r="Q173" s="1473"/>
      <c r="R173" s="1474"/>
      <c r="S173" s="1474"/>
      <c r="T173" s="1474"/>
    </row>
    <row r="174" spans="8:8">
      <c r="A174" s="1559">
        <v>172.0</v>
      </c>
      <c r="B174" s="1560" t="s">
        <v>1102</v>
      </c>
      <c r="C174" s="1560"/>
      <c r="D174" s="1561" t="s">
        <v>881</v>
      </c>
      <c r="E174" s="1562" t="s">
        <v>431</v>
      </c>
      <c r="F174" s="1561">
        <f>EDU*4</f>
        <v>0.0</v>
      </c>
      <c r="G174" s="1563" t="s">
        <v>1103</v>
      </c>
      <c r="H174" s="1550"/>
      <c r="I174" s="1550"/>
      <c r="K174" s="1551"/>
      <c r="L174" s="1474"/>
      <c r="M174" s="1551" t="s">
        <v>1104</v>
      </c>
      <c r="N174" s="1474"/>
      <c r="Q174" s="1473"/>
      <c r="R174" s="1474"/>
      <c r="S174" s="1474"/>
      <c r="T174" s="1474"/>
    </row>
    <row r="175" spans="8:8">
      <c r="A175" s="1553">
        <v>173.0</v>
      </c>
      <c r="B175" s="1554" t="s">
        <v>1105</v>
      </c>
      <c r="C175" s="1554"/>
      <c r="D175" s="1555" t="s">
        <v>881</v>
      </c>
      <c r="E175" s="1556" t="s">
        <v>431</v>
      </c>
      <c r="F175" s="1557">
        <f>EDU*4</f>
        <v>0.0</v>
      </c>
      <c r="G175" s="1558" t="s">
        <v>1106</v>
      </c>
      <c r="H175" s="1550"/>
      <c r="I175" s="1550"/>
      <c r="K175" s="1551" t="s">
        <v>1107</v>
      </c>
      <c r="L175" s="1474"/>
      <c r="M175" s="1551" t="s">
        <v>1104</v>
      </c>
      <c r="N175" s="1474"/>
      <c r="O175" s="1474"/>
      <c r="P175" s="1474"/>
      <c r="R175" s="1474"/>
      <c r="S175" s="1474"/>
      <c r="T175" s="1474"/>
    </row>
    <row r="176" spans="8:8">
      <c r="A176" s="1559">
        <v>174.0</v>
      </c>
      <c r="B176" s="1560" t="s">
        <v>1108</v>
      </c>
      <c r="C176" s="1560"/>
      <c r="D176" s="1561" t="s">
        <v>446</v>
      </c>
      <c r="E176" s="1562" t="s">
        <v>437</v>
      </c>
      <c r="F176" s="1561">
        <f>EDU*2+MAX(APP*2,POW*2)</f>
        <v>0.0</v>
      </c>
      <c r="G176" s="1563" t="s">
        <v>1109</v>
      </c>
      <c r="H176" s="1550"/>
      <c r="I176" s="1550"/>
      <c r="K176" s="1551"/>
      <c r="L176" s="1474"/>
      <c r="M176" s="1551" t="s">
        <v>1110</v>
      </c>
      <c r="N176" s="1474"/>
      <c r="O176" s="1605" t="s">
        <v>1111</v>
      </c>
      <c r="P176" s="1605"/>
      <c r="Q176" s="1605"/>
      <c r="R176" s="1474"/>
      <c r="S176" s="1474"/>
      <c r="T176" s="1474"/>
    </row>
    <row r="177" spans="8:8">
      <c r="A177" s="1553">
        <v>175.0</v>
      </c>
      <c r="B177" s="1554" t="s">
        <v>1112</v>
      </c>
      <c r="C177" s="1554"/>
      <c r="D177" s="1555" t="s">
        <v>886</v>
      </c>
      <c r="E177" s="1556" t="s">
        <v>431</v>
      </c>
      <c r="F177" s="1557">
        <f>EDU*4</f>
        <v>0.0</v>
      </c>
      <c r="G177" s="1558" t="s">
        <v>1113</v>
      </c>
      <c r="H177" s="1550"/>
      <c r="I177" s="1550"/>
      <c r="K177" s="1551"/>
      <c r="L177" s="1474"/>
      <c r="M177" s="1551" t="s">
        <v>1110</v>
      </c>
      <c r="N177" s="1474"/>
      <c r="O177" s="1605"/>
      <c r="P177" s="1605"/>
      <c r="Q177" s="1605"/>
      <c r="R177" s="1474"/>
      <c r="S177" s="1474"/>
      <c r="T177" s="1474"/>
    </row>
    <row r="178" spans="8:8">
      <c r="A178" s="1559">
        <v>176.0</v>
      </c>
      <c r="B178" s="1560" t="s">
        <v>1114</v>
      </c>
      <c r="C178" s="1560"/>
      <c r="D178" s="1561" t="s">
        <v>518</v>
      </c>
      <c r="E178" s="1562" t="s">
        <v>431</v>
      </c>
      <c r="F178" s="1561">
        <f>EDU*4</f>
        <v>0.0</v>
      </c>
      <c r="G178" s="1563" t="s">
        <v>1115</v>
      </c>
      <c r="H178" s="1564" t="s">
        <v>947</v>
      </c>
      <c r="I178" s="1564"/>
      <c r="K178" s="1551"/>
      <c r="L178" s="1474"/>
      <c r="M178" s="1551" t="s">
        <v>1110</v>
      </c>
      <c r="N178" s="1474"/>
      <c r="O178" s="1605"/>
      <c r="P178" s="1605"/>
      <c r="Q178" s="1605"/>
      <c r="R178" s="1474"/>
      <c r="S178" s="1474"/>
      <c r="T178" s="1474"/>
    </row>
    <row r="179" spans="8:8">
      <c r="A179" s="1553">
        <v>177.0</v>
      </c>
      <c r="B179" s="1554" t="s">
        <v>1116</v>
      </c>
      <c r="C179" s="1554"/>
      <c r="D179" s="1555" t="s">
        <v>446</v>
      </c>
      <c r="E179" s="1557" t="s">
        <v>431</v>
      </c>
      <c r="F179" s="1557">
        <f>EDU*4</f>
        <v>0.0</v>
      </c>
      <c r="G179" s="1558" t="s">
        <v>992</v>
      </c>
      <c r="H179" s="1473"/>
      <c r="I179" s="1473"/>
      <c r="K179" s="1551" t="s">
        <v>993</v>
      </c>
      <c r="L179" s="1474"/>
      <c r="M179" s="1551" t="s">
        <v>1110</v>
      </c>
      <c r="N179" s="1474"/>
      <c r="O179" s="1605"/>
      <c r="P179" s="1605"/>
      <c r="Q179" s="1605"/>
      <c r="R179" s="1474"/>
      <c r="S179" s="1474"/>
      <c r="T179" s="1474"/>
    </row>
    <row r="180" spans="8:8">
      <c r="A180" s="1559">
        <v>178.0</v>
      </c>
      <c r="B180" s="1560" t="s">
        <v>1117</v>
      </c>
      <c r="C180" s="1560"/>
      <c r="D180" s="1561" t="s">
        <v>886</v>
      </c>
      <c r="E180" s="1562" t="s">
        <v>425</v>
      </c>
      <c r="F180" s="1561">
        <f>EDU*2+MAX(STR*2,DEX*2)</f>
        <v>0.0</v>
      </c>
      <c r="G180" s="1563" t="s">
        <v>1118</v>
      </c>
      <c r="H180" s="1564" t="s">
        <v>1119</v>
      </c>
      <c r="I180" s="1564"/>
      <c r="K180" s="1551"/>
      <c r="L180" s="1474"/>
      <c r="M180" s="1551" t="s">
        <v>1110</v>
      </c>
      <c r="N180" s="1474"/>
      <c r="O180" s="1474"/>
      <c r="P180" s="1474"/>
      <c r="R180" s="1474"/>
      <c r="S180" s="1474"/>
      <c r="T180" s="1474"/>
    </row>
    <row r="181" spans="8:8">
      <c r="A181" s="1553">
        <v>179.0</v>
      </c>
      <c r="B181" s="1554" t="s">
        <v>1120</v>
      </c>
      <c r="C181" s="1554"/>
      <c r="D181" s="1555" t="s">
        <v>474</v>
      </c>
      <c r="E181" s="1556" t="s">
        <v>415</v>
      </c>
      <c r="F181" s="1557">
        <f>EDU*2+APP*2</f>
        <v>0.0</v>
      </c>
      <c r="G181" s="1558" t="s">
        <v>649</v>
      </c>
      <c r="H181" s="1564"/>
      <c r="I181" s="1564"/>
      <c r="K181" s="1551"/>
      <c r="L181" s="1474"/>
      <c r="M181" s="1551" t="s">
        <v>1110</v>
      </c>
      <c r="N181" s="1474"/>
      <c r="O181" s="1474"/>
      <c r="P181" s="1474"/>
      <c r="R181" s="1474"/>
      <c r="S181" s="1474"/>
      <c r="T181" s="1474"/>
    </row>
    <row r="182" spans="8:8" ht="15.0" customHeight="1">
      <c r="A182" s="1559">
        <v>180.0</v>
      </c>
      <c r="B182" s="1560" t="s">
        <v>1121</v>
      </c>
      <c r="C182" s="1560"/>
      <c r="D182" s="1561" t="s">
        <v>578</v>
      </c>
      <c r="E182" s="1562" t="s">
        <v>431</v>
      </c>
      <c r="F182" s="1561">
        <f>EDU*4</f>
        <v>0.0</v>
      </c>
      <c r="G182" s="1593" t="s">
        <v>1122</v>
      </c>
      <c r="H182" s="1564"/>
      <c r="I182" s="1564"/>
      <c r="K182" s="1551"/>
      <c r="L182" s="1474"/>
      <c r="M182" s="1551" t="s">
        <v>1110</v>
      </c>
      <c r="N182" s="1474"/>
      <c r="O182" s="1474"/>
      <c r="P182" s="1474"/>
      <c r="R182" s="1474"/>
      <c r="S182" s="1474"/>
      <c r="T182" s="1474"/>
    </row>
    <row r="183" spans="8:8">
      <c r="A183" s="1553">
        <v>181.0</v>
      </c>
      <c r="B183" s="1554" t="s">
        <v>1123</v>
      </c>
      <c r="C183" s="1554"/>
      <c r="D183" s="1555" t="s">
        <v>479</v>
      </c>
      <c r="E183" s="1556" t="s">
        <v>431</v>
      </c>
      <c r="F183" s="1557">
        <f>EDU*4</f>
        <v>0.0</v>
      </c>
      <c r="G183" s="1558" t="s">
        <v>1124</v>
      </c>
      <c r="H183" s="1564"/>
      <c r="I183" s="1564"/>
      <c r="K183" s="1551"/>
      <c r="L183" s="1474"/>
      <c r="M183" s="1551" t="s">
        <v>1110</v>
      </c>
      <c r="N183" s="1474"/>
      <c r="O183" s="1474"/>
      <c r="P183" s="1474"/>
      <c r="R183" s="1474"/>
      <c r="S183" s="1474"/>
      <c r="T183" s="1474"/>
    </row>
    <row r="184" spans="8:8">
      <c r="A184" s="1559">
        <v>182.0</v>
      </c>
      <c r="B184" s="1560" t="s">
        <v>1125</v>
      </c>
      <c r="C184" s="1560"/>
      <c r="D184" s="1561" t="s">
        <v>494</v>
      </c>
      <c r="E184" s="1562" t="s">
        <v>431</v>
      </c>
      <c r="F184" s="1561">
        <f>EDU*4</f>
        <v>0.0</v>
      </c>
      <c r="G184" s="1563" t="s">
        <v>1126</v>
      </c>
      <c r="K184" s="1551"/>
      <c r="L184" s="1474"/>
      <c r="M184" s="1551" t="s">
        <v>1110</v>
      </c>
      <c r="N184" s="1474"/>
      <c r="O184" s="1474"/>
      <c r="P184" s="1474"/>
      <c r="R184" s="1474"/>
      <c r="S184" s="1474"/>
      <c r="T184" s="1474"/>
    </row>
    <row r="185" spans="8:8">
      <c r="A185" s="1553">
        <v>183.0</v>
      </c>
      <c r="B185" s="1554" t="s">
        <v>1127</v>
      </c>
      <c r="C185" s="1554"/>
      <c r="D185" s="1555" t="s">
        <v>479</v>
      </c>
      <c r="E185" s="1556" t="s">
        <v>425</v>
      </c>
      <c r="F185" s="1557">
        <f>EDU*2+MAX(STR*2,DEX*2)</f>
        <v>0.0</v>
      </c>
      <c r="G185" s="1558" t="s">
        <v>874</v>
      </c>
      <c r="K185" s="1551"/>
      <c r="L185" s="1474"/>
      <c r="M185" s="1551" t="s">
        <v>1110</v>
      </c>
      <c r="N185" s="1474"/>
      <c r="R185" s="1474"/>
      <c r="S185" s="1474"/>
      <c r="T185" s="1474"/>
    </row>
    <row r="186" spans="8:8">
      <c r="A186" s="1559">
        <v>184.0</v>
      </c>
      <c r="B186" s="1560" t="s">
        <v>1128</v>
      </c>
      <c r="C186" s="1560"/>
      <c r="D186" s="1561" t="s">
        <v>479</v>
      </c>
      <c r="E186" s="1562" t="s">
        <v>425</v>
      </c>
      <c r="F186" s="1561">
        <f>EDU*2+MAX(STR*2,DEX*2)</f>
        <v>0.0</v>
      </c>
      <c r="G186" s="1563" t="s">
        <v>874</v>
      </c>
      <c r="K186" s="1551"/>
      <c r="L186" s="1474"/>
      <c r="M186" s="1551" t="s">
        <v>1110</v>
      </c>
      <c r="N186" s="1474"/>
      <c r="R186" s="1474"/>
      <c r="S186" s="1474"/>
      <c r="T186" s="1474"/>
    </row>
    <row r="187" spans="8:8" ht="13.05" customHeight="1">
      <c r="A187" s="1553">
        <v>185.0</v>
      </c>
      <c r="B187" s="1554" t="s">
        <v>1129</v>
      </c>
      <c r="C187" s="1554"/>
      <c r="D187" s="1555" t="s">
        <v>653</v>
      </c>
      <c r="E187" s="1556" t="s">
        <v>618</v>
      </c>
      <c r="F187" s="1557">
        <f>EDU*2+MAX(DEX*2,APP*2,STR*2)</f>
        <v>0.0</v>
      </c>
      <c r="G187" s="1558" t="s">
        <v>1130</v>
      </c>
      <c r="K187" s="1551"/>
      <c r="L187" s="1474"/>
      <c r="M187" s="1551" t="s">
        <v>1110</v>
      </c>
      <c r="N187" s="1474"/>
      <c r="R187" s="1474"/>
      <c r="S187" s="1474"/>
      <c r="T187" s="1474"/>
    </row>
    <row r="188" spans="8:8">
      <c r="A188" s="1559">
        <v>186.0</v>
      </c>
      <c r="B188" s="1560" t="s">
        <v>1131</v>
      </c>
      <c r="C188" s="1560"/>
      <c r="D188" s="1561" t="s">
        <v>402</v>
      </c>
      <c r="E188" s="1562" t="s">
        <v>431</v>
      </c>
      <c r="F188" s="1561">
        <f>EDU*4</f>
        <v>0.0</v>
      </c>
      <c r="G188" s="1563" t="s">
        <v>957</v>
      </c>
      <c r="K188" s="1551"/>
      <c r="L188" s="1474"/>
      <c r="M188" s="1551" t="s">
        <v>1110</v>
      </c>
      <c r="N188" s="1474"/>
      <c r="O188" s="1474"/>
      <c r="P188" s="1474"/>
      <c r="R188" s="1474"/>
      <c r="S188" s="1474"/>
      <c r="T188" s="1474"/>
    </row>
    <row r="189" spans="8:8">
      <c r="A189" s="1553">
        <v>187.0</v>
      </c>
      <c r="B189" s="1554" t="s">
        <v>1132</v>
      </c>
      <c r="C189" s="1554"/>
      <c r="D189" s="1555" t="s">
        <v>474</v>
      </c>
      <c r="E189" s="1556" t="s">
        <v>415</v>
      </c>
      <c r="F189" s="1557">
        <f>EDU*2+APP*2</f>
        <v>0.0</v>
      </c>
      <c r="G189" s="1558" t="s">
        <v>1133</v>
      </c>
      <c r="K189" s="1551"/>
      <c r="L189" s="1474"/>
      <c r="M189" s="1551" t="s">
        <v>1110</v>
      </c>
      <c r="N189" s="1474"/>
      <c r="O189" s="1474"/>
      <c r="P189" s="1474"/>
      <c r="R189" s="1474"/>
      <c r="S189" s="1474"/>
      <c r="T189" s="1474"/>
    </row>
    <row r="190" spans="8:8">
      <c r="A190" s="1559">
        <v>188.0</v>
      </c>
      <c r="B190" s="1560" t="s">
        <v>1134</v>
      </c>
      <c r="C190" s="1560"/>
      <c r="D190" s="1561" t="s">
        <v>474</v>
      </c>
      <c r="E190" s="1562" t="s">
        <v>415</v>
      </c>
      <c r="F190" s="1561">
        <f>EDU*2+APP*2</f>
        <v>0.0</v>
      </c>
      <c r="G190" s="1563" t="s">
        <v>1135</v>
      </c>
      <c r="K190" s="1551"/>
      <c r="L190" s="1474"/>
      <c r="M190" s="1551" t="s">
        <v>1110</v>
      </c>
      <c r="N190" s="1474"/>
      <c r="O190" s="1474"/>
      <c r="P190" s="1474"/>
      <c r="R190" s="1474"/>
      <c r="S190" s="1474"/>
      <c r="T190" s="1474"/>
    </row>
    <row r="191" spans="8:8">
      <c r="A191" s="1553">
        <v>189.0</v>
      </c>
      <c r="B191" s="1554" t="s">
        <v>1136</v>
      </c>
      <c r="C191" s="1554"/>
      <c r="D191" s="1555" t="s">
        <v>474</v>
      </c>
      <c r="E191" s="1556" t="s">
        <v>415</v>
      </c>
      <c r="F191" s="1557">
        <f>EDU*2+APP*2</f>
        <v>0.0</v>
      </c>
      <c r="G191" s="1558" t="s">
        <v>1137</v>
      </c>
      <c r="K191" s="1551"/>
      <c r="L191" s="1474"/>
      <c r="M191" s="1551" t="s">
        <v>1110</v>
      </c>
      <c r="N191" s="1474"/>
      <c r="O191" s="1474"/>
      <c r="P191" s="1474"/>
      <c r="R191" s="1474"/>
      <c r="S191" s="1474"/>
      <c r="T191" s="1474"/>
    </row>
    <row r="192" spans="8:8">
      <c r="A192" s="1559">
        <v>190.0</v>
      </c>
      <c r="B192" s="1560" t="s">
        <v>1138</v>
      </c>
      <c r="C192" s="1560"/>
      <c r="D192" s="1561" t="s">
        <v>408</v>
      </c>
      <c r="E192" s="1470" t="s">
        <v>554</v>
      </c>
      <c r="F192" s="1561">
        <f>EDU*2+DEX*2</f>
        <v>0.0</v>
      </c>
      <c r="G192" s="1563" t="s">
        <v>1139</v>
      </c>
      <c r="K192" s="1551"/>
      <c r="L192" s="1474"/>
      <c r="M192" s="1551" t="s">
        <v>1110</v>
      </c>
      <c r="N192" s="1474"/>
      <c r="O192" s="1474"/>
      <c r="P192" s="1474"/>
      <c r="R192" s="1474"/>
      <c r="S192" s="1474"/>
      <c r="T192" s="1474"/>
    </row>
    <row r="193" spans="8:8">
      <c r="A193" s="1553">
        <v>191.0</v>
      </c>
      <c r="B193" s="1554" t="s">
        <v>1140</v>
      </c>
      <c r="C193" s="1554"/>
      <c r="D193" s="1555" t="s">
        <v>717</v>
      </c>
      <c r="E193" s="1556" t="s">
        <v>431</v>
      </c>
      <c r="F193" s="1557">
        <f>EDU*4</f>
        <v>0.0</v>
      </c>
      <c r="G193" s="1558" t="s">
        <v>1008</v>
      </c>
      <c r="K193" s="1551"/>
      <c r="L193" s="1474"/>
      <c r="M193" s="1551" t="s">
        <v>1110</v>
      </c>
      <c r="N193" s="1474"/>
      <c r="O193" s="1474"/>
      <c r="P193" s="1474"/>
      <c r="R193" s="1474"/>
      <c r="S193" s="1474"/>
      <c r="T193" s="1474"/>
    </row>
    <row r="194" spans="8:8">
      <c r="A194" s="1559">
        <v>192.0</v>
      </c>
      <c r="B194" s="1560" t="s">
        <v>1141</v>
      </c>
      <c r="C194" s="1560"/>
      <c r="D194" s="1561" t="s">
        <v>717</v>
      </c>
      <c r="E194" s="1562" t="s">
        <v>431</v>
      </c>
      <c r="F194" s="1561">
        <f>EDU*4</f>
        <v>0.0</v>
      </c>
      <c r="G194" s="1563" t="s">
        <v>1008</v>
      </c>
      <c r="K194" s="1551"/>
      <c r="L194" s="1474"/>
      <c r="M194" s="1551" t="s">
        <v>1110</v>
      </c>
      <c r="N194" s="1474"/>
      <c r="O194" s="1474"/>
      <c r="P194" s="1474"/>
      <c r="R194" s="1474"/>
      <c r="S194" s="1474"/>
      <c r="T194" s="1474"/>
    </row>
    <row r="195" spans="8:8">
      <c r="A195" s="1553">
        <v>193.0</v>
      </c>
      <c r="B195" s="1554" t="s">
        <v>1142</v>
      </c>
      <c r="C195" s="1554"/>
      <c r="D195" s="1555" t="s">
        <v>717</v>
      </c>
      <c r="E195" s="1556" t="s">
        <v>431</v>
      </c>
      <c r="F195" s="1557">
        <f>EDU*4</f>
        <v>0.0</v>
      </c>
      <c r="G195" s="1558" t="s">
        <v>1008</v>
      </c>
      <c r="K195" s="1551"/>
      <c r="L195" s="1474"/>
      <c r="M195" s="1551" t="s">
        <v>1110</v>
      </c>
      <c r="N195" s="1474"/>
      <c r="O195" s="1474"/>
      <c r="P195" s="1474"/>
      <c r="R195" s="1474"/>
      <c r="S195" s="1474"/>
      <c r="T195" s="1474"/>
    </row>
    <row r="196" spans="8:8">
      <c r="A196" s="1559">
        <v>194.0</v>
      </c>
      <c r="B196" s="1560" t="s">
        <v>1143</v>
      </c>
      <c r="C196" s="1560"/>
      <c r="D196" s="1561" t="s">
        <v>474</v>
      </c>
      <c r="E196" s="1562" t="s">
        <v>415</v>
      </c>
      <c r="F196" s="1606">
        <f>EDU*2+APP*2</f>
        <v>0.0</v>
      </c>
      <c r="G196" s="1563" t="s">
        <v>1144</v>
      </c>
      <c r="K196" s="1551"/>
      <c r="L196" s="1474"/>
      <c r="M196" s="1551" t="s">
        <v>1110</v>
      </c>
      <c r="N196" s="1474"/>
      <c r="O196" s="1474"/>
      <c r="P196" s="1474"/>
      <c r="R196" s="1474"/>
      <c r="S196" s="1474"/>
      <c r="T196" s="1474"/>
    </row>
    <row r="197" spans="8:8">
      <c r="A197" s="1553">
        <v>195.0</v>
      </c>
      <c r="B197" s="1554" t="s">
        <v>1145</v>
      </c>
      <c r="C197" s="1554"/>
      <c r="D197" s="1555" t="s">
        <v>402</v>
      </c>
      <c r="E197" s="1556" t="s">
        <v>431</v>
      </c>
      <c r="F197" s="1557">
        <f>EDU*4</f>
        <v>0.0</v>
      </c>
      <c r="G197" s="1558" t="s">
        <v>1146</v>
      </c>
      <c r="K197" s="1551"/>
      <c r="L197" s="1474"/>
      <c r="M197" s="1551" t="s">
        <v>1110</v>
      </c>
      <c r="N197" s="1474"/>
      <c r="O197" s="1474"/>
      <c r="P197" s="1474"/>
      <c r="R197" s="1474"/>
      <c r="S197" s="1474"/>
      <c r="T197" s="1474"/>
    </row>
    <row r="198" spans="8:8">
      <c r="A198" s="1559">
        <v>196.0</v>
      </c>
      <c r="B198" s="1560" t="s">
        <v>1147</v>
      </c>
      <c r="C198" s="1560"/>
      <c r="D198" s="1561" t="s">
        <v>479</v>
      </c>
      <c r="E198" s="1470" t="s">
        <v>554</v>
      </c>
      <c r="F198" s="1561">
        <f>EDU*2+DEX*2</f>
        <v>0.0</v>
      </c>
      <c r="G198" s="1563" t="s">
        <v>1148</v>
      </c>
      <c r="K198" s="1551"/>
      <c r="L198" s="1474"/>
      <c r="M198" s="1551" t="s">
        <v>1110</v>
      </c>
      <c r="N198" s="1474"/>
      <c r="O198" s="1474"/>
      <c r="P198" s="1474"/>
      <c r="R198" s="1474"/>
      <c r="S198" s="1474"/>
      <c r="T198" s="1474"/>
    </row>
    <row r="199" spans="8:8">
      <c r="A199" s="1553">
        <v>197.0</v>
      </c>
      <c r="B199" s="1554" t="s">
        <v>1149</v>
      </c>
      <c r="C199" s="1554"/>
      <c r="D199" s="1555" t="s">
        <v>479</v>
      </c>
      <c r="E199" s="1565" t="s">
        <v>1150</v>
      </c>
      <c r="F199" s="1557">
        <f>EDU*2+MAX(EDU*2,APP*2)</f>
        <v>0.0</v>
      </c>
      <c r="G199" s="1558" t="s">
        <v>1151</v>
      </c>
      <c r="K199" s="1551"/>
      <c r="L199" s="1474"/>
      <c r="M199" s="1551" t="s">
        <v>1110</v>
      </c>
      <c r="N199" s="1474"/>
      <c r="O199" s="1474"/>
      <c r="P199" s="1474"/>
      <c r="R199" s="1474"/>
      <c r="S199" s="1474"/>
      <c r="T199" s="1474"/>
    </row>
    <row r="200" spans="8:8">
      <c r="A200" s="1559">
        <v>198.0</v>
      </c>
      <c r="B200" s="1560" t="s">
        <v>1152</v>
      </c>
      <c r="C200" s="1560"/>
      <c r="D200" s="1561" t="s">
        <v>414</v>
      </c>
      <c r="E200" s="1562" t="s">
        <v>431</v>
      </c>
      <c r="F200" s="1561">
        <f>EDU*4</f>
        <v>0.0</v>
      </c>
      <c r="G200" s="1563" t="s">
        <v>745</v>
      </c>
      <c r="K200" s="1551"/>
      <c r="L200" s="1474"/>
      <c r="M200" s="1551" t="s">
        <v>1110</v>
      </c>
      <c r="N200" s="1474"/>
      <c r="O200" s="1474"/>
      <c r="P200" s="1474"/>
      <c r="R200" s="1474"/>
      <c r="S200" s="1474"/>
      <c r="T200" s="1474"/>
    </row>
    <row r="201" spans="8:8">
      <c r="A201" s="1553">
        <v>199.0</v>
      </c>
      <c r="B201" s="1554" t="s">
        <v>1153</v>
      </c>
      <c r="C201" s="1554"/>
      <c r="D201" s="1555" t="s">
        <v>479</v>
      </c>
      <c r="E201" s="1565" t="s">
        <v>531</v>
      </c>
      <c r="F201" s="1557">
        <f>EDU*2+DEX*2</f>
        <v>0.0</v>
      </c>
      <c r="G201" s="1558" t="s">
        <v>1154</v>
      </c>
      <c r="K201" s="1551"/>
      <c r="L201" s="1474"/>
      <c r="M201" s="1551" t="s">
        <v>1110</v>
      </c>
      <c r="N201" s="1474"/>
      <c r="O201" s="1474"/>
      <c r="P201" s="1474"/>
      <c r="R201" s="1474"/>
      <c r="S201" s="1474"/>
      <c r="T201" s="1474"/>
    </row>
    <row r="202" spans="8:8">
      <c r="A202" s="1559">
        <v>200.0</v>
      </c>
      <c r="B202" s="1560" t="s">
        <v>1155</v>
      </c>
      <c r="C202" s="1560"/>
      <c r="D202" s="1561" t="s">
        <v>518</v>
      </c>
      <c r="E202" s="1562" t="s">
        <v>431</v>
      </c>
      <c r="F202" s="1561">
        <f>EDU*4</f>
        <v>0.0</v>
      </c>
      <c r="G202" s="1563" t="s">
        <v>1156</v>
      </c>
      <c r="K202" s="1551"/>
      <c r="L202" s="1474"/>
      <c r="M202" s="1551" t="s">
        <v>1110</v>
      </c>
      <c r="N202" s="1474"/>
      <c r="O202" s="1474"/>
      <c r="P202" s="1474"/>
      <c r="R202" s="1474"/>
      <c r="S202" s="1474"/>
      <c r="T202" s="1474"/>
    </row>
    <row r="203" spans="8:8">
      <c r="A203" s="1553">
        <v>201.0</v>
      </c>
      <c r="B203" s="1554" t="s">
        <v>1157</v>
      </c>
      <c r="C203" s="1554"/>
      <c r="D203" s="1555" t="s">
        <v>479</v>
      </c>
      <c r="E203" s="1556" t="s">
        <v>425</v>
      </c>
      <c r="F203" s="1557">
        <f>EDU*2+MAX(STR*2,DEX*2)</f>
        <v>0.0</v>
      </c>
      <c r="G203" s="1558" t="s">
        <v>874</v>
      </c>
      <c r="K203" s="1551"/>
      <c r="L203" s="1474"/>
      <c r="M203" s="1551" t="s">
        <v>1110</v>
      </c>
      <c r="N203" s="1474"/>
      <c r="O203" s="1474"/>
      <c r="P203" s="1474"/>
      <c r="R203" s="1474"/>
      <c r="S203" s="1474"/>
      <c r="T203" s="1474"/>
    </row>
    <row r="204" spans="8:8">
      <c r="A204" s="1559">
        <v>202.0</v>
      </c>
      <c r="B204" s="1560" t="s">
        <v>1158</v>
      </c>
      <c r="C204" s="1560"/>
      <c r="D204" s="1561" t="s">
        <v>1159</v>
      </c>
      <c r="E204" s="1562" t="s">
        <v>431</v>
      </c>
      <c r="F204" s="1561">
        <f>EDU*4</f>
        <v>0.0</v>
      </c>
      <c r="G204" s="1563" t="s">
        <v>1160</v>
      </c>
      <c r="K204" s="1551"/>
      <c r="L204" s="1474"/>
      <c r="M204" s="1551" t="s">
        <v>1110</v>
      </c>
      <c r="N204" s="1474"/>
      <c r="O204" s="1474"/>
      <c r="P204" s="1474"/>
      <c r="R204" s="1474"/>
      <c r="S204" s="1474"/>
      <c r="T204" s="1474"/>
    </row>
    <row r="205" spans="8:8">
      <c r="A205" s="1553">
        <v>203.0</v>
      </c>
      <c r="B205" s="1607" t="s">
        <v>1161</v>
      </c>
      <c r="C205" s="1607"/>
      <c r="D205" s="1555" t="s">
        <v>479</v>
      </c>
      <c r="E205" s="1556" t="s">
        <v>425</v>
      </c>
      <c r="F205" s="1557">
        <f>EDU*2+MAX(STR*2,DEX*2)</f>
        <v>0.0</v>
      </c>
      <c r="G205" s="1558" t="s">
        <v>1162</v>
      </c>
      <c r="K205" s="1551"/>
      <c r="L205" s="1474"/>
      <c r="M205" s="1551" t="s">
        <v>1110</v>
      </c>
      <c r="N205" s="1474"/>
      <c r="O205" s="1474"/>
      <c r="P205" s="1474"/>
      <c r="R205" s="1474"/>
      <c r="S205" s="1474"/>
      <c r="T205" s="1474"/>
    </row>
    <row r="206" spans="8:8">
      <c r="A206" s="1570">
        <v>204.0</v>
      </c>
      <c r="B206" s="1571" t="s">
        <v>1163</v>
      </c>
      <c r="C206" s="1571"/>
      <c r="D206" s="1572" t="s">
        <v>408</v>
      </c>
      <c r="E206" s="1573" t="s">
        <v>431</v>
      </c>
      <c r="F206" s="1572">
        <f>EDU*4</f>
        <v>0.0</v>
      </c>
      <c r="G206" s="1574" t="s">
        <v>1164</v>
      </c>
      <c r="K206" s="1551"/>
      <c r="L206" s="1474"/>
      <c r="M206" s="1551" t="s">
        <v>1110</v>
      </c>
      <c r="N206" s="1474"/>
      <c r="O206" s="1474"/>
      <c r="P206" s="1474"/>
      <c r="R206" s="1474"/>
      <c r="S206" s="1474"/>
      <c r="T206" s="1474"/>
    </row>
    <row r="207" spans="8:8" ht="31.5">
      <c r="A207" s="1608">
        <v>205.0</v>
      </c>
      <c r="B207" s="1609" t="s">
        <v>1165</v>
      </c>
      <c r="C207" s="1609"/>
      <c r="D207" s="1610" t="s">
        <v>479</v>
      </c>
      <c r="E207" s="1611" t="s">
        <v>415</v>
      </c>
      <c r="F207" s="1612">
        <f>EDU*2+APP*2</f>
        <v>0.0</v>
      </c>
      <c r="G207" s="1613" t="s">
        <v>1166</v>
      </c>
      <c r="H207" s="1550" t="s">
        <v>1167</v>
      </c>
      <c r="I207" s="1550"/>
      <c r="K207" s="1551"/>
      <c r="L207" s="1474"/>
      <c r="M207" s="1552" t="s">
        <v>1168</v>
      </c>
      <c r="N207" s="1474"/>
      <c r="O207" s="1474"/>
      <c r="P207" s="1474"/>
      <c r="R207" s="1474"/>
      <c r="S207" s="1474"/>
      <c r="T207" s="1474"/>
    </row>
    <row r="208" spans="8:8" ht="31.5">
      <c r="A208" s="1614">
        <v>206.0</v>
      </c>
      <c r="B208" s="1615" t="s">
        <v>1169</v>
      </c>
      <c r="C208" s="1615"/>
      <c r="D208" s="1555" t="s">
        <v>536</v>
      </c>
      <c r="E208" s="1616" t="s">
        <v>431</v>
      </c>
      <c r="F208" s="1617">
        <f>EDU*4</f>
        <v>0.0</v>
      </c>
      <c r="G208" s="1618" t="s">
        <v>1170</v>
      </c>
      <c r="H208" s="1550"/>
      <c r="I208" s="1550"/>
      <c r="K208" s="1551"/>
      <c r="L208" s="1474"/>
      <c r="M208" s="1552" t="s">
        <v>1168</v>
      </c>
      <c r="N208" s="1474"/>
      <c r="O208" s="1474"/>
      <c r="P208" s="1474"/>
      <c r="R208" s="1474"/>
      <c r="S208" s="1474"/>
      <c r="T208" s="1474"/>
    </row>
    <row r="209" spans="8:8">
      <c r="A209" s="1619">
        <v>207.0</v>
      </c>
      <c r="B209" s="1620" t="s">
        <v>1171</v>
      </c>
      <c r="C209" s="1620"/>
      <c r="D209" s="1621" t="s">
        <v>1172</v>
      </c>
      <c r="E209" s="1622" t="s">
        <v>1150</v>
      </c>
      <c r="F209" s="1623">
        <f>EDU*2+MAX(EDU*2,APP*2)</f>
        <v>0.0</v>
      </c>
      <c r="G209" s="1624" t="s">
        <v>1173</v>
      </c>
      <c r="H209" s="1550"/>
      <c r="I209" s="1550"/>
      <c r="K209" s="1551"/>
      <c r="L209" s="1474"/>
      <c r="M209" s="1552" t="s">
        <v>1168</v>
      </c>
      <c r="N209" s="1474"/>
      <c r="O209" s="1474"/>
      <c r="P209" s="1474"/>
      <c r="R209" s="1474"/>
      <c r="S209" s="1474"/>
      <c r="T209" s="1474"/>
    </row>
    <row r="210" spans="8:8">
      <c r="A210" s="1614">
        <v>208.0</v>
      </c>
      <c r="B210" s="1615" t="s">
        <v>462</v>
      </c>
      <c r="C210" s="1615"/>
      <c r="D210" s="1555" t="s">
        <v>436</v>
      </c>
      <c r="E210" s="1616" t="s">
        <v>464</v>
      </c>
      <c r="F210" s="1617">
        <f>EDU*2+MAX(DEX*2,POW*2)</f>
        <v>0.0</v>
      </c>
      <c r="G210" s="1618" t="s">
        <v>1174</v>
      </c>
      <c r="H210" s="1550"/>
      <c r="I210" s="1550"/>
      <c r="K210" s="1551"/>
      <c r="L210" s="1474"/>
      <c r="M210" s="1552" t="s">
        <v>1168</v>
      </c>
      <c r="N210" s="1474"/>
      <c r="O210" s="1474"/>
      <c r="P210" s="1474"/>
      <c r="R210" s="1474"/>
      <c r="S210" s="1474"/>
      <c r="T210" s="1474"/>
    </row>
    <row r="211" spans="8:8">
      <c r="A211" s="1619">
        <v>209.0</v>
      </c>
      <c r="B211" s="1620" t="s">
        <v>1175</v>
      </c>
      <c r="C211" s="1620"/>
      <c r="D211" s="1621" t="s">
        <v>436</v>
      </c>
      <c r="E211" s="1622" t="s">
        <v>431</v>
      </c>
      <c r="F211" s="1623">
        <f>EDU*4</f>
        <v>0.0</v>
      </c>
      <c r="G211" s="1624" t="s">
        <v>1176</v>
      </c>
      <c r="H211" s="1550"/>
      <c r="I211" s="1550"/>
      <c r="K211" s="1551"/>
      <c r="L211" s="1474"/>
      <c r="M211" s="1552" t="s">
        <v>1168</v>
      </c>
      <c r="N211" s="1474"/>
      <c r="O211" s="1474"/>
      <c r="P211" s="1474"/>
      <c r="R211" s="1474"/>
      <c r="S211" s="1474"/>
      <c r="T211" s="1474"/>
    </row>
    <row r="212" spans="8:8">
      <c r="A212" s="1614">
        <v>210.0</v>
      </c>
      <c r="B212" s="1615" t="s">
        <v>1177</v>
      </c>
      <c r="C212" s="1615"/>
      <c r="D212" s="1555" t="s">
        <v>587</v>
      </c>
      <c r="E212" s="1616" t="s">
        <v>531</v>
      </c>
      <c r="F212" s="1617">
        <f>EDU*2+DEX*2</f>
        <v>0.0</v>
      </c>
      <c r="G212" s="1618" t="s">
        <v>1178</v>
      </c>
      <c r="H212" s="1550"/>
      <c r="I212" s="1550"/>
      <c r="K212" s="1551"/>
      <c r="L212" s="1474"/>
      <c r="M212" s="1552" t="s">
        <v>1168</v>
      </c>
      <c r="N212" s="1474"/>
      <c r="O212" s="1474"/>
      <c r="P212" s="1474"/>
      <c r="R212" s="1474"/>
      <c r="S212" s="1474"/>
      <c r="T212" s="1474"/>
    </row>
    <row r="213" spans="8:8">
      <c r="A213" s="1619">
        <v>211.0</v>
      </c>
      <c r="B213" s="1620" t="s">
        <v>1179</v>
      </c>
      <c r="C213" s="1620"/>
      <c r="D213" s="1621" t="s">
        <v>1180</v>
      </c>
      <c r="E213" s="1622" t="s">
        <v>437</v>
      </c>
      <c r="F213" s="1623">
        <f>EDU*2+MAX(APP*2,POW*2)</f>
        <v>0.0</v>
      </c>
      <c r="G213" s="1624" t="s">
        <v>1181</v>
      </c>
      <c r="H213" s="1564" t="s">
        <v>947</v>
      </c>
      <c r="I213" s="1564"/>
      <c r="K213" s="1551"/>
      <c r="L213" s="1474"/>
      <c r="M213" s="1552" t="s">
        <v>1168</v>
      </c>
      <c r="N213" s="1474"/>
      <c r="O213" s="1474"/>
      <c r="P213" s="1474"/>
      <c r="R213" s="1474"/>
      <c r="S213" s="1474"/>
      <c r="T213" s="1474"/>
    </row>
    <row r="214" spans="8:8">
      <c r="A214" s="1614">
        <v>212.0</v>
      </c>
      <c r="B214" s="1615" t="s">
        <v>1182</v>
      </c>
      <c r="C214" s="1615"/>
      <c r="D214" s="1555" t="s">
        <v>430</v>
      </c>
      <c r="E214" s="1616" t="s">
        <v>431</v>
      </c>
      <c r="F214" s="1617">
        <f>EDU*4</f>
        <v>0.0</v>
      </c>
      <c r="G214" s="1618" t="s">
        <v>1183</v>
      </c>
      <c r="H214" s="1564" t="s">
        <v>1184</v>
      </c>
      <c r="I214" s="1564"/>
      <c r="K214" s="1551"/>
      <c r="L214" s="1474"/>
      <c r="M214" s="1552" t="s">
        <v>1168</v>
      </c>
      <c r="N214" s="1474"/>
      <c r="O214" s="1474"/>
      <c r="P214" s="1474"/>
      <c r="R214" s="1474"/>
      <c r="S214" s="1474"/>
      <c r="T214" s="1474"/>
    </row>
    <row r="215" spans="8:8">
      <c r="A215" s="1619">
        <v>213.0</v>
      </c>
      <c r="B215" s="1620" t="s">
        <v>530</v>
      </c>
      <c r="C215" s="1620"/>
      <c r="D215" s="1621" t="s">
        <v>740</v>
      </c>
      <c r="E215" s="1622" t="s">
        <v>425</v>
      </c>
      <c r="F215" s="1623">
        <f>EDU*2+MAX(STR*2,DEX*2)</f>
        <v>0.0</v>
      </c>
      <c r="G215" s="1624" t="s">
        <v>1185</v>
      </c>
      <c r="K215" s="1551"/>
      <c r="L215" s="1474"/>
      <c r="M215" s="1552" t="s">
        <v>1168</v>
      </c>
      <c r="N215" s="1474"/>
      <c r="O215" s="1474"/>
      <c r="P215" s="1474"/>
      <c r="R215" s="1474"/>
      <c r="S215" s="1474"/>
      <c r="T215" s="1474"/>
    </row>
    <row r="216" spans="8:8" ht="31.5">
      <c r="A216" s="1614">
        <v>214.0</v>
      </c>
      <c r="B216" s="1615" t="s">
        <v>1186</v>
      </c>
      <c r="C216" s="1615"/>
      <c r="D216" s="1555" t="s">
        <v>479</v>
      </c>
      <c r="E216" s="1616" t="s">
        <v>618</v>
      </c>
      <c r="F216" s="1617">
        <f>EDU*2+MAX(DEX*2,APP*2,STR*2)</f>
        <v>0.0</v>
      </c>
      <c r="G216" s="1618" t="s">
        <v>1187</v>
      </c>
      <c r="K216" s="1551"/>
      <c r="L216" s="1474"/>
      <c r="M216" s="1552" t="s">
        <v>1168</v>
      </c>
      <c r="N216" s="1474"/>
      <c r="O216" s="1474"/>
      <c r="P216" s="1474"/>
      <c r="R216" s="1474"/>
      <c r="S216" s="1474"/>
      <c r="T216" s="1474"/>
    </row>
    <row r="217" spans="8:8">
      <c r="A217" s="1619">
        <v>215.0</v>
      </c>
      <c r="B217" s="1620" t="s">
        <v>1188</v>
      </c>
      <c r="C217" s="1620"/>
      <c r="D217" s="1621" t="s">
        <v>518</v>
      </c>
      <c r="E217" s="1622" t="s">
        <v>415</v>
      </c>
      <c r="F217" s="1623">
        <f>EDU*2+APP*2</f>
        <v>0.0</v>
      </c>
      <c r="G217" s="1624" t="s">
        <v>1189</v>
      </c>
      <c r="K217" s="1551"/>
      <c r="L217" s="1474"/>
      <c r="M217" s="1552" t="s">
        <v>1168</v>
      </c>
      <c r="N217" s="1474"/>
      <c r="O217" s="1474"/>
      <c r="P217" s="1474"/>
      <c r="R217" s="1474"/>
      <c r="S217" s="1474"/>
      <c r="T217" s="1474"/>
    </row>
    <row r="218" spans="8:8">
      <c r="A218" s="1614">
        <v>216.0</v>
      </c>
      <c r="B218" s="1615" t="s">
        <v>648</v>
      </c>
      <c r="C218" s="1615"/>
      <c r="D218" s="1555" t="s">
        <v>436</v>
      </c>
      <c r="E218" s="1616" t="s">
        <v>437</v>
      </c>
      <c r="F218" s="1617">
        <f>EDU*2+MAX(APP*2,POW*2)</f>
        <v>0.0</v>
      </c>
      <c r="G218" s="1618" t="s">
        <v>1190</v>
      </c>
      <c r="K218" s="1551"/>
      <c r="L218" s="1474"/>
      <c r="M218" s="1552" t="s">
        <v>1168</v>
      </c>
      <c r="N218" s="1474"/>
      <c r="O218" s="1474"/>
      <c r="P218" s="1474"/>
      <c r="R218" s="1474"/>
      <c r="S218" s="1474"/>
      <c r="T218" s="1474"/>
    </row>
    <row r="219" spans="8:8">
      <c r="A219" s="1619">
        <v>217.0</v>
      </c>
      <c r="B219" s="1620" t="s">
        <v>1191</v>
      </c>
      <c r="C219" s="1620"/>
      <c r="D219" s="1621" t="s">
        <v>1192</v>
      </c>
      <c r="E219" s="1622" t="s">
        <v>431</v>
      </c>
      <c r="F219" s="1623">
        <f>EDU*4</f>
        <v>0.0</v>
      </c>
      <c r="G219" s="1624" t="s">
        <v>1193</v>
      </c>
      <c r="K219" s="1551"/>
      <c r="L219" s="1474"/>
      <c r="M219" s="1552" t="s">
        <v>1168</v>
      </c>
      <c r="N219" s="1474"/>
      <c r="O219" s="1474"/>
      <c r="P219" s="1474"/>
      <c r="R219" s="1474"/>
      <c r="S219" s="1474"/>
      <c r="T219" s="1474"/>
    </row>
    <row r="220" spans="8:8" ht="31.5">
      <c r="A220" s="1614">
        <v>218.0</v>
      </c>
      <c r="B220" s="1615" t="s">
        <v>1194</v>
      </c>
      <c r="C220" s="1615"/>
      <c r="D220" s="1555" t="s">
        <v>1195</v>
      </c>
      <c r="E220" s="1616" t="s">
        <v>618</v>
      </c>
      <c r="F220" s="1617">
        <f>EDU*2+MAX(DEX*2,APP*2,STR*2)</f>
        <v>0.0</v>
      </c>
      <c r="G220" s="1618" t="s">
        <v>1196</v>
      </c>
      <c r="K220" s="1551"/>
      <c r="L220" s="1474"/>
      <c r="M220" s="1552" t="s">
        <v>1168</v>
      </c>
      <c r="N220" s="1474"/>
      <c r="O220" s="1474"/>
      <c r="P220" s="1474"/>
      <c r="R220" s="1474"/>
      <c r="S220" s="1474"/>
      <c r="T220" s="1474"/>
    </row>
    <row r="221" spans="8:8">
      <c r="A221" s="1619">
        <v>219.0</v>
      </c>
      <c r="B221" s="1620" t="s">
        <v>817</v>
      </c>
      <c r="C221" s="1620"/>
      <c r="D221" s="1621" t="s">
        <v>414</v>
      </c>
      <c r="E221" s="1472" t="s">
        <v>698</v>
      </c>
      <c r="F221" s="1623">
        <f>EDU*2+MAX(DEX*2,APP*2)</f>
        <v>0.0</v>
      </c>
      <c r="G221" s="1624" t="s">
        <v>1197</v>
      </c>
      <c r="K221" s="1551"/>
      <c r="L221" s="1474"/>
      <c r="M221" s="1552" t="s">
        <v>1168</v>
      </c>
      <c r="N221" s="1474"/>
      <c r="O221" s="1474"/>
      <c r="P221" s="1474"/>
      <c r="R221" s="1474"/>
      <c r="S221" s="1474"/>
      <c r="T221" s="1474"/>
    </row>
    <row r="222" spans="8:8">
      <c r="A222" s="1614">
        <v>220.0</v>
      </c>
      <c r="B222" s="1615" t="s">
        <v>1198</v>
      </c>
      <c r="C222" s="1615"/>
      <c r="D222" s="1555" t="s">
        <v>479</v>
      </c>
      <c r="E222" s="1616" t="s">
        <v>698</v>
      </c>
      <c r="F222" s="1617">
        <f>EDU*2+MAX(DEX*2,APP*2)</f>
        <v>0.0</v>
      </c>
      <c r="G222" s="1618" t="s">
        <v>1199</v>
      </c>
      <c r="K222" s="1551"/>
      <c r="L222" s="1474"/>
      <c r="M222" s="1552" t="s">
        <v>1168</v>
      </c>
      <c r="N222" s="1474"/>
      <c r="O222" s="1474"/>
      <c r="P222" s="1474"/>
      <c r="R222" s="1474"/>
      <c r="S222" s="1474"/>
      <c r="T222" s="1474"/>
    </row>
    <row r="223" spans="8:8" ht="31.5">
      <c r="A223" s="1619">
        <v>221.0</v>
      </c>
      <c r="B223" s="1620" t="s">
        <v>1200</v>
      </c>
      <c r="C223" s="1620"/>
      <c r="D223" s="1621" t="s">
        <v>826</v>
      </c>
      <c r="E223" s="1622" t="s">
        <v>505</v>
      </c>
      <c r="F223" s="1623">
        <f>EDU*2+STR*2</f>
        <v>0.0</v>
      </c>
      <c r="G223" s="1625" t="s">
        <v>1201</v>
      </c>
      <c r="K223" s="1551"/>
      <c r="L223" s="1474"/>
      <c r="M223" s="1552" t="s">
        <v>1168</v>
      </c>
      <c r="N223" s="1474"/>
      <c r="O223" s="1626"/>
      <c r="P223" s="1626"/>
      <c r="Q223" s="1626"/>
      <c r="R223" s="1474"/>
      <c r="S223" s="1474"/>
      <c r="T223" s="1474"/>
    </row>
    <row r="224" spans="8:8">
      <c r="A224" s="1614">
        <v>222.0</v>
      </c>
      <c r="B224" s="1615" t="s">
        <v>735</v>
      </c>
      <c r="C224" s="1615"/>
      <c r="D224" s="1555" t="s">
        <v>912</v>
      </c>
      <c r="E224" s="1616" t="s">
        <v>431</v>
      </c>
      <c r="F224" s="1617">
        <f>EDU*4</f>
        <v>0.0</v>
      </c>
      <c r="G224" s="1618" t="s">
        <v>1202</v>
      </c>
      <c r="K224" s="1551"/>
      <c r="L224" s="1474"/>
      <c r="M224" s="1552" t="s">
        <v>1168</v>
      </c>
      <c r="N224" s="1474"/>
      <c r="O224" s="1626"/>
      <c r="P224" s="1626"/>
      <c r="Q224" s="1626"/>
      <c r="R224" s="1474"/>
      <c r="S224" s="1474"/>
      <c r="T224" s="1474"/>
    </row>
    <row r="225" spans="8:8">
      <c r="A225" s="1619">
        <v>223.0</v>
      </c>
      <c r="B225" s="1620" t="s">
        <v>1203</v>
      </c>
      <c r="C225" s="1620"/>
      <c r="D225" s="1621" t="s">
        <v>402</v>
      </c>
      <c r="E225" s="1622" t="s">
        <v>431</v>
      </c>
      <c r="F225" s="1623">
        <f>EDU*4</f>
        <v>0.0</v>
      </c>
      <c r="G225" s="1624" t="s">
        <v>1204</v>
      </c>
      <c r="K225" s="1551"/>
      <c r="L225" s="1474"/>
      <c r="M225" s="1552" t="s">
        <v>1168</v>
      </c>
      <c r="N225" s="1474"/>
      <c r="O225" s="1474"/>
      <c r="P225" s="1474"/>
      <c r="R225" s="1474"/>
      <c r="S225" s="1474"/>
      <c r="T225" s="1474"/>
    </row>
    <row r="226" spans="8:8">
      <c r="A226" s="1614">
        <v>224.0</v>
      </c>
      <c r="B226" s="1615" t="s">
        <v>1205</v>
      </c>
      <c r="C226" s="1615"/>
      <c r="D226" s="1555" t="s">
        <v>479</v>
      </c>
      <c r="E226" s="1616" t="s">
        <v>425</v>
      </c>
      <c r="F226" s="1617">
        <f>EDU*2+MAX(STR*2,DEX*2)</f>
        <v>0.0</v>
      </c>
      <c r="G226" s="1618" t="s">
        <v>1206</v>
      </c>
      <c r="K226" s="1551"/>
      <c r="L226" s="1474"/>
      <c r="M226" s="1552" t="s">
        <v>1168</v>
      </c>
      <c r="N226" s="1474"/>
      <c r="O226" s="1474"/>
      <c r="P226" s="1474"/>
      <c r="R226" s="1474"/>
      <c r="S226" s="1474"/>
      <c r="T226" s="1474"/>
    </row>
    <row r="227" spans="8:8">
      <c r="A227" s="1619">
        <v>225.0</v>
      </c>
      <c r="B227" s="1620" t="s">
        <v>1207</v>
      </c>
      <c r="C227" s="1620"/>
      <c r="D227" s="1621" t="s">
        <v>489</v>
      </c>
      <c r="E227" s="1622" t="s">
        <v>431</v>
      </c>
      <c r="F227" s="1623">
        <f>EDU*4</f>
        <v>0.0</v>
      </c>
      <c r="G227" s="1624" t="s">
        <v>1208</v>
      </c>
      <c r="K227" s="1551"/>
      <c r="L227" s="1474"/>
      <c r="M227" s="1552" t="s">
        <v>1168</v>
      </c>
      <c r="N227" s="1474"/>
      <c r="O227" s="1474"/>
      <c r="P227" s="1474"/>
      <c r="R227" s="1474"/>
      <c r="S227" s="1474"/>
      <c r="T227" s="1474"/>
    </row>
    <row r="228" spans="8:8">
      <c r="A228" s="1614">
        <v>226.0</v>
      </c>
      <c r="B228" s="1615" t="s">
        <v>860</v>
      </c>
      <c r="C228" s="1615"/>
      <c r="D228" s="1555" t="s">
        <v>430</v>
      </c>
      <c r="E228" s="1616" t="s">
        <v>431</v>
      </c>
      <c r="F228" s="1617">
        <f>EDU*4</f>
        <v>0.0</v>
      </c>
      <c r="G228" s="1618" t="s">
        <v>1209</v>
      </c>
      <c r="K228" s="1551"/>
      <c r="L228" s="1474"/>
      <c r="M228" s="1552" t="s">
        <v>1168</v>
      </c>
      <c r="N228" s="1474"/>
      <c r="O228" s="1474"/>
      <c r="P228" s="1474"/>
      <c r="R228" s="1474"/>
      <c r="S228" s="1474"/>
      <c r="T228" s="1474"/>
    </row>
    <row r="229" spans="8:8">
      <c r="A229" s="1619">
        <v>227.0</v>
      </c>
      <c r="B229" s="1620" t="s">
        <v>1210</v>
      </c>
      <c r="C229" s="1620"/>
      <c r="D229" s="1621" t="s">
        <v>826</v>
      </c>
      <c r="E229" s="1622" t="s">
        <v>698</v>
      </c>
      <c r="F229" s="1623">
        <f>EDU*2+MAX(APP*2,DEX*2)</f>
        <v>0.0</v>
      </c>
      <c r="G229" s="1624" t="s">
        <v>1211</v>
      </c>
      <c r="K229" s="1551"/>
      <c r="L229" s="1474"/>
      <c r="M229" s="1552" t="s">
        <v>1168</v>
      </c>
      <c r="N229" s="1474"/>
      <c r="O229" s="1474"/>
      <c r="P229" s="1474"/>
      <c r="R229" s="1474"/>
      <c r="S229" s="1474"/>
      <c r="T229" s="1474"/>
    </row>
    <row r="230" spans="8:8">
      <c r="A230" s="1614">
        <v>228.0</v>
      </c>
      <c r="B230" s="1615" t="s">
        <v>1212</v>
      </c>
      <c r="C230" s="1615"/>
      <c r="D230" s="1555" t="s">
        <v>479</v>
      </c>
      <c r="E230" s="1616" t="s">
        <v>698</v>
      </c>
      <c r="F230" s="1617">
        <f>EDU*2+MAX(APP*2,DEX*2)</f>
        <v>0.0</v>
      </c>
      <c r="G230" s="1618" t="s">
        <v>1213</v>
      </c>
      <c r="K230" s="1551"/>
      <c r="L230" s="1474"/>
      <c r="M230" s="1552" t="s">
        <v>1168</v>
      </c>
      <c r="N230" s="1474"/>
      <c r="O230" s="1474"/>
      <c r="P230" s="1474"/>
      <c r="R230" s="1474"/>
      <c r="S230" s="1474"/>
      <c r="T230" s="1474"/>
    </row>
    <row r="231" spans="8:8">
      <c r="A231" s="1619">
        <v>229.0</v>
      </c>
      <c r="B231" s="1620" t="s">
        <v>1214</v>
      </c>
      <c r="C231" s="1620"/>
      <c r="D231" s="1621" t="s">
        <v>479</v>
      </c>
      <c r="E231" s="1622" t="s">
        <v>425</v>
      </c>
      <c r="F231" s="1623">
        <f>EDU*2+MAX(STR*2,DEX*2)</f>
        <v>0.0</v>
      </c>
      <c r="G231" s="1624" t="s">
        <v>1215</v>
      </c>
      <c r="K231" s="1551"/>
      <c r="L231" s="1474"/>
      <c r="M231" s="1552" t="s">
        <v>1168</v>
      </c>
      <c r="N231" s="1474"/>
      <c r="O231" s="1474"/>
      <c r="P231" s="1474"/>
      <c r="R231" s="1474"/>
      <c r="S231" s="1474"/>
      <c r="T231" s="1474"/>
    </row>
    <row r="232" spans="8:8">
      <c r="A232" s="1627">
        <v>230.0</v>
      </c>
      <c r="B232" s="1628" t="s">
        <v>1216</v>
      </c>
      <c r="C232" s="1628"/>
      <c r="D232" s="1601" t="s">
        <v>402</v>
      </c>
      <c r="E232" s="1542" t="s">
        <v>582</v>
      </c>
      <c r="F232" s="1629">
        <f>EDU*2+MAX(APP*2,DEX*2)</f>
        <v>0.0</v>
      </c>
      <c r="G232" s="1630" t="s">
        <v>1217</v>
      </c>
      <c r="K232" s="1551"/>
      <c r="L232" s="1474"/>
      <c r="M232" s="1552" t="s">
        <v>1168</v>
      </c>
      <c r="N232" s="1474"/>
      <c r="O232" s="1474"/>
      <c r="P232" s="1474"/>
      <c r="R232" s="1474"/>
      <c r="S232" s="1474"/>
      <c r="T232" s="1474"/>
    </row>
    <row r="233" spans="8:8">
      <c r="A233" s="1631"/>
      <c r="B233" s="1632"/>
      <c r="C233" s="1632"/>
      <c r="D233" s="1631"/>
      <c r="E233" s="1633"/>
      <c r="F233" s="1631"/>
      <c r="G233" s="1634"/>
      <c r="H233" s="1635"/>
      <c r="I233" s="1636"/>
      <c r="J233" s="1636"/>
      <c r="K233" s="1637"/>
      <c r="L233" s="1483"/>
      <c r="M233" s="1552"/>
      <c r="N233" s="1474"/>
      <c r="O233" s="1474"/>
      <c r="P233" s="1474"/>
      <c r="R233" s="1474"/>
      <c r="S233" s="1474"/>
      <c r="T233" s="1474"/>
    </row>
    <row r="234" spans="8:8">
      <c r="A234" s="1638"/>
      <c r="B234" s="1639"/>
      <c r="C234" s="1639"/>
      <c r="D234" s="1631"/>
      <c r="E234" s="1640"/>
      <c r="F234" s="1638"/>
      <c r="G234" s="1641"/>
      <c r="H234" s="1635"/>
      <c r="I234" s="1636"/>
      <c r="J234" s="1636"/>
      <c r="K234" s="1637"/>
      <c r="L234" s="1483"/>
      <c r="M234" s="1552"/>
      <c r="N234" s="1474"/>
      <c r="O234" s="1474"/>
      <c r="P234" s="1474"/>
      <c r="R234" s="1474"/>
      <c r="S234" s="1474"/>
      <c r="T234" s="1474"/>
    </row>
    <row r="235" spans="8:8">
      <c r="A235" s="1638"/>
      <c r="B235" s="1639"/>
      <c r="C235" s="1639"/>
      <c r="D235" s="1638"/>
      <c r="E235" s="1640"/>
      <c r="F235" s="1638"/>
      <c r="G235" s="1642"/>
      <c r="H235" s="1635"/>
      <c r="I235" s="1636"/>
      <c r="J235" s="1636"/>
      <c r="K235" s="1637"/>
      <c r="L235" s="1483"/>
      <c r="M235" s="1552"/>
      <c r="N235" s="1474"/>
      <c r="O235" s="1474"/>
      <c r="P235" s="1474"/>
      <c r="R235" s="1474"/>
      <c r="S235" s="1474"/>
      <c r="T235" s="1474"/>
    </row>
    <row r="236" spans="8:8">
      <c r="A236" s="1638"/>
      <c r="B236" s="1639"/>
      <c r="C236" s="1639"/>
      <c r="D236" s="1631"/>
      <c r="E236" s="1640"/>
      <c r="F236" s="1638"/>
      <c r="G236" s="1641"/>
      <c r="H236" s="1635"/>
      <c r="I236" s="1636"/>
      <c r="J236" s="1636"/>
      <c r="K236" s="1637"/>
      <c r="L236" s="1483"/>
      <c r="M236" s="1552"/>
      <c r="N236" s="1474"/>
      <c r="O236" s="1474"/>
      <c r="P236" s="1474"/>
      <c r="R236" s="1474"/>
      <c r="S236" s="1474"/>
      <c r="T236" s="1474"/>
    </row>
    <row r="237" spans="8:8">
      <c r="A237" s="1638"/>
      <c r="B237" s="1639"/>
      <c r="C237" s="1639"/>
      <c r="D237" s="1638"/>
      <c r="E237" s="1640"/>
      <c r="F237" s="1638"/>
      <c r="G237" s="1642"/>
      <c r="H237" s="1635"/>
      <c r="I237" s="1636"/>
      <c r="J237" s="1636"/>
      <c r="K237" s="1637"/>
      <c r="L237" s="1483"/>
      <c r="M237" s="1552"/>
      <c r="N237" s="1474"/>
      <c r="O237" s="1474"/>
      <c r="P237" s="1474"/>
      <c r="R237" s="1474"/>
      <c r="S237" s="1474"/>
      <c r="T237" s="1474"/>
    </row>
    <row r="238" spans="8:8">
      <c r="A238" s="1636"/>
      <c r="B238" s="1635"/>
      <c r="C238" s="1635"/>
      <c r="D238" s="1643"/>
      <c r="E238" s="1636"/>
      <c r="F238" s="1636"/>
      <c r="G238" s="1636"/>
      <c r="H238" s="1635"/>
      <c r="I238" s="1636"/>
      <c r="J238" s="1636"/>
      <c r="K238" s="1636"/>
      <c r="L238" s="1483"/>
      <c r="M238" s="1474"/>
      <c r="N238" s="1474"/>
      <c r="O238" s="1474"/>
      <c r="P238" s="1474"/>
      <c r="R238" s="1474"/>
      <c r="S238" s="1474"/>
      <c r="T238" s="1474"/>
    </row>
    <row r="239" spans="8:8">
      <c r="A239" s="1636"/>
      <c r="B239" s="1635"/>
      <c r="C239" s="1635"/>
      <c r="D239" s="1643"/>
      <c r="E239" s="1636"/>
      <c r="F239" s="1636"/>
      <c r="G239" s="1636"/>
      <c r="H239" s="1635"/>
      <c r="I239" s="1636"/>
      <c r="J239" s="1636"/>
      <c r="K239" s="1636"/>
      <c r="L239" s="1483"/>
      <c r="M239" s="1474"/>
      <c r="N239" s="1474"/>
      <c r="O239" s="1474"/>
      <c r="P239" s="1474"/>
      <c r="R239" s="1474"/>
      <c r="S239" s="1474"/>
      <c r="T239" s="1474"/>
    </row>
    <row r="240" spans="8:8">
      <c r="A240" s="1636"/>
      <c r="B240" s="1635"/>
      <c r="C240" s="1635"/>
      <c r="D240" s="1643"/>
      <c r="E240" s="1636"/>
      <c r="F240" s="1636"/>
      <c r="G240" s="1636"/>
      <c r="H240" s="1635"/>
      <c r="I240" s="1636"/>
      <c r="J240" s="1636"/>
      <c r="K240" s="1636"/>
      <c r="L240" s="1483"/>
      <c r="M240" s="1474"/>
      <c r="N240" s="1474"/>
      <c r="O240" s="1474"/>
      <c r="P240" s="1474"/>
      <c r="R240" s="1474"/>
      <c r="S240" s="1474"/>
      <c r="T240" s="1474"/>
    </row>
    <row r="241" spans="8:8">
      <c r="A241" s="1636"/>
      <c r="B241" s="1635"/>
      <c r="C241" s="1635"/>
      <c r="D241" s="1643"/>
      <c r="E241" s="1636"/>
      <c r="F241" s="1636"/>
      <c r="G241" s="1636"/>
      <c r="H241" s="1635"/>
      <c r="I241" s="1636"/>
      <c r="J241" s="1636"/>
      <c r="K241" s="1636"/>
      <c r="L241" s="1483"/>
      <c r="M241" s="1474"/>
      <c r="N241" s="1474"/>
      <c r="O241" s="1474"/>
      <c r="P241" s="1474"/>
      <c r="R241" s="1474"/>
      <c r="S241" s="1474"/>
      <c r="T241" s="1474"/>
    </row>
    <row r="242" spans="8:8">
      <c r="K242" s="1644"/>
      <c r="L242" s="1474"/>
      <c r="M242" s="1474"/>
      <c r="N242" s="1474"/>
      <c r="O242" s="1474"/>
      <c r="P242" s="1474"/>
      <c r="R242" s="1474"/>
      <c r="S242" s="1474"/>
      <c r="T242" s="1474"/>
    </row>
    <row r="243" spans="8:8">
      <c r="K243" s="1644"/>
      <c r="L243" s="1474"/>
      <c r="M243" s="1474"/>
      <c r="N243" s="1474"/>
      <c r="O243" s="1474"/>
      <c r="P243" s="1474"/>
      <c r="R243" s="1474"/>
      <c r="S243" s="1474"/>
      <c r="T243" s="1474"/>
    </row>
    <row r="244" spans="8:8">
      <c r="K244" s="1644"/>
      <c r="L244" s="1474"/>
      <c r="M244" s="1474"/>
      <c r="N244" s="1474"/>
      <c r="O244" s="1474"/>
      <c r="P244" s="1474"/>
      <c r="R244" s="1474"/>
      <c r="S244" s="1474"/>
      <c r="T244" s="1474"/>
    </row>
    <row r="245" spans="8:8">
      <c r="K245" s="1644"/>
      <c r="L245" s="1474"/>
      <c r="M245" s="1474"/>
      <c r="N245" s="1474"/>
      <c r="O245" s="1474"/>
      <c r="P245" s="1474"/>
      <c r="R245" s="1474"/>
      <c r="S245" s="1474"/>
      <c r="T245" s="1474"/>
    </row>
    <row r="246" spans="8:8">
      <c r="K246" s="1644"/>
      <c r="L246" s="1474"/>
      <c r="M246" s="1474"/>
      <c r="N246" s="1474"/>
      <c r="O246" s="1474"/>
      <c r="P246" s="1474"/>
      <c r="R246" s="1474"/>
      <c r="S246" s="1474"/>
      <c r="T246" s="1474"/>
    </row>
    <row r="247" spans="8:8">
      <c r="K247" s="1644"/>
      <c r="L247" s="1474"/>
      <c r="M247" s="1474"/>
      <c r="N247" s="1474"/>
      <c r="O247" s="1474"/>
      <c r="P247" s="1474"/>
      <c r="R247" s="1474"/>
      <c r="S247" s="1474"/>
      <c r="T247" s="1474"/>
    </row>
    <row r="248" spans="8:8">
      <c r="K248" s="1644"/>
      <c r="L248" s="1474"/>
      <c r="M248" s="1474"/>
      <c r="N248" s="1474"/>
      <c r="O248" s="1474"/>
      <c r="P248" s="1474"/>
      <c r="R248" s="1474"/>
      <c r="S248" s="1474"/>
      <c r="T248" s="1474"/>
    </row>
    <row r="249" spans="8:8">
      <c r="K249" s="1644"/>
      <c r="L249" s="1474"/>
      <c r="M249" s="1474"/>
      <c r="N249" s="1474"/>
      <c r="O249" s="1474"/>
      <c r="P249" s="1474"/>
      <c r="R249" s="1474"/>
      <c r="S249" s="1474"/>
      <c r="T249" s="1474"/>
    </row>
    <row r="250" spans="8:8">
      <c r="K250" s="1644"/>
      <c r="L250" s="1474"/>
      <c r="M250" s="1474"/>
      <c r="N250" s="1474"/>
      <c r="O250" s="1474"/>
      <c r="P250" s="1474"/>
      <c r="R250" s="1474"/>
      <c r="S250" s="1474"/>
      <c r="T250" s="1474"/>
    </row>
    <row r="251" spans="8:8">
      <c r="K251" s="1644"/>
      <c r="L251" s="1474"/>
      <c r="M251" s="1474"/>
      <c r="N251" s="1474"/>
      <c r="O251" s="1474"/>
      <c r="P251" s="1474"/>
      <c r="R251" s="1474"/>
      <c r="S251" s="1474"/>
      <c r="T251" s="1474"/>
    </row>
    <row r="252" spans="8:8">
      <c r="K252" s="1644"/>
      <c r="L252" s="1474"/>
      <c r="M252" s="1474"/>
      <c r="N252" s="1474"/>
      <c r="O252" s="1474"/>
      <c r="P252" s="1474"/>
      <c r="R252" s="1474"/>
      <c r="S252" s="1474"/>
      <c r="T252" s="1474"/>
    </row>
    <row r="253" spans="8:8">
      <c r="K253" s="1644"/>
      <c r="L253" s="1474"/>
      <c r="M253" s="1474"/>
      <c r="N253" s="1474"/>
      <c r="O253" s="1474"/>
      <c r="P253" s="1474"/>
      <c r="R253" s="1474"/>
      <c r="S253" s="1474"/>
      <c r="T253" s="1474"/>
    </row>
    <row r="254" spans="8:8">
      <c r="K254" s="1644"/>
      <c r="L254" s="1474"/>
      <c r="M254" s="1474"/>
      <c r="N254" s="1474"/>
      <c r="O254" s="1474"/>
      <c r="P254" s="1474"/>
      <c r="R254" s="1474"/>
      <c r="S254" s="1474"/>
      <c r="T254" s="1474"/>
    </row>
    <row r="255" spans="8:8">
      <c r="K255" s="1644"/>
      <c r="L255" s="1474"/>
      <c r="M255" s="1474"/>
      <c r="N255" s="1474"/>
      <c r="O255" s="1474"/>
      <c r="P255" s="1474"/>
      <c r="R255" s="1474"/>
      <c r="S255" s="1474"/>
      <c r="T255" s="1474"/>
    </row>
    <row r="256" spans="8:8">
      <c r="K256" s="1644"/>
      <c r="L256" s="1474"/>
      <c r="M256" s="1474"/>
      <c r="N256" s="1474"/>
      <c r="O256" s="1474"/>
      <c r="P256" s="1474"/>
      <c r="R256" s="1474"/>
      <c r="S256" s="1474"/>
      <c r="T256" s="1474"/>
    </row>
    <row r="257" spans="8:8">
      <c r="K257" s="1644"/>
      <c r="L257" s="1474"/>
      <c r="M257" s="1474"/>
      <c r="N257" s="1474"/>
      <c r="O257" s="1474"/>
      <c r="P257" s="1474"/>
      <c r="R257" s="1474"/>
      <c r="S257" s="1474"/>
      <c r="T257" s="1474"/>
    </row>
    <row r="258" spans="8:8">
      <c r="K258" s="1644"/>
      <c r="L258" s="1474"/>
      <c r="M258" s="1474"/>
      <c r="N258" s="1474"/>
      <c r="O258" s="1474"/>
      <c r="P258" s="1474"/>
      <c r="R258" s="1474"/>
      <c r="S258" s="1474"/>
      <c r="T258" s="1474"/>
    </row>
    <row r="259" spans="8:8">
      <c r="K259" s="1644"/>
      <c r="L259" s="1474"/>
      <c r="M259" s="1474"/>
      <c r="N259" s="1474"/>
      <c r="O259" s="1474"/>
      <c r="P259" s="1474"/>
      <c r="R259" s="1474"/>
      <c r="S259" s="1474"/>
      <c r="T259" s="1474"/>
    </row>
    <row r="260" spans="8:8">
      <c r="K260" s="1644"/>
      <c r="L260" s="1474"/>
      <c r="M260" s="1474"/>
      <c r="N260" s="1474"/>
      <c r="O260" s="1474"/>
      <c r="P260" s="1474"/>
      <c r="R260" s="1474"/>
      <c r="S260" s="1474"/>
      <c r="T260" s="1474"/>
    </row>
    <row r="261" spans="8:8">
      <c r="K261" s="1644"/>
      <c r="L261" s="1474"/>
      <c r="M261" s="1474"/>
      <c r="N261" s="1474"/>
      <c r="O261" s="1474"/>
      <c r="P261" s="1474"/>
      <c r="R261" s="1474"/>
      <c r="S261" s="1474"/>
      <c r="T261" s="1474"/>
    </row>
    <row r="262" spans="8:8">
      <c r="K262" s="1644"/>
      <c r="L262" s="1474"/>
      <c r="M262" s="1474"/>
      <c r="N262" s="1474"/>
      <c r="O262" s="1474"/>
      <c r="P262" s="1474"/>
      <c r="R262" s="1474"/>
      <c r="S262" s="1474"/>
      <c r="T262" s="1474"/>
    </row>
    <row r="263" spans="8:8">
      <c r="K263" s="1644"/>
      <c r="L263" s="1474"/>
      <c r="M263" s="1474"/>
      <c r="N263" s="1474"/>
      <c r="O263" s="1474"/>
      <c r="P263" s="1474"/>
      <c r="R263" s="1474"/>
      <c r="S263" s="1474"/>
      <c r="T263" s="1474"/>
    </row>
    <row r="264" spans="8:8">
      <c r="K264" s="1644"/>
      <c r="L264" s="1474"/>
      <c r="M264" s="1474"/>
      <c r="N264" s="1474"/>
      <c r="O264" s="1474"/>
      <c r="P264" s="1474"/>
      <c r="R264" s="1474"/>
      <c r="S264" s="1474"/>
      <c r="T264" s="1474"/>
    </row>
    <row r="265" spans="8:8">
      <c r="K265" s="1644"/>
      <c r="L265" s="1474"/>
      <c r="M265" s="1474"/>
      <c r="N265" s="1474"/>
      <c r="O265" s="1474"/>
      <c r="P265" s="1474"/>
      <c r="R265" s="1474"/>
      <c r="S265" s="1474"/>
      <c r="T265" s="1474"/>
    </row>
    <row r="266" spans="8:8">
      <c r="K266" s="1644"/>
      <c r="L266" s="1474"/>
      <c r="M266" s="1474"/>
      <c r="N266" s="1474"/>
      <c r="O266" s="1474"/>
      <c r="P266" s="1474"/>
      <c r="R266" s="1474"/>
      <c r="S266" s="1474"/>
      <c r="T266" s="1474"/>
    </row>
    <row r="267" spans="8:8">
      <c r="K267" s="1644"/>
      <c r="L267" s="1474"/>
      <c r="M267" s="1474"/>
      <c r="N267" s="1474"/>
      <c r="O267" s="1474"/>
      <c r="P267" s="1474"/>
      <c r="R267" s="1474"/>
      <c r="S267" s="1474"/>
      <c r="T267" s="1474"/>
    </row>
    <row r="268" spans="8:8">
      <c r="K268" s="1644"/>
      <c r="L268" s="1474"/>
      <c r="M268" s="1474"/>
      <c r="N268" s="1474"/>
      <c r="O268" s="1474"/>
      <c r="P268" s="1474"/>
      <c r="R268" s="1474"/>
      <c r="S268" s="1474"/>
      <c r="T268" s="1474"/>
    </row>
    <row r="269" spans="8:8">
      <c r="K269" s="1644"/>
      <c r="L269" s="1474"/>
      <c r="M269" s="1474"/>
      <c r="N269" s="1474"/>
      <c r="O269" s="1474"/>
      <c r="P269" s="1474"/>
      <c r="R269" s="1474"/>
      <c r="S269" s="1474"/>
      <c r="T269" s="1474"/>
    </row>
    <row r="270" spans="8:8">
      <c r="K270" s="1644"/>
      <c r="L270" s="1474"/>
      <c r="M270" s="1474"/>
      <c r="N270" s="1474"/>
      <c r="O270" s="1474"/>
      <c r="P270" s="1474"/>
      <c r="R270" s="1474"/>
      <c r="S270" s="1474"/>
      <c r="T270" s="1474"/>
    </row>
    <row r="271" spans="8:8">
      <c r="K271" s="1644"/>
      <c r="L271" s="1474"/>
      <c r="M271" s="1474"/>
      <c r="N271" s="1474"/>
      <c r="O271" s="1474"/>
      <c r="P271" s="1474"/>
      <c r="R271" s="1474"/>
      <c r="S271" s="1474"/>
      <c r="T271" s="1474"/>
    </row>
    <row r="272" spans="8:8">
      <c r="K272" s="1644"/>
      <c r="L272" s="1474"/>
      <c r="M272" s="1474"/>
      <c r="N272" s="1474"/>
      <c r="O272" s="1474"/>
      <c r="P272" s="1474"/>
      <c r="R272" s="1474"/>
      <c r="S272" s="1474"/>
      <c r="T272" s="1474"/>
    </row>
    <row r="273" spans="8:8">
      <c r="K273" s="1644"/>
      <c r="L273" s="1474"/>
      <c r="M273" s="1474"/>
      <c r="N273" s="1474"/>
      <c r="O273" s="1474"/>
      <c r="P273" s="1474"/>
      <c r="R273" s="1474"/>
      <c r="S273" s="1474"/>
      <c r="T273" s="1474"/>
    </row>
    <row r="274" spans="8:8">
      <c r="K274" s="1644"/>
      <c r="L274" s="1474"/>
      <c r="M274" s="1474"/>
      <c r="N274" s="1474"/>
      <c r="O274" s="1474"/>
      <c r="P274" s="1474"/>
      <c r="R274" s="1474"/>
      <c r="S274" s="1474"/>
      <c r="T274" s="1474"/>
    </row>
    <row r="275" spans="8:8">
      <c r="K275" s="1644"/>
      <c r="L275" s="1474"/>
      <c r="M275" s="1474"/>
      <c r="N275" s="1474"/>
      <c r="O275" s="1474"/>
      <c r="P275" s="1474"/>
      <c r="R275" s="1474"/>
      <c r="S275" s="1474"/>
      <c r="T275" s="1474"/>
    </row>
    <row r="276" spans="8:8">
      <c r="K276" s="1644"/>
      <c r="L276" s="1474"/>
      <c r="M276" s="1474"/>
      <c r="N276" s="1474"/>
      <c r="O276" s="1474"/>
      <c r="P276" s="1474"/>
      <c r="R276" s="1474"/>
      <c r="S276" s="1474"/>
      <c r="T276" s="1474"/>
    </row>
    <row r="277" spans="8:8">
      <c r="K277" s="1644"/>
      <c r="L277" s="1474"/>
      <c r="M277" s="1474"/>
      <c r="N277" s="1474"/>
      <c r="O277" s="1474"/>
      <c r="P277" s="1474"/>
      <c r="R277" s="1474"/>
      <c r="S277" s="1474"/>
      <c r="T277" s="1474"/>
    </row>
    <row r="278" spans="8:8">
      <c r="K278" s="1644"/>
      <c r="L278" s="1474"/>
      <c r="M278" s="1474"/>
      <c r="N278" s="1474"/>
      <c r="O278" s="1474"/>
      <c r="P278" s="1474"/>
      <c r="R278" s="1474"/>
      <c r="S278" s="1474"/>
      <c r="T278" s="1474"/>
    </row>
    <row r="279" spans="8:8">
      <c r="K279" s="1644"/>
      <c r="L279" s="1474"/>
      <c r="M279" s="1474"/>
      <c r="N279" s="1474"/>
      <c r="O279" s="1474"/>
      <c r="P279" s="1474"/>
      <c r="R279" s="1474"/>
      <c r="S279" s="1474"/>
      <c r="T279" s="1474"/>
    </row>
    <row r="280" spans="8:8">
      <c r="K280" s="1644"/>
      <c r="L280" s="1474"/>
      <c r="M280" s="1474"/>
      <c r="N280" s="1474"/>
      <c r="O280" s="1474"/>
      <c r="P280" s="1474"/>
      <c r="R280" s="1474"/>
      <c r="S280" s="1474"/>
      <c r="T280" s="1474"/>
    </row>
    <row r="281" spans="8:8">
      <c r="K281" s="1644"/>
      <c r="L281" s="1474"/>
      <c r="M281" s="1474"/>
      <c r="N281" s="1474"/>
      <c r="O281" s="1474"/>
      <c r="P281" s="1474"/>
      <c r="R281" s="1474"/>
      <c r="S281" s="1474"/>
      <c r="T281" s="1474"/>
    </row>
    <row r="282" spans="8:8">
      <c r="K282" s="1644"/>
      <c r="L282" s="1474"/>
      <c r="M282" s="1474"/>
      <c r="N282" s="1474"/>
      <c r="O282" s="1474"/>
      <c r="P282" s="1474"/>
      <c r="R282" s="1474"/>
      <c r="S282" s="1474"/>
      <c r="T282" s="1474"/>
    </row>
    <row r="283" spans="8:8">
      <c r="K283" s="1644"/>
      <c r="L283" s="1474"/>
      <c r="M283" s="1474"/>
      <c r="N283" s="1474"/>
      <c r="O283" s="1474"/>
      <c r="P283" s="1474"/>
      <c r="R283" s="1474"/>
      <c r="S283" s="1474"/>
      <c r="T283" s="1474"/>
    </row>
    <row r="284" spans="8:8">
      <c r="K284" s="1644"/>
      <c r="L284" s="1474"/>
      <c r="M284" s="1474"/>
      <c r="N284" s="1474"/>
      <c r="O284" s="1474"/>
      <c r="P284" s="1474"/>
      <c r="R284" s="1474"/>
      <c r="S284" s="1474"/>
      <c r="T284" s="1474"/>
    </row>
  </sheetData>
  <sheetProtection sheet="1" selectLockedCells="1"/>
  <mergeCells count="390">
    <mergeCell ref="B2:G2"/>
    <mergeCell ref="B43:C43"/>
    <mergeCell ref="K18:L18"/>
    <mergeCell ref="B23:C23"/>
    <mergeCell ref="B17:C17"/>
    <mergeCell ref="B13:C13"/>
    <mergeCell ref="M1:N1"/>
    <mergeCell ref="K17:L17"/>
    <mergeCell ref="B192:C192"/>
    <mergeCell ref="B9:C9"/>
    <mergeCell ref="B10:C10"/>
    <mergeCell ref="K49:L49"/>
    <mergeCell ref="B72:C72"/>
    <mergeCell ref="H25:J25"/>
    <mergeCell ref="B95:C95"/>
    <mergeCell ref="K93:L93"/>
    <mergeCell ref="K11:L11"/>
    <mergeCell ref="B158:C158"/>
    <mergeCell ref="O166:Q168"/>
    <mergeCell ref="O157:P157"/>
    <mergeCell ref="K51:L51"/>
    <mergeCell ref="O158:P158"/>
    <mergeCell ref="O162:P162"/>
    <mergeCell ref="O171:Q172"/>
    <mergeCell ref="O159:P159"/>
    <mergeCell ref="O163:P163"/>
    <mergeCell ref="O161:P161"/>
    <mergeCell ref="O160:P160"/>
    <mergeCell ref="O164:P164"/>
    <mergeCell ref="B149:C149"/>
    <mergeCell ref="B229:C229"/>
    <mergeCell ref="B138:C138"/>
    <mergeCell ref="K58:L58"/>
    <mergeCell ref="B56:C56"/>
    <mergeCell ref="K12:L12"/>
    <mergeCell ref="B151:C151"/>
    <mergeCell ref="B107:C107"/>
    <mergeCell ref="B137:C137"/>
    <mergeCell ref="B125:C125"/>
    <mergeCell ref="B25:C25"/>
    <mergeCell ref="K27:L27"/>
    <mergeCell ref="O169:Q170"/>
    <mergeCell ref="B228:C228"/>
    <mergeCell ref="B153:C153"/>
    <mergeCell ref="B234:C234"/>
    <mergeCell ref="B236:C236"/>
    <mergeCell ref="B235:C235"/>
    <mergeCell ref="B237:C237"/>
    <mergeCell ref="B232:C232"/>
    <mergeCell ref="B159:C159"/>
    <mergeCell ref="B166:C166"/>
    <mergeCell ref="B160:C160"/>
    <mergeCell ref="B191:C191"/>
    <mergeCell ref="B216:C216"/>
    <mergeCell ref="B217:C217"/>
    <mergeCell ref="B21:C21"/>
    <mergeCell ref="K99:L99"/>
    <mergeCell ref="K10:L10"/>
    <mergeCell ref="K23:L23"/>
    <mergeCell ref="B85:C85"/>
    <mergeCell ref="K43:L43"/>
    <mergeCell ref="B92:C92"/>
    <mergeCell ref="B14:C14"/>
    <mergeCell ref="H207:I212"/>
    <mergeCell ref="B223:C223"/>
    <mergeCell ref="K109:L109"/>
    <mergeCell ref="B80:C80"/>
    <mergeCell ref="K19:L19"/>
    <mergeCell ref="B101:C101"/>
    <mergeCell ref="H214:I214"/>
    <mergeCell ref="B88:C88"/>
    <mergeCell ref="B224:C224"/>
    <mergeCell ref="B204:C204"/>
    <mergeCell ref="B133:C133"/>
    <mergeCell ref="B126:C126"/>
    <mergeCell ref="B231:C231"/>
    <mergeCell ref="B233:C233"/>
    <mergeCell ref="K30:L30"/>
    <mergeCell ref="B91:C91"/>
    <mergeCell ref="K96:L96"/>
    <mergeCell ref="I6:J6"/>
    <mergeCell ref="K16:L16"/>
    <mergeCell ref="B87:C87"/>
    <mergeCell ref="B201:C201"/>
    <mergeCell ref="B60:C60"/>
    <mergeCell ref="O165:P165"/>
    <mergeCell ref="B109:C109"/>
    <mergeCell ref="B22:C22"/>
    <mergeCell ref="B36:C36"/>
    <mergeCell ref="B55:C55"/>
    <mergeCell ref="B93:C93"/>
    <mergeCell ref="B48:C48"/>
    <mergeCell ref="B52:C52"/>
    <mergeCell ref="B195:C195"/>
    <mergeCell ref="B45:C45"/>
    <mergeCell ref="K66:L66"/>
    <mergeCell ref="I5:J5"/>
    <mergeCell ref="I3:J3"/>
    <mergeCell ref="H118:I123"/>
    <mergeCell ref="B99:C99"/>
    <mergeCell ref="B220:C220"/>
    <mergeCell ref="B214:C214"/>
    <mergeCell ref="B209:C209"/>
    <mergeCell ref="B134:C134"/>
    <mergeCell ref="B132:C132"/>
    <mergeCell ref="O223:Q224"/>
    <mergeCell ref="B104:C104"/>
    <mergeCell ref="B225:C225"/>
    <mergeCell ref="B215:C215"/>
    <mergeCell ref="B150:C150"/>
    <mergeCell ref="B157:C157"/>
    <mergeCell ref="B173:C173"/>
    <mergeCell ref="B190:C190"/>
    <mergeCell ref="B200:C200"/>
    <mergeCell ref="B203:C203"/>
    <mergeCell ref="B207:C207"/>
    <mergeCell ref="B97:C97"/>
    <mergeCell ref="K57:L57"/>
    <mergeCell ref="K79:L79"/>
    <mergeCell ref="K60:L60"/>
    <mergeCell ref="K83:L83"/>
    <mergeCell ref="K85:L85"/>
    <mergeCell ref="K39:L39"/>
    <mergeCell ref="B37:C37"/>
    <mergeCell ref="B194:C194"/>
    <mergeCell ref="B1:C1"/>
    <mergeCell ref="B69:C69"/>
    <mergeCell ref="B183:C183"/>
    <mergeCell ref="B175:C175"/>
    <mergeCell ref="B165:C165"/>
    <mergeCell ref="B176:C176"/>
    <mergeCell ref="B148:C148"/>
    <mergeCell ref="B226:C226"/>
    <mergeCell ref="K46:L46"/>
    <mergeCell ref="K80:L80"/>
    <mergeCell ref="K70:L70"/>
    <mergeCell ref="K53:L53"/>
    <mergeCell ref="K52:L52"/>
    <mergeCell ref="K73:L73"/>
    <mergeCell ref="K68:L68"/>
    <mergeCell ref="K77:L77"/>
    <mergeCell ref="K91:L91"/>
    <mergeCell ref="B63:C63"/>
    <mergeCell ref="K20:L20"/>
    <mergeCell ref="K88:L88"/>
    <mergeCell ref="K47:L47"/>
    <mergeCell ref="B83:C83"/>
    <mergeCell ref="K37:L37"/>
    <mergeCell ref="K95:L95"/>
    <mergeCell ref="K103:L103"/>
    <mergeCell ref="B62:C62"/>
    <mergeCell ref="K40:L40"/>
    <mergeCell ref="K113:L113"/>
    <mergeCell ref="K110:L110"/>
    <mergeCell ref="O176:Q179"/>
    <mergeCell ref="B66:C66"/>
    <mergeCell ref="B193:C193"/>
    <mergeCell ref="K1:L1"/>
    <mergeCell ref="B79:C79"/>
    <mergeCell ref="K101:L101"/>
    <mergeCell ref="K14:L14"/>
    <mergeCell ref="K94:L94"/>
    <mergeCell ref="K21:L21"/>
    <mergeCell ref="B189:C189"/>
    <mergeCell ref="B202:C202"/>
    <mergeCell ref="B210:C210"/>
    <mergeCell ref="B75:C75"/>
    <mergeCell ref="B211:C211"/>
    <mergeCell ref="B222:C222"/>
    <mergeCell ref="B227:C227"/>
    <mergeCell ref="B19:C19"/>
    <mergeCell ref="K100:L100"/>
    <mergeCell ref="B169:C169"/>
    <mergeCell ref="B16:C16"/>
    <mergeCell ref="B142:C142"/>
    <mergeCell ref="B71:C71"/>
    <mergeCell ref="B139:C139"/>
    <mergeCell ref="B29:C29"/>
    <mergeCell ref="B174:C174"/>
    <mergeCell ref="B179:C179"/>
    <mergeCell ref="H124:I124"/>
    <mergeCell ref="K34:L34"/>
    <mergeCell ref="I7:J7"/>
    <mergeCell ref="K64:L64"/>
    <mergeCell ref="K36:L36"/>
    <mergeCell ref="K106:L106"/>
    <mergeCell ref="K29:L29"/>
    <mergeCell ref="B118:C118"/>
    <mergeCell ref="B5:C5"/>
    <mergeCell ref="B135:C135"/>
    <mergeCell ref="B4:C4"/>
    <mergeCell ref="B70:C70"/>
    <mergeCell ref="B35:C35"/>
    <mergeCell ref="B57:C57"/>
    <mergeCell ref="B39:C39"/>
    <mergeCell ref="B11:C11"/>
    <mergeCell ref="B98:C98"/>
    <mergeCell ref="B32:C32"/>
    <mergeCell ref="B54:C54"/>
    <mergeCell ref="B64:C64"/>
    <mergeCell ref="B58:C58"/>
    <mergeCell ref="B74:C74"/>
    <mergeCell ref="B94:C94"/>
    <mergeCell ref="B121:C121"/>
    <mergeCell ref="B20:C20"/>
    <mergeCell ref="B113:C113"/>
    <mergeCell ref="B131:C131"/>
    <mergeCell ref="B127:C127"/>
    <mergeCell ref="B123:C123"/>
    <mergeCell ref="B143:C143"/>
    <mergeCell ref="B30:C30"/>
    <mergeCell ref="B147:C147"/>
    <mergeCell ref="B42:C42"/>
    <mergeCell ref="B68:C68"/>
    <mergeCell ref="B41:C41"/>
    <mergeCell ref="B46:C46"/>
    <mergeCell ref="B77:C77"/>
    <mergeCell ref="B171:C171"/>
    <mergeCell ref="B34:C34"/>
    <mergeCell ref="B184:C184"/>
    <mergeCell ref="B185:C185"/>
    <mergeCell ref="B114:C114"/>
    <mergeCell ref="B180:C180"/>
    <mergeCell ref="K86:L86"/>
    <mergeCell ref="K9:L9"/>
    <mergeCell ref="K97:L97"/>
    <mergeCell ref="I9:J9"/>
    <mergeCell ref="K5:L5"/>
    <mergeCell ref="K112:L112"/>
    <mergeCell ref="K82:L82"/>
    <mergeCell ref="K22:L22"/>
    <mergeCell ref="K31:L31"/>
    <mergeCell ref="K41:L41"/>
    <mergeCell ref="K38:L38"/>
    <mergeCell ref="K48:L48"/>
    <mergeCell ref="K28:L28"/>
    <mergeCell ref="B67:C67"/>
    <mergeCell ref="B163:C163"/>
    <mergeCell ref="B65:C65"/>
    <mergeCell ref="I8:J8"/>
    <mergeCell ref="K65:L65"/>
    <mergeCell ref="H13:J13"/>
    <mergeCell ref="B186:C186"/>
    <mergeCell ref="B136:C136"/>
    <mergeCell ref="B154:C154"/>
    <mergeCell ref="B161:C161"/>
    <mergeCell ref="B141:C141"/>
    <mergeCell ref="B155:C155"/>
    <mergeCell ref="B172:C172"/>
    <mergeCell ref="H172:I177"/>
    <mergeCell ref="B124:C124"/>
    <mergeCell ref="B198:C198"/>
    <mergeCell ref="K116:L116"/>
    <mergeCell ref="K108:L108"/>
    <mergeCell ref="B18:C18"/>
    <mergeCell ref="B206:C206"/>
    <mergeCell ref="B26:C26"/>
    <mergeCell ref="K87:L87"/>
    <mergeCell ref="K42:L42"/>
    <mergeCell ref="K25:L25"/>
    <mergeCell ref="K13:L13"/>
    <mergeCell ref="B28:C28"/>
    <mergeCell ref="B213:C213"/>
    <mergeCell ref="B221:C221"/>
    <mergeCell ref="B82:C82"/>
    <mergeCell ref="B122:C122"/>
    <mergeCell ref="B108:C108"/>
    <mergeCell ref="B105:C105"/>
    <mergeCell ref="B115:C115"/>
    <mergeCell ref="B212:C212"/>
    <mergeCell ref="K15:L15"/>
    <mergeCell ref="K115:L115"/>
    <mergeCell ref="B12:C12"/>
    <mergeCell ref="B187:C187"/>
    <mergeCell ref="B86:C86"/>
    <mergeCell ref="B188:C188"/>
    <mergeCell ref="B130:C130"/>
    <mergeCell ref="B178:C178"/>
    <mergeCell ref="B145:C145"/>
    <mergeCell ref="B162:C162"/>
    <mergeCell ref="B152:C152"/>
    <mergeCell ref="H180:I183"/>
    <mergeCell ref="K32:L32"/>
    <mergeCell ref="H159:I164"/>
    <mergeCell ref="K102:L102"/>
    <mergeCell ref="K81:L81"/>
    <mergeCell ref="K67:L67"/>
    <mergeCell ref="K78:L78"/>
    <mergeCell ref="K117:L117"/>
    <mergeCell ref="H24:J24"/>
    <mergeCell ref="K104:L104"/>
    <mergeCell ref="B33:C33"/>
    <mergeCell ref="B205:C205"/>
    <mergeCell ref="B208:C208"/>
    <mergeCell ref="B78:C78"/>
    <mergeCell ref="B167:C167"/>
    <mergeCell ref="B144:C144"/>
    <mergeCell ref="B170:C170"/>
    <mergeCell ref="B182:C182"/>
    <mergeCell ref="B199:C199"/>
    <mergeCell ref="H213:I213"/>
    <mergeCell ref="K33:L33"/>
    <mergeCell ref="K8:L8"/>
    <mergeCell ref="K89:L89"/>
    <mergeCell ref="B38:C38"/>
    <mergeCell ref="B146:C146"/>
    <mergeCell ref="B96:C96"/>
    <mergeCell ref="B51:C51"/>
    <mergeCell ref="B59:C59"/>
    <mergeCell ref="B61:C61"/>
    <mergeCell ref="B49:C49"/>
    <mergeCell ref="B197:C197"/>
    <mergeCell ref="H178:I178"/>
    <mergeCell ref="K26:L26"/>
    <mergeCell ref="B164:C164"/>
    <mergeCell ref="B47:C47"/>
    <mergeCell ref="I2:J2"/>
    <mergeCell ref="K75:L75"/>
    <mergeCell ref="K92:L92"/>
    <mergeCell ref="K55:L55"/>
    <mergeCell ref="K63:L63"/>
    <mergeCell ref="K69:L69"/>
    <mergeCell ref="K84:L84"/>
    <mergeCell ref="K74:L74"/>
    <mergeCell ref="K62:L62"/>
    <mergeCell ref="K107:L107"/>
    <mergeCell ref="K111:L111"/>
    <mergeCell ref="K45:L45"/>
    <mergeCell ref="K114:L114"/>
    <mergeCell ref="H125:I125"/>
    <mergeCell ref="K54:L54"/>
    <mergeCell ref="K44:L44"/>
    <mergeCell ref="K76:L76"/>
    <mergeCell ref="K59:L59"/>
    <mergeCell ref="K71:L71"/>
    <mergeCell ref="K72:L72"/>
    <mergeCell ref="K61:L61"/>
    <mergeCell ref="K56:L56"/>
    <mergeCell ref="K90:L90"/>
    <mergeCell ref="K50:L50"/>
    <mergeCell ref="B31:C31"/>
    <mergeCell ref="B90:C90"/>
    <mergeCell ref="B53:C53"/>
    <mergeCell ref="B84:C84"/>
    <mergeCell ref="B89:C89"/>
    <mergeCell ref="B76:C76"/>
    <mergeCell ref="B81:C81"/>
    <mergeCell ref="K105:L105"/>
    <mergeCell ref="I4:J4"/>
    <mergeCell ref="B40:C40"/>
    <mergeCell ref="B140:C140"/>
    <mergeCell ref="B6:C6"/>
    <mergeCell ref="B117:C117"/>
    <mergeCell ref="B106:C106"/>
    <mergeCell ref="B116:C116"/>
    <mergeCell ref="B102:C102"/>
    <mergeCell ref="B119:C119"/>
    <mergeCell ref="B8:C8"/>
    <mergeCell ref="B112:C112"/>
    <mergeCell ref="B111:C111"/>
    <mergeCell ref="B44:C44"/>
    <mergeCell ref="B128:C128"/>
    <mergeCell ref="B27:C27"/>
    <mergeCell ref="B129:C129"/>
    <mergeCell ref="B73:C73"/>
    <mergeCell ref="B120:C120"/>
    <mergeCell ref="B218:C218"/>
    <mergeCell ref="B100:C100"/>
    <mergeCell ref="B219:C219"/>
    <mergeCell ref="B15:C15"/>
    <mergeCell ref="K35:L35"/>
    <mergeCell ref="B103:C103"/>
    <mergeCell ref="B7:C7"/>
    <mergeCell ref="K3:L3"/>
    <mergeCell ref="I10:J10"/>
    <mergeCell ref="K4:L4"/>
    <mergeCell ref="K6:L6"/>
    <mergeCell ref="K7:L7"/>
    <mergeCell ref="B196:C196"/>
    <mergeCell ref="B110:C110"/>
    <mergeCell ref="B156:C156"/>
    <mergeCell ref="B168:C168"/>
    <mergeCell ref="B181:C181"/>
    <mergeCell ref="B24:C24"/>
    <mergeCell ref="H165:I165"/>
    <mergeCell ref="B230:C230"/>
    <mergeCell ref="B177:C177"/>
    <mergeCell ref="B50:C50"/>
    <mergeCell ref="H2:H10"/>
    <mergeCell ref="K98:L98"/>
  </mergeCells>
  <conditionalFormatting sqref="J21">
    <cfRule type="expression" priority="11" dxfId="1108">
      <formula>"人物卡!$F$5=1"</formula>
    </cfRule>
  </conditionalFormatting>
  <conditionalFormatting sqref="H23">
    <cfRule type="expression" priority="3" dxfId="1109">
      <formula>"人物卡!$F$5=1"</formula>
    </cfRule>
  </conditionalFormatting>
  <conditionalFormatting sqref="I2:J10">
    <cfRule type="expression" priority="16" dxfId="1110">
      <formula>"人物卡!$F$5=1"</formula>
    </cfRule>
  </conditionalFormatting>
  <conditionalFormatting sqref="J16">
    <cfRule type="expression" priority="9" dxfId="1111">
      <formula>"人物卡!$F$5=1"</formula>
    </cfRule>
  </conditionalFormatting>
  <conditionalFormatting sqref="J17">
    <cfRule type="expression" priority="8" dxfId="1112">
      <formula>"人物卡!$F$5=1"</formula>
    </cfRule>
  </conditionalFormatting>
  <conditionalFormatting sqref="J18">
    <cfRule type="expression" priority="7" dxfId="1113">
      <formula>"人物卡!$F$5=1"</formula>
    </cfRule>
  </conditionalFormatting>
  <conditionalFormatting sqref="I23">
    <cfRule type="expression" priority="2" dxfId="1114">
      <formula>"人物卡!$F$5=1"</formula>
    </cfRule>
  </conditionalFormatting>
  <conditionalFormatting sqref="J23">
    <cfRule type="expression" priority="1" dxfId="1115">
      <formula>"人物卡!$F$5=1"</formula>
    </cfRule>
  </conditionalFormatting>
  <conditionalFormatting sqref="J20">
    <cfRule type="expression" priority="5" dxfId="1116">
      <formula>"人物卡!$F$5=1"</formula>
    </cfRule>
  </conditionalFormatting>
  <conditionalFormatting sqref="I11:J11">
    <cfRule type="expression" priority="14" dxfId="1117">
      <formula>"人物卡!$F$5=1"</formula>
    </cfRule>
  </conditionalFormatting>
  <conditionalFormatting sqref="J19">
    <cfRule type="expression" priority="6" dxfId="1118">
      <formula>"人物卡!$F$5=1"</formula>
    </cfRule>
  </conditionalFormatting>
  <conditionalFormatting sqref="I15">
    <cfRule type="expression" priority="12" dxfId="1119">
      <formula>"人物卡!$F$5=1"</formula>
    </cfRule>
  </conditionalFormatting>
  <conditionalFormatting sqref="H22 H13 H15:H20 I16:I22">
    <cfRule type="expression" priority="15" dxfId="1120">
      <formula>"人物卡!$F$5=1"</formula>
    </cfRule>
  </conditionalFormatting>
  <conditionalFormatting sqref="J22">
    <cfRule type="expression" priority="4" dxfId="1121">
      <formula>"人物卡!$F$5=1"</formula>
    </cfRule>
  </conditionalFormatting>
  <conditionalFormatting sqref="J15">
    <cfRule type="expression" priority="10" dxfId="1122">
      <formula>"人物卡!$F$5=1"</formula>
    </cfRule>
  </conditionalFormatting>
  <conditionalFormatting sqref="H21">
    <cfRule type="expression" priority="13" dxfId="1123">
      <formula>"人物卡!$F$5=1"</formula>
    </cfRule>
  </conditionalFormatting>
  <dataValidations count="166">
    <dataValidation allowBlank="1" type="any" operator="between" errorStyle="stop" showInputMessage="1" promptTitle="介绍" prompt="以民选方式选举出来的政府官员享有与他们的职位相符的声望。小城市的市长和城镇的镇长之类，他们的影响力基本出不了城镇的范围，而且这样的职务基本上是兼职的，报酬也很少。大城市的市长，工资就相当可观了，而且还能把自己的城市管理得像小王国一样，影响力和权力比所在州的州长还要大。州议会的众参两院议员是相当有面子的职位。" sqref="B52:C52"/>
    <dataValidation allowBlank="1" type="any" operator="between" errorStyle="stop" showErrorMessage="1" errorTitle="提示" error="请输入大于等于1的整数 且不需要输入乘号或其他符号" sqref="J21"/>
    <dataValidation allowBlank="1" type="any" operator="between" errorStyle="stop" showInputMessage="1" promptTitle="介绍" prompt="艺术家在这里可以是画家，雕塑家等等。他们有时沉浸于自己虚幻的想象当中，有时又沐浴在激发热情和理解的灵感之下。不论是否天资优秀，艺术家的内心必须足够强大，这样才能战胜生涯起步时的障碍和挑剔的眼光，并且在自己小有名气以后继续努力。有些艺术家对物质生活是否丰富并不在乎，而有些则有着强烈的创业倾向。" sqref="B15:C15"/>
    <dataValidation allowBlank="1" type="any" operator="between" errorStyle="stop" showInputMessage="1" promptTitle="介绍" prompt="推销员是商务工作的必需一环，他们的工作就是推广和销售公司的产品或服务。大部分推销员的时间要用来旅行、开会、和客户应酬。有些则主要坐办公室用电话联系潜在客户，还有的会在各社区巡回，挨家挨户上门推销。1920年代是企业家的年代，旅行推销成了一种日常生活方式。有些推销员在固定的地区工作，有些则可以自由漫游，寻找任何地方可能出现的商机。" sqref="B102:C102"/>
    <dataValidation allowBlank="1" type="any" operator="between" errorStyle="stop" showInputMessage="1" promptTitle="介绍" prompt="赃物贩子，顾名思义是买卖偷抢来的财产，通常是收购赃物并转手卖给其他罪犯或（无意中）守法的顾客。主要来说，他们是小偷和买家的中间人，有时也会从交易中收取提成；不过更常见的还是以极低的价格直接收购赃物。" sqref="B37:C37"/>
    <dataValidation allowBlank="1" type="any" operator="between" errorStyle="stop" showInputMessage="1" promptTitle="介绍" prompt="赏金猎人捉拿罪犯并将他们交给正义去审判。最常见的情况是受保释人的委托去缉捕逃狱者。赏金猎人们为了自己的猎物可以不择手段，几乎不会考虑其他人的正当权益之类细枝末节的东西。非法闯入威胁肢体暴力，都是赏金猎人屡试不爽的秘技。现在这些秘技还包括了电话窃听黑客操作和其他的秘密监控。" sqref="B22:C22"/>
    <dataValidation allowBlank="1" type="any" operator="between" errorStyle="stop" showInputMessage="1" promptTitle="介绍" prompt="图书馆管理员在公共机构和图书馆工作，负责管理图书目录和书库，并处理图书借阅等。在现代，图书馆管理员还要负责管理视听资料、电子书库。一些大公司可能聘用图书馆管理员管理书库，偶尔还会有富有的图书藏家招收他们管理自己的私人藏书。" sqref="B75:C75"/>
    <dataValidation allowBlank="1" type="any" operator="between" errorStyle="stop" showInputMessage="1" promptTitle="介绍" prompt="走私一直是一个有利可图的高风险行当。走私者往往有一个合法的表面职业，比如船长飞行员或商人，以掩盖他们非法运输的行为。" sqref="B39:C39"/>
    <dataValidation allowBlank="1" type="any" operator="between" errorStyle="stop" showInputMessage="1" promptTitle="介绍" prompt="服务生在酒店、酒吧或者其他餐饮业场所服务顾客。通常薪酬很低，不过通过对顾客良好服务，可以得到他们给的小费。在禁酒令时期，售酒场所的服务员是非法职业。不过犯罪组织把控的地下酒吧中仍然存在许多工作机会。" sqref="B113:C113"/>
    <dataValidation allowBlank="1" type="any" operator="between" errorStyle="stop" showInputMessage="1" promptTitle="介绍" prompt="热情而有动力、鄙视安逸的生活，狂热者们为人类更好的生活或者为人类中最精华部分的利益而躁动不安。一些狂热者通过暴力推进他们的信仰，但是并不能说采取和平方式的就比他们好说话，他们每个人都梦想着为自己的理想辩护。" sqref="B116:C116"/>
    <dataValidation allowBlank="1" type="any" operator="between" errorStyle="stop" showInputMessage="1" promptTitle="介绍" prompt="世界上有许多著名的侦探机构，其中最著名的是平克顿和伯恩斯调查局（后来合并成一家公司）。这样的公司一般有两类工作人员：安保人员和调查人员。企业或个人雇用安保人员来保护自己的资产和人员免受盗贼刺客和绑匪的威胁。这些安保人员角色使用巡警的职业模板。调查人员则是便衣侦探，负责为公司客户解决各种异常事件阻止谋杀事件寻找失踪的人员等等。" sqref="B8:C8"/>
    <dataValidation allowBlank="1" type="any" operator="between" errorStyle="stop" showInputMessage="1" promptTitle="介绍" prompt="巡警则属于市、城镇、县治安部门或州、地区的警察机关。他们工作时可能步行、驾驶巡逻车，或者干脆坐办公室。" sqref="B92:C92"/>
    <dataValidation allowBlank="1" type="any" operator="between" errorStyle="stop" showInputMessage="1" promptTitle="介绍" prompt="民用船海员可能在渔船、客船，或运输原油或商品的运输船上工作。在美国，客船活跃在东西海岸和五大湖，运送渔民和游客。目前佛罗里达州在墨西哥湾和大西洋海岸拥有最多数量的客船。在禁酒令期间，许多客船船长发现把急切想喝酒的顾客运到3海里外，外国船只允许卖酒的地方是一桩赚钱的买卖。当然走私酒也报酬丰厚，但是危险就高多了。" sqref="B101:C101"/>
    <dataValidation allowBlank="1" type="any" operator="between" errorStyle="stop" showInputMessage="1" promptTitle="介绍" prompt="古董商通常自己开店，从自己所在的地方转卖物品，或继续扩展业务范围，通过倒卖物品到城市商店赚取利润。" sqref="B12:C12"/>
    <dataValidation allowBlank="1" type="any" operator="between" errorStyle="stop" showInputMessage="1" promptTitle="介绍" prompt="私家侦探通常在警察不出手的地方活跃，包括收集证据为客户准备民事诉讼，追查跑路的配偶或生意伙伴，或者代理刑事案件的私人辩护。他们和任何专业人员一样，私家侦探从不顾及自己的私人情感，只要付钱，不管是有罪还是无罪的一方的委托他们都乐得接受。私家侦探过去可能在警察队伍里工作，利用以前的业务关系为现在工作谋求优势；然而事实并非总是如此。" sqref="B93:C93"/>
    <dataValidation allowBlank="1" type="any" operator="between" errorStyle="stop" showInputMessage="1" promptTitle="介绍" prompt="人司机则是直接受雇于个人或企业，或者是专门提供连人带车的私人司机业务的中介机构。" sqref="B48:C48"/>
    <dataValidation allowBlank="1" type="any" operator="between" errorStyle="stop" showInputMessage="1" promptTitle="介绍" prompt="警探可能指挥他的下属进行详尽的调查，但是很难有机会集中精力对付单独一个事件，在美国他们很可能要同时处理数十乃至上百的案件。警探工作最关键的部分是通过梳理证词、重建现场情况，摒弃伪证，从而收集足够逮捕嫌疑人的证据，进而促成成功的刑事审判。警探和检察官的职责是分开的，这样可以保证证据在审判之前被独立地对待。" sqref="B91:C91"/>
    <dataValidation allowBlank="1" type="any" operator="between" errorStyle="stop" showInputMessage="1" promptTitle="介绍" prompt="药剂师的管理一直以来都比医生更严格。所有的药剂师都要在各州注册，注册的条件则是高中毕业并至少在药学院学习三年。他们可能在医院或者药房工作，也可能自己开药房。" sqref="B86:C86"/>
    <dataValidation allowBlank="1" type="any" operator="between" errorStyle="stop" showInputMessage="1" promptTitle="介绍" prompt="摄影记者本质上就是拿照相机，为拍摄的照片写配文的记者。在1920年代，新闻短片走上历史舞台。笨重的35mm摄像装备走遍全球各地，搜寻有价值的新闻轶事、体育赛事和泳装选美比赛。新闻片制作人员一般分为三类：一类是画面中的记者，另两个人则负责摄像和灯光等等。新闻中的声音则是在新闻稿完成以后在录音棚中录入完成的。" sqref="B88:C88"/>
    <dataValidation allowBlank="1" type="any" operator="between" errorStyle="stop" showInputMessage="1" promptTitle="介绍" prompt="旅行家爱好户外，他们一年中大部分时间都呆在户外，并且一出门就是相当长的时间；通常有相当的捕鱼和狩猎技术，能在最恶劣的环境之中幸存下来。擅长的技术可能包括登山、捕鱼、滑雪、皮划艇、攀登和露营。旅行家可能在国家公园或素质拓展中心做野外向导和护林员，也可能是有其他经济来源能让他们不用工作就能以这种方式生活，也说不定只有在需要的时候才会回到文明社会。" sqref="B84:C84"/>
    <dataValidation allowBlank="1" type="any" operator="between" errorStyle="stop" showInputMessage="1" promptTitle="介绍" prompt="摄影师大部分是自由工作者，可能制作广告电影或者在照相馆做肖像拍摄。其他一些摄像师则在报纸、电视和电影产业工作。摄影作为一种艺术形式已经产生相当长的时间了，精英的摄影师可以从艺术、新闻报道、野生动物保护等多种角度出发创作他们的作品。不管是哪种立意，他们都能获得名誉和报酬。" sqref="B87:C87"/>
    <dataValidation allowBlank="1" type="any" operator="between" errorStyle="stop" showInputMessage="1" promptTitle="介绍" prompt="特技飞行员在嘉年华工作或者为大胆的消费者进行休闲飞行服务。参加有组织的飞行表演赛，不论是固定路线还是越野赛，往往都可以增加自己的知名度。在1920年代，好莱坞常常使用特技飞行员，飞机制造商也会录用一些飞行员为新机作测试。许多特技飞行员是在一次大战中掌握的飞行技术，所以许多人仍然在陆海空军或海岸警卫队服役；年轻的飞行员则基本上是在和平时期接受的训练或是自学成才。" sqref="B90:C90"/>
    <dataValidation allowBlank="1" type="any" operator="between" errorStyle="stop" showInputMessage="1" promptTitle="介绍" prompt="业余艺术爱好者靠经济自立遗产继承信托基金或者其他各种来源保障自己的生活开支，没有必要自己工作。如果经济条件足够好，他们甚至可以雇佣专业的经济顾问来打理自己的产业。他们可能有很高的学历，但不一定是真才实学；优越的经济条件使得他们性情古怪，口无遮拦。在1920年代，这些人可能会被时人称为“摩登女郎”或者“公子哥儿”。" sqref="B44:C44"/>
    <dataValidation allowBlank="1" type="any" operator="between" errorStyle="stop" showInputMessage="1" promptTitle="介绍" prompt="心理学家虽然也经常被叫做心理治疗师和心理咨询师，不过这些工作都只是心理学的分支。临床心理学家可能实际接触病人，并且运用各种可能的心理治疗方法。注意心理学家和专业的精神病学家的区别，后者本质上还是医生。在1920年代，对人类行为的研究还是一个新兴的领域，主要的理论还是弗洛伊德心理学。" sqref="B98:C98"/>
    <dataValidation allowBlank="1" type="any" operator="between" errorStyle="stop" showInputMessage="1" promptTitle="介绍" prompt="农民可能自己拥有土地，自己从事农牧业，也可能是受雇在农场工作。农业劳动繁重而枯燥，特别适合那些喜欢户外体力劳动的人。1920年代是美国城镇人口超过农村人口的首个十年。从这时起一直到现在，自耕农民都在受到规模化农业企业和剧烈波动的农产品市场的双重冲击。" sqref="B56:C56"/>
    <dataValidation allowBlank="1" type="any" operator="between" errorStyle="stop" showInputMessage="1" promptTitle="介绍" prompt="出租车司机可能属于大大小小的出租车公司，也可能靠自己的车和证件运营（在美国，需要出租车牌照）。出租车公司负责为出租车司机登记车辆并分配调度，方便司机自由揽客。出租车上必须统一安装计价器，并由出租车协会进行定期检查。通常司机还要通过警方的背景调查，获得特殊的驾驶许可证。" sqref="B50:C50"/>
    <dataValidation allowBlank="1" type="any" operator="between" errorStyle="stop" showInputMessage="1" promptTitle="介绍" prompt="淘金客一直是美国西部的特色，即便在加利福尼亚淘金热和内华达康姆斯塔克发现金银矿的日子早已经过去的现在。他们无休止地在山间漫游，寻找能使自己一夜暴富的矿脉。而且现在发现石油和发现金子一样给力。" sqref="B95:C95"/>
    <dataValidation allowBlank="1" type="any" operator="between" errorStyle="stop" showInputMessage="1" promptTitle="介绍" prompt="超心理学家从不打算欣赏超常现象。相反，他们试图去观察，记录并研究这些实例。被叫做“捉鬼人”的他们利用技术手段来获取某人或某地点的超自然活动的证据，当然比起收集到实在的证据，更多的时候他们是在揭穿假冒和误认的超常现象。选择研究这个的人往往对不可视的神秘力量抱有相当的同情态度，并希望其他的科学家也能满意地点头肯定。" sqref="B85:C85"/>
    <dataValidation allowBlank="1" type="any" operator="between" errorStyle="stop" showInputMessage="1" promptTitle="介绍" prompt="护士是专业的医疗助理，通常在医院和疗养院之类的地方工作，或者和全科医生一起合作。一般来说，护士会协助健康人或病人进行保健或康复活动（或者临终关怀），虽然其他人若是有足够的力量、意志或者知识，完全不需要护士帮助的康复也是可能的。" sqref="B82:C82"/>
    <dataValidation allowBlank="1" type="any" operator="between" errorStyle="stop" showErrorMessage="1" errorTitle="提示" error="请输入大于等于1的整数 且不需要输入乘号或其他符号" sqref="J22"/>
    <dataValidation allowBlank="1" type="any" operator="between" errorStyle="stop" showInputMessage="1" promptTitle="Anthropology (01%)" prompt="- 使使用者能够通过观察来辨认和理解一个人的生活方式。 - 如果技能使用者持续观察一个其他的文化一段时间，或者在有着关于某种已消失文化的正确资料环境下工作，那么他可以对文化方式以及道德习惯进行简单的预测，即使证据可能并不完整。 - 通过学习文化一个月或者更久，人类学家开始理解这种文化是如何运作的以及，如果结合心理学，可以预测那些研究文化的行为和信仰。" showErrorMessage="1" sqref="R3"/>
    <dataValidation allowBlank="1" type="any" operator="between" errorStyle="stop" showInputMessage="1" promptTitle="First Aid (30%)" prompt="- 使用者可以提供紧急的医疗处理。这包括：对摔断了的腿用夹板进行处理，止血，处理烧伤，溺水复苏，包扎以及清理伤口等等。急救不能用于治疗疾病（这需要医学技能）。 - 急救必须在一小时内进行，在这种情况能回复 1 生命值的损伤。 - 这项技能可以尝试一次，后续的尝试将为进行孤注一掷。 - 两个人可以合作进行急救，只要其中一人成功便可以让生命值回复。 - 成功的急救可以将一名昏迷的角色唤醒过来。 - 一名角色只能进行一次成功的急救或者医学，直到受到其他伤害。" showErrorMessage="1" sqref="R28"/>
    <dataValidation allowBlank="1" type="any" operator="between" errorStyle="stop" showInputMessage="1" promptTitle="介绍" prompt="（现代）计算机程序员通常是设计编写测试调试和维护计算机程序源代码的职业。他们精通从形式逻辑到系统平台（程序运行环境）的各种知识，可能是自由工作者，也可能供职于软件开发部门。计算机技术人员负责计算机系统和网络的开发和维护工作，经常与其他人员（如项目经理）合作来保证系统的完整稳定和正常提供所需功能。" sqref="B26:C26"/>
    <dataValidation allowBlank="1" type="any" operator="between" errorStyle="stop" showInputMessage="1" showErrorMessage="1" sqref="I11:J11"/>
    <dataValidation allowBlank="1" type="list" errorStyle="stop" showInputMessage="1" showErrorMessage="1" sqref="N49:N50">
      <formula1>#REF!</formula1>
    </dataValidation>
    <dataValidation allowBlank="1" type="list" errorStyle="stop" showInputMessage="1" promptTitle="Demolitions (01%)" prompt="调查员可以使用此技能安全的设置/拆除爆破装置。给予足够的时间和资源，调查员可以装设炸药来摧毁一幢建筑，清除一个被堵住的隧道，以及赋予炸药不同用处。" showErrorMessage="1" sqref="N61">
      <formula1>#REF!</formula1>
    </dataValidation>
    <dataValidation allowBlank="1" type="any" operator="between" errorStyle="stop" showInputMessage="1" promptTitle="介绍" prompt="神秘学家是钻研深奥秘密和神秘魔法的人。他们对超自然能力深信不疑，并竭尽所能靠他们的能力去了解这些东西。许多人对不同神秘哲学和魔法理论的知识面都相当广泛，有些甚至相信自己专注研究三十年真的成为了魔法师。需要指出的是，神秘学家熟知的基本上是“表面的魔法”——克苏鲁神话魔法的秘密对他们仍然是未知的，或者不过是古书上描述那些诱人的线索而已。" sqref="B83:C83"/>
    <dataValidation allowBlank="1" type="any" operator="between" errorStyle="stop" showInputMessage="1" promptTitle="介绍" prompt="猎人是优秀的追踪者和狩猎者，通常靠为富裕的客户捕猎为生。绝大多数猎人会对地球上某一个部分的情况烂熟于心，比如加拿大森林非洲草原等等。有些人可能从事盗猎活动，例如为私人收藏家捕捉珍稀动物，或者贩卖受保护的动物和违反道德的动物制品，如兽皮象牙之类." sqref="B20:C20"/>
    <dataValidation allowBlank="1" type="any" operator="between" errorStyle="stop" showInputMessage="1" promptTitle="介绍" prompt="秘书的范围是从高薪的私人管理助理到普通的打字员。这份工作的重点在于以自己各种沟通协调能力，支持主管和经理人员。因为身处企业流程的中心，许多秘书比老板对企业的内部运作和经营还要熟悉。在1920年代，秘书工作主要是通信工作，例如听写打印信件，整理文档系统，并为老板安排会议时间。有的情况下，秘书还会负责老板的生活，比如安排假期、为老板和家人置办礼物，还有保护老板的安全。" sqref="B104:C104"/>
    <dataValidation allowBlank="1" type="any" operator="between" errorStyle="stop" showInputMessage="1" promptTitle="介绍" prompt="店老板经营小店、市场摊位或者是小饭馆。这种店往往都是小本自营，不过也有为其他东家照顾生意的。不少店是家族式管理，工作人员大部分都有亲属关系，其他的雇员即便有也很少。在1920年代，还有不少的老板娘开起了自己的理发店和帽店。" sqref="B105:C105"/>
    <dataValidation allowBlank="1" type="any" operator="between" errorStyle="stop" showInputMessage="1" promptTitle="介绍" prompt="在1920年代，虽然全国都有大型剧院，美国的戏剧中心仍然是纽约城。英国的情况与之相近，戏剧的中心在伦敦，其他的剧团则在各郡作巡回演出。巡回剧团乘火车旅行，演出内容既包括新编剧目，也包括莎士比亚和其他人的传统剧目。有些剧团也会花时间去国外采风，通常是去加拿大夏威夷澳大利亚和欧洲大陆。" sqref="B6:C6"/>
    <dataValidation allowBlank="1" type="any" operator="between" errorStyle="stop" showInputMessage="1" promptTitle="介绍" prompt="法医是一个高度专门化的职业，大多数法医为市县或州执法机构工作。工作内容包括尸体解剖，推定死因，并为公诉人提供建议。法医也常常会在刑事审判中出庭提供证言。" sqref="B60:C60"/>
    <dataValidation allowBlank="1" type="any" operator="between" errorStyle="stop" showInputMessage="1" promptTitle="介绍" prompt="黑帮可能是整个城市、一部分城市的大佬，老板总管业务，负责交易，并要就各种各样的问题给马仔们拿主意。更重要的是，老板可以各种高人一等，只要能找到马仔或者小弟去干的事，他基本是不肯污了自己的手去做的。黑社会在1920年代上升为突出的社会问题。现在的黑帮老大也需要大量的小弟来负责保卫、推广、在街道里推行自己的业务。" sqref="B62:C62"/>
    <dataValidation allowBlank="1" type="any" operator="between" errorStyle="stop" showInputMessage="1" promptTitle="介绍" prompt="在1920年代，“精神病医生”这个词专用来称呼治疗精神失常的医生（也就是早期的精神科医生）。精神分析在当时的美国鲜为人知，而且它的基本内容都是性生活和如厕训练之类令大众不齿的东西。精神病学，一种正规的从行为主义发展来的医学理论则要普及得多。精神病医生精神科医生和神经科医生还经常爆发激烈的论战。" sqref="B9:C9"/>
    <dataValidation allowBlank="1" type="any" operator="between" errorStyle="stop" showInputMessage="1" promptTitle="介绍" prompt="在20世纪早期，这世界还有许多地区尚未有人涉足，而探索这些地方正是探险家的工作。这种令人兴奋不已的生活方式，其经济来源则是科学界的赞助私人的捐赠博物馆的委托和报纸杂志图书电影的版权等等。黑非洲的大部分仍然不为人知，同样的地方还包括了南美的马托格罗索高原，澳大利亚的大沙沙漠，撒哈拉和阿拉伯沙漠，和亚洲的茫茫戈壁。尽管南北极点已经被探险家征服了。" sqref="B55:C55"/>
    <dataValidation allowBlank="1" type="any" operator="between" errorStyle="stop" showInputMessage="1" showErrorMessage="1" sqref="I9:J9"/>
    <dataValidation allowBlank="1" type="any" operator="between" errorStyle="stop" showInputMessage="1" promptTitle="介绍" prompt="酒保虽然不一定是酒吧的掌柜，却一定是所有客人的朋友。对客人们的好声气，一部分来说是出于他们的职业或者业务，而更多的来说则是达到目的的一种手段。1920年代，由于禁酒令的存在，酒保变成了非法的职业；但是遍地开花的黑酒吧又不能没有酒保，结果就是酒保仍然不愁找不到活干。" sqref="B19:C19"/>
    <dataValidation allowBlank="1" type="list" errorStyle="stop" showInputMessage="1" showErrorMessage="1" sqref="N21:N22">
      <formula1>#REF!</formula1>
    </dataValidation>
    <dataValidation allowBlank="1" type="any" operator="between" errorStyle="stop" showInputMessage="1" showErrorMessage="1" sqref="H23"/>
    <dataValidation allowBlank="1" type="list" errorStyle="stop" showInputMessage="1" showErrorMessage="1" sqref="N6:N7">
      <formula1>#REF!</formula1>
    </dataValidation>
    <dataValidation allowBlank="1" type="any" operator="between" errorStyle="stop" showInputMessage="1" promptTitle="介绍" prompt="拳击手和摔跤手各分为职业和业余两种。职业拳击手和职业摔角手的活动由外部利益支持的赞助人安排，并有合同约束。他们还要进行全日制的工作和训练。业余拳击的竞赛种类非常丰富，同时它也是那些想成为职业拳手的人的训练场。不过也有业余和准职业的选手靠参加黑市拳击赛谋生，举办这些比赛的通常是本地的黑社会或者是从中渔利的庄家。" sqref="B23:C23"/>
    <dataValidation allowBlank="1" type="any" operator="between" errorStyle="stop" showErrorMessage="1" errorTitle="提示" error="请输入大于等于1的整数 且不需要输入乘号或其他符号" sqref="J15"/>
    <dataValidation allowBlank="1" type="any" operator="between" errorStyle="stop" showInputMessage="1" promptTitle="介绍" prompt="建筑师掌握设计和营造建筑的知识，不论是个人房屋的改造还是造价数百万美元的地标工程。建筑师与项目经理紧密合作，负责监督施工全程。建筑师必须了解当地的规划法律，健康和安全法规，和基础的公众安全原则。他们既可以在大公司工作，也可以自由工作，这在很大程度上取决于信誉。在1920年代，许多人尝试在自家或小办公室单干。" sqref="B14:C14"/>
    <dataValidation allowBlank="1" type="list" errorStyle="stop" showInputMessage="1" showErrorMessage="1" sqref="I23">
      <formula1>"×,√"</formula1>
    </dataValidation>
    <dataValidation allowBlank="1" type="list" errorStyle="stop" showInputMessage="1" showErrorMessage="1" sqref="I16:I22">
      <formula1>"×,√"</formula1>
    </dataValidation>
    <dataValidation allowBlank="1" type="any" operator="between" errorStyle="stop" showInputMessage="1" promptTitle="Accounting (05%)" prompt="使调查员理解会计工作的流程。通过检查账簿，调查员可以了解过去的资金的得与失，以及这些资金流通渠道。也能发现做假账的员工，对资金的偷偷挪用，对行贿或者敲诈的款项支付，以及经济状况是否比表面陈述的更好或者更差。" showErrorMessage="1" sqref="M2"/>
    <dataValidation allowBlank="1" type="any" operator="between" errorStyle="stop" showInputMessage="1" promptTitle="介绍" prompt="至少，从家族忠诚来说，部落文化无处不在。在部落中，亲属关系和传统习俗的首要地位是不言而喻的。一个部落通常来说是一个相对较小的群体。相比起法律和个人权利，部落更加依据个人荣耀而裁定行为。崇拜，复仇，嘉奖，以及荣耀——所有的一切都是部落成员个人所有的，而如果领袖或是仇敌被视为有荣耀的人，那么他们个人也必然在某种程度上十分有名。" sqref="B110:C110"/>
    <dataValidation allowBlank="1" type="any" operator="between" errorStyle="stop" showInputMessage="1" promptTitle="介绍" prompt="相对于那些因贫困而苦恼的人，流浪者选择四处漂泊的生活，可能是出于社会哲学经济的原因，或只是渴望摆脱社会的约束。流浪汉需要工作，有时几天或几个月，但他们应对问题时往往选择流动和孤立，而不是舒适和亲近。在美国，这种情况尤其常见，只要旅行本身没有什么危险，就会有人选择漂泊为生。" sqref="B47:C47"/>
    <dataValidation allowBlank="1" type="any" operator="between" errorStyle="stop" showInputMessage="1" promptTitle="介绍" prompt="殡葬师又叫殡葬业者或葬礼主持人，是负责运行丧葬仪式的职业。工作也包含土葬和火化等内容。在葬礼上，殡葬师要进行防腐、裹衣、入殓、遗体美容等等工作。殡葬师的执照由各州发放。他们可能自己拥有殡仪馆，或者在别人的殡仪馆工作" sqref="B111:C111"/>
    <dataValidation allowBlank="1" type="any" operator="between" errorStyle="stop" showInputMessage="1" promptTitle="介绍" prompt="医生这里可能是指全科医生外科医生其他专科医生或者独立医学研究员。除去个人的目标以外，救死扶伤获得财富和荣誉提升公众的理性意识和科学素养也常常是医生的理想。农村和小城镇的卫生院是全科医生的舞台，而大城市的各大医院则是高手如云，集聚了众多专攻病理学毒理学整形外科脑外科等领域的专家。有些医生也可能担任全职或兼职的法医，进行尸检。" sqref="B46:C46"/>
    <dataValidation allowBlank="1" type="any" operator="between" errorStyle="stop" showInputMessage="1" promptTitle="介绍" prompt="新入伍的海员像陆军的同行一样，开始时需要接受基本的训练。这之后他们获得军衔，并被分配到各镇守府。虽然很多海员担任像水手长副手和司炉工（管理引擎）这样的传统角色，但是也有很多经过专门训练的机械师、无线电操作员、通风管理员之类。在美国，海员通常要服四年的现役和后两年的后备役，即在国家发布动员令时有应召服役的义务。" sqref="B100:C100"/>
    <dataValidation allowBlank="1" type="any" operator="between" errorStyle="stop" showInputMessage="1" promptTitle="介绍" prompt="书商可能拥有自己的店面或者利基（小众）邮购服务，也可能辗转全国甚至海外专门经销书籍。许多人拥有富有的，能提供利润丰厚又稀罕的工作的固定客户。" sqref="B21:C21"/>
    <dataValidation allowBlank="1" type="any" operator="between" errorStyle="stop" showInputMessage="1" promptTitle="介绍" prompt="赝造者是地下世界的艺术家，专门从事伪造官方文件契约转让书，并提供伪造的签名。初学者只能做做小贼的假身份证，而顶级的赝造者连印假币的铸模都能做。" sqref="B38:C38"/>
    <dataValidation allowBlank="1" type="any" operator="between" errorStyle="stop" showInputMessage="1" promptTitle="Beast Training(05%)" prompt="用于命令、训练驯服动物进行简单任务的技能。这技能最常用在狗身上，但也不排除鸟、猫、猴子，或是其他（由Keeper 判定）。" showErrorMessage="1" sqref="N59"/>
    <dataValidation allowBlank="1" type="any" operator="between" errorStyle="stop" showInputMessage="1" promptTitle="介绍" prompt="绅士淑女指的是有良好的教养品行、举止彬彬有礼的人。通常用来称呼上流社会（通过继承或津贴）拥有相当财富的人。 在上世纪20年代，这样的人至少要有一个仆人（管家、男仆、女仆、私人司机），还要有城市或乡村的宅第。家庭的富有并重要，因为家庭的社会地位往往比财产更被上流社会所看重。" sqref="B64:C64"/>
    <dataValidation allowBlank="1" type="any" operator="between" errorStyle="stop" showInputMessage="1" promptTitle="介绍" prompt="联邦执法机构和特工种类各异。有些身着制服，比如美国司法部的人员；另外一些则穿便服，工作内容也类似警探，比如联邦调查局的人员。" sqref="B57:C57"/>
    <dataValidation allowBlank="1" type="any" operator="between" errorStyle="stop" showInputMessage="1" promptTitle="介绍" prompt="编辑的工作包括审核记者的稿件，撰写报刊社论，应对各种突发事件到了截稿时间要催稿，编辑工作只好偶尔为之啦。大型报社的编辑数量众多，包括比起新闻编辑更多参与业务运营的主编。其他编辑专门负责时尚体育或者其他板块。许多小报可能就只有一个编辑，他甚至有可能就是报社的业主或者唯一的全职员工。" sqref="B51:C51"/>
    <dataValidation allowBlank="1" type="any" operator="between" errorStyle="stop" showInputMessage="1" promptTitle="介绍" prompt="艺人包括小丑歌手舞蹈演员喜剧演员杂耍艺人魔术师，各种以在人前表演谋生的人。他们乐于向更多的人表现自己的能力，并期待观众回报的掌声。在1920年代，这一职业并不受人尊重。不过1920 年代好莱坞明星的高薪彻底改变了很多人的想法，现在这个职业背景已经通常被视作是优势了。" sqref="B54:C54"/>
    <dataValidation allowBlank="1" type="list" errorStyle="stop" showInputMessage="1" showErrorMessage="1" sqref="N24:N25">
      <formula1>#REF!</formula1>
    </dataValidation>
    <dataValidation allowBlank="1" type="any" operator="between" errorStyle="stop" showErrorMessage="1" sqref="N33"/>
    <dataValidation allowBlank="1" type="any" operator="between" errorStyle="stop" showInputMessage="1" promptTitle="介绍" prompt="欺诈师通常都是油嘴滑舌的人物。他们或单独或集体出没在富裕的人家和社区周边，诈取他们来之不易的钱财。许多骗局复杂精妙，诈骗团伙会倾巢出动乃至租用建筑；有些则不需要这么麻烦，只要一个骗子几分钟就能搞定。" sqref="B34:C34"/>
    <dataValidation allowBlank="1" type="any" operator="between" errorStyle="stop" showInputMessage="1" promptTitle="介绍" prompt="律师或法律顾问精通他们所在地区的法律，擅长把抽象的法学理论知识联系起来，为客户解决法律方面的疑难，担任辩护代理、法律顾问的工作，为客户提供解决办法。可能受托处理个人案件、接受法院指定，也可能专门为某个富裕客户或公司服务。在美国，“律师”一词一般只指辩护律师。在英国，“律师”一词则包括高级律师、初级律师还有一些执法机构。" sqref="B74:C74"/>
    <dataValidation allowBlank="1" type="any" operator="between" errorStyle="stop" showInputMessage="1" promptTitle="介绍" prompt="通讯记者则是新闻传媒行业大军中的一员。大部分记者从事实地工作，包括走访见证人、查看记录、收集叙述。有些记者被安排专门追踪警界、体育界或商界的热点新闻，其他人则是负责社会事件乃至园艺俱乐部之类的事情。通讯记者都会携带记者证，不过记者证除了各通讯社用来识别自己的雇员以外没有太大的作用。" sqref="B68:C68"/>
    <dataValidation allowBlank="1" type="any" operator="between" errorStyle="stop" showInputMessage="1" promptTitle="介绍" prompt="驻外记者是新闻界的精英人才。他们拿着固定工资，靠报销单环游全世界。在1920年代，驻外记者通常供职于大型报社广播电台或者国家级通讯社。当代的驻外记者也可能自由撰稿或者为电视台网络通讯社和国际新闻通讯社工作。这个职业的工作内容五花八门，经常能激动人心。不过自然灾害政治动荡和战争也会成为驻外记者报道的主要内容，工作也不总是一帆风顺。" sqref="B59:C59"/>
    <dataValidation allowBlank="1" type="any" operator="between" errorStyle="stop" showInputMessage="1" promptTitle="介绍" prompt="计算机黑客则利用计算机和计算机网络为手段，进行干扰或破坏以达成政治目的（有时被称为“政治黑客”）或获取非法利益。达成目标的手段主要是非法入侵计算机和其他用户帐户，目的则可能包括篡改网页垃圾邮件炸弹。" sqref="B27:C27"/>
    <dataValidation allowBlank="1" type="any" operator="between" errorStyle="stop" showInputMessage="1" promptTitle="介绍" prompt="牛仔在西部的牧区和牧场工作。有些人拥有自己的牧场，更多的则是在各处打工为生。想赚大钱的牛仔会去冒着丢胳膊少腿乃至送命的危险参加牛仔巡回赛，通过旅行获取名誉。在1920年代，一些牛仔能在好莱坞找到西部片替身演员和群众演员的工作，例如怀特•厄普就曾为西部电影担任顾问。在现代，有些牧场也对想要体验一把牛仔生活的游客开放。" sqref="B28:C28"/>
    <dataValidation allowBlank="1" type="any" operator="between" errorStyle="stop" showInputMessage="1" promptTitle="语言水平" prompt="05%：正确辨认语言的种类 10%：可以沟通简单的概念 30%：可以了解事务上的需求 50%：可以流利使用语言 75%：可以像是当地人一样使用语言 辨认现代语言： Know掷骰 辨认灭绝人类语言：考古学或历史掷骰 辨认外星语言：克苏鲁神话或神秘学掷骰" showErrorMessage="1" sqref="N30:N32"/>
    <dataValidation allowBlank="1" type="any" operator="between" errorStyle="stop" showInputMessage="1" promptTitle="介绍" prompt="飞行员可以在美国邮政这样的企业工作，也可以在大大小小的民航公司做飞行人员。美国1926年之前没有对飞行员的职业要求,1926年航空商业法案通过之后才要求有执照。这个时代的多数飞行员从事嘉年华表演、特技飞行表演、乘飞机游玩或是小机场的空中的士等服务。也有飞行员在部队服现役。许多特技飞行员是在服役期间学会的驾驶飞机，有时仍然会被军队委派任务。" sqref="B89:C89"/>
    <dataValidation allowBlank="1" type="any" operator="between" errorStyle="stop" showInputMessage="1" promptTitle="介绍" prompt="女飞贼是名为专业大盗的女人。大部分都是独立行动，也有对自己的男伴言听计从的时候。不过这也不一定，实际上情况可能完全相反，她完全可以在干了某一票以后就卷走所有现金和皮草溜之大吉。" sqref="B36:C36"/>
    <dataValidation allowBlank="1" type="any" operator="between" errorStyle="stop" showInputMessage="1" promptTitle="介绍" prompt="杀手是地下世界的冷血夺命者。这是一项严谨的活计，他们从外地受雇杀人，接近目标，果断下手，又迅速离开。杀手通常很难融入社会，因为很多杀手行为总是很刻板，其他人很容易以为他们不近人情。但是另一方面，他们也会结婚生子，在其他方面和普通人没有什么不同。" sqref="B30:C30"/>
    <dataValidation allowBlank="1" type="any" operator="between" errorStyle="stop" showInputMessage="1" promptTitle="介绍" prompt="精神病学家是在现代专门从事精神失常诊断和治疗的医生。精神病学家掌握着精神药理学的治疗方法，使用精神类药物的资质，还能整理脑电图并对其进行计算机分析。到1930年代，任何一个医生都可以以精神病学家的身份进入美国医学协会名录中了。" sqref="B97:C97"/>
    <dataValidation allowBlank="1" type="any" operator="between" errorStyle="stop" showInputMessage="1" promptTitle="介绍" prompt="罪犯的体格和相貌形形色色，有些是纯粹碰运气伺机行事，比如扒手." sqref="B33:C33"/>
    <dataValidation allowBlank="1" type="list" errorStyle="stop" showInputMessage="1" promptTitle="Diving (01%)" prompt="使用者接受过在深海游泳的使用以及维持潜水设备的训练，水下导航，合适的下潜配重，以及应对紧急情况的方法。" showErrorMessage="1" sqref="N60">
      <formula1>#REF!</formula1>
    </dataValidation>
    <dataValidation allowBlank="1" type="any" operator="between" errorStyle="stop" showInputMessage="1" promptTitle="介绍" prompt="专职司机可能为企业个人工作，也可能拥有自己的出租车或货车。" sqref="B49:C49"/>
    <dataValidation allowBlank="1" type="any" operator="between" errorStyle="stop" showInputMessage="1" promptTitle="介绍" prompt="传教士云游到世界的各个角落，传播神的旨意，在文明的地方拯救“不幸的原始人”和“迷途的灵魂”。他们可能属于天主教、新教、伊斯兰教或者其他信仰系统，比如后期圣徒教会（摩门教）在欧美就有专门的传道所。有的传教士只凭自己的意志独立行动，有的则可能有教会以外的组织支持。基督教、伊斯兰教的传教者，佛教、印度教的法师，在全世界各个时代都能遇到。" sqref="B78:C78"/>
    <dataValidation allowBlank="1" type="any" operator="between" errorStyle="stop" showInputMessage="1" promptTitle="介绍" prompt="音乐家可能加入乐团、乐队或者独奏，演奏的乐器则可以是任何你能想象的种类。音乐家想出人头地十分困难，签约发布唱片就更难了。所以绝大多数音乐家都贫穷又无人关注，只靠街头卖艺勉强维持生计。少数幸运儿可以找到固定工作，比如在酒吧、宾馆或者市交响乐团弹钢琴。对更少的人来说，在正确的时间出现在正确的地点，再加上一点点天赋，就能获得巨大的成功和可观的财富。" sqref="B81:C81"/>
    <dataValidation allowBlank="1" type="any" operator="between" errorStyle="stop" showInputMessage="1" promptTitle="介绍" prompt="除魅师的工作是说服（或者强迫）一个人放弃自己的信仰或是对宗教团体他们一般受雇于深陷教团之类组织的人的亲属，任务就是解救对方（通常靠绑架），并通过心理学手段使他们割断与原来教团的联系（“控制”）。也有不那么激烈的除魅师，他们的工作对象则是那些自愿离开教团的人，为他们完全地退出教团进行有效的指导。" sqref="B42:C42"/>
    <dataValidation allowBlank="1" type="any" operator="between" errorStyle="stop" showInputMessage="1" promptTitle="介绍" prompt="科学家是在追求知识的过程中挖掘真理的人。如果想要利用科学知识制造有用的物品，需要的是工程师；而如果想要扩展“可能”这个概念的范围，那就是科学家的工作了。科学家们通常在企业和大学工作，以进行他们的研究。虽然主攻一个科学领域，但是真正称职的科学家一般也能达到通晓其他数个科学领域的水平。他们对自己的母语也能使用自如，学历也相当高，甚至拥有博士学位。" sqref="B103:C103"/>
    <dataValidation allowBlank="1" type="any" operator="between" errorStyle="stop" showErrorMessage="1" sqref="R35"/>
    <dataValidation allowBlank="1" type="any" operator="between" errorStyle="stop" showInputMessage="1" showErrorMessage="1" sqref="I10:J10"/>
    <dataValidation allowBlank="1" type="any" operator="between" errorStyle="stop" showInputMessage="1" promptTitle="介绍" prompt="街头混混一般都是些小年轻，弄不好还在寻觅加入真正黑帮的契机。不过他们的本事也就限于偷车，盗窃商店货物，抢钱或者夜盗。" sqref="B40:C40"/>
    <dataValidation allowBlank="1" type="any" operator="between" errorStyle="stop" showInputMessage="1" promptTitle="介绍" prompt="许多演员有相当深厚的文化素养，认为自己才是“正统”的，倾向于轻视电影业的商业活动。直到 20 世纪后期电影业的地位提高，电影演员的薪酬增加，这种情况才发生改变。电影业和电影明星一直是世界人民关注的焦点。许多明星一夜成名，在媒体的聚光灯下过着光鲜亮丽的生活。" sqref="B7:C7"/>
    <dataValidation allowBlank="1" type="any" operator="between" errorStyle="stop" showInputMessage="1" promptTitle="介绍" prompt="工程师精通机械和电气设备，可能在民间或军工企业工作，也可能是个发明家。他们擅长应用科学、数学知识和丰富的创造思维，解决各种技术问题。" sqref="B53:C53"/>
    <dataValidation allowBlank="1" type="any" operator="between" errorStyle="stop" showInputMessage="1" promptTitle="介绍" prompt="军官有严格的等级，许多等级还需要高等教育学历。各国武装部队都建立了人才培养系统，其中包括大学教育。在美国，许多大学开设军校生训练项目，可以让学员同时接受文化教育和军事训练。毕业的学员可以授以陆军或海军少尉军衔，并分派到各驻地。他们通常会为国家服役四年，之后可以退役复员。许多人有专门的任命，作为医生、律师和工程师工作。" sqref="B77:C77"/>
    <dataValidation allowBlank="1" type="any" operator="between" errorStyle="stop" showInputMessage="1" promptTitle="介绍" prompt="登山家一般都是利用业余时间和假期的运动员，只有少数攀登著名高山的人才会去寻找财力和设备的赞助。19世纪登山运动开始兴起，到了1920年代，所有美洲和阿尔卑斯地区的主要山峰都被一一征服。经过与西藏人的冗长谈判之后，外国登山队终于获准进入喜马拉雅高峰地区。到了现代，登山可以是休闲运动或职业选择。如果是后者，则工作内容包括教练、向导、运动员或救生员等。" sqref="B79:C79"/>
    <dataValidation allowBlank="1" type="any" operator="between" errorStyle="stop" showInputMessage="1" promptTitle="介绍" prompt="博物馆管理员可能负责大学或其他公共机构的大型设施，也可能负责小一些的博物馆，往往对本地的地质或者其他的内容颇有研究。" sqref="B80:C80"/>
    <dataValidation allowBlank="1" type="any" operator="between" errorStyle="stop" showInputMessage="1" promptTitle="介绍" prompt="职员被扣工资是家常便饭，工作也往往单调乏味。不过如果在工作中展现出了天分，那也会被看上，将来会得到提拔。中高层管理人员的工资比较高，当然责任也比较重，要负责管理公司的日常事务。虽然未婚的白领并不少见，但很多管理人员还是很顾家，家里一般会有配偶和孩子——家庭通常是他们的期望。" sqref="B115:C115"/>
    <dataValidation allowBlank="1" type="any" operator="between" errorStyle="stop" showInputMessage="1" promptTitle="介绍" prompt="工匠也可能被人叫做师傅或大师，是擅长对各种材料进行手工加工的人。通常都是才能出众的人，有的凭借自己的艺术作品出名，有的则会服务于自己的社区。" sqref="B29:C29"/>
    <dataValidation allowBlank="1" type="list" errorStyle="stop" showInputMessage="1" showErrorMessage="1" sqref="I15">
      <formula1>"×,√"</formula1>
    </dataValidation>
    <dataValidation allowBlank="1" type="any" operator="between" errorStyle="stop" showInputMessage="1" promptTitle="介绍" prompt="考古学家研究探索历史的痕迹。主要来说，是对人类历史相关的物质资料进行各种鉴识检查分析。这项工作包含辛苦细致的研究，更不必提情愿亲自下斗铲土的决心。在1920年代，成功的考古学家会被当成著名冒险家与探险家，名利双收。有人运用科学方法考古，不过更多的人对付老祖宗的秘密时喜好暴力破解的办法，甚至祭出炸药，这种碉堡了的办法现代人可是很难看得惯的。" sqref="B13:C13"/>
    <dataValidation allowBlank="1" type="any" operator="between" errorStyle="stop" showErrorMessage="1" errorTitle="提示" error="请输入大于等于1的整数 且不需要输入乘号或其他符号" sqref="J19"/>
    <dataValidation allowBlank="1" type="any" operator="between" errorStyle="stop" showErrorMessage="1" errorTitle="提示" error="请输入大于等于1的整数 且不需要输入乘号或其他符号" sqref="J16"/>
    <dataValidation allowBlank="1" type="any" operator="between" errorStyle="stop" showErrorMessage="1" errorTitle="提示" error="请输入大于等于1的整数 且不需要输入乘号或其他符号" sqref="J18"/>
    <dataValidation allowBlank="1" type="any" operator="between" errorStyle="stop" showInputMessage="1" promptTitle="介绍" prompt="会计师可能在企业工作或作为自由会计师，为个体经营者和企业客户担任顾问。他们是优秀的研究者，既勤奋又关注细节，能够通过仔细分析个人和企业交易记录、财务报表和其他记录支援其他调查员。" sqref="B4"/>
    <dataValidation allowBlank="1" type="any" operator="between" errorStyle="stop" showInputMessage="1" promptTitle="Intimidate (15%)" prompt="- 恐吓可以以许多形式使用，包括武力威慑，心理操控，以及威胁。这通常被用来使某人害怕，并迫使其进行某种特定的行为。 - 恐吓的对抗技能为恐吓或者心理学。 - 携带武器或者其他的有力的威胁或诱因来协助恐吓可能可以降低难度等级。 - 当在恐吓上使用孤注一掷时，失败的可能结果之一是对目标进行了远远超过本身意图的恐吓。 - 恐吓可以被用于降低一件物品或者服务的价格。如果成功，卖家可能会降低价格，或者免费交出，但是根据情况，对方可能会将这事情举报给警察或者当地犯罪组织的成员。" showErrorMessage="1" sqref="R30"/>
    <dataValidation allowBlank="1" type="any" operator="between" errorStyle="stop" showInputMessage="1" promptTitle="介绍" prompt="工人这一大类职业包括工厂工人、纺织工人、码头工人、养路工人、矿工、建筑工人等等。工人分为两种类型：熟练工和非熟练工。普通的工人虽然技术不熟练，但是仍然长于使用电动工具、起重机和其他工厂设备。" showErrorMessage="1" sqref="B71:C73"/>
    <dataValidation allowBlank="1" type="any" operator="between" errorStyle="stop" showInputMessage="1" promptTitle="介绍" prompt="动物训练师可能在电影工作室巡回马戏团马厩工作或自由工作。不管是训练导盲犬狮子钻火圈，他们工作时基本要独自一人长时间近距离地照看这些动物。动物训练师可以像对人一样对动物使用「心理学」技能。 译注：原文这八项技能没有动物驯养，KP可以依自己喜好用动物驯养取代其中一项。这里在人物卡中和本职技能一样给予了星标标注" sqref="B10:C10"/>
    <dataValidation allowBlank="1" type="any" operator="between" errorStyle="stop" showInputMessage="1" promptTitle="介绍" prompt="所有应征人员首先要在“训练营（新兵连）”接受基本训练，在训练营中新兵将学习如何行军、射击和敬礼。结束训练营的训练后，大部分的新兵会分配到步兵营，虽然也有分配到炮兵营和坦克营的。少部分会接受非战斗的训练，例如通风系统、机械装备、文职甚至军官接待。海军陆战队名义上属于海军，但是和陆军士兵在背景、训练方式和技能方面都很相近。" sqref="B106:C106"/>
    <dataValidation allowBlank="1" type="any" operator="between" errorStyle="stop" showInputMessage="1" promptTitle="介绍" prompt="罪犯可能为别人工作，后者通常是“匪帮”或罪犯家族。自由犯罪者则往往被称为抢劫犯打手罪组织豢养，不过团伙上层出事的时候，倒霉的往往是他们这些喽啰。对于他们来说，嘴紧和忠心属于职业道德。" sqref="B32:C32"/>
    <dataValidation allowBlank="1" type="any" operator="between" errorStyle="stop" showInputMessage="1" promptTitle="介绍" prompt="服务业人员。管家通常为一个大家庭打理家事。传统上，他负责的范围包括厨房仆人中位置最高。一般男管家还要负责管理其他的男仆（女管家类似）。更多的职责则听候主人差遣。男仆和女仆则为主人提供贴身服务，包括管理主人的服装准备浴室和担任私人助理。助理的工作则包括安排旅行日程财等。" sqref="B24:C24"/>
    <dataValidation allowBlank="1" type="any" operator="between" errorStyle="stop" showInputMessage="1" showErrorMessage="1" sqref="H22"/>
    <dataValidation allowBlank="1" type="any" operator="between" errorStyle="stop" showInputMessage="1" promptTitle="介绍" prompt="实验室助理在科研环境中工作，在首席科学家的监督下进行实验和行政工作。研究内容可能依首席科学家的研究学科而变化。但基本都包括取样、测试、记录和分析数据、调整和进行实验、制备标本和样品、管理实验室的日常工作，和保护工作人员的健康与安全。" sqref="B70:C70"/>
    <dataValidation allowBlank="1" type="any" operator="between" errorStyle="stop" showInputMessage="1" promptTitle="介绍" prompt="学生可能在大学或学院学习，实习生则是正在接受宝贵的入职培训，获得最低报酬的公司员工。" sqref="B108:C108"/>
    <dataValidation allowBlank="1" type="any" operator="between" errorStyle="stop" showInputMessage="1" promptTitle="介绍" prompt="工会活动家是组织者、领导者，有时也是空想者或者别有用心的抗议者，通常是工人的伙伴、老板的对头。各行各业都有工会，不论是码头工人、建筑工人、矿工还是演员。在20世纪早期，工会活动家所在的工会面临着诸多危险。大企业想要毁掉它，政治家在支持它和谴责它之间摇摆不定，社会主义者和共产主义者试图影响它，还有犯罪组织试图夺取它。" sqref="B112:C112"/>
    <dataValidation allowBlank="1" type="any" operator="between" errorStyle="stop" showInputMessage="1" promptTitle="介绍" prompt="学术界的研究课题不计其数，尤其是在天文学、物理学和其他理论领域。私人或企业也雇用了成千上万的研究员，重点在化学、制药和工程领域。石油公司则会聘用专业的地质学家，不一而足。研究员大部分的时间都在室内工作和写作，不过有的则会经常外出考察。考察研究员通常经验丰富，思想独立又足智多谋，可能受雇于私人或者为大学进行学术研究。" sqref="B99:C99"/>
    <dataValidation allowBlank="1" type="any" operator="between" errorStyle="stop" showInputMessage="1" promptTitle="介绍" prompt="白领工人可能是从最低等级的白领职员到中层或高层的管理人员。所属单位则可能从小型中型的本地企业直到大型的国家级甚至跨国公司。职员被扣工资是家常便饭，工作也往往单调乏味。不过如果在工作中展现出了天分，那也会被看上，将来会得到提拔。中高层管理人员的工资比较高，当然责任也比较重，要负责管理公司的日常事务。" sqref="B114:C114"/>
    <dataValidation allowBlank="1" type="any" operator="between" errorStyle="stop" showInputMessage="1" promptTitle="Accounting (05%)" prompt="- 使你理解会计工作的流程以及一个企业或者个人的金融职务。 - 通过检查账簿，你可以发现做假账的员工，对资金的偷偷挪用，对行贿或者敲诈的款项支付，以及经济状况是否比表面陈述的更好或者更差。 - 通过仔细检查旧账户，你可以了解过去的资金的得与失（谷物，奴隶贸易，威士忌酒的运营等）以及这些资金是付给了谁以及为了什么款项而支付。" showErrorMessage="1" sqref="R2"/>
    <dataValidation allowBlank="1" type="any" operator="between" errorStyle="stop" showInputMessage="1" showErrorMessage="1" sqref="R27"/>
    <dataValidation allowBlank="1" type="any" operator="between" errorStyle="stop" showInputMessage="1" promptTitle="Appraise (05%)" prompt="- 用来估计某种物品的价值，包括质量，使用的材料以及工艺。 - 相关的，技能使用者可以准确地辨认出物品的年龄，评估它的历史关联性以及发现赝品。" showErrorMessage="1" sqref="R4"/>
    <dataValidation allowBlank="1" type="any" operator="between" errorStyle="stop" showInputMessage="1" promptTitle="Archaeology (01%)" prompt="- 允许从过去的文化中鉴定一件古董的年代以及辨别它，以及可以用来发现赝品。 - 使获得建立以及开掘一个挖掘遗址的专业知识。 通过对遗址的勘察，使用者可以推断留下这遗址的生物的目的和生活方式。 - 人类学可能对此会有所帮助。 - 考古学还有助于辨认已消失的人类语言的书面形式。" showErrorMessage="1" sqref="R5"/>
    <dataValidation allowBlank="1" type="any" operator="between" errorStyle="stop" showInputMessage="1" promptTitle="Computer Use (05%)" prompt="- 这项技能允许调查员用各种不同的电脑语言进行编程；恢复或者分析隐藏的数据；解除被加了保护的系统；探索一个复杂的网络；或者发现别人的骇入、后门程序、病毒。对电脑系统的特殊操作可能会需要这个检定。 - 互联网将大量的信息放置在了调查员的指尖上。 - 使用互联网来找到高度详细以及/或模糊不清的咨询可能会需要一个计算机使用和图书馆使用的组合检定。 - 这项技能在用电脑上网，检查电子邮件，或者运行一般的商品化软件时不需要使用。 - 仅在现代可用。" showErrorMessage="1" sqref="R11"/>
    <dataValidation allowBlank="1" type="any" operator="between" errorStyle="stop" showInputMessage="1" promptTitle="Charm (15%)" prompt="- 魅惑允许通过许多形式来使用，包括肉体魅力、诱惑、奉承或是单纯令人感到温暖的人格魅力。 - 魅惑可能可以被用于迫使某人进行特定的行动，但是不会是与个人日常举止完全相反的行为。 - 魅惑或是心理学技能可以用于对抗魅惑技能。 - 魅惑技能可以被用于讨价还价来使一件物品或者服务的价格降低。 - 如果成功，使用者得到了卖家的赞同，并且他们可能乐意降低一点价格。" showErrorMessage="1" sqref="R9"/>
    <dataValidation allowBlank="1" type="any" operator="between" errorStyle="stop" showInputMessage="1" promptTitle="介绍" prompt="美国的新兴宗教层出不穷。直到现在，也还有从新英格兰超验主义到“天父的儿女”等等许多种类。教团首领有的创立了严格的教条并且对信徒推行，另一些则仅仅是垂涎于信徒的金钱和权势。在1920年代，各种诱惑性的新兴宗教团体纷纷涌现。有些采取基督教的形式，有些则混杂了东方的神秘主义和神秘学的仪式。" sqref="B41:C41"/>
    <dataValidation allowBlank="1" type="any" operator="between" errorStyle="stop" showInputMessage="1" promptTitle="介绍" prompt="性工作者根据场合、背景和教养，从超级值钱的应召小姐到牛郎再到站街女都有可能。往往入这一行都是权宜之计，许多人梦想有朝一日能够脱身。少数人能够自己接客，不过绝大多数人基本都是被只认钱不认人的老鸨和皮条客逼迫着工作。" sqref="B96:C96"/>
    <dataValidation allowBlank="1" type="any" operator="between" errorStyle="stop" showInputMessage="1" promptTitle="介绍" prompt="尽管少数富有的人会选择私人疗养院，大多精神病患者最终会被安置到州县设置的定点医院。这些地方除了医生护士以外，还会有一支看护队伍。选聘看护的时候，力量和体格往往比医学知识更被看重。" sqref="B16:C16"/>
    <dataValidation allowBlank="1" type="any" operator="between" errorStyle="stop" showInputMessage="1" promptTitle="History (05%)" prompt="- 让一名调查员能够记住一个国家，城市，区域或 者个人及其相关的重要情报。 - 一个成功的检定可以用来帮助辨认先祖所熟悉的工具，科技，或者想法，但是对当下的所知甚少。" showErrorMessage="1" sqref="R29"/>
    <dataValidation allowBlank="1" type="any" operator="between" errorStyle="stop" showInputMessage="1" promptTitle="介绍" prompt="设计师的工作包括许多方面，从时装到家具或是其他任何东西。他们自由工作，为设计工作室和企业设计产品流程法律游戏图像等等。调查员特定的设计方向也会影响他们对专业技能的选择，如果需要的话要进行调整。" sqref="B43:C43"/>
    <dataValidation allowBlank="1" type="any" operator="between" errorStyle="stop" showInputMessage="1" promptTitle="介绍" prompt="作家不同于记者，他们用文字定义和探讨人们的社会生活，尤其是人们的情感变化。他们的劳动通常孤立而又自我中心：虽然以前写作是个能稳拿工资的行当，但如今只靠写作发大财的人屈指可数。作家的工作习惯相差极大。通常作家们会花费数月乃至数年的时间调查取材，为新书的创作做准备；然后闭门谢客，投入紧张的创作。" sqref="B18:C18"/>
    <dataValidation allowBlank="1" type="any" operator="between" errorStyle="stop" showInputMessage="1" promptTitle="介绍" prompt="法官是主持审判全过程的人，可能单独工作或是和同事组成合议庭。一般是推选或任命制，工作年限也分定期和终身。有的人是初出茅庐就当了法官，而其余的绝大多数，不论是在联邦最高法院还是遥远西部小镇的法官，其实至少都是经过注册的律师。" sqref="B69:C69"/>
    <dataValidation allowBlank="1" type="any" operator="between" errorStyle="stop" showInputMessage="1" promptTitle="介绍" prompt="赌徒是罪犯世界里最花哨的一群人。他们衣着光鲜，不论朴实还是华丽都魅力四射。不论是靠赛马、纸牌游戏还是其他赌博方式，他们总是要凭自己的运气过活。老练的赌徒会频繁地光顾犯罪组织开设的地下赌场。低级的赌徒则出入于狭窄的小巷，在骰子房耍弄灌铅的骰子，或者是挤坐在阴暗的台球室里。" sqref="B61:C61"/>
    <dataValidation allowBlank="1" type="any" operator="between" errorStyle="stop" showInputMessage="1" promptTitle="介绍" prompt="记者用文字对当天的新闻事件进行报导与评论，一天之内就要完成一个作家一周的工作量。他们通常为报纸、杂志、广播电台、电视台或者新闻网站撰稿。优秀的调查记者在报道事件的同时，即使面对丑恶，也能保持自身的清廉正直。恶心的记者则被现实所压倒，最终丧失自己的节操，肆意操纵文字歪曲真相。" sqref="B67:C67"/>
    <dataValidation allowBlank="1" type="any" operator="between" errorStyle="stop" showInputMessage="1" promptTitle="介绍" prompt="勤杂护工在医院的工作包括倒垃圾、打扫房间、运送病人，还有一些其他乱七八糟的工作。总之对他们的要求不比对看门人多多少。" sqref="B66:C66"/>
    <dataValidation allowBlank="1" type="any" operator="between" errorStyle="stop" showInputMessage="1" promptTitle="介绍" prompt="潜水员可能在军队执法机构或海绵采集海上救援环境保护甚至水下寻宝的民间机构工作。" sqref="B45:C45"/>
    <dataValidation allowBlank="1" type="any" operator="between" errorStyle="stop" showInputMessage="1" promptTitle="介绍" prompt="技师包括所有需要专业训练和作为学徒或实习生工作经验的职业，例如木工、石工、管道工、电工、设备安装工人、机修工人等等这些需要技术资质的职业。通常这些工人有自己的工会组织，会和承包人和雇主争取自己的权益。" sqref="B76:C76"/>
    <dataValidation allowBlank="1" type="any" operator="between" errorStyle="stop" showInputMessage="1" promptTitle="介绍" prompt="神职人员通常担任一个教区的牧师，或是经过分配外出传教，尤其是去国外（见传教士）。不同的教会工作的侧重点和组织结构各不相同，如天主教会的牧师可能上升到主教大主教和红衣主教，而一个卫理公会的牧师则会升职到教区主管和主教。有些教职人员在教堂接受医生律师学者的专业培训。这样的调查员应该选择最符合自己工作的职业模板。" sqref="B25:C25"/>
    <dataValidation allowBlank="1" type="any" operator="between" errorStyle="stop" showInputMessage="1" promptTitle="介绍" prompt="游民只有少数的人愿意去当，虽然失业的人、醉倒在阴沟里的醉鬼到处都是。和流浪者只会在必需时才工作不同，游民的工作本身就是流浪。他们不断地坐火车旅行，从一个城市辗转到另一个城市，他们是身无分文的诗人、漂泊者，铁路上的探索者、冒险者和盗贼。但是铁路上的生活一样充满危险。且不说穷困潦倒、无家可归，还要面对来自警察、周围居民和铁路员工的敌意。" sqref="B65:C65"/>
    <dataValidation allowBlank="1" type="any" operator="between" errorStyle="stop" showInputMessage="1" promptTitle="介绍" prompt="消防员是公职人员，通常为所管辖的社区服务。他们夜以继日地工作，或者连续几天的倒班工作，吃住包括娱乐活动都要局限在消防局里。消防员的管理结构类似军队，职位包括中尉上尉和局长等等。" sqref="B58:C58"/>
    <dataValidation allowBlank="1" type="any" operator="between" errorStyle="stop" showInputMessage="1" promptTitle="介绍" prompt="运动员可能效力于职业的棒球足球板球或者篮球队伍。这支队伍也许是大联盟队伍，有着稳定工资，参加的比赛万人瞩目；或者是众多小联盟队伍之一，尤其是在1920年代的棒球界。这些队伍往往寄于大联盟队伍篱下，各方面都受其管理，工资更是刚够运动员糊口又不至于让他们跳槽的水平。成功的运动员在自己的专业领域也会拥有相当的声誉。" sqref="B17:C17"/>
    <dataValidation allowBlank="1" type="list" errorStyle="stop" showInputMessage="1" showErrorMessage="1" sqref="R25:R26">
      <formula1>"步枪/霰弹枪,冲锋枪,弓,喷射器,机枪,重武器"</formula1>
    </dataValidation>
    <dataValidation allowBlank="1" type="any" operator="between" errorStyle="stop" showInputMessage="1" promptTitle="Electrical Repair (10%)" prompt="- 使调查员能够修理或者改装电气设备，例如自动点火装置，电动机，保险丝盒，以及防盗自动警铃。 - 在现代，这项技能对现代电子器件几乎做不到什么。 - 为了维修电气设备，可能需要特殊的部件或者工具。 - 在 1920 年代的职业可能会需要这个技能，并且需要机械维修技能作为组合。 - 电气维修也可能在现代的爆破上被使用，例如雷管，C-4 塑料炸弹，以及地雷。 - 这些武器被设计得简单易用；只有一个大失败的结果才会造成不启动（记住这检定可以使用孤注一掷）。 - 拆除爆炸物是远远更为复杂的，因为它们可能被安装了反" showErrorMessage="1" sqref="R17"/>
    <dataValidation allowBlank="1" type="any" operator="between" errorStyle="stop" showInputMessage="1" showErrorMessage="1" sqref="R23"/>
    <dataValidation allowBlank="1" type="any" operator="between" errorStyle="stop" showInputMessage="1" promptTitle="Electronics (01%)" prompt="- 用来发现并对电子设备的故障进行维修。 - 允许制作简单的电子设备。 - 这是个现代技能——在 1920 年代则是使用物理学以及电气维修来应对电子设备。 - 不像电气维修技能，电子学工作的部件通常是不 能临时配备的：它们通过精密的工作被设计出来通 常如果没有正确的微晶片或者电路板，技能的使用者就无法进行工作，除非他们可以策划出一些形式的应急方案。" showErrorMessage="1" sqref="R18"/>
    <dataValidation allowBlank="1" type="any" operator="between" errorStyle="stop" showErrorMessage="1" errorTitle="提示" error="请输入大于等于1的整数 且不需要输入乘号或其他符号" sqref="J23"/>
    <dataValidation allowBlank="1" type="any" operator="between" errorStyle="stop" showInputMessage="1" promptTitle="Climb (20%)" prompt="- 这项技能允许一名角色借助或者不借助绳索或者登山工具进行爬树、墙以及其他垂直表面。 - 这项技能也同样包括用绳索下降。攀爬表面是否坚固，是否有可以用手握住的地方，风力，可见度，雨等等坏境状况都可能会影响难度等级。 - 第一次在这个技能上失败可能意味着这攀爬超出了调查员的能力范围。在孤注一掷上失败则可能意味着摔落了下来，同时因此受到伤害。 - 一个成功的攀爬检定应当允许调查员在任何场合下完成攀爬（而不是进行反复检定）。 - 一次富有挑战性或者长距离的攀爬则应当增加难度等级。" showErrorMessage="1" sqref="R10"/>
    <dataValidation allowBlank="1" type="list" errorStyle="stop" showInputMessage="1" showErrorMessage="1" sqref="R22">
      <formula1>"鞭子,电锯,斧,剑,绞具,链枷,矛"</formula1>
    </dataValidation>
    <dataValidation allowBlank="1" type="any" operator="between" errorStyle="stop" showInputMessage="1" promptTitle="Fast Talk (05%) 也译作“快速交谈”" prompt="- 话术特别限定于言语上的哄骗，欺骗以及误导，例如迷惑一名门卫来让你进入一间俱乐部，误导警察看向另一边，以及诸如此类的。 - 这项技能的对立技能为心理学或者话术。 - 经过一段时间的相信期后（通常在使用话术的人离开场景之后），对方会意识到自己被欺骗了。如果达成了更高的难度等级可能会使这个时间更加长一点。 - 可以被用来对一件物品或者服务的价格进行砍价。如果成功，卖家会暂时性地觉得这是一场不错得交易；然而，如果买家打算归还或者试图购买别的物品，卖家可能会拒绝继续降价，并且甚至可能会提高价格为了补回他们的损失" showErrorMessage="1" sqref="R19"/>
    <dataValidation allowBlank="1" type="any" operator="between" errorStyle="stop" showInputMessage="1" promptTitle="Dodge (DEX/2) [无法孤注一骰]" prompt="- 允许调查员本能地闪避攻击，投掷过来的投射物以及诸如此类的。 - 一名角色可以尝试在一场战斗轮中使用任何次数的闪避（但是对抗一次特定的攻击只能一次）。 - 闪避可以通过经验来提升，就像其他的技能一样。 - 如果一次攻击可以被看见，一名角色可以尝试闪避开它。 - 想要闪避子弹是不可能的，因为运动中的它们是不可能被看见的；一名角色所能做到的最好的是做逃避的行动来造成自己更难被命中（“寻找掩体（可以在武器列表的可选规则里看见）“）。" showErrorMessage="1" sqref="R15"/>
    <dataValidation allowBlank="1" type="any" operator="between" errorStyle="stop" showErrorMessage="1" errorTitle="提示" error="请输入大于等于1的整数 且不需要输入乘号或其他符号" sqref="J20"/>
    <dataValidation allowBlank="1" type="any" operator="between" errorStyle="stop" showInputMessage="1" promptTitle="Disguise (05%)" prompt="- 使用在当你想要演出除你自己外的别人时。 - 使用者改变了态度，习惯，以及/或声音来进行一个乔装，以另一个人或者另一类人的形象出现。 - 戏剧化妆品可能会有所帮助，还有伪造的身份证。" showErrorMessage="1" sqref="R14"/>
    <dataValidation allowBlank="1" type="any" operator="between" errorStyle="stop" showInputMessage="1" promptTitle="语言水平" prompt="05%：正确辨认语言的种类 10%：可以沟通简单的想法 30%：可以对社交上的需求进行理解 50%：可以进行流畅的交流 75%：可以像是当地人一样使用语言 辨认现代语言： 投掷教育（知识） 辨认灭绝人类语言：考古学或历史 辨认外星语言：克苏鲁神话或神秘学" showErrorMessage="1" sqref="R32:R34"/>
    <dataValidation allowBlank="1" type="any" operator="between" errorStyle="stop" showInputMessage="1" promptTitle="介绍" prompt="也可能只是给这些大佬打工的马仔。马仔们通常有自己的保护范围，比如监管非法运输和收取保护费等等。虽然大部分黑帮是按来源的民族划分——如爱尔兰裔、意大利裔、非洲裔和犹太裔，黑帮的成员仍然可能是任何民族。除去贩私酒和贩毒以外，卖淫、保护、赌博、腐败等等都是这些犯罪组织的业务范围。" sqref="B63:C63"/>
    <dataValidation allowBlank="1" type="any" operator="between" errorStyle="stop" showInputMessage="1" promptTitle="介绍" prompt="文物学家也许是调查员可以从事的最具有洛夫克拉夫特风格的职业：那些历久弥新的的卓越作品湮没在古代传说中的神奇力量，总能使他们乐在其中。独立的收入使文物学家能够研究古旧晦涩的文物，或者根据自己的兴趣爱好集中探寻特别的种类。他们通常有着欣赏的眼光敏锐的头脑，和讽刺无知自大贪婪者的愚蠢时尖酸刻薄的幽默。" sqref="B11:C11"/>
    <dataValidation allowBlank="1" type="any" operator="between" errorStyle="stop" showInputMessage="1" promptTitle="介绍" prompt="教授是受聘于高等院校的学者。大公司也可能聘请他们以开展学术研究与产品开发。独立的学者也靠开办业余课程作为经济来源。最重要的一点，这一职业代表了 PhD（博士）的荣誉称号，意味着可以在世界各地的大学任终身教职。教授的专长是教学和专业研究，往往在自己的专业领域内有着可圈可点的学术成就。" sqref="B94:C94"/>
    <dataValidation allowBlank="1" type="any" operator="between" errorStyle="stop" showInputMessage="1" promptTitle="介绍" prompt="间谍为国家和组织的情报部门卖命。他们能以从大使到厨房清洁工的任何职业身份作为掩饰，刺探他们所需的情报。有些间谍数年如一日的持续着卧底工作，另一些穿个马甲就换一个身份。在本国委任的间谍通常会去往外国工作。间谍除了情报收集和反情报收集的主要工作，也会被委派其他任务，例如招募新间谍和国家批准的暗杀等。" sqref="B107:C107"/>
    <dataValidation allowBlank="1" type="any" operator="between" errorStyle="stop" showInputMessage="1" promptTitle="介绍" prompt="替身演员在电影和电视剧工业中活跃，专门模拟坠楼、车祸等灾难场景。他们通常会接受格斗技巧和舞台格斗的训练。任何的替身特技表演都是有风险的。在现代，替身演员基本都是工会的成员，想要加入工会，他们必须有证明自己能力的证书。而且，所有的特技场景还要有特技总监负责指导动作。但是在1920年代，行业规范没有成型，所以事故率和死亡率居高不下。" sqref="B109:C109"/>
    <dataValidation allowBlank="1" type="any" operator="between" errorStyle="stop" showInputMessage="1" promptTitle="介绍" prompt="饲养员负责动物的喂养和看护，场地管理员和服务员管理其他杂务。通常饲养员会专门照看某一种动物，可以对动物使用「医学」技能。" sqref="B117:C117"/>
    <dataValidation allowBlank="1" type="any" operator="between" errorStyle="stop" showInputMessage="1" promptTitle="Jump (20%)" prompt="- 如果成功，调查员可以在垂直方向上跳起或跳下，或者从一个站立点或起步点水平向外跳。 - 为了分辨哪些算在正常跳跃，困难跳跃以及极难跳跃，必须对判断进行训练。 - 作为指导，当调查员想要安全地从垂直等同于其自身高度的地方跳下来时，需要一个常规难度的成功，或者水平地从其站立点跳过长度等同于他自身高度的坑，或者助跑后跳过两倍于其自身高度的距离。 - 如果要达成两倍距离的跳跃，则需要一个极难难度的成功，牢记，最长跳跃的世界纪录为大约 8.95米。 - 如果从高处摔落下来，一个成功的跳跃检定可以使对坠落有所准备，" showErrorMessage="1" sqref="R31"/>
    <dataValidation allowBlank="1" type="any" operator="between" errorStyle="stop" showInputMessage="1" showErrorMessage="1" sqref="H15:H20"/>
    <dataValidation allowBlank="1" type="any" operator="between" errorStyle="stop" showInputMessage="1" promptTitle="介绍" prompt="有些则组成分工明确，会详细调查并制定计划的犯罪组织。" sqref="B31:C31"/>
    <dataValidation allowBlank="1" type="any" operator="between" errorStyle="stop" showInputMessage="1" promptTitle="Credit Rating (00%)" prompt="- 衡量了调查员表现出来的富裕程度以及经济上的 自信度。 - 钱是敲门砖；如果调查员尝试用他的经济地位来达成某个目标，那么也许使用信用评级技能会比较合适。 - 信用评级可以被用来取代 APP 来评估第一印 象。 - 信用评级并不是一个被用于评估经济富裕度的技能，也不应该与其他技能挂钩。一个高信用评级在游戏中将会是一个有用的资源，并且应当在创造调查员时加上一定的点数。" showErrorMessage="1" sqref="R12"/>
    <dataValidation allowBlank="1" type="any" operator="between" errorStyle="stop" showInputMessage="1" promptTitle="Drive Auto (20%)" prompt="- 任何有着这项技能的人都可以驾驶一辆汽车或者 轻型卡车，进行常规的移动，并且处理机动车的一般毛病。 - 如果调查员想要甩掉一名追踪者或者追踪某人，则需要一个汽车驾驶检定。 - 一些其他的文化可能用相似的事物来取代这个技 能；因纽特人可能使用狗撬驾驶，或者维多利亚人可能使用四轮马车驾驶。" showErrorMessage="1" sqref="R16"/>
    <dataValidation allowBlank="1" type="list" errorStyle="stop" showInputMessage="1" showErrorMessage="1" sqref="R21">
      <formula1>"鞭子,电锯,斧,剑,绞具,链枷,矛"</formula1>
    </dataValidation>
    <dataValidation allowBlank="1" type="any" operator="between" errorStyle="stop" showErrorMessage="1" errorTitle="提示" error="请输入大于等于1的整数 且不需要输入乘号或其他符号" sqref="J17"/>
    <dataValidation allowBlank="1" type="any" operator="between" errorStyle="stop" showInputMessage="1" promptTitle="介绍" prompt="也可能单打独斗，如果成功的报酬值得去费力冒险，才会和别人搭伙。" sqref="B35:C35"/>
    <dataValidation allowBlank="1" type="any" operator="between" errorStyle="stop" showInputMessage="1" showErrorMessage="1" sqref="H21"/>
    <dataValidation allowBlank="1" type="any" operator="between" errorStyle="stop" showInputMessage="1" promptTitle="介绍" prompt="杂技演员可能是参加各级比赛（甚至奥运会）的业余运动员，也可能是专业的演员，在马戏团、嘉年华、歌舞团之类的地方作为娱乐业从业者工作。" sqref="B5"/>
  </dataValidations>
  <pageMargins left="0.75" right="0.75" top="1.0" bottom="1.0" header="0.509027777777778" footer="0.509027777777778"/>
  <extLst>
    <ext xmlns:x14="http://schemas.microsoft.com/office/spreadsheetml/2009/9/main" uri="{CCE6A557-97BC-4b89-ADB6-D9C93CAAB3DF}">
      <x14:dataValidations xmlns:xm="http://schemas.microsoft.com/office/excel/2006/main" count="3">
        <x14:dataValidation allowBlank="1" type="list" errorStyle="stop" showInputMessage="1" showErrorMessage="1">
          <x14:formula1>
            <xm:f>附表!$AB$10:$AB$12</xm:f>
          </x14:formula1>
          <xm:sqref>H25:I25</xm:sqref>
        </x14:dataValidation>
        <x14:dataValidation allowBlank="1" type="list" errorStyle="stop" showInputMessage="1" showErrorMessage="1">
          <x14:formula1>
            <xm:f>附表!$AP$53:$AP$79</xm:f>
          </x14:formula1>
          <xm:sqref>R6:R7</xm:sqref>
        </x14:dataValidation>
        <x14:dataValidation allowBlank="1" type="list" errorStyle="stop" showInputMessage="1" showErrorMessage="1">
          <x14:formula1>
            <xm:f>附表!$X$25:$X$92</xm:f>
          </x14:formula1>
          <xm:sqref>I3:J8</xm:sqref>
        </x14:dataValidation>
      </x14:dataValidations>
    </ext>
  </extLst>
</worksheet>
</file>

<file path=xl/worksheets/sheet6.xml><?xml version="1.0" encoding="utf-8"?>
<worksheet xmlns:r="http://schemas.openxmlformats.org/officeDocument/2006/relationships" xmlns="http://schemas.openxmlformats.org/spreadsheetml/2006/main">
  <dimension ref="A1:FN100"/>
  <sheetViews>
    <sheetView workbookViewId="0">
      <pane xSplit="1" topLeftCell="B1" state="frozen" activePane="topRight"/>
      <selection pane="topRight" activeCell="E3" sqref="E3"/>
    </sheetView>
  </sheetViews>
  <sheetFormatPr defaultRowHeight="14.55" defaultColWidth="10"/>
  <cols>
    <col min="1" max="2" customWidth="1" width="12.777344" style="0"/>
    <col min="3" max="3" customWidth="1" width="10.777344" style="0"/>
    <col min="4" max="4" customWidth="1" width="8.777344" style="0"/>
    <col min="5" max="104" customWidth="1" width="40.777344" style="0"/>
  </cols>
  <sheetData>
    <row r="1" spans="8:8" ht="26.05">
      <c r="A1" s="1645"/>
      <c r="B1" s="1646"/>
      <c r="C1" s="1647" t="s">
        <v>1218</v>
      </c>
      <c r="D1" s="1647"/>
      <c r="E1" s="1647"/>
      <c r="F1" s="1648" t="s">
        <v>5844</v>
      </c>
      <c r="G1" s="1648"/>
      <c r="H1" s="1648"/>
      <c r="I1" s="1649"/>
      <c r="J1" s="1649"/>
      <c r="K1" s="1649"/>
      <c r="L1" s="1649"/>
      <c r="M1" s="1649"/>
      <c r="N1" s="1649"/>
      <c r="O1" s="1649"/>
      <c r="P1" s="1649"/>
      <c r="Q1" s="1649"/>
      <c r="R1" s="1649"/>
      <c r="S1" s="1649"/>
      <c r="T1" s="1649"/>
      <c r="U1" s="1649"/>
      <c r="V1" s="1649"/>
      <c r="W1" s="1649"/>
      <c r="X1" s="1649"/>
      <c r="Y1" s="1649"/>
      <c r="Z1" s="1649"/>
      <c r="AA1" s="1649"/>
      <c r="AB1" s="1649"/>
      <c r="AC1" s="1649"/>
      <c r="AD1" s="1649"/>
      <c r="AE1" s="1649"/>
      <c r="AF1" s="1649"/>
      <c r="AG1" s="1649"/>
      <c r="AH1" s="1649"/>
      <c r="AI1" s="1649"/>
      <c r="AJ1" s="1649"/>
      <c r="AK1" s="1649"/>
      <c r="AL1" s="1649"/>
      <c r="AM1" s="1649"/>
      <c r="AN1" s="1649"/>
      <c r="AO1" s="1649"/>
      <c r="AP1" s="1649"/>
      <c r="AQ1" s="1649"/>
      <c r="AR1" s="1649"/>
      <c r="AS1" s="1649"/>
      <c r="AT1" s="1649"/>
      <c r="AU1" s="1649"/>
      <c r="AV1" s="1649"/>
      <c r="AW1" s="1649"/>
      <c r="AX1" s="1649"/>
      <c r="AY1" s="1649"/>
      <c r="AZ1" s="1649"/>
      <c r="BA1" s="1649"/>
      <c r="BB1" s="1649"/>
      <c r="BC1" s="1649"/>
      <c r="BD1" s="1649"/>
      <c r="BE1" s="1649"/>
      <c r="BF1" s="1649"/>
      <c r="BG1" s="1649"/>
      <c r="BH1" s="1649"/>
      <c r="BI1" s="1649"/>
      <c r="BJ1" s="1649"/>
      <c r="BK1" s="1649"/>
      <c r="BL1" s="1649"/>
      <c r="BM1" s="1649"/>
      <c r="BN1" s="1649"/>
      <c r="BO1" s="1649"/>
      <c r="BP1" s="1649"/>
      <c r="BQ1" s="1649"/>
      <c r="BR1" s="1649"/>
      <c r="BS1" s="1649"/>
      <c r="BT1" s="1649"/>
      <c r="BU1" s="1649"/>
      <c r="BV1" s="1649"/>
      <c r="BW1" s="1649"/>
      <c r="BX1" s="1649"/>
      <c r="BY1" s="1649"/>
      <c r="BZ1" s="1649"/>
      <c r="CA1" s="1649"/>
      <c r="CB1" s="1649"/>
      <c r="CC1" s="1649"/>
      <c r="CD1" s="1649"/>
      <c r="CE1" s="1649"/>
      <c r="CF1" s="1649"/>
      <c r="CG1" s="1649"/>
      <c r="CH1" s="1649"/>
      <c r="CI1" s="1649"/>
      <c r="CJ1" s="1649"/>
      <c r="CK1" s="1649"/>
      <c r="CL1" s="1649"/>
      <c r="CM1" s="1649"/>
      <c r="CN1" s="1649"/>
      <c r="CO1" s="1649"/>
      <c r="CP1" s="1649"/>
      <c r="CQ1" s="1649"/>
      <c r="CR1" s="1649"/>
      <c r="CS1" s="1649"/>
      <c r="CT1" s="1649"/>
      <c r="CU1" s="1649"/>
      <c r="CV1" s="1649"/>
      <c r="CW1" s="1649"/>
      <c r="CX1" s="1649"/>
      <c r="CY1" s="1649"/>
      <c r="CZ1" s="1649"/>
    </row>
    <row r="2" spans="8:8" s="1650" ht="15.75" customFormat="1">
      <c r="A2" s="1651" t="s">
        <v>301</v>
      </c>
      <c r="B2" s="1652" t="s">
        <v>5859</v>
      </c>
      <c r="C2" s="1652" t="s">
        <v>5843</v>
      </c>
      <c r="D2" s="1652" t="s">
        <v>52</v>
      </c>
      <c r="E2" s="1652" t="s">
        <v>5916</v>
      </c>
      <c r="F2" s="1652" t="s">
        <v>1219</v>
      </c>
      <c r="G2" s="1652" t="s">
        <v>1220</v>
      </c>
      <c r="H2" s="1652" t="s">
        <v>1221</v>
      </c>
      <c r="I2" s="1652" t="s">
        <v>1222</v>
      </c>
      <c r="J2" s="1652" t="s">
        <v>1223</v>
      </c>
      <c r="K2" s="1652" t="s">
        <v>1224</v>
      </c>
      <c r="L2" s="1652" t="s">
        <v>1225</v>
      </c>
      <c r="M2" s="1652" t="s">
        <v>1226</v>
      </c>
      <c r="N2" s="1652" t="s">
        <v>1227</v>
      </c>
      <c r="O2" s="1652" t="s">
        <v>1228</v>
      </c>
      <c r="P2" s="1652" t="s">
        <v>1229</v>
      </c>
      <c r="Q2" s="1652" t="s">
        <v>1230</v>
      </c>
      <c r="R2" s="1652" t="s">
        <v>1231</v>
      </c>
      <c r="S2" s="1652" t="s">
        <v>1232</v>
      </c>
      <c r="T2" s="1652" t="s">
        <v>1233</v>
      </c>
      <c r="U2" s="1652" t="s">
        <v>1234</v>
      </c>
      <c r="V2" s="1652" t="s">
        <v>1235</v>
      </c>
      <c r="W2" s="1652" t="s">
        <v>1236</v>
      </c>
      <c r="X2" s="1652" t="s">
        <v>1237</v>
      </c>
      <c r="Y2" s="1652" t="s">
        <v>1238</v>
      </c>
      <c r="Z2" s="1652" t="s">
        <v>1239</v>
      </c>
      <c r="AA2" s="1652" t="s">
        <v>1240</v>
      </c>
      <c r="AB2" s="1652" t="s">
        <v>1241</v>
      </c>
      <c r="AC2" s="1652" t="s">
        <v>1242</v>
      </c>
      <c r="AD2" s="1652" t="s">
        <v>1243</v>
      </c>
      <c r="AE2" s="1652" t="s">
        <v>1244</v>
      </c>
      <c r="AF2" s="1652" t="s">
        <v>1245</v>
      </c>
      <c r="AG2" s="1652" t="s">
        <v>1246</v>
      </c>
      <c r="AH2" s="1652" t="s">
        <v>1247</v>
      </c>
      <c r="AI2" s="1652" t="s">
        <v>1248</v>
      </c>
      <c r="AJ2" s="1652" t="s">
        <v>1249</v>
      </c>
      <c r="AK2" s="1652" t="s">
        <v>1250</v>
      </c>
      <c r="AL2" s="1652" t="s">
        <v>1251</v>
      </c>
      <c r="AM2" s="1652" t="s">
        <v>1252</v>
      </c>
      <c r="AN2" s="1652" t="s">
        <v>1253</v>
      </c>
      <c r="AO2" s="1652" t="s">
        <v>1254</v>
      </c>
      <c r="AP2" s="1652" t="s">
        <v>1255</v>
      </c>
      <c r="AQ2" s="1652" t="s">
        <v>1256</v>
      </c>
      <c r="AR2" s="1652" t="s">
        <v>1257</v>
      </c>
      <c r="AS2" s="1652" t="s">
        <v>1258</v>
      </c>
      <c r="AT2" s="1652" t="s">
        <v>1259</v>
      </c>
      <c r="AU2" s="1652" t="s">
        <v>1260</v>
      </c>
      <c r="AV2" s="1652" t="s">
        <v>1261</v>
      </c>
      <c r="AW2" s="1652" t="s">
        <v>1262</v>
      </c>
      <c r="AX2" s="1652" t="s">
        <v>1263</v>
      </c>
      <c r="AY2" s="1652" t="s">
        <v>1264</v>
      </c>
      <c r="AZ2" s="1652" t="s">
        <v>1265</v>
      </c>
      <c r="BA2" s="1652" t="s">
        <v>1266</v>
      </c>
      <c r="BB2" s="1652" t="s">
        <v>1267</v>
      </c>
      <c r="BC2" s="1652" t="s">
        <v>1268</v>
      </c>
      <c r="BD2" s="1652" t="s">
        <v>1269</v>
      </c>
      <c r="BE2" s="1652" t="s">
        <v>1270</v>
      </c>
      <c r="BF2" s="1652" t="s">
        <v>1271</v>
      </c>
      <c r="BG2" s="1652" t="s">
        <v>1272</v>
      </c>
      <c r="BH2" s="1652" t="s">
        <v>1273</v>
      </c>
      <c r="BI2" s="1652" t="s">
        <v>1274</v>
      </c>
      <c r="BJ2" s="1652" t="s">
        <v>1275</v>
      </c>
      <c r="BK2" s="1652" t="s">
        <v>1276</v>
      </c>
      <c r="BL2" s="1652" t="s">
        <v>1277</v>
      </c>
      <c r="BM2" s="1652" t="s">
        <v>1278</v>
      </c>
      <c r="BN2" s="1652" t="s">
        <v>1279</v>
      </c>
      <c r="BO2" s="1652" t="s">
        <v>1280</v>
      </c>
      <c r="BP2" s="1652" t="s">
        <v>1281</v>
      </c>
      <c r="BQ2" s="1652" t="s">
        <v>1282</v>
      </c>
      <c r="BR2" s="1652" t="s">
        <v>1283</v>
      </c>
      <c r="BS2" s="1652" t="s">
        <v>1284</v>
      </c>
      <c r="BT2" s="1652" t="s">
        <v>1285</v>
      </c>
      <c r="BU2" s="1652" t="s">
        <v>1286</v>
      </c>
      <c r="BV2" s="1652" t="s">
        <v>1287</v>
      </c>
      <c r="BW2" s="1652" t="s">
        <v>1288</v>
      </c>
      <c r="BX2" s="1652" t="s">
        <v>1289</v>
      </c>
      <c r="BY2" s="1652" t="s">
        <v>1290</v>
      </c>
      <c r="BZ2" s="1652" t="s">
        <v>1291</v>
      </c>
      <c r="CA2" s="1652" t="s">
        <v>1292</v>
      </c>
      <c r="CB2" s="1652" t="s">
        <v>1293</v>
      </c>
      <c r="CC2" s="1652" t="s">
        <v>1294</v>
      </c>
      <c r="CD2" s="1652" t="s">
        <v>1295</v>
      </c>
      <c r="CE2" s="1652" t="s">
        <v>1296</v>
      </c>
      <c r="CF2" s="1652" t="s">
        <v>1297</v>
      </c>
      <c r="CG2" s="1652" t="s">
        <v>1298</v>
      </c>
      <c r="CH2" s="1652" t="s">
        <v>1299</v>
      </c>
      <c r="CI2" s="1652" t="s">
        <v>1300</v>
      </c>
      <c r="CJ2" s="1652" t="s">
        <v>1301</v>
      </c>
      <c r="CK2" s="1652" t="s">
        <v>1302</v>
      </c>
      <c r="CL2" s="1652" t="s">
        <v>1303</v>
      </c>
      <c r="CM2" s="1652" t="s">
        <v>1304</v>
      </c>
      <c r="CN2" s="1652" t="s">
        <v>1305</v>
      </c>
      <c r="CO2" s="1652" t="s">
        <v>1306</v>
      </c>
      <c r="CP2" s="1652" t="s">
        <v>1307</v>
      </c>
      <c r="CQ2" s="1652" t="s">
        <v>1308</v>
      </c>
      <c r="CR2" s="1652" t="s">
        <v>1309</v>
      </c>
      <c r="CS2" s="1652" t="s">
        <v>1310</v>
      </c>
      <c r="CT2" s="1652" t="s">
        <v>1311</v>
      </c>
      <c r="CU2" s="1652" t="s">
        <v>1312</v>
      </c>
      <c r="CV2" s="1652" t="s">
        <v>1313</v>
      </c>
      <c r="CW2" s="1652" t="s">
        <v>1314</v>
      </c>
      <c r="CX2" s="1652" t="s">
        <v>1315</v>
      </c>
      <c r="CY2" s="1652" t="s">
        <v>1316</v>
      </c>
      <c r="CZ2" s="1652" t="s">
        <v>1317</v>
      </c>
    </row>
    <row r="3" spans="8:8" ht="15.75">
      <c r="A3" s="1653" t="s">
        <v>57</v>
      </c>
      <c r="B3" s="1654">
        <f>C3+D3</f>
        <v>5.0</v>
      </c>
      <c r="C3" s="1655">
        <f>SUM(E3:CZ3)</f>
        <v>0.0</v>
      </c>
      <c r="D3" s="1656">
        <v>5.0</v>
      </c>
      <c r="E3" s="1657" t="s">
        <v>5917</v>
      </c>
      <c r="F3" s="1658"/>
      <c r="G3" s="1658"/>
      <c r="H3" s="1658"/>
      <c r="I3" s="1658"/>
      <c r="J3" s="1658"/>
      <c r="K3" s="1658"/>
      <c r="L3" s="1658"/>
      <c r="M3" s="1658"/>
      <c r="N3" s="1658"/>
      <c r="O3" s="1658"/>
      <c r="P3" s="1658"/>
      <c r="Q3" s="1658"/>
      <c r="R3" s="1658"/>
      <c r="S3" s="1658"/>
      <c r="T3" s="1658"/>
      <c r="U3" s="1658"/>
      <c r="V3" s="1658"/>
      <c r="W3" s="1658"/>
      <c r="X3" s="1658"/>
      <c r="Y3" s="1658"/>
      <c r="Z3" s="1658"/>
      <c r="AA3" s="1658"/>
      <c r="AB3" s="1658"/>
      <c r="AC3" s="1658"/>
      <c r="AD3" s="1658"/>
      <c r="AE3" s="1658"/>
      <c r="AF3" s="1658"/>
      <c r="AG3" s="1658"/>
      <c r="AH3" s="1658"/>
      <c r="AI3" s="1658"/>
      <c r="AJ3" s="1658"/>
      <c r="AK3" s="1658"/>
      <c r="AL3" s="1658"/>
      <c r="AM3" s="1658"/>
      <c r="AN3" s="1658"/>
      <c r="AO3" s="1658"/>
      <c r="AP3" s="1658"/>
      <c r="AQ3" s="1658"/>
      <c r="AR3" s="1658"/>
      <c r="AS3" s="1658"/>
      <c r="AT3" s="1658"/>
      <c r="AU3" s="1658"/>
      <c r="AV3" s="1658"/>
      <c r="AW3" s="1658"/>
      <c r="AX3" s="1658"/>
      <c r="AY3" s="1658"/>
      <c r="AZ3" s="1658"/>
      <c r="BA3" s="1658"/>
      <c r="BB3" s="1658"/>
      <c r="BC3" s="1658"/>
      <c r="BD3" s="1658"/>
      <c r="BE3" s="1658"/>
      <c r="BF3" s="1658"/>
      <c r="BG3" s="1658"/>
      <c r="BH3" s="1658"/>
      <c r="BI3" s="1658"/>
      <c r="BJ3" s="1658"/>
      <c r="BK3" s="1658"/>
      <c r="BL3" s="1658"/>
      <c r="BM3" s="1658"/>
      <c r="BN3" s="1658"/>
      <c r="BO3" s="1658"/>
      <c r="BP3" s="1658"/>
      <c r="BQ3" s="1658"/>
      <c r="BR3" s="1658"/>
      <c r="BS3" s="1658"/>
      <c r="BT3" s="1658"/>
      <c r="BU3" s="1658"/>
      <c r="BV3" s="1658"/>
      <c r="BW3" s="1658"/>
      <c r="BX3" s="1658"/>
      <c r="BY3" s="1658"/>
      <c r="BZ3" s="1658"/>
      <c r="CA3" s="1658"/>
      <c r="CB3" s="1658"/>
      <c r="CC3" s="1658"/>
      <c r="CD3" s="1658"/>
      <c r="CE3" s="1658"/>
      <c r="CF3" s="1658"/>
      <c r="CG3" s="1658"/>
      <c r="CH3" s="1658"/>
      <c r="CI3" s="1658"/>
      <c r="CJ3" s="1658"/>
      <c r="CK3" s="1658"/>
      <c r="CL3" s="1658"/>
      <c r="CM3" s="1658"/>
      <c r="CN3" s="1658"/>
      <c r="CO3" s="1658"/>
      <c r="CP3" s="1658"/>
      <c r="CQ3" s="1658"/>
      <c r="CR3" s="1658"/>
      <c r="CS3" s="1658"/>
      <c r="CT3" s="1658"/>
      <c r="CU3" s="1658"/>
      <c r="CV3" s="1658"/>
      <c r="CW3" s="1658"/>
      <c r="CX3" s="1658"/>
      <c r="CY3" s="1658"/>
      <c r="CZ3" s="1658"/>
    </row>
    <row r="4" spans="8:8" ht="15.75">
      <c r="A4" s="1653" t="s">
        <v>59</v>
      </c>
      <c r="B4" s="1654">
        <f t="shared" si="0" ref="B4:B67">C4+D4</f>
        <v>1.0</v>
      </c>
      <c r="C4" s="1655">
        <f t="shared" si="1" ref="C4:C67">SUM(E4:CZ4)</f>
        <v>0.0</v>
      </c>
      <c r="D4" s="1656">
        <v>1.0</v>
      </c>
      <c r="E4" s="1657" t="s">
        <v>1318</v>
      </c>
      <c r="F4" s="1658"/>
      <c r="G4" s="1658"/>
      <c r="H4" s="1658"/>
      <c r="I4" s="1658"/>
      <c r="J4" s="1658"/>
      <c r="K4" s="1658"/>
      <c r="L4" s="1658"/>
      <c r="M4" s="1658"/>
      <c r="N4" s="1658"/>
      <c r="O4" s="1658"/>
      <c r="P4" s="1658"/>
      <c r="Q4" s="1658"/>
      <c r="R4" s="1658"/>
      <c r="S4" s="1658"/>
      <c r="T4" s="1658"/>
      <c r="U4" s="1658"/>
      <c r="V4" s="1658"/>
      <c r="W4" s="1658"/>
      <c r="X4" s="1658"/>
      <c r="Y4" s="1658"/>
      <c r="Z4" s="1658"/>
      <c r="AA4" s="1658"/>
      <c r="AB4" s="1658"/>
      <c r="AC4" s="1658"/>
      <c r="AD4" s="1658"/>
      <c r="AE4" s="1658"/>
      <c r="AF4" s="1658"/>
      <c r="AG4" s="1658"/>
      <c r="AH4" s="1658"/>
      <c r="AI4" s="1658"/>
      <c r="AJ4" s="1658"/>
      <c r="AK4" s="1658"/>
      <c r="AL4" s="1658"/>
      <c r="AM4" s="1658"/>
      <c r="AN4" s="1658"/>
      <c r="AO4" s="1658"/>
      <c r="AP4" s="1658"/>
      <c r="AQ4" s="1658"/>
      <c r="AR4" s="1658"/>
      <c r="AS4" s="1658"/>
      <c r="AT4" s="1658"/>
      <c r="AU4" s="1658"/>
      <c r="AV4" s="1658"/>
      <c r="AW4" s="1658"/>
      <c r="AX4" s="1658"/>
      <c r="AY4" s="1658"/>
      <c r="AZ4" s="1658"/>
      <c r="BA4" s="1658"/>
      <c r="BB4" s="1658"/>
      <c r="BC4" s="1658"/>
      <c r="BD4" s="1658"/>
      <c r="BE4" s="1658"/>
      <c r="BF4" s="1658"/>
      <c r="BG4" s="1658"/>
      <c r="BH4" s="1658"/>
      <c r="BI4" s="1658"/>
      <c r="BJ4" s="1658"/>
      <c r="BK4" s="1658"/>
      <c r="BL4" s="1658"/>
      <c r="BM4" s="1658"/>
      <c r="BN4" s="1658"/>
      <c r="BO4" s="1658"/>
      <c r="BP4" s="1658"/>
      <c r="BQ4" s="1658"/>
      <c r="BR4" s="1658"/>
      <c r="BS4" s="1658"/>
      <c r="BT4" s="1658"/>
      <c r="BU4" s="1658"/>
      <c r="BV4" s="1658"/>
      <c r="BW4" s="1658"/>
      <c r="BX4" s="1658"/>
      <c r="BY4" s="1658"/>
      <c r="BZ4" s="1658"/>
      <c r="CA4" s="1658"/>
      <c r="CB4" s="1658"/>
      <c r="CC4" s="1658"/>
      <c r="CD4" s="1658"/>
      <c r="CE4" s="1658"/>
      <c r="CF4" s="1658"/>
      <c r="CG4" s="1658"/>
      <c r="CH4" s="1658"/>
      <c r="CI4" s="1658"/>
      <c r="CJ4" s="1658"/>
      <c r="CK4" s="1658"/>
      <c r="CL4" s="1658"/>
      <c r="CM4" s="1658"/>
      <c r="CN4" s="1658"/>
      <c r="CO4" s="1658"/>
      <c r="CP4" s="1658"/>
      <c r="CQ4" s="1658"/>
      <c r="CR4" s="1658"/>
      <c r="CS4" s="1658"/>
      <c r="CT4" s="1658"/>
      <c r="CU4" s="1658"/>
      <c r="CV4" s="1658"/>
      <c r="CW4" s="1658"/>
      <c r="CX4" s="1658"/>
      <c r="CY4" s="1658"/>
      <c r="CZ4" s="1658"/>
    </row>
    <row r="5" spans="8:8" ht="15.75">
      <c r="A5" s="1653" t="s">
        <v>63</v>
      </c>
      <c r="B5" s="1654">
        <f t="shared" si="0"/>
        <v>5.0</v>
      </c>
      <c r="C5" s="1655">
        <f t="shared" si="1"/>
        <v>0.0</v>
      </c>
      <c r="D5" s="1656">
        <v>5.0</v>
      </c>
      <c r="E5" s="1657">
        <v>0.0</v>
      </c>
      <c r="F5" s="1658"/>
      <c r="G5" s="1658"/>
      <c r="H5" s="1658"/>
      <c r="I5" s="1658"/>
      <c r="J5" s="1658"/>
      <c r="K5" s="1658"/>
      <c r="L5" s="1658"/>
      <c r="M5" s="1658"/>
      <c r="N5" s="1658"/>
      <c r="O5" s="1658"/>
      <c r="P5" s="1658"/>
      <c r="Q5" s="1658"/>
      <c r="R5" s="1658"/>
      <c r="S5" s="1658"/>
      <c r="T5" s="1658"/>
      <c r="U5" s="1658"/>
      <c r="V5" s="1658"/>
      <c r="W5" s="1658"/>
      <c r="X5" s="1658"/>
      <c r="Y5" s="1658"/>
      <c r="Z5" s="1658"/>
      <c r="AA5" s="1658"/>
      <c r="AB5" s="1658"/>
      <c r="AC5" s="1658"/>
      <c r="AD5" s="1658"/>
      <c r="AE5" s="1658"/>
      <c r="AF5" s="1658"/>
      <c r="AG5" s="1658"/>
      <c r="AH5" s="1658"/>
      <c r="AI5" s="1658"/>
      <c r="AJ5" s="1658"/>
      <c r="AK5" s="1658"/>
      <c r="AL5" s="1658"/>
      <c r="AM5" s="1658"/>
      <c r="AN5" s="1658"/>
      <c r="AO5" s="1658"/>
      <c r="AP5" s="1658"/>
      <c r="AQ5" s="1658"/>
      <c r="AR5" s="1658"/>
      <c r="AS5" s="1658"/>
      <c r="AT5" s="1658"/>
      <c r="AU5" s="1658"/>
      <c r="AV5" s="1658"/>
      <c r="AW5" s="1658"/>
      <c r="AX5" s="1658"/>
      <c r="AY5" s="1658"/>
      <c r="AZ5" s="1658"/>
      <c r="BA5" s="1658"/>
      <c r="BB5" s="1658"/>
      <c r="BC5" s="1658"/>
      <c r="BD5" s="1658"/>
      <c r="BE5" s="1658"/>
      <c r="BF5" s="1658"/>
      <c r="BG5" s="1658"/>
      <c r="BH5" s="1658"/>
      <c r="BI5" s="1658"/>
      <c r="BJ5" s="1658"/>
      <c r="BK5" s="1658"/>
      <c r="BL5" s="1658"/>
      <c r="BM5" s="1658"/>
      <c r="BN5" s="1658"/>
      <c r="BO5" s="1658"/>
      <c r="BP5" s="1658"/>
      <c r="BQ5" s="1658"/>
      <c r="BR5" s="1658"/>
      <c r="BS5" s="1658"/>
      <c r="BT5" s="1658"/>
      <c r="BU5" s="1658"/>
      <c r="BV5" s="1658"/>
      <c r="BW5" s="1658"/>
      <c r="BX5" s="1658"/>
      <c r="BY5" s="1658"/>
      <c r="BZ5" s="1658"/>
      <c r="CA5" s="1658"/>
      <c r="CB5" s="1658"/>
      <c r="CC5" s="1658"/>
      <c r="CD5" s="1658"/>
      <c r="CE5" s="1658"/>
      <c r="CF5" s="1658"/>
      <c r="CG5" s="1658"/>
      <c r="CH5" s="1658"/>
      <c r="CI5" s="1658"/>
      <c r="CJ5" s="1658"/>
      <c r="CK5" s="1658"/>
      <c r="CL5" s="1658"/>
      <c r="CM5" s="1658"/>
      <c r="CN5" s="1658"/>
      <c r="CO5" s="1658"/>
      <c r="CP5" s="1658"/>
      <c r="CQ5" s="1658"/>
      <c r="CR5" s="1658"/>
      <c r="CS5" s="1658"/>
      <c r="CT5" s="1658"/>
      <c r="CU5" s="1658"/>
      <c r="CV5" s="1658"/>
      <c r="CW5" s="1658"/>
      <c r="CX5" s="1658"/>
      <c r="CY5" s="1658"/>
      <c r="CZ5" s="1658"/>
    </row>
    <row r="6" spans="8:8" ht="15.75">
      <c r="A6" s="1653" t="s">
        <v>66</v>
      </c>
      <c r="B6" s="1654">
        <f t="shared" si="0"/>
        <v>1.0</v>
      </c>
      <c r="C6" s="1655">
        <f t="shared" si="1"/>
        <v>0.0</v>
      </c>
      <c r="D6" s="1656">
        <v>1.0</v>
      </c>
      <c r="E6" s="1657">
        <v>0.0</v>
      </c>
      <c r="F6" s="1658"/>
      <c r="G6" s="1658"/>
      <c r="H6" s="1658"/>
      <c r="I6" s="1658"/>
      <c r="J6" s="1658"/>
      <c r="K6" s="1658"/>
      <c r="L6" s="1658"/>
      <c r="M6" s="1658"/>
      <c r="N6" s="1658"/>
      <c r="O6" s="1658"/>
      <c r="P6" s="1658"/>
      <c r="Q6" s="1658"/>
      <c r="R6" s="1658"/>
      <c r="S6" s="1658"/>
      <c r="T6" s="1658"/>
      <c r="U6" s="1658"/>
      <c r="V6" s="1658"/>
      <c r="W6" s="1658"/>
      <c r="X6" s="1658"/>
      <c r="Y6" s="1658"/>
      <c r="Z6" s="1658"/>
      <c r="AA6" s="1658"/>
      <c r="AB6" s="1658"/>
      <c r="AC6" s="1658"/>
      <c r="AD6" s="1658"/>
      <c r="AE6" s="1658"/>
      <c r="AF6" s="1658"/>
      <c r="AG6" s="1658"/>
      <c r="AH6" s="1658"/>
      <c r="AI6" s="1658"/>
      <c r="AJ6" s="1658"/>
      <c r="AK6" s="1658"/>
      <c r="AL6" s="1658"/>
      <c r="AM6" s="1658"/>
      <c r="AN6" s="1658"/>
      <c r="AO6" s="1658"/>
      <c r="AP6" s="1658"/>
      <c r="AQ6" s="1658"/>
      <c r="AR6" s="1658"/>
      <c r="AS6" s="1658"/>
      <c r="AT6" s="1658"/>
      <c r="AU6" s="1658"/>
      <c r="AV6" s="1658"/>
      <c r="AW6" s="1658"/>
      <c r="AX6" s="1658"/>
      <c r="AY6" s="1658"/>
      <c r="AZ6" s="1658"/>
      <c r="BA6" s="1658"/>
      <c r="BB6" s="1658"/>
      <c r="BC6" s="1658"/>
      <c r="BD6" s="1658"/>
      <c r="BE6" s="1658"/>
      <c r="BF6" s="1658"/>
      <c r="BG6" s="1658"/>
      <c r="BH6" s="1658"/>
      <c r="BI6" s="1658"/>
      <c r="BJ6" s="1658"/>
      <c r="BK6" s="1658"/>
      <c r="BL6" s="1658"/>
      <c r="BM6" s="1658"/>
      <c r="BN6" s="1658"/>
      <c r="BO6" s="1658"/>
      <c r="BP6" s="1658"/>
      <c r="BQ6" s="1658"/>
      <c r="BR6" s="1658"/>
      <c r="BS6" s="1658"/>
      <c r="BT6" s="1658"/>
      <c r="BU6" s="1658"/>
      <c r="BV6" s="1658"/>
      <c r="BW6" s="1658"/>
      <c r="BX6" s="1658"/>
      <c r="BY6" s="1658"/>
      <c r="BZ6" s="1658"/>
      <c r="CA6" s="1658"/>
      <c r="CB6" s="1658"/>
      <c r="CC6" s="1658"/>
      <c r="CD6" s="1658"/>
      <c r="CE6" s="1658"/>
      <c r="CF6" s="1658"/>
      <c r="CG6" s="1658"/>
      <c r="CH6" s="1658"/>
      <c r="CI6" s="1658"/>
      <c r="CJ6" s="1658"/>
      <c r="CK6" s="1658"/>
      <c r="CL6" s="1658"/>
      <c r="CM6" s="1658"/>
      <c r="CN6" s="1658"/>
      <c r="CO6" s="1658"/>
      <c r="CP6" s="1658"/>
      <c r="CQ6" s="1658"/>
      <c r="CR6" s="1658"/>
      <c r="CS6" s="1658"/>
      <c r="CT6" s="1658"/>
      <c r="CU6" s="1658"/>
      <c r="CV6" s="1658"/>
      <c r="CW6" s="1658"/>
      <c r="CX6" s="1658"/>
      <c r="CY6" s="1658"/>
      <c r="CZ6" s="1658"/>
    </row>
    <row r="7" spans="8:8" ht="15.75">
      <c r="A7" s="1653" t="s">
        <v>68</v>
      </c>
      <c r="B7" s="1654">
        <f t="shared" si="0"/>
        <v>5.0</v>
      </c>
      <c r="C7" s="1655">
        <f t="shared" si="1"/>
        <v>0.0</v>
      </c>
      <c r="D7" s="1656">
        <v>5.0</v>
      </c>
      <c r="E7" s="1657">
        <v>0.0</v>
      </c>
      <c r="F7" s="1658"/>
      <c r="G7" s="1658"/>
      <c r="H7" s="1658"/>
      <c r="I7" s="1658"/>
      <c r="J7" s="1658"/>
      <c r="K7" s="1658"/>
      <c r="L7" s="1658"/>
      <c r="M7" s="1658"/>
      <c r="N7" s="1658"/>
      <c r="O7" s="1658"/>
      <c r="P7" s="1658"/>
      <c r="Q7" s="1658"/>
      <c r="R7" s="1658"/>
      <c r="S7" s="1658"/>
      <c r="T7" s="1658"/>
      <c r="U7" s="1658"/>
      <c r="V7" s="1658"/>
      <c r="W7" s="1658"/>
      <c r="X7" s="1658"/>
      <c r="Y7" s="1658"/>
      <c r="Z7" s="1658"/>
      <c r="AA7" s="1658"/>
      <c r="AB7" s="1658"/>
      <c r="AC7" s="1658"/>
      <c r="AD7" s="1658"/>
      <c r="AE7" s="1658"/>
      <c r="AF7" s="1658"/>
      <c r="AG7" s="1658"/>
      <c r="AH7" s="1658"/>
      <c r="AI7" s="1658"/>
      <c r="AJ7" s="1658"/>
      <c r="AK7" s="1658"/>
      <c r="AL7" s="1658"/>
      <c r="AM7" s="1658"/>
      <c r="AN7" s="1658"/>
      <c r="AO7" s="1658"/>
      <c r="AP7" s="1658"/>
      <c r="AQ7" s="1658"/>
      <c r="AR7" s="1658"/>
      <c r="AS7" s="1658"/>
      <c r="AT7" s="1658"/>
      <c r="AU7" s="1658"/>
      <c r="AV7" s="1658"/>
      <c r="AW7" s="1658"/>
      <c r="AX7" s="1658"/>
      <c r="AY7" s="1658"/>
      <c r="AZ7" s="1658"/>
      <c r="BA7" s="1658"/>
      <c r="BB7" s="1658"/>
      <c r="BC7" s="1658"/>
      <c r="BD7" s="1658"/>
      <c r="BE7" s="1658"/>
      <c r="BF7" s="1658"/>
      <c r="BG7" s="1658"/>
      <c r="BH7" s="1658"/>
      <c r="BI7" s="1658"/>
      <c r="BJ7" s="1658"/>
      <c r="BK7" s="1658"/>
      <c r="BL7" s="1658"/>
      <c r="BM7" s="1658"/>
      <c r="BN7" s="1658"/>
      <c r="BO7" s="1658"/>
      <c r="BP7" s="1658"/>
      <c r="BQ7" s="1658"/>
      <c r="BR7" s="1658"/>
      <c r="BS7" s="1658"/>
      <c r="BT7" s="1658"/>
      <c r="BU7" s="1658"/>
      <c r="BV7" s="1658"/>
      <c r="BW7" s="1658"/>
      <c r="BX7" s="1658"/>
      <c r="BY7" s="1658"/>
      <c r="BZ7" s="1658"/>
      <c r="CA7" s="1658"/>
      <c r="CB7" s="1658"/>
      <c r="CC7" s="1658"/>
      <c r="CD7" s="1658"/>
      <c r="CE7" s="1658"/>
      <c r="CF7" s="1658"/>
      <c r="CG7" s="1658"/>
      <c r="CH7" s="1658"/>
      <c r="CI7" s="1658"/>
      <c r="CJ7" s="1658"/>
      <c r="CK7" s="1658"/>
      <c r="CL7" s="1658"/>
      <c r="CM7" s="1658"/>
      <c r="CN7" s="1658"/>
      <c r="CO7" s="1658"/>
      <c r="CP7" s="1658"/>
      <c r="CQ7" s="1658"/>
      <c r="CR7" s="1658"/>
      <c r="CS7" s="1658"/>
      <c r="CT7" s="1658"/>
      <c r="CU7" s="1658"/>
      <c r="CV7" s="1658"/>
      <c r="CW7" s="1658"/>
      <c r="CX7" s="1658"/>
      <c r="CY7" s="1658"/>
      <c r="CZ7" s="1658"/>
    </row>
    <row r="8" spans="8:8" ht="15.75">
      <c r="A8" s="1653" t="s">
        <v>70</v>
      </c>
      <c r="B8" s="1654">
        <f t="shared" si="0"/>
        <v>5.0</v>
      </c>
      <c r="C8" s="1655">
        <f t="shared" si="1"/>
        <v>0.0</v>
      </c>
      <c r="D8" s="1656">
        <v>5.0</v>
      </c>
      <c r="E8" s="1657" t="s">
        <v>5920</v>
      </c>
      <c r="F8" s="1658"/>
      <c r="G8" s="1658"/>
      <c r="H8" s="1658"/>
      <c r="I8" s="1658"/>
      <c r="J8" s="1658"/>
      <c r="K8" s="1658"/>
      <c r="L8" s="1658"/>
      <c r="M8" s="1658"/>
      <c r="N8" s="1658"/>
      <c r="O8" s="1658"/>
      <c r="P8" s="1658"/>
      <c r="Q8" s="1658"/>
      <c r="R8" s="1658"/>
      <c r="S8" s="1658"/>
      <c r="T8" s="1658"/>
      <c r="U8" s="1658"/>
      <c r="V8" s="1658"/>
      <c r="W8" s="1658"/>
      <c r="X8" s="1658"/>
      <c r="Y8" s="1658"/>
      <c r="Z8" s="1658"/>
      <c r="AA8" s="1658"/>
      <c r="AB8" s="1658"/>
      <c r="AC8" s="1658"/>
      <c r="AD8" s="1658"/>
      <c r="AE8" s="1658"/>
      <c r="AF8" s="1658"/>
      <c r="AG8" s="1658"/>
      <c r="AH8" s="1658"/>
      <c r="AI8" s="1658"/>
      <c r="AJ8" s="1658"/>
      <c r="AK8" s="1658"/>
      <c r="AL8" s="1658"/>
      <c r="AM8" s="1658"/>
      <c r="AN8" s="1658"/>
      <c r="AO8" s="1658"/>
      <c r="AP8" s="1658"/>
      <c r="AQ8" s="1658"/>
      <c r="AR8" s="1658"/>
      <c r="AS8" s="1658"/>
      <c r="AT8" s="1658"/>
      <c r="AU8" s="1658"/>
      <c r="AV8" s="1658"/>
      <c r="AW8" s="1658"/>
      <c r="AX8" s="1658"/>
      <c r="AY8" s="1658"/>
      <c r="AZ8" s="1658"/>
      <c r="BA8" s="1658"/>
      <c r="BB8" s="1658"/>
      <c r="BC8" s="1658"/>
      <c r="BD8" s="1658"/>
      <c r="BE8" s="1658"/>
      <c r="BF8" s="1658"/>
      <c r="BG8" s="1658"/>
      <c r="BH8" s="1658"/>
      <c r="BI8" s="1658"/>
      <c r="BJ8" s="1658"/>
      <c r="BK8" s="1658"/>
      <c r="BL8" s="1658"/>
      <c r="BM8" s="1658"/>
      <c r="BN8" s="1658"/>
      <c r="BO8" s="1658"/>
      <c r="BP8" s="1658"/>
      <c r="BQ8" s="1658"/>
      <c r="BR8" s="1658"/>
      <c r="BS8" s="1658"/>
      <c r="BT8" s="1658"/>
      <c r="BU8" s="1658"/>
      <c r="BV8" s="1658"/>
      <c r="BW8" s="1658"/>
      <c r="BX8" s="1658"/>
      <c r="BY8" s="1658"/>
      <c r="BZ8" s="1658"/>
      <c r="CA8" s="1658"/>
      <c r="CB8" s="1658"/>
      <c r="CC8" s="1658"/>
      <c r="CD8" s="1658"/>
      <c r="CE8" s="1658"/>
      <c r="CF8" s="1658"/>
      <c r="CG8" s="1658"/>
      <c r="CH8" s="1658"/>
      <c r="CI8" s="1658"/>
      <c r="CJ8" s="1658"/>
      <c r="CK8" s="1658"/>
      <c r="CL8" s="1658"/>
      <c r="CM8" s="1658"/>
      <c r="CN8" s="1658"/>
      <c r="CO8" s="1658"/>
      <c r="CP8" s="1658"/>
      <c r="CQ8" s="1658"/>
      <c r="CR8" s="1658"/>
      <c r="CS8" s="1658"/>
      <c r="CT8" s="1658"/>
      <c r="CU8" s="1658"/>
      <c r="CV8" s="1658"/>
      <c r="CW8" s="1658"/>
      <c r="CX8" s="1658"/>
      <c r="CY8" s="1658"/>
      <c r="CZ8" s="1658"/>
    </row>
    <row r="9" spans="8:8" ht="15.75">
      <c r="A9" s="1653" t="s">
        <v>72</v>
      </c>
      <c r="B9" s="1654">
        <f t="shared" si="0"/>
        <v>5.0</v>
      </c>
      <c r="C9" s="1655">
        <f t="shared" si="1"/>
        <v>0.0</v>
      </c>
      <c r="D9" s="1656">
        <v>5.0</v>
      </c>
      <c r="E9" s="1657"/>
      <c r="F9" s="1658"/>
      <c r="G9" s="1658"/>
      <c r="H9" s="1658"/>
      <c r="I9" s="1658"/>
      <c r="J9" s="1658"/>
      <c r="K9" s="1658"/>
      <c r="L9" s="1658"/>
      <c r="M9" s="1658"/>
      <c r="N9" s="1658"/>
      <c r="O9" s="1658"/>
      <c r="P9" s="1658"/>
      <c r="Q9" s="1658"/>
      <c r="R9" s="1658"/>
      <c r="S9" s="1658"/>
      <c r="T9" s="1658"/>
      <c r="U9" s="1658"/>
      <c r="V9" s="1658"/>
      <c r="W9" s="1658"/>
      <c r="X9" s="1658"/>
      <c r="Y9" s="1658"/>
      <c r="Z9" s="1658"/>
      <c r="AA9" s="1658"/>
      <c r="AB9" s="1658"/>
      <c r="AC9" s="1658"/>
      <c r="AD9" s="1658"/>
      <c r="AE9" s="1658"/>
      <c r="AF9" s="1658"/>
      <c r="AG9" s="1658"/>
      <c r="AH9" s="1658"/>
      <c r="AI9" s="1658"/>
      <c r="AJ9" s="1658"/>
      <c r="AK9" s="1658"/>
      <c r="AL9" s="1658"/>
      <c r="AM9" s="1658"/>
      <c r="AN9" s="1658"/>
      <c r="AO9" s="1658"/>
      <c r="AP9" s="1658"/>
      <c r="AQ9" s="1658"/>
      <c r="AR9" s="1658"/>
      <c r="AS9" s="1658"/>
      <c r="AT9" s="1658"/>
      <c r="AU9" s="1658"/>
      <c r="AV9" s="1658"/>
      <c r="AW9" s="1658"/>
      <c r="AX9" s="1658"/>
      <c r="AY9" s="1658"/>
      <c r="AZ9" s="1658"/>
      <c r="BA9" s="1658"/>
      <c r="BB9" s="1658"/>
      <c r="BC9" s="1658"/>
      <c r="BD9" s="1658"/>
      <c r="BE9" s="1658"/>
      <c r="BF9" s="1658"/>
      <c r="BG9" s="1658"/>
      <c r="BH9" s="1658"/>
      <c r="BI9" s="1658"/>
      <c r="BJ9" s="1658"/>
      <c r="BK9" s="1658"/>
      <c r="BL9" s="1658"/>
      <c r="BM9" s="1658"/>
      <c r="BN9" s="1658"/>
      <c r="BO9" s="1658"/>
      <c r="BP9" s="1658"/>
      <c r="BQ9" s="1658"/>
      <c r="BR9" s="1658"/>
      <c r="BS9" s="1658"/>
      <c r="BT9" s="1658"/>
      <c r="BU9" s="1658"/>
      <c r="BV9" s="1658"/>
      <c r="BW9" s="1658"/>
      <c r="BX9" s="1658"/>
      <c r="BY9" s="1658"/>
      <c r="BZ9" s="1658"/>
      <c r="CA9" s="1658"/>
      <c r="CB9" s="1658"/>
      <c r="CC9" s="1658"/>
      <c r="CD9" s="1658"/>
      <c r="CE9" s="1658"/>
      <c r="CF9" s="1658"/>
      <c r="CG9" s="1658"/>
      <c r="CH9" s="1658"/>
      <c r="CI9" s="1658"/>
      <c r="CJ9" s="1658"/>
      <c r="CK9" s="1658"/>
      <c r="CL9" s="1658"/>
      <c r="CM9" s="1658"/>
      <c r="CN9" s="1658"/>
      <c r="CO9" s="1658"/>
      <c r="CP9" s="1658"/>
      <c r="CQ9" s="1658"/>
      <c r="CR9" s="1658"/>
      <c r="CS9" s="1658"/>
      <c r="CT9" s="1658"/>
      <c r="CU9" s="1658"/>
      <c r="CV9" s="1658"/>
      <c r="CW9" s="1658"/>
      <c r="CX9" s="1658"/>
      <c r="CY9" s="1658"/>
      <c r="CZ9" s="1658"/>
    </row>
    <row r="10" spans="8:8" ht="15.75">
      <c r="A10" s="1653" t="s">
        <v>74</v>
      </c>
      <c r="B10" s="1654">
        <f t="shared" si="0"/>
        <v>15.0</v>
      </c>
      <c r="C10" s="1655">
        <f t="shared" si="1"/>
        <v>0.0</v>
      </c>
      <c r="D10" s="1656">
        <v>15.0</v>
      </c>
      <c r="E10" s="1657"/>
      <c r="F10" s="1658"/>
      <c r="G10" s="1658"/>
      <c r="H10" s="1658"/>
      <c r="I10" s="1658"/>
      <c r="J10" s="1658"/>
      <c r="K10" s="1658"/>
      <c r="L10" s="1658"/>
      <c r="M10" s="1658"/>
      <c r="N10" s="1658"/>
      <c r="O10" s="1658"/>
      <c r="P10" s="1658"/>
      <c r="Q10" s="1658"/>
      <c r="R10" s="1658"/>
      <c r="S10" s="1658"/>
      <c r="T10" s="1658"/>
      <c r="U10" s="1658"/>
      <c r="V10" s="1658"/>
      <c r="W10" s="1658"/>
      <c r="X10" s="1658"/>
      <c r="Y10" s="1658"/>
      <c r="Z10" s="1658"/>
      <c r="AA10" s="1658"/>
      <c r="AB10" s="1658"/>
      <c r="AC10" s="1658"/>
      <c r="AD10" s="1658"/>
      <c r="AE10" s="1658"/>
      <c r="AF10" s="1658"/>
      <c r="AG10" s="1658"/>
      <c r="AH10" s="1658"/>
      <c r="AI10" s="1658"/>
      <c r="AJ10" s="1658"/>
      <c r="AK10" s="1658"/>
      <c r="AL10" s="1658"/>
      <c r="AM10" s="1658"/>
      <c r="AN10" s="1658"/>
      <c r="AO10" s="1658"/>
      <c r="AP10" s="1658"/>
      <c r="AQ10" s="1658"/>
      <c r="AR10" s="1658"/>
      <c r="AS10" s="1658"/>
      <c r="AT10" s="1658"/>
      <c r="AU10" s="1658"/>
      <c r="AV10" s="1658"/>
      <c r="AW10" s="1658"/>
      <c r="AX10" s="1658"/>
      <c r="AY10" s="1658"/>
      <c r="AZ10" s="1658"/>
      <c r="BA10" s="1658"/>
      <c r="BB10" s="1658"/>
      <c r="BC10" s="1658"/>
      <c r="BD10" s="1658"/>
      <c r="BE10" s="1658"/>
      <c r="BF10" s="1658"/>
      <c r="BG10" s="1658"/>
      <c r="BH10" s="1658"/>
      <c r="BI10" s="1658"/>
      <c r="BJ10" s="1658"/>
      <c r="BK10" s="1658"/>
      <c r="BL10" s="1658"/>
      <c r="BM10" s="1658"/>
      <c r="BN10" s="1658"/>
      <c r="BO10" s="1658"/>
      <c r="BP10" s="1658"/>
      <c r="BQ10" s="1658"/>
      <c r="BR10" s="1658"/>
      <c r="BS10" s="1658"/>
      <c r="BT10" s="1658"/>
      <c r="BU10" s="1658"/>
      <c r="BV10" s="1658"/>
      <c r="BW10" s="1658"/>
      <c r="BX10" s="1658"/>
      <c r="BY10" s="1658"/>
      <c r="BZ10" s="1658"/>
      <c r="CA10" s="1658"/>
      <c r="CB10" s="1658"/>
      <c r="CC10" s="1658"/>
      <c r="CD10" s="1658"/>
      <c r="CE10" s="1658"/>
      <c r="CF10" s="1658"/>
      <c r="CG10" s="1658"/>
      <c r="CH10" s="1658"/>
      <c r="CI10" s="1658"/>
      <c r="CJ10" s="1658"/>
      <c r="CK10" s="1658"/>
      <c r="CL10" s="1658"/>
      <c r="CM10" s="1658"/>
      <c r="CN10" s="1658"/>
      <c r="CO10" s="1658"/>
      <c r="CP10" s="1658"/>
      <c r="CQ10" s="1658"/>
      <c r="CR10" s="1658"/>
      <c r="CS10" s="1658"/>
      <c r="CT10" s="1658"/>
      <c r="CU10" s="1658"/>
      <c r="CV10" s="1658"/>
      <c r="CW10" s="1658"/>
      <c r="CX10" s="1658"/>
      <c r="CY10" s="1658"/>
      <c r="CZ10" s="1658"/>
    </row>
    <row r="11" spans="8:8" ht="15.75">
      <c r="A11" s="1653" t="s">
        <v>77</v>
      </c>
      <c r="B11" s="1654">
        <f t="shared" si="0"/>
        <v>20.0</v>
      </c>
      <c r="C11" s="1655">
        <f t="shared" si="1"/>
        <v>0.0</v>
      </c>
      <c r="D11" s="1656">
        <v>20.0</v>
      </c>
      <c r="E11" s="1657" t="s">
        <v>5921</v>
      </c>
      <c r="F11" s="1658"/>
      <c r="G11" s="1658"/>
      <c r="H11" s="1658"/>
      <c r="I11" s="1658"/>
      <c r="J11" s="1658"/>
      <c r="K11" s="1658"/>
      <c r="L11" s="1658"/>
      <c r="M11" s="1658"/>
      <c r="N11" s="1658"/>
      <c r="O11" s="1658"/>
      <c r="P11" s="1658"/>
      <c r="Q11" s="1658"/>
      <c r="R11" s="1658"/>
      <c r="S11" s="1658"/>
      <c r="T11" s="1658"/>
      <c r="U11" s="1658"/>
      <c r="V11" s="1658"/>
      <c r="W11" s="1658"/>
      <c r="X11" s="1658"/>
      <c r="Y11" s="1658"/>
      <c r="Z11" s="1658"/>
      <c r="AA11" s="1658"/>
      <c r="AB11" s="1658"/>
      <c r="AC11" s="1658"/>
      <c r="AD11" s="1658"/>
      <c r="AE11" s="1658"/>
      <c r="AF11" s="1658"/>
      <c r="AG11" s="1658"/>
      <c r="AH11" s="1658"/>
      <c r="AI11" s="1658"/>
      <c r="AJ11" s="1658"/>
      <c r="AK11" s="1658"/>
      <c r="AL11" s="1658"/>
      <c r="AM11" s="1658"/>
      <c r="AN11" s="1658"/>
      <c r="AO11" s="1658"/>
      <c r="AP11" s="1658"/>
      <c r="AQ11" s="1658"/>
      <c r="AR11" s="1658"/>
      <c r="AS11" s="1658"/>
      <c r="AT11" s="1658"/>
      <c r="AU11" s="1658"/>
      <c r="AV11" s="1658"/>
      <c r="AW11" s="1658"/>
      <c r="AX11" s="1658"/>
      <c r="AY11" s="1658"/>
      <c r="AZ11" s="1658"/>
      <c r="BA11" s="1658"/>
      <c r="BB11" s="1658"/>
      <c r="BC11" s="1658"/>
      <c r="BD11" s="1658"/>
      <c r="BE11" s="1658"/>
      <c r="BF11" s="1658"/>
      <c r="BG11" s="1658"/>
      <c r="BH11" s="1658"/>
      <c r="BI11" s="1658"/>
      <c r="BJ11" s="1658"/>
      <c r="BK11" s="1658"/>
      <c r="BL11" s="1658"/>
      <c r="BM11" s="1658"/>
      <c r="BN11" s="1658"/>
      <c r="BO11" s="1658"/>
      <c r="BP11" s="1658"/>
      <c r="BQ11" s="1658"/>
      <c r="BR11" s="1658"/>
      <c r="BS11" s="1658"/>
      <c r="BT11" s="1658"/>
      <c r="BU11" s="1658"/>
      <c r="BV11" s="1658"/>
      <c r="BW11" s="1658"/>
      <c r="BX11" s="1658"/>
      <c r="BY11" s="1658"/>
      <c r="BZ11" s="1658"/>
      <c r="CA11" s="1658"/>
      <c r="CB11" s="1658"/>
      <c r="CC11" s="1658"/>
      <c r="CD11" s="1658"/>
      <c r="CE11" s="1658"/>
      <c r="CF11" s="1658"/>
      <c r="CG11" s="1658"/>
      <c r="CH11" s="1658"/>
      <c r="CI11" s="1658"/>
      <c r="CJ11" s="1658"/>
      <c r="CK11" s="1658"/>
      <c r="CL11" s="1658"/>
      <c r="CM11" s="1658"/>
      <c r="CN11" s="1658"/>
      <c r="CO11" s="1658"/>
      <c r="CP11" s="1658"/>
      <c r="CQ11" s="1658"/>
      <c r="CR11" s="1658"/>
      <c r="CS11" s="1658"/>
      <c r="CT11" s="1658"/>
      <c r="CU11" s="1658"/>
      <c r="CV11" s="1658"/>
      <c r="CW11" s="1658"/>
      <c r="CX11" s="1658"/>
      <c r="CY11" s="1658"/>
      <c r="CZ11" s="1658"/>
    </row>
    <row r="12" spans="8:8" ht="15.75">
      <c r="A12" s="1653" t="s">
        <v>82</v>
      </c>
      <c r="B12" s="1654">
        <f t="shared" si="0"/>
        <v>5.0</v>
      </c>
      <c r="C12" s="1655">
        <f t="shared" si="1"/>
        <v>0.0</v>
      </c>
      <c r="D12" s="1656">
        <v>5.0</v>
      </c>
      <c r="E12" s="1657" t="s">
        <v>5918</v>
      </c>
      <c r="F12" s="1658"/>
      <c r="G12" s="1658"/>
      <c r="H12" s="1658"/>
      <c r="I12" s="1658"/>
      <c r="J12" s="1658"/>
      <c r="K12" s="1658"/>
      <c r="L12" s="1658"/>
      <c r="M12" s="1658"/>
      <c r="N12" s="1658"/>
      <c r="O12" s="1658"/>
      <c r="P12" s="1658"/>
      <c r="Q12" s="1658"/>
      <c r="R12" s="1658"/>
      <c r="S12" s="1658"/>
      <c r="T12" s="1658"/>
      <c r="U12" s="1658"/>
      <c r="V12" s="1658"/>
      <c r="W12" s="1658"/>
      <c r="X12" s="1658"/>
      <c r="Y12" s="1658"/>
      <c r="Z12" s="1658"/>
      <c r="AA12" s="1658"/>
      <c r="AB12" s="1658"/>
      <c r="AC12" s="1658"/>
      <c r="AD12" s="1658"/>
      <c r="AE12" s="1658"/>
      <c r="AF12" s="1658"/>
      <c r="AG12" s="1658"/>
      <c r="AH12" s="1658"/>
      <c r="AI12" s="1658"/>
      <c r="AJ12" s="1658"/>
      <c r="AK12" s="1658"/>
      <c r="AL12" s="1658"/>
      <c r="AM12" s="1658"/>
      <c r="AN12" s="1658"/>
      <c r="AO12" s="1658"/>
      <c r="AP12" s="1658"/>
      <c r="AQ12" s="1658"/>
      <c r="AR12" s="1658"/>
      <c r="AS12" s="1658"/>
      <c r="AT12" s="1658"/>
      <c r="AU12" s="1658"/>
      <c r="AV12" s="1658"/>
      <c r="AW12" s="1658"/>
      <c r="AX12" s="1658"/>
      <c r="AY12" s="1658"/>
      <c r="AZ12" s="1658"/>
      <c r="BA12" s="1658"/>
      <c r="BB12" s="1658"/>
      <c r="BC12" s="1658"/>
      <c r="BD12" s="1658"/>
      <c r="BE12" s="1658"/>
      <c r="BF12" s="1658"/>
      <c r="BG12" s="1658"/>
      <c r="BH12" s="1658"/>
      <c r="BI12" s="1658"/>
      <c r="BJ12" s="1658"/>
      <c r="BK12" s="1658"/>
      <c r="BL12" s="1658"/>
      <c r="BM12" s="1658"/>
      <c r="BN12" s="1658"/>
      <c r="BO12" s="1658"/>
      <c r="BP12" s="1658"/>
      <c r="BQ12" s="1658"/>
      <c r="BR12" s="1658"/>
      <c r="BS12" s="1658"/>
      <c r="BT12" s="1658"/>
      <c r="BU12" s="1658"/>
      <c r="BV12" s="1658"/>
      <c r="BW12" s="1658"/>
      <c r="BX12" s="1658"/>
      <c r="BY12" s="1658"/>
      <c r="BZ12" s="1658"/>
      <c r="CA12" s="1658"/>
      <c r="CB12" s="1658"/>
      <c r="CC12" s="1658"/>
      <c r="CD12" s="1658"/>
      <c r="CE12" s="1658"/>
      <c r="CF12" s="1658"/>
      <c r="CG12" s="1658"/>
      <c r="CH12" s="1658"/>
      <c r="CI12" s="1658"/>
      <c r="CJ12" s="1658"/>
      <c r="CK12" s="1658"/>
      <c r="CL12" s="1658"/>
      <c r="CM12" s="1658"/>
      <c r="CN12" s="1658"/>
      <c r="CO12" s="1658"/>
      <c r="CP12" s="1658"/>
      <c r="CQ12" s="1658"/>
      <c r="CR12" s="1658"/>
      <c r="CS12" s="1658"/>
      <c r="CT12" s="1658"/>
      <c r="CU12" s="1658"/>
      <c r="CV12" s="1658"/>
      <c r="CW12" s="1658"/>
      <c r="CX12" s="1658"/>
      <c r="CY12" s="1658"/>
      <c r="CZ12" s="1658"/>
    </row>
    <row r="13" spans="8:8" ht="15.75">
      <c r="A13" s="1653" t="s">
        <v>90</v>
      </c>
      <c r="B13" s="1654">
        <f t="shared" si="0"/>
        <v>0.0</v>
      </c>
      <c r="C13" s="1655">
        <f t="shared" si="1"/>
        <v>0.0</v>
      </c>
      <c r="D13" s="1656">
        <v>0.0</v>
      </c>
      <c r="E13" s="1657" t="s">
        <v>5931</v>
      </c>
      <c r="F13" s="1658"/>
      <c r="G13" s="1658"/>
      <c r="H13" s="1658"/>
      <c r="I13" s="1658"/>
      <c r="J13" s="1658"/>
      <c r="K13" s="1658"/>
      <c r="L13" s="1658"/>
      <c r="M13" s="1658"/>
      <c r="N13" s="1658"/>
      <c r="O13" s="1658"/>
      <c r="P13" s="1658"/>
      <c r="Q13" s="1658"/>
      <c r="R13" s="1658"/>
      <c r="S13" s="1658"/>
      <c r="T13" s="1658"/>
      <c r="U13" s="1658"/>
      <c r="V13" s="1658"/>
      <c r="W13" s="1658"/>
      <c r="X13" s="1658"/>
      <c r="Y13" s="1658"/>
      <c r="Z13" s="1658"/>
      <c r="AA13" s="1658"/>
      <c r="AB13" s="1658"/>
      <c r="AC13" s="1658"/>
      <c r="AD13" s="1658"/>
      <c r="AE13" s="1658"/>
      <c r="AF13" s="1658"/>
      <c r="AG13" s="1658"/>
      <c r="AH13" s="1658"/>
      <c r="AI13" s="1658"/>
      <c r="AJ13" s="1658"/>
      <c r="AK13" s="1658"/>
      <c r="AL13" s="1658"/>
      <c r="AM13" s="1658"/>
      <c r="AN13" s="1658"/>
      <c r="AO13" s="1658"/>
      <c r="AP13" s="1658"/>
      <c r="AQ13" s="1658"/>
      <c r="AR13" s="1658"/>
      <c r="AS13" s="1658"/>
      <c r="AT13" s="1658"/>
      <c r="AU13" s="1658"/>
      <c r="AV13" s="1658"/>
      <c r="AW13" s="1658"/>
      <c r="AX13" s="1658"/>
      <c r="AY13" s="1658"/>
      <c r="AZ13" s="1658"/>
      <c r="BA13" s="1658"/>
      <c r="BB13" s="1658"/>
      <c r="BC13" s="1658"/>
      <c r="BD13" s="1658"/>
      <c r="BE13" s="1658"/>
      <c r="BF13" s="1658"/>
      <c r="BG13" s="1658"/>
      <c r="BH13" s="1658"/>
      <c r="BI13" s="1658"/>
      <c r="BJ13" s="1658"/>
      <c r="BK13" s="1658"/>
      <c r="BL13" s="1658"/>
      <c r="BM13" s="1658"/>
      <c r="BN13" s="1658"/>
      <c r="BO13" s="1658"/>
      <c r="BP13" s="1658"/>
      <c r="BQ13" s="1658"/>
      <c r="BR13" s="1658"/>
      <c r="BS13" s="1658"/>
      <c r="BT13" s="1658"/>
      <c r="BU13" s="1658"/>
      <c r="BV13" s="1658"/>
      <c r="BW13" s="1658"/>
      <c r="BX13" s="1658"/>
      <c r="BY13" s="1658"/>
      <c r="BZ13" s="1658"/>
      <c r="CA13" s="1658"/>
      <c r="CB13" s="1658"/>
      <c r="CC13" s="1658"/>
      <c r="CD13" s="1658"/>
      <c r="CE13" s="1658"/>
      <c r="CF13" s="1658"/>
      <c r="CG13" s="1658"/>
      <c r="CH13" s="1658"/>
      <c r="CI13" s="1658"/>
      <c r="CJ13" s="1658"/>
      <c r="CK13" s="1658"/>
      <c r="CL13" s="1658"/>
      <c r="CM13" s="1658"/>
      <c r="CN13" s="1658"/>
      <c r="CO13" s="1658"/>
      <c r="CP13" s="1658"/>
      <c r="CQ13" s="1658"/>
      <c r="CR13" s="1658"/>
      <c r="CS13" s="1658"/>
      <c r="CT13" s="1658"/>
      <c r="CU13" s="1658"/>
      <c r="CV13" s="1658"/>
      <c r="CW13" s="1658"/>
      <c r="CX13" s="1658"/>
      <c r="CY13" s="1658"/>
      <c r="CZ13" s="1658"/>
    </row>
    <row r="14" spans="8:8" ht="15.75">
      <c r="A14" s="1653" t="s">
        <v>92</v>
      </c>
      <c r="B14" s="1654">
        <f t="shared" si="0"/>
        <v>0.0</v>
      </c>
      <c r="C14" s="1655">
        <f t="shared" si="1"/>
        <v>0.0</v>
      </c>
      <c r="D14" s="1656">
        <v>0.0</v>
      </c>
      <c r="E14" s="1657"/>
      <c r="F14" s="1658"/>
      <c r="G14" s="1658"/>
      <c r="H14" s="1658"/>
      <c r="I14" s="1658"/>
      <c r="J14" s="1658"/>
      <c r="K14" s="1658"/>
      <c r="L14" s="1658"/>
      <c r="M14" s="1658"/>
      <c r="N14" s="1658"/>
      <c r="O14" s="1658"/>
      <c r="P14" s="1658"/>
      <c r="Q14" s="1658"/>
      <c r="R14" s="1658"/>
      <c r="S14" s="1658"/>
      <c r="T14" s="1658"/>
      <c r="U14" s="1658"/>
      <c r="V14" s="1658"/>
      <c r="W14" s="1658"/>
      <c r="X14" s="1658"/>
      <c r="Y14" s="1658"/>
      <c r="Z14" s="1658"/>
      <c r="AA14" s="1658"/>
      <c r="AB14" s="1658"/>
      <c r="AC14" s="1658"/>
      <c r="AD14" s="1658"/>
      <c r="AE14" s="1658"/>
      <c r="AF14" s="1658"/>
      <c r="AG14" s="1658"/>
      <c r="AH14" s="1658"/>
      <c r="AI14" s="1658"/>
      <c r="AJ14" s="1658"/>
      <c r="AK14" s="1658"/>
      <c r="AL14" s="1658"/>
      <c r="AM14" s="1658"/>
      <c r="AN14" s="1658"/>
      <c r="AO14" s="1658"/>
      <c r="AP14" s="1658"/>
      <c r="AQ14" s="1658"/>
      <c r="AR14" s="1658"/>
      <c r="AS14" s="1658"/>
      <c r="AT14" s="1658"/>
      <c r="AU14" s="1658"/>
      <c r="AV14" s="1658"/>
      <c r="AW14" s="1658"/>
      <c r="AX14" s="1658"/>
      <c r="AY14" s="1658"/>
      <c r="AZ14" s="1658"/>
      <c r="BA14" s="1658"/>
      <c r="BB14" s="1658"/>
      <c r="BC14" s="1658"/>
      <c r="BD14" s="1658"/>
      <c r="BE14" s="1658"/>
      <c r="BF14" s="1658"/>
      <c r="BG14" s="1658"/>
      <c r="BH14" s="1658"/>
      <c r="BI14" s="1658"/>
      <c r="BJ14" s="1658"/>
      <c r="BK14" s="1658"/>
      <c r="BL14" s="1658"/>
      <c r="BM14" s="1658"/>
      <c r="BN14" s="1658"/>
      <c r="BO14" s="1658"/>
      <c r="BP14" s="1658"/>
      <c r="BQ14" s="1658"/>
      <c r="BR14" s="1658"/>
      <c r="BS14" s="1658"/>
      <c r="BT14" s="1658"/>
      <c r="BU14" s="1658"/>
      <c r="BV14" s="1658"/>
      <c r="BW14" s="1658"/>
      <c r="BX14" s="1658"/>
      <c r="BY14" s="1658"/>
      <c r="BZ14" s="1658"/>
      <c r="CA14" s="1658"/>
      <c r="CB14" s="1658"/>
      <c r="CC14" s="1658"/>
      <c r="CD14" s="1658"/>
      <c r="CE14" s="1658"/>
      <c r="CF14" s="1658"/>
      <c r="CG14" s="1658"/>
      <c r="CH14" s="1658"/>
      <c r="CI14" s="1658"/>
      <c r="CJ14" s="1658"/>
      <c r="CK14" s="1658"/>
      <c r="CL14" s="1658"/>
      <c r="CM14" s="1658"/>
      <c r="CN14" s="1658"/>
      <c r="CO14" s="1658"/>
      <c r="CP14" s="1658"/>
      <c r="CQ14" s="1658"/>
      <c r="CR14" s="1658"/>
      <c r="CS14" s="1658"/>
      <c r="CT14" s="1658"/>
      <c r="CU14" s="1658"/>
      <c r="CV14" s="1658"/>
      <c r="CW14" s="1658"/>
      <c r="CX14" s="1658"/>
      <c r="CY14" s="1658"/>
      <c r="CZ14" s="1658"/>
    </row>
    <row r="15" spans="8:8" ht="15.75">
      <c r="A15" s="1653" t="s">
        <v>99</v>
      </c>
      <c r="B15" s="1654">
        <f t="shared" si="0"/>
        <v>5.0</v>
      </c>
      <c r="C15" s="1655">
        <f t="shared" si="1"/>
        <v>0.0</v>
      </c>
      <c r="D15" s="1656">
        <v>5.0</v>
      </c>
      <c r="E15" s="1657" t="s">
        <v>5922</v>
      </c>
      <c r="F15" s="1658"/>
      <c r="G15" s="1658"/>
      <c r="H15" s="1658"/>
      <c r="I15" s="1658"/>
      <c r="J15" s="1658"/>
      <c r="K15" s="1658"/>
      <c r="L15" s="1658"/>
      <c r="M15" s="1658"/>
      <c r="N15" s="1658"/>
      <c r="O15" s="1658"/>
      <c r="P15" s="1658"/>
      <c r="Q15" s="1658"/>
      <c r="R15" s="1658"/>
      <c r="S15" s="1658"/>
      <c r="T15" s="1658"/>
      <c r="U15" s="1658"/>
      <c r="V15" s="1658"/>
      <c r="W15" s="1658"/>
      <c r="X15" s="1658"/>
      <c r="Y15" s="1658"/>
      <c r="Z15" s="1658"/>
      <c r="AA15" s="1658"/>
      <c r="AB15" s="1658"/>
      <c r="AC15" s="1658"/>
      <c r="AD15" s="1658"/>
      <c r="AE15" s="1658"/>
      <c r="AF15" s="1658"/>
      <c r="AG15" s="1658"/>
      <c r="AH15" s="1658"/>
      <c r="AI15" s="1658"/>
      <c r="AJ15" s="1658"/>
      <c r="AK15" s="1658"/>
      <c r="AL15" s="1658"/>
      <c r="AM15" s="1658"/>
      <c r="AN15" s="1658"/>
      <c r="AO15" s="1658"/>
      <c r="AP15" s="1658"/>
      <c r="AQ15" s="1658"/>
      <c r="AR15" s="1658"/>
      <c r="AS15" s="1658"/>
      <c r="AT15" s="1658"/>
      <c r="AU15" s="1658"/>
      <c r="AV15" s="1658"/>
      <c r="AW15" s="1658"/>
      <c r="AX15" s="1658"/>
      <c r="AY15" s="1658"/>
      <c r="AZ15" s="1658"/>
      <c r="BA15" s="1658"/>
      <c r="BB15" s="1658"/>
      <c r="BC15" s="1658"/>
      <c r="BD15" s="1658"/>
      <c r="BE15" s="1658"/>
      <c r="BF15" s="1658"/>
      <c r="BG15" s="1658"/>
      <c r="BH15" s="1658"/>
      <c r="BI15" s="1658"/>
      <c r="BJ15" s="1658"/>
      <c r="BK15" s="1658"/>
      <c r="BL15" s="1658"/>
      <c r="BM15" s="1658"/>
      <c r="BN15" s="1658"/>
      <c r="BO15" s="1658"/>
      <c r="BP15" s="1658"/>
      <c r="BQ15" s="1658"/>
      <c r="BR15" s="1658"/>
      <c r="BS15" s="1658"/>
      <c r="BT15" s="1658"/>
      <c r="BU15" s="1658"/>
      <c r="BV15" s="1658"/>
      <c r="BW15" s="1658"/>
      <c r="BX15" s="1658"/>
      <c r="BY15" s="1658"/>
      <c r="BZ15" s="1658"/>
      <c r="CA15" s="1658"/>
      <c r="CB15" s="1658"/>
      <c r="CC15" s="1658"/>
      <c r="CD15" s="1658"/>
      <c r="CE15" s="1658"/>
      <c r="CF15" s="1658"/>
      <c r="CG15" s="1658"/>
      <c r="CH15" s="1658"/>
      <c r="CI15" s="1658"/>
      <c r="CJ15" s="1658"/>
      <c r="CK15" s="1658"/>
      <c r="CL15" s="1658"/>
      <c r="CM15" s="1658"/>
      <c r="CN15" s="1658"/>
      <c r="CO15" s="1658"/>
      <c r="CP15" s="1658"/>
      <c r="CQ15" s="1658"/>
      <c r="CR15" s="1658"/>
      <c r="CS15" s="1658"/>
      <c r="CT15" s="1658"/>
      <c r="CU15" s="1658"/>
      <c r="CV15" s="1658"/>
      <c r="CW15" s="1658"/>
      <c r="CX15" s="1658"/>
      <c r="CY15" s="1658"/>
      <c r="CZ15" s="1658"/>
    </row>
    <row r="16" spans="8:8" ht="15.75">
      <c r="A16" s="1653" t="s">
        <v>101</v>
      </c>
      <c r="B16" s="1654">
        <f t="shared" si="0"/>
        <v>0.0</v>
      </c>
      <c r="C16" s="1655">
        <f t="shared" si="1"/>
        <v>0.0</v>
      </c>
      <c r="D16" s="1656">
        <v>0.0</v>
      </c>
      <c r="E16" s="1657" t="s">
        <v>5919</v>
      </c>
      <c r="F16" s="1658"/>
      <c r="G16" s="1658"/>
      <c r="H16" s="1658"/>
      <c r="I16" s="1658"/>
      <c r="J16" s="1658"/>
      <c r="K16" s="1658"/>
      <c r="L16" s="1658"/>
      <c r="M16" s="1658"/>
      <c r="N16" s="1658"/>
      <c r="O16" s="1658"/>
      <c r="P16" s="1658"/>
      <c r="Q16" s="1658"/>
      <c r="R16" s="1658"/>
      <c r="S16" s="1658"/>
      <c r="T16" s="1658"/>
      <c r="U16" s="1658"/>
      <c r="V16" s="1658"/>
      <c r="W16" s="1658"/>
      <c r="X16" s="1658"/>
      <c r="Y16" s="1658"/>
      <c r="Z16" s="1658"/>
      <c r="AA16" s="1658"/>
      <c r="AB16" s="1658"/>
      <c r="AC16" s="1658"/>
      <c r="AD16" s="1658"/>
      <c r="AE16" s="1658"/>
      <c r="AF16" s="1658"/>
      <c r="AG16" s="1658"/>
      <c r="AH16" s="1658"/>
      <c r="AI16" s="1658"/>
      <c r="AJ16" s="1658"/>
      <c r="AK16" s="1658"/>
      <c r="AL16" s="1658"/>
      <c r="AM16" s="1658"/>
      <c r="AN16" s="1658"/>
      <c r="AO16" s="1658"/>
      <c r="AP16" s="1658"/>
      <c r="AQ16" s="1658"/>
      <c r="AR16" s="1658"/>
      <c r="AS16" s="1658"/>
      <c r="AT16" s="1658"/>
      <c r="AU16" s="1658"/>
      <c r="AV16" s="1658"/>
      <c r="AW16" s="1658"/>
      <c r="AX16" s="1658"/>
      <c r="AY16" s="1658"/>
      <c r="AZ16" s="1658"/>
      <c r="BA16" s="1658"/>
      <c r="BB16" s="1658"/>
      <c r="BC16" s="1658"/>
      <c r="BD16" s="1658"/>
      <c r="BE16" s="1658"/>
      <c r="BF16" s="1658"/>
      <c r="BG16" s="1658"/>
      <c r="BH16" s="1658"/>
      <c r="BI16" s="1658"/>
      <c r="BJ16" s="1658"/>
      <c r="BK16" s="1658"/>
      <c r="BL16" s="1658"/>
      <c r="BM16" s="1658"/>
      <c r="BN16" s="1658"/>
      <c r="BO16" s="1658"/>
      <c r="BP16" s="1658"/>
      <c r="BQ16" s="1658"/>
      <c r="BR16" s="1658"/>
      <c r="BS16" s="1658"/>
      <c r="BT16" s="1658"/>
      <c r="BU16" s="1658"/>
      <c r="BV16" s="1658"/>
      <c r="BW16" s="1658"/>
      <c r="BX16" s="1658"/>
      <c r="BY16" s="1658"/>
      <c r="BZ16" s="1658"/>
      <c r="CA16" s="1658"/>
      <c r="CB16" s="1658"/>
      <c r="CC16" s="1658"/>
      <c r="CD16" s="1658"/>
      <c r="CE16" s="1658"/>
      <c r="CF16" s="1658"/>
      <c r="CG16" s="1658"/>
      <c r="CH16" s="1658"/>
      <c r="CI16" s="1658"/>
      <c r="CJ16" s="1658"/>
      <c r="CK16" s="1658"/>
      <c r="CL16" s="1658"/>
      <c r="CM16" s="1658"/>
      <c r="CN16" s="1658"/>
      <c r="CO16" s="1658"/>
      <c r="CP16" s="1658"/>
      <c r="CQ16" s="1658"/>
      <c r="CR16" s="1658"/>
      <c r="CS16" s="1658"/>
      <c r="CT16" s="1658"/>
      <c r="CU16" s="1658"/>
      <c r="CV16" s="1658"/>
      <c r="CW16" s="1658"/>
      <c r="CX16" s="1658"/>
      <c r="CY16" s="1658"/>
      <c r="CZ16" s="1658"/>
    </row>
    <row r="17" spans="8:8" ht="15.75">
      <c r="A17" s="1653" t="s">
        <v>105</v>
      </c>
      <c r="B17" s="1654">
        <f t="shared" si="0"/>
        <v>20.0</v>
      </c>
      <c r="C17" s="1655">
        <f t="shared" si="1"/>
        <v>0.0</v>
      </c>
      <c r="D17" s="1656">
        <v>20.0</v>
      </c>
      <c r="E17" s="1657"/>
      <c r="F17" s="1658"/>
      <c r="G17" s="1658"/>
      <c r="H17" s="1658"/>
      <c r="I17" s="1658"/>
      <c r="J17" s="1658"/>
      <c r="K17" s="1658"/>
      <c r="L17" s="1658"/>
      <c r="M17" s="1658"/>
      <c r="N17" s="1658"/>
      <c r="O17" s="1658"/>
      <c r="P17" s="1658"/>
      <c r="Q17" s="1658"/>
      <c r="R17" s="1658"/>
      <c r="S17" s="1658"/>
      <c r="T17" s="1658"/>
      <c r="U17" s="1658"/>
      <c r="V17" s="1658"/>
      <c r="W17" s="1658"/>
      <c r="X17" s="1658"/>
      <c r="Y17" s="1658"/>
      <c r="Z17" s="1658"/>
      <c r="AA17" s="1658"/>
      <c r="AB17" s="1658"/>
      <c r="AC17" s="1658"/>
      <c r="AD17" s="1658"/>
      <c r="AE17" s="1658"/>
      <c r="AF17" s="1658"/>
      <c r="AG17" s="1658"/>
      <c r="AH17" s="1658"/>
      <c r="AI17" s="1658"/>
      <c r="AJ17" s="1658"/>
      <c r="AK17" s="1658"/>
      <c r="AL17" s="1658"/>
      <c r="AM17" s="1658"/>
      <c r="AN17" s="1658"/>
      <c r="AO17" s="1658"/>
      <c r="AP17" s="1658"/>
      <c r="AQ17" s="1658"/>
      <c r="AR17" s="1658"/>
      <c r="AS17" s="1658"/>
      <c r="AT17" s="1658"/>
      <c r="AU17" s="1658"/>
      <c r="AV17" s="1658"/>
      <c r="AW17" s="1658"/>
      <c r="AX17" s="1658"/>
      <c r="AY17" s="1658"/>
      <c r="AZ17" s="1658"/>
      <c r="BA17" s="1658"/>
      <c r="BB17" s="1658"/>
      <c r="BC17" s="1658"/>
      <c r="BD17" s="1658"/>
      <c r="BE17" s="1658"/>
      <c r="BF17" s="1658"/>
      <c r="BG17" s="1658"/>
      <c r="BH17" s="1658"/>
      <c r="BI17" s="1658"/>
      <c r="BJ17" s="1658"/>
      <c r="BK17" s="1658"/>
      <c r="BL17" s="1658"/>
      <c r="BM17" s="1658"/>
      <c r="BN17" s="1658"/>
      <c r="BO17" s="1658"/>
      <c r="BP17" s="1658"/>
      <c r="BQ17" s="1658"/>
      <c r="BR17" s="1658"/>
      <c r="BS17" s="1658"/>
      <c r="BT17" s="1658"/>
      <c r="BU17" s="1658"/>
      <c r="BV17" s="1658"/>
      <c r="BW17" s="1658"/>
      <c r="BX17" s="1658"/>
      <c r="BY17" s="1658"/>
      <c r="BZ17" s="1658"/>
      <c r="CA17" s="1658"/>
      <c r="CB17" s="1658"/>
      <c r="CC17" s="1658"/>
      <c r="CD17" s="1658"/>
      <c r="CE17" s="1658"/>
      <c r="CF17" s="1658"/>
      <c r="CG17" s="1658"/>
      <c r="CH17" s="1658"/>
      <c r="CI17" s="1658"/>
      <c r="CJ17" s="1658"/>
      <c r="CK17" s="1658"/>
      <c r="CL17" s="1658"/>
      <c r="CM17" s="1658"/>
      <c r="CN17" s="1658"/>
      <c r="CO17" s="1658"/>
      <c r="CP17" s="1658"/>
      <c r="CQ17" s="1658"/>
      <c r="CR17" s="1658"/>
      <c r="CS17" s="1658"/>
      <c r="CT17" s="1658"/>
      <c r="CU17" s="1658"/>
      <c r="CV17" s="1658"/>
      <c r="CW17" s="1658"/>
      <c r="CX17" s="1658"/>
      <c r="CY17" s="1658"/>
      <c r="CZ17" s="1658"/>
    </row>
    <row r="18" spans="8:8" ht="15.75">
      <c r="A18" s="1653" t="s">
        <v>107</v>
      </c>
      <c r="B18" s="1654">
        <f t="shared" si="0"/>
        <v>10.0</v>
      </c>
      <c r="C18" s="1655">
        <f t="shared" si="1"/>
        <v>0.0</v>
      </c>
      <c r="D18" s="1656">
        <v>10.0</v>
      </c>
      <c r="E18" s="1657"/>
      <c r="F18" s="1658"/>
      <c r="G18" s="1658"/>
      <c r="H18" s="1658"/>
      <c r="I18" s="1658"/>
      <c r="J18" s="1658"/>
      <c r="K18" s="1658"/>
      <c r="L18" s="1658"/>
      <c r="M18" s="1658"/>
      <c r="N18" s="1658"/>
      <c r="O18" s="1658"/>
      <c r="P18" s="1658"/>
      <c r="Q18" s="1658"/>
      <c r="R18" s="1658"/>
      <c r="S18" s="1658"/>
      <c r="T18" s="1658"/>
      <c r="U18" s="1658"/>
      <c r="V18" s="1658"/>
      <c r="W18" s="1658"/>
      <c r="X18" s="1658"/>
      <c r="Y18" s="1658"/>
      <c r="Z18" s="1658"/>
      <c r="AA18" s="1658"/>
      <c r="AB18" s="1658"/>
      <c r="AC18" s="1658"/>
      <c r="AD18" s="1658"/>
      <c r="AE18" s="1658"/>
      <c r="AF18" s="1658"/>
      <c r="AG18" s="1658"/>
      <c r="AH18" s="1658"/>
      <c r="AI18" s="1658"/>
      <c r="AJ18" s="1658"/>
      <c r="AK18" s="1658"/>
      <c r="AL18" s="1658"/>
      <c r="AM18" s="1658"/>
      <c r="AN18" s="1658"/>
      <c r="AO18" s="1658"/>
      <c r="AP18" s="1658"/>
      <c r="AQ18" s="1658"/>
      <c r="AR18" s="1658"/>
      <c r="AS18" s="1658"/>
      <c r="AT18" s="1658"/>
      <c r="AU18" s="1658"/>
      <c r="AV18" s="1658"/>
      <c r="AW18" s="1658"/>
      <c r="AX18" s="1658"/>
      <c r="AY18" s="1658"/>
      <c r="AZ18" s="1658"/>
      <c r="BA18" s="1658"/>
      <c r="BB18" s="1658"/>
      <c r="BC18" s="1658"/>
      <c r="BD18" s="1658"/>
      <c r="BE18" s="1658"/>
      <c r="BF18" s="1658"/>
      <c r="BG18" s="1658"/>
      <c r="BH18" s="1658"/>
      <c r="BI18" s="1658"/>
      <c r="BJ18" s="1658"/>
      <c r="BK18" s="1658"/>
      <c r="BL18" s="1658"/>
      <c r="BM18" s="1658"/>
      <c r="BN18" s="1658"/>
      <c r="BO18" s="1658"/>
      <c r="BP18" s="1658"/>
      <c r="BQ18" s="1658"/>
      <c r="BR18" s="1658"/>
      <c r="BS18" s="1658"/>
      <c r="BT18" s="1658"/>
      <c r="BU18" s="1658"/>
      <c r="BV18" s="1658"/>
      <c r="BW18" s="1658"/>
      <c r="BX18" s="1658"/>
      <c r="BY18" s="1658"/>
      <c r="BZ18" s="1658"/>
      <c r="CA18" s="1658"/>
      <c r="CB18" s="1658"/>
      <c r="CC18" s="1658"/>
      <c r="CD18" s="1658"/>
      <c r="CE18" s="1658"/>
      <c r="CF18" s="1658"/>
      <c r="CG18" s="1658"/>
      <c r="CH18" s="1658"/>
      <c r="CI18" s="1658"/>
      <c r="CJ18" s="1658"/>
      <c r="CK18" s="1658"/>
      <c r="CL18" s="1658"/>
      <c r="CM18" s="1658"/>
      <c r="CN18" s="1658"/>
      <c r="CO18" s="1658"/>
      <c r="CP18" s="1658"/>
      <c r="CQ18" s="1658"/>
      <c r="CR18" s="1658"/>
      <c r="CS18" s="1658"/>
      <c r="CT18" s="1658"/>
      <c r="CU18" s="1658"/>
      <c r="CV18" s="1658"/>
      <c r="CW18" s="1658"/>
      <c r="CX18" s="1658"/>
      <c r="CY18" s="1658"/>
      <c r="CZ18" s="1658"/>
    </row>
    <row r="19" spans="8:8" ht="15.75">
      <c r="A19" s="1653" t="s">
        <v>110</v>
      </c>
      <c r="B19" s="1654">
        <f t="shared" si="0"/>
        <v>1.0</v>
      </c>
      <c r="C19" s="1655">
        <f>SUM(E19:CZ19)</f>
        <v>0.0</v>
      </c>
      <c r="D19" s="1656">
        <v>1.0</v>
      </c>
      <c r="E19" s="1657" t="s">
        <v>5923</v>
      </c>
      <c r="F19" s="1658"/>
      <c r="G19" s="1658"/>
      <c r="H19" s="1658"/>
      <c r="I19" s="1658"/>
      <c r="J19" s="1658"/>
      <c r="K19" s="1658"/>
      <c r="L19" s="1658"/>
      <c r="M19" s="1658"/>
      <c r="N19" s="1658"/>
      <c r="O19" s="1658"/>
      <c r="P19" s="1658"/>
      <c r="Q19" s="1658"/>
      <c r="R19" s="1658"/>
      <c r="S19" s="1658"/>
      <c r="T19" s="1658"/>
      <c r="U19" s="1658"/>
      <c r="V19" s="1658"/>
      <c r="W19" s="1658"/>
      <c r="X19" s="1658"/>
      <c r="Y19" s="1658"/>
      <c r="Z19" s="1658"/>
      <c r="AA19" s="1658"/>
      <c r="AB19" s="1658"/>
      <c r="AC19" s="1658"/>
      <c r="AD19" s="1658"/>
      <c r="AE19" s="1658"/>
      <c r="AF19" s="1658"/>
      <c r="AG19" s="1658"/>
      <c r="AH19" s="1658"/>
      <c r="AI19" s="1658"/>
      <c r="AJ19" s="1658"/>
      <c r="AK19" s="1658"/>
      <c r="AL19" s="1658"/>
      <c r="AM19" s="1658"/>
      <c r="AN19" s="1658"/>
      <c r="AO19" s="1658"/>
      <c r="AP19" s="1658"/>
      <c r="AQ19" s="1658"/>
      <c r="AR19" s="1658"/>
      <c r="AS19" s="1658"/>
      <c r="AT19" s="1658"/>
      <c r="AU19" s="1658"/>
      <c r="AV19" s="1658"/>
      <c r="AW19" s="1658"/>
      <c r="AX19" s="1658"/>
      <c r="AY19" s="1658"/>
      <c r="AZ19" s="1658"/>
      <c r="BA19" s="1658"/>
      <c r="BB19" s="1658"/>
      <c r="BC19" s="1658"/>
      <c r="BD19" s="1658"/>
      <c r="BE19" s="1658"/>
      <c r="BF19" s="1658"/>
      <c r="BG19" s="1658"/>
      <c r="BH19" s="1658"/>
      <c r="BI19" s="1658"/>
      <c r="BJ19" s="1658"/>
      <c r="BK19" s="1658"/>
      <c r="BL19" s="1658"/>
      <c r="BM19" s="1658"/>
      <c r="BN19" s="1658"/>
      <c r="BO19" s="1658"/>
      <c r="BP19" s="1658"/>
      <c r="BQ19" s="1658"/>
      <c r="BR19" s="1658"/>
      <c r="BS19" s="1658"/>
      <c r="BT19" s="1658"/>
      <c r="BU19" s="1658"/>
      <c r="BV19" s="1658"/>
      <c r="BW19" s="1658"/>
      <c r="BX19" s="1658"/>
      <c r="BY19" s="1658"/>
      <c r="BZ19" s="1658"/>
      <c r="CA19" s="1658"/>
      <c r="CB19" s="1658"/>
      <c r="CC19" s="1658"/>
      <c r="CD19" s="1658"/>
      <c r="CE19" s="1658"/>
      <c r="CF19" s="1658"/>
      <c r="CG19" s="1658"/>
      <c r="CH19" s="1658"/>
      <c r="CI19" s="1658"/>
      <c r="CJ19" s="1658"/>
      <c r="CK19" s="1658"/>
      <c r="CL19" s="1658"/>
      <c r="CM19" s="1658"/>
      <c r="CN19" s="1658"/>
      <c r="CO19" s="1658"/>
      <c r="CP19" s="1658"/>
      <c r="CQ19" s="1658"/>
      <c r="CR19" s="1658"/>
      <c r="CS19" s="1658"/>
      <c r="CT19" s="1658"/>
      <c r="CU19" s="1658"/>
      <c r="CV19" s="1658"/>
      <c r="CW19" s="1658"/>
      <c r="CX19" s="1658"/>
      <c r="CY19" s="1658"/>
      <c r="CZ19" s="1658"/>
    </row>
    <row r="20" spans="8:8" ht="15.75">
      <c r="A20" s="1653" t="s">
        <v>112</v>
      </c>
      <c r="B20" s="1654">
        <f t="shared" si="0"/>
        <v>5.0</v>
      </c>
      <c r="C20" s="1655">
        <f t="shared" si="1"/>
        <v>0.0</v>
      </c>
      <c r="D20" s="1656">
        <v>5.0</v>
      </c>
      <c r="E20" s="1657"/>
      <c r="F20" s="1658"/>
      <c r="G20" s="1658"/>
      <c r="H20" s="1658"/>
      <c r="I20" s="1658"/>
      <c r="J20" s="1658"/>
      <c r="K20" s="1658"/>
      <c r="L20" s="1658"/>
      <c r="M20" s="1658"/>
      <c r="N20" s="1658"/>
      <c r="O20" s="1658"/>
      <c r="P20" s="1658"/>
      <c r="Q20" s="1658"/>
      <c r="R20" s="1658"/>
      <c r="S20" s="1658"/>
      <c r="T20" s="1658"/>
      <c r="U20" s="1658"/>
      <c r="V20" s="1658"/>
      <c r="W20" s="1658"/>
      <c r="X20" s="1658"/>
      <c r="Y20" s="1658"/>
      <c r="Z20" s="1658"/>
      <c r="AA20" s="1658"/>
      <c r="AB20" s="1658"/>
      <c r="AC20" s="1658"/>
      <c r="AD20" s="1658"/>
      <c r="AE20" s="1658"/>
      <c r="AF20" s="1658"/>
      <c r="AG20" s="1658"/>
      <c r="AH20" s="1658"/>
      <c r="AI20" s="1658"/>
      <c r="AJ20" s="1658"/>
      <c r="AK20" s="1658"/>
      <c r="AL20" s="1658"/>
      <c r="AM20" s="1658"/>
      <c r="AN20" s="1658"/>
      <c r="AO20" s="1658"/>
      <c r="AP20" s="1658"/>
      <c r="AQ20" s="1658"/>
      <c r="AR20" s="1658"/>
      <c r="AS20" s="1658"/>
      <c r="AT20" s="1658"/>
      <c r="AU20" s="1658"/>
      <c r="AV20" s="1658"/>
      <c r="AW20" s="1658"/>
      <c r="AX20" s="1658"/>
      <c r="AY20" s="1658"/>
      <c r="AZ20" s="1658"/>
      <c r="BA20" s="1658"/>
      <c r="BB20" s="1658"/>
      <c r="BC20" s="1658"/>
      <c r="BD20" s="1658"/>
      <c r="BE20" s="1658"/>
      <c r="BF20" s="1658"/>
      <c r="BG20" s="1658"/>
      <c r="BH20" s="1658"/>
      <c r="BI20" s="1658"/>
      <c r="BJ20" s="1658"/>
      <c r="BK20" s="1658"/>
      <c r="BL20" s="1658"/>
      <c r="BM20" s="1658"/>
      <c r="BN20" s="1658"/>
      <c r="BO20" s="1658"/>
      <c r="BP20" s="1658"/>
      <c r="BQ20" s="1658"/>
      <c r="BR20" s="1658"/>
      <c r="BS20" s="1658"/>
      <c r="BT20" s="1658"/>
      <c r="BU20" s="1658"/>
      <c r="BV20" s="1658"/>
      <c r="BW20" s="1658"/>
      <c r="BX20" s="1658"/>
      <c r="BY20" s="1658"/>
      <c r="BZ20" s="1658"/>
      <c r="CA20" s="1658"/>
      <c r="CB20" s="1658"/>
      <c r="CC20" s="1658"/>
      <c r="CD20" s="1658"/>
      <c r="CE20" s="1658"/>
      <c r="CF20" s="1658"/>
      <c r="CG20" s="1658"/>
      <c r="CH20" s="1658"/>
      <c r="CI20" s="1658"/>
      <c r="CJ20" s="1658"/>
      <c r="CK20" s="1658"/>
      <c r="CL20" s="1658"/>
      <c r="CM20" s="1658"/>
      <c r="CN20" s="1658"/>
      <c r="CO20" s="1658"/>
      <c r="CP20" s="1658"/>
      <c r="CQ20" s="1658"/>
      <c r="CR20" s="1658"/>
      <c r="CS20" s="1658"/>
      <c r="CT20" s="1658"/>
      <c r="CU20" s="1658"/>
      <c r="CV20" s="1658"/>
      <c r="CW20" s="1658"/>
      <c r="CX20" s="1658"/>
      <c r="CY20" s="1658"/>
      <c r="CZ20" s="1658"/>
    </row>
    <row r="21" spans="8:8" ht="15.75">
      <c r="A21" s="1653" t="s">
        <v>1319</v>
      </c>
      <c r="B21" s="1654">
        <f t="shared" si="0"/>
        <v>25.0</v>
      </c>
      <c r="C21" s="1655">
        <f t="shared" si="1"/>
        <v>0.0</v>
      </c>
      <c r="D21" s="1656">
        <v>25.0</v>
      </c>
      <c r="E21" s="1657"/>
      <c r="F21" s="1658"/>
      <c r="G21" s="1658"/>
      <c r="H21" s="1658"/>
      <c r="I21" s="1658"/>
      <c r="J21" s="1658"/>
      <c r="K21" s="1658"/>
      <c r="L21" s="1658"/>
      <c r="M21" s="1658"/>
      <c r="N21" s="1658"/>
      <c r="O21" s="1658"/>
      <c r="P21" s="1658"/>
      <c r="Q21" s="1658"/>
      <c r="R21" s="1658"/>
      <c r="S21" s="1658"/>
      <c r="T21" s="1658"/>
      <c r="U21" s="1658"/>
      <c r="V21" s="1658"/>
      <c r="W21" s="1658"/>
      <c r="X21" s="1658"/>
      <c r="Y21" s="1658"/>
      <c r="Z21" s="1658"/>
      <c r="AA21" s="1658"/>
      <c r="AB21" s="1658"/>
      <c r="AC21" s="1658"/>
      <c r="AD21" s="1658"/>
      <c r="AE21" s="1658"/>
      <c r="AF21" s="1658"/>
      <c r="AG21" s="1658"/>
      <c r="AH21" s="1658"/>
      <c r="AI21" s="1658"/>
      <c r="AJ21" s="1658"/>
      <c r="AK21" s="1658"/>
      <c r="AL21" s="1658"/>
      <c r="AM21" s="1658"/>
      <c r="AN21" s="1658"/>
      <c r="AO21" s="1658"/>
      <c r="AP21" s="1658"/>
      <c r="AQ21" s="1658"/>
      <c r="AR21" s="1658"/>
      <c r="AS21" s="1658"/>
      <c r="AT21" s="1658"/>
      <c r="AU21" s="1658"/>
      <c r="AV21" s="1658"/>
      <c r="AW21" s="1658"/>
      <c r="AX21" s="1658"/>
      <c r="AY21" s="1658"/>
      <c r="AZ21" s="1658"/>
      <c r="BA21" s="1658"/>
      <c r="BB21" s="1658"/>
      <c r="BC21" s="1658"/>
      <c r="BD21" s="1658"/>
      <c r="BE21" s="1658"/>
      <c r="BF21" s="1658"/>
      <c r="BG21" s="1658"/>
      <c r="BH21" s="1658"/>
      <c r="BI21" s="1658"/>
      <c r="BJ21" s="1658"/>
      <c r="BK21" s="1658"/>
      <c r="BL21" s="1658"/>
      <c r="BM21" s="1658"/>
      <c r="BN21" s="1658"/>
      <c r="BO21" s="1658"/>
      <c r="BP21" s="1658"/>
      <c r="BQ21" s="1658"/>
      <c r="BR21" s="1658"/>
      <c r="BS21" s="1658"/>
      <c r="BT21" s="1658"/>
      <c r="BU21" s="1658"/>
      <c r="BV21" s="1658"/>
      <c r="BW21" s="1658"/>
      <c r="BX21" s="1658"/>
      <c r="BY21" s="1658"/>
      <c r="BZ21" s="1658"/>
      <c r="CA21" s="1658"/>
      <c r="CB21" s="1658"/>
      <c r="CC21" s="1658"/>
      <c r="CD21" s="1658"/>
      <c r="CE21" s="1658"/>
      <c r="CF21" s="1658"/>
      <c r="CG21" s="1658"/>
      <c r="CH21" s="1658"/>
      <c r="CI21" s="1658"/>
      <c r="CJ21" s="1658"/>
      <c r="CK21" s="1658"/>
      <c r="CL21" s="1658"/>
      <c r="CM21" s="1658"/>
      <c r="CN21" s="1658"/>
      <c r="CO21" s="1658"/>
      <c r="CP21" s="1658"/>
      <c r="CQ21" s="1658"/>
      <c r="CR21" s="1658"/>
      <c r="CS21" s="1658"/>
      <c r="CT21" s="1658"/>
      <c r="CU21" s="1658"/>
      <c r="CV21" s="1658"/>
      <c r="CW21" s="1658"/>
      <c r="CX21" s="1658"/>
      <c r="CY21" s="1658"/>
      <c r="CZ21" s="1658"/>
    </row>
    <row r="22" spans="8:8" ht="15.75">
      <c r="A22" s="1653" t="s">
        <v>118</v>
      </c>
      <c r="B22" s="1654">
        <f t="shared" si="0"/>
        <v>0.0</v>
      </c>
      <c r="C22" s="1655">
        <f t="shared" si="1"/>
        <v>0.0</v>
      </c>
      <c r="D22" s="1656">
        <v>0.0</v>
      </c>
      <c r="E22" s="1657"/>
      <c r="F22" s="1658"/>
      <c r="G22" s="1658"/>
      <c r="H22" s="1658"/>
      <c r="I22" s="1658"/>
      <c r="J22" s="1658"/>
      <c r="K22" s="1658"/>
      <c r="L22" s="1658"/>
      <c r="M22" s="1658"/>
      <c r="N22" s="1658"/>
      <c r="O22" s="1658"/>
      <c r="P22" s="1658"/>
      <c r="Q22" s="1658"/>
      <c r="R22" s="1658"/>
      <c r="S22" s="1658"/>
      <c r="T22" s="1658"/>
      <c r="U22" s="1658"/>
      <c r="V22" s="1658"/>
      <c r="W22" s="1658"/>
      <c r="X22" s="1658"/>
      <c r="Y22" s="1658"/>
      <c r="Z22" s="1658"/>
      <c r="AA22" s="1658"/>
      <c r="AB22" s="1658"/>
      <c r="AC22" s="1658"/>
      <c r="AD22" s="1658"/>
      <c r="AE22" s="1658"/>
      <c r="AF22" s="1658"/>
      <c r="AG22" s="1658"/>
      <c r="AH22" s="1658"/>
      <c r="AI22" s="1658"/>
      <c r="AJ22" s="1658"/>
      <c r="AK22" s="1658"/>
      <c r="AL22" s="1658"/>
      <c r="AM22" s="1658"/>
      <c r="AN22" s="1658"/>
      <c r="AO22" s="1658"/>
      <c r="AP22" s="1658"/>
      <c r="AQ22" s="1658"/>
      <c r="AR22" s="1658"/>
      <c r="AS22" s="1658"/>
      <c r="AT22" s="1658"/>
      <c r="AU22" s="1658"/>
      <c r="AV22" s="1658"/>
      <c r="AW22" s="1658"/>
      <c r="AX22" s="1658"/>
      <c r="AY22" s="1658"/>
      <c r="AZ22" s="1658"/>
      <c r="BA22" s="1658"/>
      <c r="BB22" s="1658"/>
      <c r="BC22" s="1658"/>
      <c r="BD22" s="1658"/>
      <c r="BE22" s="1658"/>
      <c r="BF22" s="1658"/>
      <c r="BG22" s="1658"/>
      <c r="BH22" s="1658"/>
      <c r="BI22" s="1658"/>
      <c r="BJ22" s="1658"/>
      <c r="BK22" s="1658"/>
      <c r="BL22" s="1658"/>
      <c r="BM22" s="1658"/>
      <c r="BN22" s="1658"/>
      <c r="BO22" s="1658"/>
      <c r="BP22" s="1658"/>
      <c r="BQ22" s="1658"/>
      <c r="BR22" s="1658"/>
      <c r="BS22" s="1658"/>
      <c r="BT22" s="1658"/>
      <c r="BU22" s="1658"/>
      <c r="BV22" s="1658"/>
      <c r="BW22" s="1658"/>
      <c r="BX22" s="1658"/>
      <c r="BY22" s="1658"/>
      <c r="BZ22" s="1658"/>
      <c r="CA22" s="1658"/>
      <c r="CB22" s="1658"/>
      <c r="CC22" s="1658"/>
      <c r="CD22" s="1658"/>
      <c r="CE22" s="1658"/>
      <c r="CF22" s="1658"/>
      <c r="CG22" s="1658"/>
      <c r="CH22" s="1658"/>
      <c r="CI22" s="1658"/>
      <c r="CJ22" s="1658"/>
      <c r="CK22" s="1658"/>
      <c r="CL22" s="1658"/>
      <c r="CM22" s="1658"/>
      <c r="CN22" s="1658"/>
      <c r="CO22" s="1658"/>
      <c r="CP22" s="1658"/>
      <c r="CQ22" s="1658"/>
      <c r="CR22" s="1658"/>
      <c r="CS22" s="1658"/>
      <c r="CT22" s="1658"/>
      <c r="CU22" s="1658"/>
      <c r="CV22" s="1658"/>
      <c r="CW22" s="1658"/>
      <c r="CX22" s="1658"/>
      <c r="CY22" s="1658"/>
      <c r="CZ22" s="1658"/>
    </row>
    <row r="23" spans="8:8" ht="15.75">
      <c r="A23" s="1653" t="s">
        <v>122</v>
      </c>
      <c r="B23" s="1654">
        <f t="shared" si="0"/>
        <v>0.0</v>
      </c>
      <c r="C23" s="1655">
        <f t="shared" si="1"/>
        <v>0.0</v>
      </c>
      <c r="D23" s="1656">
        <v>0.0</v>
      </c>
      <c r="E23" s="1657"/>
      <c r="F23" s="1658"/>
      <c r="G23" s="1658"/>
      <c r="H23" s="1658"/>
      <c r="I23" s="1658"/>
      <c r="J23" s="1658"/>
      <c r="K23" s="1658"/>
      <c r="L23" s="1658"/>
      <c r="M23" s="1658"/>
      <c r="N23" s="1658"/>
      <c r="O23" s="1658"/>
      <c r="P23" s="1658"/>
      <c r="Q23" s="1658"/>
      <c r="R23" s="1658"/>
      <c r="S23" s="1658"/>
      <c r="T23" s="1658"/>
      <c r="U23" s="1658"/>
      <c r="V23" s="1658"/>
      <c r="W23" s="1658"/>
      <c r="X23" s="1658"/>
      <c r="Y23" s="1658"/>
      <c r="Z23" s="1658"/>
      <c r="AA23" s="1658"/>
      <c r="AB23" s="1658"/>
      <c r="AC23" s="1658"/>
      <c r="AD23" s="1658"/>
      <c r="AE23" s="1658"/>
      <c r="AF23" s="1658"/>
      <c r="AG23" s="1658"/>
      <c r="AH23" s="1658"/>
      <c r="AI23" s="1658"/>
      <c r="AJ23" s="1658"/>
      <c r="AK23" s="1658"/>
      <c r="AL23" s="1658"/>
      <c r="AM23" s="1658"/>
      <c r="AN23" s="1658"/>
      <c r="AO23" s="1658"/>
      <c r="AP23" s="1658"/>
      <c r="AQ23" s="1658"/>
      <c r="AR23" s="1658"/>
      <c r="AS23" s="1658"/>
      <c r="AT23" s="1658"/>
      <c r="AU23" s="1658"/>
      <c r="AV23" s="1658"/>
      <c r="AW23" s="1658"/>
      <c r="AX23" s="1658"/>
      <c r="AY23" s="1658"/>
      <c r="AZ23" s="1658"/>
      <c r="BA23" s="1658"/>
      <c r="BB23" s="1658"/>
      <c r="BC23" s="1658"/>
      <c r="BD23" s="1658"/>
      <c r="BE23" s="1658"/>
      <c r="BF23" s="1658"/>
      <c r="BG23" s="1658"/>
      <c r="BH23" s="1658"/>
      <c r="BI23" s="1658"/>
      <c r="BJ23" s="1658"/>
      <c r="BK23" s="1658"/>
      <c r="BL23" s="1658"/>
      <c r="BM23" s="1658"/>
      <c r="BN23" s="1658"/>
      <c r="BO23" s="1658"/>
      <c r="BP23" s="1658"/>
      <c r="BQ23" s="1658"/>
      <c r="BR23" s="1658"/>
      <c r="BS23" s="1658"/>
      <c r="BT23" s="1658"/>
      <c r="BU23" s="1658"/>
      <c r="BV23" s="1658"/>
      <c r="BW23" s="1658"/>
      <c r="BX23" s="1658"/>
      <c r="BY23" s="1658"/>
      <c r="BZ23" s="1658"/>
      <c r="CA23" s="1658"/>
      <c r="CB23" s="1658"/>
      <c r="CC23" s="1658"/>
      <c r="CD23" s="1658"/>
      <c r="CE23" s="1658"/>
      <c r="CF23" s="1658"/>
      <c r="CG23" s="1658"/>
      <c r="CH23" s="1658"/>
      <c r="CI23" s="1658"/>
      <c r="CJ23" s="1658"/>
      <c r="CK23" s="1658"/>
      <c r="CL23" s="1658"/>
      <c r="CM23" s="1658"/>
      <c r="CN23" s="1658"/>
      <c r="CO23" s="1658"/>
      <c r="CP23" s="1658"/>
      <c r="CQ23" s="1658"/>
      <c r="CR23" s="1658"/>
      <c r="CS23" s="1658"/>
      <c r="CT23" s="1658"/>
      <c r="CU23" s="1658"/>
      <c r="CV23" s="1658"/>
      <c r="CW23" s="1658"/>
      <c r="CX23" s="1658"/>
      <c r="CY23" s="1658"/>
      <c r="CZ23" s="1658"/>
    </row>
    <row r="24" spans="8:8" ht="15.75">
      <c r="A24" s="1653" t="s">
        <v>127</v>
      </c>
      <c r="B24" s="1654">
        <f>C24+D24</f>
        <v>0.0</v>
      </c>
      <c r="C24" s="1655">
        <f t="shared" si="1"/>
        <v>0.0</v>
      </c>
      <c r="D24" s="1656">
        <v>0.0</v>
      </c>
      <c r="E24" s="1657"/>
      <c r="F24" s="1658"/>
      <c r="G24" s="1658"/>
      <c r="H24" s="1658"/>
      <c r="I24" s="1658"/>
      <c r="J24" s="1658"/>
      <c r="K24" s="1658"/>
      <c r="L24" s="1658"/>
      <c r="M24" s="1658"/>
      <c r="N24" s="1658"/>
      <c r="O24" s="1658"/>
      <c r="P24" s="1658"/>
      <c r="Q24" s="1658"/>
      <c r="R24" s="1658"/>
      <c r="S24" s="1658"/>
      <c r="T24" s="1658"/>
      <c r="U24" s="1658"/>
      <c r="V24" s="1658"/>
      <c r="W24" s="1658"/>
      <c r="X24" s="1658"/>
      <c r="Y24" s="1658"/>
      <c r="Z24" s="1658"/>
      <c r="AA24" s="1658"/>
      <c r="AB24" s="1658"/>
      <c r="AC24" s="1658"/>
      <c r="AD24" s="1658"/>
      <c r="AE24" s="1658"/>
      <c r="AF24" s="1658"/>
      <c r="AG24" s="1658"/>
      <c r="AH24" s="1658"/>
      <c r="AI24" s="1658"/>
      <c r="AJ24" s="1658"/>
      <c r="AK24" s="1658"/>
      <c r="AL24" s="1658"/>
      <c r="AM24" s="1658"/>
      <c r="AN24" s="1658"/>
      <c r="AO24" s="1658"/>
      <c r="AP24" s="1658"/>
      <c r="AQ24" s="1658"/>
      <c r="AR24" s="1658"/>
      <c r="AS24" s="1658"/>
      <c r="AT24" s="1658"/>
      <c r="AU24" s="1658"/>
      <c r="AV24" s="1658"/>
      <c r="AW24" s="1658"/>
      <c r="AX24" s="1658"/>
      <c r="AY24" s="1658"/>
      <c r="AZ24" s="1658"/>
      <c r="BA24" s="1658"/>
      <c r="BB24" s="1658"/>
      <c r="BC24" s="1658"/>
      <c r="BD24" s="1658"/>
      <c r="BE24" s="1658"/>
      <c r="BF24" s="1658"/>
      <c r="BG24" s="1658"/>
      <c r="BH24" s="1658"/>
      <c r="BI24" s="1658"/>
      <c r="BJ24" s="1658"/>
      <c r="BK24" s="1658"/>
      <c r="BL24" s="1658"/>
      <c r="BM24" s="1658"/>
      <c r="BN24" s="1658"/>
      <c r="BO24" s="1658"/>
      <c r="BP24" s="1658"/>
      <c r="BQ24" s="1658"/>
      <c r="BR24" s="1658"/>
      <c r="BS24" s="1658"/>
      <c r="BT24" s="1658"/>
      <c r="BU24" s="1658"/>
      <c r="BV24" s="1658"/>
      <c r="BW24" s="1658"/>
      <c r="BX24" s="1658"/>
      <c r="BY24" s="1658"/>
      <c r="BZ24" s="1658"/>
      <c r="CA24" s="1658"/>
      <c r="CB24" s="1658"/>
      <c r="CC24" s="1658"/>
      <c r="CD24" s="1658"/>
      <c r="CE24" s="1658"/>
      <c r="CF24" s="1658"/>
      <c r="CG24" s="1658"/>
      <c r="CH24" s="1658"/>
      <c r="CI24" s="1658"/>
      <c r="CJ24" s="1658"/>
      <c r="CK24" s="1658"/>
      <c r="CL24" s="1658"/>
      <c r="CM24" s="1658"/>
      <c r="CN24" s="1658"/>
      <c r="CO24" s="1658"/>
      <c r="CP24" s="1658"/>
      <c r="CQ24" s="1658"/>
      <c r="CR24" s="1658"/>
      <c r="CS24" s="1658"/>
      <c r="CT24" s="1658"/>
      <c r="CU24" s="1658"/>
      <c r="CV24" s="1658"/>
      <c r="CW24" s="1658"/>
      <c r="CX24" s="1658"/>
      <c r="CY24" s="1658"/>
      <c r="CZ24" s="1658"/>
    </row>
    <row r="25" spans="8:8" ht="15.75">
      <c r="A25" s="1653" t="s">
        <v>1320</v>
      </c>
      <c r="B25" s="1654">
        <f t="shared" si="0"/>
        <v>20.0</v>
      </c>
      <c r="C25" s="1655">
        <f t="shared" si="1"/>
        <v>0.0</v>
      </c>
      <c r="D25" s="1656">
        <v>20.0</v>
      </c>
      <c r="E25" s="1657"/>
      <c r="F25" s="1658"/>
      <c r="G25" s="1658"/>
      <c r="H25" s="1658"/>
      <c r="I25" s="1658"/>
      <c r="J25" s="1658"/>
      <c r="K25" s="1658"/>
      <c r="L25" s="1658"/>
      <c r="M25" s="1658"/>
      <c r="N25" s="1658"/>
      <c r="O25" s="1658"/>
      <c r="P25" s="1658"/>
      <c r="Q25" s="1658"/>
      <c r="R25" s="1658"/>
      <c r="S25" s="1658"/>
      <c r="T25" s="1658"/>
      <c r="U25" s="1658"/>
      <c r="V25" s="1658"/>
      <c r="W25" s="1658"/>
      <c r="X25" s="1658"/>
      <c r="Y25" s="1658"/>
      <c r="Z25" s="1658"/>
      <c r="AA25" s="1658"/>
      <c r="AB25" s="1658"/>
      <c r="AC25" s="1658"/>
      <c r="AD25" s="1658"/>
      <c r="AE25" s="1658"/>
      <c r="AF25" s="1658"/>
      <c r="AG25" s="1658"/>
      <c r="AH25" s="1658"/>
      <c r="AI25" s="1658"/>
      <c r="AJ25" s="1658"/>
      <c r="AK25" s="1658"/>
      <c r="AL25" s="1658"/>
      <c r="AM25" s="1658"/>
      <c r="AN25" s="1658"/>
      <c r="AO25" s="1658"/>
      <c r="AP25" s="1658"/>
      <c r="AQ25" s="1658"/>
      <c r="AR25" s="1658"/>
      <c r="AS25" s="1658"/>
      <c r="AT25" s="1658"/>
      <c r="AU25" s="1658"/>
      <c r="AV25" s="1658"/>
      <c r="AW25" s="1658"/>
      <c r="AX25" s="1658"/>
      <c r="AY25" s="1658"/>
      <c r="AZ25" s="1658"/>
      <c r="BA25" s="1658"/>
      <c r="BB25" s="1658"/>
      <c r="BC25" s="1658"/>
      <c r="BD25" s="1658"/>
      <c r="BE25" s="1658"/>
      <c r="BF25" s="1658"/>
      <c r="BG25" s="1658"/>
      <c r="BH25" s="1658"/>
      <c r="BI25" s="1658"/>
      <c r="BJ25" s="1658"/>
      <c r="BK25" s="1658"/>
      <c r="BL25" s="1658"/>
      <c r="BM25" s="1658"/>
      <c r="BN25" s="1658"/>
      <c r="BO25" s="1658"/>
      <c r="BP25" s="1658"/>
      <c r="BQ25" s="1658"/>
      <c r="BR25" s="1658"/>
      <c r="BS25" s="1658"/>
      <c r="BT25" s="1658"/>
      <c r="BU25" s="1658"/>
      <c r="BV25" s="1658"/>
      <c r="BW25" s="1658"/>
      <c r="BX25" s="1658"/>
      <c r="BY25" s="1658"/>
      <c r="BZ25" s="1658"/>
      <c r="CA25" s="1658"/>
      <c r="CB25" s="1658"/>
      <c r="CC25" s="1658"/>
      <c r="CD25" s="1658"/>
      <c r="CE25" s="1658"/>
      <c r="CF25" s="1658"/>
      <c r="CG25" s="1658"/>
      <c r="CH25" s="1658"/>
      <c r="CI25" s="1658"/>
      <c r="CJ25" s="1658"/>
      <c r="CK25" s="1658"/>
      <c r="CL25" s="1658"/>
      <c r="CM25" s="1658"/>
      <c r="CN25" s="1658"/>
      <c r="CO25" s="1658"/>
      <c r="CP25" s="1658"/>
      <c r="CQ25" s="1658"/>
      <c r="CR25" s="1658"/>
      <c r="CS25" s="1658"/>
      <c r="CT25" s="1658"/>
      <c r="CU25" s="1658"/>
      <c r="CV25" s="1658"/>
      <c r="CW25" s="1658"/>
      <c r="CX25" s="1658"/>
      <c r="CY25" s="1658"/>
      <c r="CZ25" s="1658"/>
    </row>
    <row r="26" spans="8:8" ht="15.75">
      <c r="A26" s="1653" t="s">
        <v>133</v>
      </c>
      <c r="B26" s="1654">
        <f t="shared" si="0"/>
        <v>25.0</v>
      </c>
      <c r="C26" s="1655">
        <f t="shared" si="1"/>
        <v>0.0</v>
      </c>
      <c r="D26" s="1656">
        <v>25.0</v>
      </c>
      <c r="E26" s="1657"/>
      <c r="F26" s="1658"/>
      <c r="G26" s="1658"/>
      <c r="H26" s="1658"/>
      <c r="I26" s="1658"/>
      <c r="J26" s="1658"/>
      <c r="K26" s="1658"/>
      <c r="L26" s="1658"/>
      <c r="M26" s="1658"/>
      <c r="N26" s="1658"/>
      <c r="O26" s="1658"/>
      <c r="P26" s="1658"/>
      <c r="Q26" s="1658"/>
      <c r="R26" s="1658"/>
      <c r="S26" s="1658"/>
      <c r="T26" s="1658"/>
      <c r="U26" s="1658"/>
      <c r="V26" s="1658"/>
      <c r="W26" s="1658"/>
      <c r="X26" s="1658"/>
      <c r="Y26" s="1658"/>
      <c r="Z26" s="1658"/>
      <c r="AA26" s="1658"/>
      <c r="AB26" s="1658"/>
      <c r="AC26" s="1658"/>
      <c r="AD26" s="1658"/>
      <c r="AE26" s="1658"/>
      <c r="AF26" s="1658"/>
      <c r="AG26" s="1658"/>
      <c r="AH26" s="1658"/>
      <c r="AI26" s="1658"/>
      <c r="AJ26" s="1658"/>
      <c r="AK26" s="1658"/>
      <c r="AL26" s="1658"/>
      <c r="AM26" s="1658"/>
      <c r="AN26" s="1658"/>
      <c r="AO26" s="1658"/>
      <c r="AP26" s="1658"/>
      <c r="AQ26" s="1658"/>
      <c r="AR26" s="1658"/>
      <c r="AS26" s="1658"/>
      <c r="AT26" s="1658"/>
      <c r="AU26" s="1658"/>
      <c r="AV26" s="1658"/>
      <c r="AW26" s="1658"/>
      <c r="AX26" s="1658"/>
      <c r="AY26" s="1658"/>
      <c r="AZ26" s="1658"/>
      <c r="BA26" s="1658"/>
      <c r="BB26" s="1658"/>
      <c r="BC26" s="1658"/>
      <c r="BD26" s="1658"/>
      <c r="BE26" s="1658"/>
      <c r="BF26" s="1658"/>
      <c r="BG26" s="1658"/>
      <c r="BH26" s="1658"/>
      <c r="BI26" s="1658"/>
      <c r="BJ26" s="1658"/>
      <c r="BK26" s="1658"/>
      <c r="BL26" s="1658"/>
      <c r="BM26" s="1658"/>
      <c r="BN26" s="1658"/>
      <c r="BO26" s="1658"/>
      <c r="BP26" s="1658"/>
      <c r="BQ26" s="1658"/>
      <c r="BR26" s="1658"/>
      <c r="BS26" s="1658"/>
      <c r="BT26" s="1658"/>
      <c r="BU26" s="1658"/>
      <c r="BV26" s="1658"/>
      <c r="BW26" s="1658"/>
      <c r="BX26" s="1658"/>
      <c r="BY26" s="1658"/>
      <c r="BZ26" s="1658"/>
      <c r="CA26" s="1658"/>
      <c r="CB26" s="1658"/>
      <c r="CC26" s="1658"/>
      <c r="CD26" s="1658"/>
      <c r="CE26" s="1658"/>
      <c r="CF26" s="1658"/>
      <c r="CG26" s="1658"/>
      <c r="CH26" s="1658"/>
      <c r="CI26" s="1658"/>
      <c r="CJ26" s="1658"/>
      <c r="CK26" s="1658"/>
      <c r="CL26" s="1658"/>
      <c r="CM26" s="1658"/>
      <c r="CN26" s="1658"/>
      <c r="CO26" s="1658"/>
      <c r="CP26" s="1658"/>
      <c r="CQ26" s="1658"/>
      <c r="CR26" s="1658"/>
      <c r="CS26" s="1658"/>
      <c r="CT26" s="1658"/>
      <c r="CU26" s="1658"/>
      <c r="CV26" s="1658"/>
      <c r="CW26" s="1658"/>
      <c r="CX26" s="1658"/>
      <c r="CY26" s="1658"/>
      <c r="CZ26" s="1658"/>
    </row>
    <row r="27" spans="8:8" ht="15.75">
      <c r="A27" s="1653" t="s">
        <v>135</v>
      </c>
      <c r="B27" s="1654">
        <f t="shared" si="0"/>
        <v>0.0</v>
      </c>
      <c r="C27" s="1655">
        <f t="shared" si="1"/>
        <v>0.0</v>
      </c>
      <c r="D27" s="1656">
        <v>0.0</v>
      </c>
      <c r="E27" s="1657"/>
      <c r="F27" s="1658"/>
      <c r="G27" s="1658"/>
      <c r="H27" s="1658"/>
      <c r="I27" s="1658"/>
      <c r="J27" s="1658"/>
      <c r="K27" s="1658"/>
      <c r="L27" s="1658"/>
      <c r="M27" s="1658"/>
      <c r="N27" s="1658"/>
      <c r="O27" s="1658"/>
      <c r="P27" s="1658"/>
      <c r="Q27" s="1658"/>
      <c r="R27" s="1658"/>
      <c r="S27" s="1658"/>
      <c r="T27" s="1658"/>
      <c r="U27" s="1658"/>
      <c r="V27" s="1658"/>
      <c r="W27" s="1658"/>
      <c r="X27" s="1658"/>
      <c r="Y27" s="1658"/>
      <c r="Z27" s="1658"/>
      <c r="AA27" s="1658"/>
      <c r="AB27" s="1658"/>
      <c r="AC27" s="1658"/>
      <c r="AD27" s="1658"/>
      <c r="AE27" s="1658"/>
      <c r="AF27" s="1658"/>
      <c r="AG27" s="1658"/>
      <c r="AH27" s="1658"/>
      <c r="AI27" s="1658"/>
      <c r="AJ27" s="1658"/>
      <c r="AK27" s="1658"/>
      <c r="AL27" s="1658"/>
      <c r="AM27" s="1658"/>
      <c r="AN27" s="1658"/>
      <c r="AO27" s="1658"/>
      <c r="AP27" s="1658"/>
      <c r="AQ27" s="1658"/>
      <c r="AR27" s="1658"/>
      <c r="AS27" s="1658"/>
      <c r="AT27" s="1658"/>
      <c r="AU27" s="1658"/>
      <c r="AV27" s="1658"/>
      <c r="AW27" s="1658"/>
      <c r="AX27" s="1658"/>
      <c r="AY27" s="1658"/>
      <c r="AZ27" s="1658"/>
      <c r="BA27" s="1658"/>
      <c r="BB27" s="1658"/>
      <c r="BC27" s="1658"/>
      <c r="BD27" s="1658"/>
      <c r="BE27" s="1658"/>
      <c r="BF27" s="1658"/>
      <c r="BG27" s="1658"/>
      <c r="BH27" s="1658"/>
      <c r="BI27" s="1658"/>
      <c r="BJ27" s="1658"/>
      <c r="BK27" s="1658"/>
      <c r="BL27" s="1658"/>
      <c r="BM27" s="1658"/>
      <c r="BN27" s="1658"/>
      <c r="BO27" s="1658"/>
      <c r="BP27" s="1658"/>
      <c r="BQ27" s="1658"/>
      <c r="BR27" s="1658"/>
      <c r="BS27" s="1658"/>
      <c r="BT27" s="1658"/>
      <c r="BU27" s="1658"/>
      <c r="BV27" s="1658"/>
      <c r="BW27" s="1658"/>
      <c r="BX27" s="1658"/>
      <c r="BY27" s="1658"/>
      <c r="BZ27" s="1658"/>
      <c r="CA27" s="1658"/>
      <c r="CB27" s="1658"/>
      <c r="CC27" s="1658"/>
      <c r="CD27" s="1658"/>
      <c r="CE27" s="1658"/>
      <c r="CF27" s="1658"/>
      <c r="CG27" s="1658"/>
      <c r="CH27" s="1658"/>
      <c r="CI27" s="1658"/>
      <c r="CJ27" s="1658"/>
      <c r="CK27" s="1658"/>
      <c r="CL27" s="1658"/>
      <c r="CM27" s="1658"/>
      <c r="CN27" s="1658"/>
      <c r="CO27" s="1658"/>
      <c r="CP27" s="1658"/>
      <c r="CQ27" s="1658"/>
      <c r="CR27" s="1658"/>
      <c r="CS27" s="1658"/>
      <c r="CT27" s="1658"/>
      <c r="CU27" s="1658"/>
      <c r="CV27" s="1658"/>
      <c r="CW27" s="1658"/>
      <c r="CX27" s="1658"/>
      <c r="CY27" s="1658"/>
      <c r="CZ27" s="1658"/>
    </row>
    <row r="28" spans="8:8" ht="15.75">
      <c r="A28" s="1653" t="s">
        <v>137</v>
      </c>
      <c r="B28" s="1654">
        <f t="shared" si="0"/>
        <v>0.0</v>
      </c>
      <c r="C28" s="1655">
        <f t="shared" si="1"/>
        <v>0.0</v>
      </c>
      <c r="D28" s="1656">
        <v>0.0</v>
      </c>
      <c r="E28" s="1657"/>
      <c r="F28" s="1658"/>
      <c r="G28" s="1658"/>
      <c r="H28" s="1658"/>
      <c r="I28" s="1658"/>
      <c r="J28" s="1658"/>
      <c r="K28" s="1658"/>
      <c r="L28" s="1658"/>
      <c r="M28" s="1658"/>
      <c r="N28" s="1658"/>
      <c r="O28" s="1658"/>
      <c r="P28" s="1658"/>
      <c r="Q28" s="1658"/>
      <c r="R28" s="1658"/>
      <c r="S28" s="1658"/>
      <c r="T28" s="1658"/>
      <c r="U28" s="1658"/>
      <c r="V28" s="1658"/>
      <c r="W28" s="1658"/>
      <c r="X28" s="1658"/>
      <c r="Y28" s="1658"/>
      <c r="Z28" s="1658"/>
      <c r="AA28" s="1658"/>
      <c r="AB28" s="1658"/>
      <c r="AC28" s="1658"/>
      <c r="AD28" s="1658"/>
      <c r="AE28" s="1658"/>
      <c r="AF28" s="1658"/>
      <c r="AG28" s="1658"/>
      <c r="AH28" s="1658"/>
      <c r="AI28" s="1658"/>
      <c r="AJ28" s="1658"/>
      <c r="AK28" s="1658"/>
      <c r="AL28" s="1658"/>
      <c r="AM28" s="1658"/>
      <c r="AN28" s="1658"/>
      <c r="AO28" s="1658"/>
      <c r="AP28" s="1658"/>
      <c r="AQ28" s="1658"/>
      <c r="AR28" s="1658"/>
      <c r="AS28" s="1658"/>
      <c r="AT28" s="1658"/>
      <c r="AU28" s="1658"/>
      <c r="AV28" s="1658"/>
      <c r="AW28" s="1658"/>
      <c r="AX28" s="1658"/>
      <c r="AY28" s="1658"/>
      <c r="AZ28" s="1658"/>
      <c r="BA28" s="1658"/>
      <c r="BB28" s="1658"/>
      <c r="BC28" s="1658"/>
      <c r="BD28" s="1658"/>
      <c r="BE28" s="1658"/>
      <c r="BF28" s="1658"/>
      <c r="BG28" s="1658"/>
      <c r="BH28" s="1658"/>
      <c r="BI28" s="1658"/>
      <c r="BJ28" s="1658"/>
      <c r="BK28" s="1658"/>
      <c r="BL28" s="1658"/>
      <c r="BM28" s="1658"/>
      <c r="BN28" s="1658"/>
      <c r="BO28" s="1658"/>
      <c r="BP28" s="1658"/>
      <c r="BQ28" s="1658"/>
      <c r="BR28" s="1658"/>
      <c r="BS28" s="1658"/>
      <c r="BT28" s="1658"/>
      <c r="BU28" s="1658"/>
      <c r="BV28" s="1658"/>
      <c r="BW28" s="1658"/>
      <c r="BX28" s="1658"/>
      <c r="BY28" s="1658"/>
      <c r="BZ28" s="1658"/>
      <c r="CA28" s="1658"/>
      <c r="CB28" s="1658"/>
      <c r="CC28" s="1658"/>
      <c r="CD28" s="1658"/>
      <c r="CE28" s="1658"/>
      <c r="CF28" s="1658"/>
      <c r="CG28" s="1658"/>
      <c r="CH28" s="1658"/>
      <c r="CI28" s="1658"/>
      <c r="CJ28" s="1658"/>
      <c r="CK28" s="1658"/>
      <c r="CL28" s="1658"/>
      <c r="CM28" s="1658"/>
      <c r="CN28" s="1658"/>
      <c r="CO28" s="1658"/>
      <c r="CP28" s="1658"/>
      <c r="CQ28" s="1658"/>
      <c r="CR28" s="1658"/>
      <c r="CS28" s="1658"/>
      <c r="CT28" s="1658"/>
      <c r="CU28" s="1658"/>
      <c r="CV28" s="1658"/>
      <c r="CW28" s="1658"/>
      <c r="CX28" s="1658"/>
      <c r="CY28" s="1658"/>
      <c r="CZ28" s="1658"/>
    </row>
    <row r="29" spans="8:8" ht="15.75">
      <c r="A29" s="1653" t="s">
        <v>139</v>
      </c>
      <c r="B29" s="1654">
        <f t="shared" si="0"/>
        <v>30.0</v>
      </c>
      <c r="C29" s="1655">
        <f t="shared" si="1"/>
        <v>0.0</v>
      </c>
      <c r="D29" s="1656">
        <v>30.0</v>
      </c>
      <c r="E29" s="1657"/>
      <c r="F29" s="1658"/>
      <c r="G29" s="1658"/>
      <c r="H29" s="1658"/>
      <c r="I29" s="1658"/>
      <c r="J29" s="1658"/>
      <c r="K29" s="1658"/>
      <c r="L29" s="1658"/>
      <c r="M29" s="1658"/>
      <c r="N29" s="1658"/>
      <c r="O29" s="1658"/>
      <c r="P29" s="1658"/>
      <c r="Q29" s="1658"/>
      <c r="R29" s="1658"/>
      <c r="S29" s="1658"/>
      <c r="T29" s="1658"/>
      <c r="U29" s="1658"/>
      <c r="V29" s="1658"/>
      <c r="W29" s="1658"/>
      <c r="X29" s="1658"/>
      <c r="Y29" s="1658"/>
      <c r="Z29" s="1658"/>
      <c r="AA29" s="1658"/>
      <c r="AB29" s="1658"/>
      <c r="AC29" s="1658"/>
      <c r="AD29" s="1658"/>
      <c r="AE29" s="1658"/>
      <c r="AF29" s="1658"/>
      <c r="AG29" s="1658"/>
      <c r="AH29" s="1658"/>
      <c r="AI29" s="1658"/>
      <c r="AJ29" s="1658"/>
      <c r="AK29" s="1658"/>
      <c r="AL29" s="1658"/>
      <c r="AM29" s="1658"/>
      <c r="AN29" s="1658"/>
      <c r="AO29" s="1658"/>
      <c r="AP29" s="1658"/>
      <c r="AQ29" s="1658"/>
      <c r="AR29" s="1658"/>
      <c r="AS29" s="1658"/>
      <c r="AT29" s="1658"/>
      <c r="AU29" s="1658"/>
      <c r="AV29" s="1658"/>
      <c r="AW29" s="1658"/>
      <c r="AX29" s="1658"/>
      <c r="AY29" s="1658"/>
      <c r="AZ29" s="1658"/>
      <c r="BA29" s="1658"/>
      <c r="BB29" s="1658"/>
      <c r="BC29" s="1658"/>
      <c r="BD29" s="1658"/>
      <c r="BE29" s="1658"/>
      <c r="BF29" s="1658"/>
      <c r="BG29" s="1658"/>
      <c r="BH29" s="1658"/>
      <c r="BI29" s="1658"/>
      <c r="BJ29" s="1658"/>
      <c r="BK29" s="1658"/>
      <c r="BL29" s="1658"/>
      <c r="BM29" s="1658"/>
      <c r="BN29" s="1658"/>
      <c r="BO29" s="1658"/>
      <c r="BP29" s="1658"/>
      <c r="BQ29" s="1658"/>
      <c r="BR29" s="1658"/>
      <c r="BS29" s="1658"/>
      <c r="BT29" s="1658"/>
      <c r="BU29" s="1658"/>
      <c r="BV29" s="1658"/>
      <c r="BW29" s="1658"/>
      <c r="BX29" s="1658"/>
      <c r="BY29" s="1658"/>
      <c r="BZ29" s="1658"/>
      <c r="CA29" s="1658"/>
      <c r="CB29" s="1658"/>
      <c r="CC29" s="1658"/>
      <c r="CD29" s="1658"/>
      <c r="CE29" s="1658"/>
      <c r="CF29" s="1658"/>
      <c r="CG29" s="1658"/>
      <c r="CH29" s="1658"/>
      <c r="CI29" s="1658"/>
      <c r="CJ29" s="1658"/>
      <c r="CK29" s="1658"/>
      <c r="CL29" s="1658"/>
      <c r="CM29" s="1658"/>
      <c r="CN29" s="1658"/>
      <c r="CO29" s="1658"/>
      <c r="CP29" s="1658"/>
      <c r="CQ29" s="1658"/>
      <c r="CR29" s="1658"/>
      <c r="CS29" s="1658"/>
      <c r="CT29" s="1658"/>
      <c r="CU29" s="1658"/>
      <c r="CV29" s="1658"/>
      <c r="CW29" s="1658"/>
      <c r="CX29" s="1658"/>
      <c r="CY29" s="1658"/>
      <c r="CZ29" s="1658"/>
    </row>
    <row r="30" spans="8:8" ht="15.75">
      <c r="A30" s="1653" t="s">
        <v>141</v>
      </c>
      <c r="B30" s="1654">
        <f t="shared" si="0"/>
        <v>5.0</v>
      </c>
      <c r="C30" s="1655">
        <f t="shared" si="1"/>
        <v>0.0</v>
      </c>
      <c r="D30" s="1656">
        <v>5.0</v>
      </c>
      <c r="E30" s="1657"/>
      <c r="F30" s="1658"/>
      <c r="G30" s="1658"/>
      <c r="H30" s="1658"/>
      <c r="I30" s="1658"/>
      <c r="J30" s="1658"/>
      <c r="K30" s="1658"/>
      <c r="L30" s="1658"/>
      <c r="M30" s="1658"/>
      <c r="N30" s="1658"/>
      <c r="O30" s="1658"/>
      <c r="P30" s="1658"/>
      <c r="Q30" s="1658"/>
      <c r="R30" s="1658"/>
      <c r="S30" s="1658"/>
      <c r="T30" s="1658"/>
      <c r="U30" s="1658"/>
      <c r="V30" s="1658"/>
      <c r="W30" s="1658"/>
      <c r="X30" s="1658"/>
      <c r="Y30" s="1658"/>
      <c r="Z30" s="1658"/>
      <c r="AA30" s="1658"/>
      <c r="AB30" s="1658"/>
      <c r="AC30" s="1658"/>
      <c r="AD30" s="1658"/>
      <c r="AE30" s="1658"/>
      <c r="AF30" s="1658"/>
      <c r="AG30" s="1658"/>
      <c r="AH30" s="1658"/>
      <c r="AI30" s="1658"/>
      <c r="AJ30" s="1658"/>
      <c r="AK30" s="1658"/>
      <c r="AL30" s="1658"/>
      <c r="AM30" s="1658"/>
      <c r="AN30" s="1658"/>
      <c r="AO30" s="1658"/>
      <c r="AP30" s="1658"/>
      <c r="AQ30" s="1658"/>
      <c r="AR30" s="1658"/>
      <c r="AS30" s="1658"/>
      <c r="AT30" s="1658"/>
      <c r="AU30" s="1658"/>
      <c r="AV30" s="1658"/>
      <c r="AW30" s="1658"/>
      <c r="AX30" s="1658"/>
      <c r="AY30" s="1658"/>
      <c r="AZ30" s="1658"/>
      <c r="BA30" s="1658"/>
      <c r="BB30" s="1658"/>
      <c r="BC30" s="1658"/>
      <c r="BD30" s="1658"/>
      <c r="BE30" s="1658"/>
      <c r="BF30" s="1658"/>
      <c r="BG30" s="1658"/>
      <c r="BH30" s="1658"/>
      <c r="BI30" s="1658"/>
      <c r="BJ30" s="1658"/>
      <c r="BK30" s="1658"/>
      <c r="BL30" s="1658"/>
      <c r="BM30" s="1658"/>
      <c r="BN30" s="1658"/>
      <c r="BO30" s="1658"/>
      <c r="BP30" s="1658"/>
      <c r="BQ30" s="1658"/>
      <c r="BR30" s="1658"/>
      <c r="BS30" s="1658"/>
      <c r="BT30" s="1658"/>
      <c r="BU30" s="1658"/>
      <c r="BV30" s="1658"/>
      <c r="BW30" s="1658"/>
      <c r="BX30" s="1658"/>
      <c r="BY30" s="1658"/>
      <c r="BZ30" s="1658"/>
      <c r="CA30" s="1658"/>
      <c r="CB30" s="1658"/>
      <c r="CC30" s="1658"/>
      <c r="CD30" s="1658"/>
      <c r="CE30" s="1658"/>
      <c r="CF30" s="1658"/>
      <c r="CG30" s="1658"/>
      <c r="CH30" s="1658"/>
      <c r="CI30" s="1658"/>
      <c r="CJ30" s="1658"/>
      <c r="CK30" s="1658"/>
      <c r="CL30" s="1658"/>
      <c r="CM30" s="1658"/>
      <c r="CN30" s="1658"/>
      <c r="CO30" s="1658"/>
      <c r="CP30" s="1658"/>
      <c r="CQ30" s="1658"/>
      <c r="CR30" s="1658"/>
      <c r="CS30" s="1658"/>
      <c r="CT30" s="1658"/>
      <c r="CU30" s="1658"/>
      <c r="CV30" s="1658"/>
      <c r="CW30" s="1658"/>
      <c r="CX30" s="1658"/>
      <c r="CY30" s="1658"/>
      <c r="CZ30" s="1658"/>
    </row>
    <row r="31" spans="8:8" ht="15.75">
      <c r="A31" s="1653" t="s">
        <v>144</v>
      </c>
      <c r="B31" s="1654">
        <f t="shared" si="0"/>
        <v>15.0</v>
      </c>
      <c r="C31" s="1655">
        <f t="shared" si="1"/>
        <v>0.0</v>
      </c>
      <c r="D31" s="1656">
        <v>15.0</v>
      </c>
      <c r="E31" s="1657"/>
      <c r="F31" s="1658"/>
      <c r="G31" s="1658"/>
      <c r="H31" s="1658"/>
      <c r="I31" s="1658"/>
      <c r="J31" s="1658"/>
      <c r="K31" s="1658"/>
      <c r="L31" s="1658"/>
      <c r="M31" s="1658"/>
      <c r="N31" s="1658"/>
      <c r="O31" s="1658"/>
      <c r="P31" s="1658"/>
      <c r="Q31" s="1658"/>
      <c r="R31" s="1658"/>
      <c r="S31" s="1658"/>
      <c r="T31" s="1658"/>
      <c r="U31" s="1658"/>
      <c r="V31" s="1658"/>
      <c r="W31" s="1658"/>
      <c r="X31" s="1658"/>
      <c r="Y31" s="1658"/>
      <c r="Z31" s="1658"/>
      <c r="AA31" s="1658"/>
      <c r="AB31" s="1658"/>
      <c r="AC31" s="1658"/>
      <c r="AD31" s="1658"/>
      <c r="AE31" s="1658"/>
      <c r="AF31" s="1658"/>
      <c r="AG31" s="1658"/>
      <c r="AH31" s="1658"/>
      <c r="AI31" s="1658"/>
      <c r="AJ31" s="1658"/>
      <c r="AK31" s="1658"/>
      <c r="AL31" s="1658"/>
      <c r="AM31" s="1658"/>
      <c r="AN31" s="1658"/>
      <c r="AO31" s="1658"/>
      <c r="AP31" s="1658"/>
      <c r="AQ31" s="1658"/>
      <c r="AR31" s="1658"/>
      <c r="AS31" s="1658"/>
      <c r="AT31" s="1658"/>
      <c r="AU31" s="1658"/>
      <c r="AV31" s="1658"/>
      <c r="AW31" s="1658"/>
      <c r="AX31" s="1658"/>
      <c r="AY31" s="1658"/>
      <c r="AZ31" s="1658"/>
      <c r="BA31" s="1658"/>
      <c r="BB31" s="1658"/>
      <c r="BC31" s="1658"/>
      <c r="BD31" s="1658"/>
      <c r="BE31" s="1658"/>
      <c r="BF31" s="1658"/>
      <c r="BG31" s="1658"/>
      <c r="BH31" s="1658"/>
      <c r="BI31" s="1658"/>
      <c r="BJ31" s="1658"/>
      <c r="BK31" s="1658"/>
      <c r="BL31" s="1658"/>
      <c r="BM31" s="1658"/>
      <c r="BN31" s="1658"/>
      <c r="BO31" s="1658"/>
      <c r="BP31" s="1658"/>
      <c r="BQ31" s="1658"/>
      <c r="BR31" s="1658"/>
      <c r="BS31" s="1658"/>
      <c r="BT31" s="1658"/>
      <c r="BU31" s="1658"/>
      <c r="BV31" s="1658"/>
      <c r="BW31" s="1658"/>
      <c r="BX31" s="1658"/>
      <c r="BY31" s="1658"/>
      <c r="BZ31" s="1658"/>
      <c r="CA31" s="1658"/>
      <c r="CB31" s="1658"/>
      <c r="CC31" s="1658"/>
      <c r="CD31" s="1658"/>
      <c r="CE31" s="1658"/>
      <c r="CF31" s="1658"/>
      <c r="CG31" s="1658"/>
      <c r="CH31" s="1658"/>
      <c r="CI31" s="1658"/>
      <c r="CJ31" s="1658"/>
      <c r="CK31" s="1658"/>
      <c r="CL31" s="1658"/>
      <c r="CM31" s="1658"/>
      <c r="CN31" s="1658"/>
      <c r="CO31" s="1658"/>
      <c r="CP31" s="1658"/>
      <c r="CQ31" s="1658"/>
      <c r="CR31" s="1658"/>
      <c r="CS31" s="1658"/>
      <c r="CT31" s="1658"/>
      <c r="CU31" s="1658"/>
      <c r="CV31" s="1658"/>
      <c r="CW31" s="1658"/>
      <c r="CX31" s="1658"/>
      <c r="CY31" s="1658"/>
      <c r="CZ31" s="1658"/>
    </row>
    <row r="32" spans="8:8" ht="15.75">
      <c r="A32" s="1653" t="s">
        <v>146</v>
      </c>
      <c r="B32" s="1654">
        <f t="shared" si="0"/>
        <v>20.0</v>
      </c>
      <c r="C32" s="1655">
        <f t="shared" si="1"/>
        <v>0.0</v>
      </c>
      <c r="D32" s="1656">
        <v>20.0</v>
      </c>
      <c r="E32" s="1657"/>
      <c r="F32" s="1658"/>
      <c r="G32" s="1658"/>
      <c r="H32" s="1658"/>
      <c r="I32" s="1658"/>
      <c r="J32" s="1658"/>
      <c r="K32" s="1658"/>
      <c r="L32" s="1658"/>
      <c r="M32" s="1658"/>
      <c r="N32" s="1658"/>
      <c r="O32" s="1658"/>
      <c r="P32" s="1658"/>
      <c r="Q32" s="1658"/>
      <c r="R32" s="1658"/>
      <c r="S32" s="1658"/>
      <c r="T32" s="1658"/>
      <c r="U32" s="1658"/>
      <c r="V32" s="1658"/>
      <c r="W32" s="1658"/>
      <c r="X32" s="1658"/>
      <c r="Y32" s="1658"/>
      <c r="Z32" s="1658"/>
      <c r="AA32" s="1658"/>
      <c r="AB32" s="1658"/>
      <c r="AC32" s="1658"/>
      <c r="AD32" s="1658"/>
      <c r="AE32" s="1658"/>
      <c r="AF32" s="1658"/>
      <c r="AG32" s="1658"/>
      <c r="AH32" s="1658"/>
      <c r="AI32" s="1658"/>
      <c r="AJ32" s="1658"/>
      <c r="AK32" s="1658"/>
      <c r="AL32" s="1658"/>
      <c r="AM32" s="1658"/>
      <c r="AN32" s="1658"/>
      <c r="AO32" s="1658"/>
      <c r="AP32" s="1658"/>
      <c r="AQ32" s="1658"/>
      <c r="AR32" s="1658"/>
      <c r="AS32" s="1658"/>
      <c r="AT32" s="1658"/>
      <c r="AU32" s="1658"/>
      <c r="AV32" s="1658"/>
      <c r="AW32" s="1658"/>
      <c r="AX32" s="1658"/>
      <c r="AY32" s="1658"/>
      <c r="AZ32" s="1658"/>
      <c r="BA32" s="1658"/>
      <c r="BB32" s="1658"/>
      <c r="BC32" s="1658"/>
      <c r="BD32" s="1658"/>
      <c r="BE32" s="1658"/>
      <c r="BF32" s="1658"/>
      <c r="BG32" s="1658"/>
      <c r="BH32" s="1658"/>
      <c r="BI32" s="1658"/>
      <c r="BJ32" s="1658"/>
      <c r="BK32" s="1658"/>
      <c r="BL32" s="1658"/>
      <c r="BM32" s="1658"/>
      <c r="BN32" s="1658"/>
      <c r="BO32" s="1658"/>
      <c r="BP32" s="1658"/>
      <c r="BQ32" s="1658"/>
      <c r="BR32" s="1658"/>
      <c r="BS32" s="1658"/>
      <c r="BT32" s="1658"/>
      <c r="BU32" s="1658"/>
      <c r="BV32" s="1658"/>
      <c r="BW32" s="1658"/>
      <c r="BX32" s="1658"/>
      <c r="BY32" s="1658"/>
      <c r="BZ32" s="1658"/>
      <c r="CA32" s="1658"/>
      <c r="CB32" s="1658"/>
      <c r="CC32" s="1658"/>
      <c r="CD32" s="1658"/>
      <c r="CE32" s="1658"/>
      <c r="CF32" s="1658"/>
      <c r="CG32" s="1658"/>
      <c r="CH32" s="1658"/>
      <c r="CI32" s="1658"/>
      <c r="CJ32" s="1658"/>
      <c r="CK32" s="1658"/>
      <c r="CL32" s="1658"/>
      <c r="CM32" s="1658"/>
      <c r="CN32" s="1658"/>
      <c r="CO32" s="1658"/>
      <c r="CP32" s="1658"/>
      <c r="CQ32" s="1658"/>
      <c r="CR32" s="1658"/>
      <c r="CS32" s="1658"/>
      <c r="CT32" s="1658"/>
      <c r="CU32" s="1658"/>
      <c r="CV32" s="1658"/>
      <c r="CW32" s="1658"/>
      <c r="CX32" s="1658"/>
      <c r="CY32" s="1658"/>
      <c r="CZ32" s="1658"/>
    </row>
    <row r="33" spans="8:8" ht="15.75">
      <c r="A33" s="1653" t="s">
        <v>148</v>
      </c>
      <c r="B33" s="1654">
        <f t="shared" si="0"/>
        <v>1.0</v>
      </c>
      <c r="C33" s="1655">
        <f t="shared" si="1"/>
        <v>0.0</v>
      </c>
      <c r="D33" s="1656">
        <v>1.0</v>
      </c>
      <c r="E33" s="1657"/>
      <c r="F33" s="1658"/>
      <c r="G33" s="1658"/>
      <c r="H33" s="1658"/>
      <c r="I33" s="1658"/>
      <c r="J33" s="1658"/>
      <c r="K33" s="1658"/>
      <c r="L33" s="1658"/>
      <c r="M33" s="1658"/>
      <c r="N33" s="1658"/>
      <c r="O33" s="1658"/>
      <c r="P33" s="1658"/>
      <c r="Q33" s="1658"/>
      <c r="R33" s="1658"/>
      <c r="S33" s="1658"/>
      <c r="T33" s="1658"/>
      <c r="U33" s="1658"/>
      <c r="V33" s="1658"/>
      <c r="W33" s="1658"/>
      <c r="X33" s="1658"/>
      <c r="Y33" s="1658"/>
      <c r="Z33" s="1658"/>
      <c r="AA33" s="1658"/>
      <c r="AB33" s="1658"/>
      <c r="AC33" s="1658"/>
      <c r="AD33" s="1658"/>
      <c r="AE33" s="1658"/>
      <c r="AF33" s="1658"/>
      <c r="AG33" s="1658"/>
      <c r="AH33" s="1658"/>
      <c r="AI33" s="1658"/>
      <c r="AJ33" s="1658"/>
      <c r="AK33" s="1658"/>
      <c r="AL33" s="1658"/>
      <c r="AM33" s="1658"/>
      <c r="AN33" s="1658"/>
      <c r="AO33" s="1658"/>
      <c r="AP33" s="1658"/>
      <c r="AQ33" s="1658"/>
      <c r="AR33" s="1658"/>
      <c r="AS33" s="1658"/>
      <c r="AT33" s="1658"/>
      <c r="AU33" s="1658"/>
      <c r="AV33" s="1658"/>
      <c r="AW33" s="1658"/>
      <c r="AX33" s="1658"/>
      <c r="AY33" s="1658"/>
      <c r="AZ33" s="1658"/>
      <c r="BA33" s="1658"/>
      <c r="BB33" s="1658"/>
      <c r="BC33" s="1658"/>
      <c r="BD33" s="1658"/>
      <c r="BE33" s="1658"/>
      <c r="BF33" s="1658"/>
      <c r="BG33" s="1658"/>
      <c r="BH33" s="1658"/>
      <c r="BI33" s="1658"/>
      <c r="BJ33" s="1658"/>
      <c r="BK33" s="1658"/>
      <c r="BL33" s="1658"/>
      <c r="BM33" s="1658"/>
      <c r="BN33" s="1658"/>
      <c r="BO33" s="1658"/>
      <c r="BP33" s="1658"/>
      <c r="BQ33" s="1658"/>
      <c r="BR33" s="1658"/>
      <c r="BS33" s="1658"/>
      <c r="BT33" s="1658"/>
      <c r="BU33" s="1658"/>
      <c r="BV33" s="1658"/>
      <c r="BW33" s="1658"/>
      <c r="BX33" s="1658"/>
      <c r="BY33" s="1658"/>
      <c r="BZ33" s="1658"/>
      <c r="CA33" s="1658"/>
      <c r="CB33" s="1658"/>
      <c r="CC33" s="1658"/>
      <c r="CD33" s="1658"/>
      <c r="CE33" s="1658"/>
      <c r="CF33" s="1658"/>
      <c r="CG33" s="1658"/>
      <c r="CH33" s="1658"/>
      <c r="CI33" s="1658"/>
      <c r="CJ33" s="1658"/>
      <c r="CK33" s="1658"/>
      <c r="CL33" s="1658"/>
      <c r="CM33" s="1658"/>
      <c r="CN33" s="1658"/>
      <c r="CO33" s="1658"/>
      <c r="CP33" s="1658"/>
      <c r="CQ33" s="1658"/>
      <c r="CR33" s="1658"/>
      <c r="CS33" s="1658"/>
      <c r="CT33" s="1658"/>
      <c r="CU33" s="1658"/>
      <c r="CV33" s="1658"/>
      <c r="CW33" s="1658"/>
      <c r="CX33" s="1658"/>
      <c r="CY33" s="1658"/>
      <c r="CZ33" s="1658"/>
    </row>
    <row r="34" spans="8:8" ht="15.75">
      <c r="A34" s="1653" t="s">
        <v>150</v>
      </c>
      <c r="B34" s="1654">
        <f t="shared" si="0"/>
        <v>1.0</v>
      </c>
      <c r="C34" s="1655">
        <f>SUM(E34:CZ34)</f>
        <v>0.0</v>
      </c>
      <c r="D34" s="1656">
        <v>1.0</v>
      </c>
      <c r="E34" s="1657"/>
      <c r="F34" s="1658"/>
      <c r="G34" s="1658"/>
      <c r="H34" s="1658"/>
      <c r="I34" s="1658"/>
      <c r="J34" s="1658"/>
      <c r="K34" s="1658"/>
      <c r="L34" s="1658"/>
      <c r="M34" s="1658"/>
      <c r="N34" s="1658"/>
      <c r="O34" s="1658"/>
      <c r="P34" s="1658"/>
      <c r="Q34" s="1658"/>
      <c r="R34" s="1658"/>
      <c r="S34" s="1658"/>
      <c r="T34" s="1658"/>
      <c r="U34" s="1658"/>
      <c r="V34" s="1658"/>
      <c r="W34" s="1658"/>
      <c r="X34" s="1658"/>
      <c r="Y34" s="1658"/>
      <c r="Z34" s="1658"/>
      <c r="AA34" s="1658"/>
      <c r="AB34" s="1658"/>
      <c r="AC34" s="1658"/>
      <c r="AD34" s="1658"/>
      <c r="AE34" s="1658"/>
      <c r="AF34" s="1658"/>
      <c r="AG34" s="1658"/>
      <c r="AH34" s="1658"/>
      <c r="AI34" s="1658"/>
      <c r="AJ34" s="1658"/>
      <c r="AK34" s="1658"/>
      <c r="AL34" s="1658"/>
      <c r="AM34" s="1658"/>
      <c r="AN34" s="1658"/>
      <c r="AO34" s="1658"/>
      <c r="AP34" s="1658"/>
      <c r="AQ34" s="1658"/>
      <c r="AR34" s="1658"/>
      <c r="AS34" s="1658"/>
      <c r="AT34" s="1658"/>
      <c r="AU34" s="1658"/>
      <c r="AV34" s="1658"/>
      <c r="AW34" s="1658"/>
      <c r="AX34" s="1658"/>
      <c r="AY34" s="1658"/>
      <c r="AZ34" s="1658"/>
      <c r="BA34" s="1658"/>
      <c r="BB34" s="1658"/>
      <c r="BC34" s="1658"/>
      <c r="BD34" s="1658"/>
      <c r="BE34" s="1658"/>
      <c r="BF34" s="1658"/>
      <c r="BG34" s="1658"/>
      <c r="BH34" s="1658"/>
      <c r="BI34" s="1658"/>
      <c r="BJ34" s="1658"/>
      <c r="BK34" s="1658"/>
      <c r="BL34" s="1658"/>
      <c r="BM34" s="1658"/>
      <c r="BN34" s="1658"/>
      <c r="BO34" s="1658"/>
      <c r="BP34" s="1658"/>
      <c r="BQ34" s="1658"/>
      <c r="BR34" s="1658"/>
      <c r="BS34" s="1658"/>
      <c r="BT34" s="1658"/>
      <c r="BU34" s="1658"/>
      <c r="BV34" s="1658"/>
      <c r="BW34" s="1658"/>
      <c r="BX34" s="1658"/>
      <c r="BY34" s="1658"/>
      <c r="BZ34" s="1658"/>
      <c r="CA34" s="1658"/>
      <c r="CB34" s="1658"/>
      <c r="CC34" s="1658"/>
      <c r="CD34" s="1658"/>
      <c r="CE34" s="1658"/>
      <c r="CF34" s="1658"/>
      <c r="CG34" s="1658"/>
      <c r="CH34" s="1658"/>
      <c r="CI34" s="1658"/>
      <c r="CJ34" s="1658"/>
      <c r="CK34" s="1658"/>
      <c r="CL34" s="1658"/>
      <c r="CM34" s="1658"/>
      <c r="CN34" s="1658"/>
      <c r="CO34" s="1658"/>
      <c r="CP34" s="1658"/>
      <c r="CQ34" s="1658"/>
      <c r="CR34" s="1658"/>
      <c r="CS34" s="1658"/>
      <c r="CT34" s="1658"/>
      <c r="CU34" s="1658"/>
      <c r="CV34" s="1658"/>
      <c r="CW34" s="1658"/>
      <c r="CX34" s="1658"/>
      <c r="CY34" s="1658"/>
      <c r="CZ34" s="1658"/>
    </row>
    <row r="35" spans="8:8" ht="15.75">
      <c r="A35" s="1653" t="s">
        <v>152</v>
      </c>
      <c r="B35" s="1654">
        <f t="shared" si="0"/>
        <v>1.0</v>
      </c>
      <c r="C35" s="1655">
        <f t="shared" si="1"/>
        <v>0.0</v>
      </c>
      <c r="D35" s="1656">
        <v>1.0</v>
      </c>
      <c r="E35" s="1657"/>
      <c r="F35" s="1658"/>
      <c r="G35" s="1658"/>
      <c r="H35" s="1658"/>
      <c r="I35" s="1658"/>
      <c r="J35" s="1658"/>
      <c r="K35" s="1658"/>
      <c r="L35" s="1658"/>
      <c r="M35" s="1658"/>
      <c r="N35" s="1658"/>
      <c r="O35" s="1658"/>
      <c r="P35" s="1658"/>
      <c r="Q35" s="1658"/>
      <c r="R35" s="1658"/>
      <c r="S35" s="1658"/>
      <c r="T35" s="1658"/>
      <c r="U35" s="1658"/>
      <c r="V35" s="1658"/>
      <c r="W35" s="1658"/>
      <c r="X35" s="1658"/>
      <c r="Y35" s="1658"/>
      <c r="Z35" s="1658"/>
      <c r="AA35" s="1658"/>
      <c r="AB35" s="1658"/>
      <c r="AC35" s="1658"/>
      <c r="AD35" s="1658"/>
      <c r="AE35" s="1658"/>
      <c r="AF35" s="1658"/>
      <c r="AG35" s="1658"/>
      <c r="AH35" s="1658"/>
      <c r="AI35" s="1658"/>
      <c r="AJ35" s="1658"/>
      <c r="AK35" s="1658"/>
      <c r="AL35" s="1658"/>
      <c r="AM35" s="1658"/>
      <c r="AN35" s="1658"/>
      <c r="AO35" s="1658"/>
      <c r="AP35" s="1658"/>
      <c r="AQ35" s="1658"/>
      <c r="AR35" s="1658"/>
      <c r="AS35" s="1658"/>
      <c r="AT35" s="1658"/>
      <c r="AU35" s="1658"/>
      <c r="AV35" s="1658"/>
      <c r="AW35" s="1658"/>
      <c r="AX35" s="1658"/>
      <c r="AY35" s="1658"/>
      <c r="AZ35" s="1658"/>
      <c r="BA35" s="1658"/>
      <c r="BB35" s="1658"/>
      <c r="BC35" s="1658"/>
      <c r="BD35" s="1658"/>
      <c r="BE35" s="1658"/>
      <c r="BF35" s="1658"/>
      <c r="BG35" s="1658"/>
      <c r="BH35" s="1658"/>
      <c r="BI35" s="1658"/>
      <c r="BJ35" s="1658"/>
      <c r="BK35" s="1658"/>
      <c r="BL35" s="1658"/>
      <c r="BM35" s="1658"/>
      <c r="BN35" s="1658"/>
      <c r="BO35" s="1658"/>
      <c r="BP35" s="1658"/>
      <c r="BQ35" s="1658"/>
      <c r="BR35" s="1658"/>
      <c r="BS35" s="1658"/>
      <c r="BT35" s="1658"/>
      <c r="BU35" s="1658"/>
      <c r="BV35" s="1658"/>
      <c r="BW35" s="1658"/>
      <c r="BX35" s="1658"/>
      <c r="BY35" s="1658"/>
      <c r="BZ35" s="1658"/>
      <c r="CA35" s="1658"/>
      <c r="CB35" s="1658"/>
      <c r="CC35" s="1658"/>
      <c r="CD35" s="1658"/>
      <c r="CE35" s="1658"/>
      <c r="CF35" s="1658"/>
      <c r="CG35" s="1658"/>
      <c r="CH35" s="1658"/>
      <c r="CI35" s="1658"/>
      <c r="CJ35" s="1658"/>
      <c r="CK35" s="1658"/>
      <c r="CL35" s="1658"/>
      <c r="CM35" s="1658"/>
      <c r="CN35" s="1658"/>
      <c r="CO35" s="1658"/>
      <c r="CP35" s="1658"/>
      <c r="CQ35" s="1658"/>
      <c r="CR35" s="1658"/>
      <c r="CS35" s="1658"/>
      <c r="CT35" s="1658"/>
      <c r="CU35" s="1658"/>
      <c r="CV35" s="1658"/>
      <c r="CW35" s="1658"/>
      <c r="CX35" s="1658"/>
      <c r="CY35" s="1658"/>
      <c r="CZ35" s="1658"/>
    </row>
    <row r="36" spans="8:8" ht="15.75">
      <c r="A36" s="1653" t="s">
        <v>154</v>
      </c>
      <c r="B36" s="1654">
        <f t="shared" si="0"/>
        <v>0.0</v>
      </c>
      <c r="C36" s="1655">
        <f t="shared" si="1"/>
        <v>0.0</v>
      </c>
      <c r="D36" s="1656">
        <v>0.0</v>
      </c>
      <c r="E36" s="1657"/>
      <c r="F36" s="1658"/>
      <c r="G36" s="1658"/>
      <c r="H36" s="1658"/>
      <c r="I36" s="1658"/>
      <c r="J36" s="1658"/>
      <c r="K36" s="1658"/>
      <c r="L36" s="1658"/>
      <c r="M36" s="1658"/>
      <c r="N36" s="1658"/>
      <c r="O36" s="1658"/>
      <c r="P36" s="1658"/>
      <c r="Q36" s="1658"/>
      <c r="R36" s="1658"/>
      <c r="S36" s="1658"/>
      <c r="T36" s="1658"/>
      <c r="U36" s="1658"/>
      <c r="V36" s="1658"/>
      <c r="W36" s="1658"/>
      <c r="X36" s="1658"/>
      <c r="Y36" s="1658"/>
      <c r="Z36" s="1658"/>
      <c r="AA36" s="1658"/>
      <c r="AB36" s="1658"/>
      <c r="AC36" s="1658"/>
      <c r="AD36" s="1658"/>
      <c r="AE36" s="1658"/>
      <c r="AF36" s="1658"/>
      <c r="AG36" s="1658"/>
      <c r="AH36" s="1658"/>
      <c r="AI36" s="1658"/>
      <c r="AJ36" s="1658"/>
      <c r="AK36" s="1658"/>
      <c r="AL36" s="1658"/>
      <c r="AM36" s="1658"/>
      <c r="AN36" s="1658"/>
      <c r="AO36" s="1658"/>
      <c r="AP36" s="1658"/>
      <c r="AQ36" s="1658"/>
      <c r="AR36" s="1658"/>
      <c r="AS36" s="1658"/>
      <c r="AT36" s="1658"/>
      <c r="AU36" s="1658"/>
      <c r="AV36" s="1658"/>
      <c r="AW36" s="1658"/>
      <c r="AX36" s="1658"/>
      <c r="AY36" s="1658"/>
      <c r="AZ36" s="1658"/>
      <c r="BA36" s="1658"/>
      <c r="BB36" s="1658"/>
      <c r="BC36" s="1658"/>
      <c r="BD36" s="1658"/>
      <c r="BE36" s="1658"/>
      <c r="BF36" s="1658"/>
      <c r="BG36" s="1658"/>
      <c r="BH36" s="1658"/>
      <c r="BI36" s="1658"/>
      <c r="BJ36" s="1658"/>
      <c r="BK36" s="1658"/>
      <c r="BL36" s="1658"/>
      <c r="BM36" s="1658"/>
      <c r="BN36" s="1658"/>
      <c r="BO36" s="1658"/>
      <c r="BP36" s="1658"/>
      <c r="BQ36" s="1658"/>
      <c r="BR36" s="1658"/>
      <c r="BS36" s="1658"/>
      <c r="BT36" s="1658"/>
      <c r="BU36" s="1658"/>
      <c r="BV36" s="1658"/>
      <c r="BW36" s="1658"/>
      <c r="BX36" s="1658"/>
      <c r="BY36" s="1658"/>
      <c r="BZ36" s="1658"/>
      <c r="CA36" s="1658"/>
      <c r="CB36" s="1658"/>
      <c r="CC36" s="1658"/>
      <c r="CD36" s="1658"/>
      <c r="CE36" s="1658"/>
      <c r="CF36" s="1658"/>
      <c r="CG36" s="1658"/>
      <c r="CH36" s="1658"/>
      <c r="CI36" s="1658"/>
      <c r="CJ36" s="1658"/>
      <c r="CK36" s="1658"/>
      <c r="CL36" s="1658"/>
      <c r="CM36" s="1658"/>
      <c r="CN36" s="1658"/>
      <c r="CO36" s="1658"/>
      <c r="CP36" s="1658"/>
      <c r="CQ36" s="1658"/>
      <c r="CR36" s="1658"/>
      <c r="CS36" s="1658"/>
      <c r="CT36" s="1658"/>
      <c r="CU36" s="1658"/>
      <c r="CV36" s="1658"/>
      <c r="CW36" s="1658"/>
      <c r="CX36" s="1658"/>
      <c r="CY36" s="1658"/>
      <c r="CZ36" s="1658"/>
    </row>
    <row r="37" spans="8:8" ht="15.75">
      <c r="A37" s="1653" t="s">
        <v>58</v>
      </c>
      <c r="B37" s="1654">
        <f t="shared" si="0"/>
        <v>5.0</v>
      </c>
      <c r="C37" s="1655">
        <f t="shared" si="1"/>
        <v>0.0</v>
      </c>
      <c r="D37" s="1656">
        <v>5.0</v>
      </c>
      <c r="E37" s="1657"/>
      <c r="F37" s="1658"/>
      <c r="G37" s="1658"/>
      <c r="H37" s="1658"/>
      <c r="I37" s="1658"/>
      <c r="J37" s="1658"/>
      <c r="K37" s="1658"/>
      <c r="L37" s="1658"/>
      <c r="M37" s="1658"/>
      <c r="N37" s="1658"/>
      <c r="O37" s="1658"/>
      <c r="P37" s="1658"/>
      <c r="Q37" s="1658"/>
      <c r="R37" s="1658"/>
      <c r="S37" s="1658"/>
      <c r="T37" s="1658"/>
      <c r="U37" s="1658"/>
      <c r="V37" s="1658"/>
      <c r="W37" s="1658"/>
      <c r="X37" s="1658"/>
      <c r="Y37" s="1658"/>
      <c r="Z37" s="1658"/>
      <c r="AA37" s="1658"/>
      <c r="AB37" s="1658"/>
      <c r="AC37" s="1658"/>
      <c r="AD37" s="1658"/>
      <c r="AE37" s="1658"/>
      <c r="AF37" s="1658"/>
      <c r="AG37" s="1658"/>
      <c r="AH37" s="1658"/>
      <c r="AI37" s="1658"/>
      <c r="AJ37" s="1658"/>
      <c r="AK37" s="1658"/>
      <c r="AL37" s="1658"/>
      <c r="AM37" s="1658"/>
      <c r="AN37" s="1658"/>
      <c r="AO37" s="1658"/>
      <c r="AP37" s="1658"/>
      <c r="AQ37" s="1658"/>
      <c r="AR37" s="1658"/>
      <c r="AS37" s="1658"/>
      <c r="AT37" s="1658"/>
      <c r="AU37" s="1658"/>
      <c r="AV37" s="1658"/>
      <c r="AW37" s="1658"/>
      <c r="AX37" s="1658"/>
      <c r="AY37" s="1658"/>
      <c r="AZ37" s="1658"/>
      <c r="BA37" s="1658"/>
      <c r="BB37" s="1658"/>
      <c r="BC37" s="1658"/>
      <c r="BD37" s="1658"/>
      <c r="BE37" s="1658"/>
      <c r="BF37" s="1658"/>
      <c r="BG37" s="1658"/>
      <c r="BH37" s="1658"/>
      <c r="BI37" s="1658"/>
      <c r="BJ37" s="1658"/>
      <c r="BK37" s="1658"/>
      <c r="BL37" s="1658"/>
      <c r="BM37" s="1658"/>
      <c r="BN37" s="1658"/>
      <c r="BO37" s="1658"/>
      <c r="BP37" s="1658"/>
      <c r="BQ37" s="1658"/>
      <c r="BR37" s="1658"/>
      <c r="BS37" s="1658"/>
      <c r="BT37" s="1658"/>
      <c r="BU37" s="1658"/>
      <c r="BV37" s="1658"/>
      <c r="BW37" s="1658"/>
      <c r="BX37" s="1658"/>
      <c r="BY37" s="1658"/>
      <c r="BZ37" s="1658"/>
      <c r="CA37" s="1658"/>
      <c r="CB37" s="1658"/>
      <c r="CC37" s="1658"/>
      <c r="CD37" s="1658"/>
      <c r="CE37" s="1658"/>
      <c r="CF37" s="1658"/>
      <c r="CG37" s="1658"/>
      <c r="CH37" s="1658"/>
      <c r="CI37" s="1658"/>
      <c r="CJ37" s="1658"/>
      <c r="CK37" s="1658"/>
      <c r="CL37" s="1658"/>
      <c r="CM37" s="1658"/>
      <c r="CN37" s="1658"/>
      <c r="CO37" s="1658"/>
      <c r="CP37" s="1658"/>
      <c r="CQ37" s="1658"/>
      <c r="CR37" s="1658"/>
      <c r="CS37" s="1658"/>
      <c r="CT37" s="1658"/>
      <c r="CU37" s="1658"/>
      <c r="CV37" s="1658"/>
      <c r="CW37" s="1658"/>
      <c r="CX37" s="1658"/>
      <c r="CY37" s="1658"/>
      <c r="CZ37" s="1658"/>
    </row>
    <row r="38" spans="8:8" ht="15.75">
      <c r="A38" s="1653" t="s">
        <v>60</v>
      </c>
      <c r="B38" s="1654">
        <f t="shared" si="0"/>
        <v>20.0</v>
      </c>
      <c r="C38" s="1655">
        <f t="shared" si="1"/>
        <v>0.0</v>
      </c>
      <c r="D38" s="1656">
        <v>20.0</v>
      </c>
      <c r="E38" s="1657"/>
      <c r="F38" s="1658"/>
      <c r="G38" s="1658"/>
      <c r="H38" s="1658"/>
      <c r="I38" s="1658"/>
      <c r="J38" s="1658"/>
      <c r="K38" s="1658"/>
      <c r="L38" s="1658"/>
      <c r="M38" s="1658"/>
      <c r="N38" s="1658"/>
      <c r="O38" s="1658"/>
      <c r="P38" s="1658"/>
      <c r="Q38" s="1658"/>
      <c r="R38" s="1658"/>
      <c r="S38" s="1658"/>
      <c r="T38" s="1658"/>
      <c r="U38" s="1658"/>
      <c r="V38" s="1658"/>
      <c r="W38" s="1658"/>
      <c r="X38" s="1658"/>
      <c r="Y38" s="1658"/>
      <c r="Z38" s="1658"/>
      <c r="AA38" s="1658"/>
      <c r="AB38" s="1658"/>
      <c r="AC38" s="1658"/>
      <c r="AD38" s="1658"/>
      <c r="AE38" s="1658"/>
      <c r="AF38" s="1658"/>
      <c r="AG38" s="1658"/>
      <c r="AH38" s="1658"/>
      <c r="AI38" s="1658"/>
      <c r="AJ38" s="1658"/>
      <c r="AK38" s="1658"/>
      <c r="AL38" s="1658"/>
      <c r="AM38" s="1658"/>
      <c r="AN38" s="1658"/>
      <c r="AO38" s="1658"/>
      <c r="AP38" s="1658"/>
      <c r="AQ38" s="1658"/>
      <c r="AR38" s="1658"/>
      <c r="AS38" s="1658"/>
      <c r="AT38" s="1658"/>
      <c r="AU38" s="1658"/>
      <c r="AV38" s="1658"/>
      <c r="AW38" s="1658"/>
      <c r="AX38" s="1658"/>
      <c r="AY38" s="1658"/>
      <c r="AZ38" s="1658"/>
      <c r="BA38" s="1658"/>
      <c r="BB38" s="1658"/>
      <c r="BC38" s="1658"/>
      <c r="BD38" s="1658"/>
      <c r="BE38" s="1658"/>
      <c r="BF38" s="1658"/>
      <c r="BG38" s="1658"/>
      <c r="BH38" s="1658"/>
      <c r="BI38" s="1658"/>
      <c r="BJ38" s="1658"/>
      <c r="BK38" s="1658"/>
      <c r="BL38" s="1658"/>
      <c r="BM38" s="1658"/>
      <c r="BN38" s="1658"/>
      <c r="BO38" s="1658"/>
      <c r="BP38" s="1658"/>
      <c r="BQ38" s="1658"/>
      <c r="BR38" s="1658"/>
      <c r="BS38" s="1658"/>
      <c r="BT38" s="1658"/>
      <c r="BU38" s="1658"/>
      <c r="BV38" s="1658"/>
      <c r="BW38" s="1658"/>
      <c r="BX38" s="1658"/>
      <c r="BY38" s="1658"/>
      <c r="BZ38" s="1658"/>
      <c r="CA38" s="1658"/>
      <c r="CB38" s="1658"/>
      <c r="CC38" s="1658"/>
      <c r="CD38" s="1658"/>
      <c r="CE38" s="1658"/>
      <c r="CF38" s="1658"/>
      <c r="CG38" s="1658"/>
      <c r="CH38" s="1658"/>
      <c r="CI38" s="1658"/>
      <c r="CJ38" s="1658"/>
      <c r="CK38" s="1658"/>
      <c r="CL38" s="1658"/>
      <c r="CM38" s="1658"/>
      <c r="CN38" s="1658"/>
      <c r="CO38" s="1658"/>
      <c r="CP38" s="1658"/>
      <c r="CQ38" s="1658"/>
      <c r="CR38" s="1658"/>
      <c r="CS38" s="1658"/>
      <c r="CT38" s="1658"/>
      <c r="CU38" s="1658"/>
      <c r="CV38" s="1658"/>
      <c r="CW38" s="1658"/>
      <c r="CX38" s="1658"/>
      <c r="CY38" s="1658"/>
      <c r="CZ38" s="1658"/>
    </row>
    <row r="39" spans="8:8" ht="15.75">
      <c r="A39" s="1653" t="s">
        <v>64</v>
      </c>
      <c r="B39" s="1654">
        <f t="shared" si="0"/>
        <v>20.0</v>
      </c>
      <c r="C39" s="1655">
        <f t="shared" si="1"/>
        <v>0.0</v>
      </c>
      <c r="D39" s="1656">
        <v>20.0</v>
      </c>
      <c r="E39" s="1657"/>
      <c r="F39" s="1658"/>
      <c r="G39" s="1658"/>
      <c r="H39" s="1658"/>
      <c r="I39" s="1658"/>
      <c r="J39" s="1658"/>
      <c r="K39" s="1658"/>
      <c r="L39" s="1658"/>
      <c r="M39" s="1658"/>
      <c r="N39" s="1658"/>
      <c r="O39" s="1658"/>
      <c r="P39" s="1658"/>
      <c r="Q39" s="1658"/>
      <c r="R39" s="1658"/>
      <c r="S39" s="1658"/>
      <c r="T39" s="1658"/>
      <c r="U39" s="1658"/>
      <c r="V39" s="1658"/>
      <c r="W39" s="1658"/>
      <c r="X39" s="1658"/>
      <c r="Y39" s="1658"/>
      <c r="Z39" s="1658"/>
      <c r="AA39" s="1658"/>
      <c r="AB39" s="1658"/>
      <c r="AC39" s="1658"/>
      <c r="AD39" s="1658"/>
      <c r="AE39" s="1658"/>
      <c r="AF39" s="1658"/>
      <c r="AG39" s="1658"/>
      <c r="AH39" s="1658"/>
      <c r="AI39" s="1658"/>
      <c r="AJ39" s="1658"/>
      <c r="AK39" s="1658"/>
      <c r="AL39" s="1658"/>
      <c r="AM39" s="1658"/>
      <c r="AN39" s="1658"/>
      <c r="AO39" s="1658"/>
      <c r="AP39" s="1658"/>
      <c r="AQ39" s="1658"/>
      <c r="AR39" s="1658"/>
      <c r="AS39" s="1658"/>
      <c r="AT39" s="1658"/>
      <c r="AU39" s="1658"/>
      <c r="AV39" s="1658"/>
      <c r="AW39" s="1658"/>
      <c r="AX39" s="1658"/>
      <c r="AY39" s="1658"/>
      <c r="AZ39" s="1658"/>
      <c r="BA39" s="1658"/>
      <c r="BB39" s="1658"/>
      <c r="BC39" s="1658"/>
      <c r="BD39" s="1658"/>
      <c r="BE39" s="1658"/>
      <c r="BF39" s="1658"/>
      <c r="BG39" s="1658"/>
      <c r="BH39" s="1658"/>
      <c r="BI39" s="1658"/>
      <c r="BJ39" s="1658"/>
      <c r="BK39" s="1658"/>
      <c r="BL39" s="1658"/>
      <c r="BM39" s="1658"/>
      <c r="BN39" s="1658"/>
      <c r="BO39" s="1658"/>
      <c r="BP39" s="1658"/>
      <c r="BQ39" s="1658"/>
      <c r="BR39" s="1658"/>
      <c r="BS39" s="1658"/>
      <c r="BT39" s="1658"/>
      <c r="BU39" s="1658"/>
      <c r="BV39" s="1658"/>
      <c r="BW39" s="1658"/>
      <c r="BX39" s="1658"/>
      <c r="BY39" s="1658"/>
      <c r="BZ39" s="1658"/>
      <c r="CA39" s="1658"/>
      <c r="CB39" s="1658"/>
      <c r="CC39" s="1658"/>
      <c r="CD39" s="1658"/>
      <c r="CE39" s="1658"/>
      <c r="CF39" s="1658"/>
      <c r="CG39" s="1658"/>
      <c r="CH39" s="1658"/>
      <c r="CI39" s="1658"/>
      <c r="CJ39" s="1658"/>
      <c r="CK39" s="1658"/>
      <c r="CL39" s="1658"/>
      <c r="CM39" s="1658"/>
      <c r="CN39" s="1658"/>
      <c r="CO39" s="1658"/>
      <c r="CP39" s="1658"/>
      <c r="CQ39" s="1658"/>
      <c r="CR39" s="1658"/>
      <c r="CS39" s="1658"/>
      <c r="CT39" s="1658"/>
      <c r="CU39" s="1658"/>
      <c r="CV39" s="1658"/>
      <c r="CW39" s="1658"/>
      <c r="CX39" s="1658"/>
      <c r="CY39" s="1658"/>
      <c r="CZ39" s="1658"/>
    </row>
    <row r="40" spans="8:8" ht="15.75">
      <c r="A40" s="1653" t="s">
        <v>67</v>
      </c>
      <c r="B40" s="1654">
        <f t="shared" si="0"/>
        <v>1.0</v>
      </c>
      <c r="C40" s="1655">
        <f t="shared" si="1"/>
        <v>0.0</v>
      </c>
      <c r="D40" s="1656">
        <v>1.0</v>
      </c>
      <c r="E40" s="1657"/>
      <c r="F40" s="1658"/>
      <c r="G40" s="1658"/>
      <c r="H40" s="1658"/>
      <c r="I40" s="1658"/>
      <c r="J40" s="1658"/>
      <c r="K40" s="1658"/>
      <c r="L40" s="1658"/>
      <c r="M40" s="1658"/>
      <c r="N40" s="1658"/>
      <c r="O40" s="1658"/>
      <c r="P40" s="1658"/>
      <c r="Q40" s="1658"/>
      <c r="R40" s="1658"/>
      <c r="S40" s="1658"/>
      <c r="T40" s="1658"/>
      <c r="U40" s="1658"/>
      <c r="V40" s="1658"/>
      <c r="W40" s="1658"/>
      <c r="X40" s="1658"/>
      <c r="Y40" s="1658"/>
      <c r="Z40" s="1658"/>
      <c r="AA40" s="1658"/>
      <c r="AB40" s="1658"/>
      <c r="AC40" s="1658"/>
      <c r="AD40" s="1658"/>
      <c r="AE40" s="1658"/>
      <c r="AF40" s="1658"/>
      <c r="AG40" s="1658"/>
      <c r="AH40" s="1658"/>
      <c r="AI40" s="1658"/>
      <c r="AJ40" s="1658"/>
      <c r="AK40" s="1658"/>
      <c r="AL40" s="1658"/>
      <c r="AM40" s="1658"/>
      <c r="AN40" s="1658"/>
      <c r="AO40" s="1658"/>
      <c r="AP40" s="1658"/>
      <c r="AQ40" s="1658"/>
      <c r="AR40" s="1658"/>
      <c r="AS40" s="1658"/>
      <c r="AT40" s="1658"/>
      <c r="AU40" s="1658"/>
      <c r="AV40" s="1658"/>
      <c r="AW40" s="1658"/>
      <c r="AX40" s="1658"/>
      <c r="AY40" s="1658"/>
      <c r="AZ40" s="1658"/>
      <c r="BA40" s="1658"/>
      <c r="BB40" s="1658"/>
      <c r="BC40" s="1658"/>
      <c r="BD40" s="1658"/>
      <c r="BE40" s="1658"/>
      <c r="BF40" s="1658"/>
      <c r="BG40" s="1658"/>
      <c r="BH40" s="1658"/>
      <c r="BI40" s="1658"/>
      <c r="BJ40" s="1658"/>
      <c r="BK40" s="1658"/>
      <c r="BL40" s="1658"/>
      <c r="BM40" s="1658"/>
      <c r="BN40" s="1658"/>
      <c r="BO40" s="1658"/>
      <c r="BP40" s="1658"/>
      <c r="BQ40" s="1658"/>
      <c r="BR40" s="1658"/>
      <c r="BS40" s="1658"/>
      <c r="BT40" s="1658"/>
      <c r="BU40" s="1658"/>
      <c r="BV40" s="1658"/>
      <c r="BW40" s="1658"/>
      <c r="BX40" s="1658"/>
      <c r="BY40" s="1658"/>
      <c r="BZ40" s="1658"/>
      <c r="CA40" s="1658"/>
      <c r="CB40" s="1658"/>
      <c r="CC40" s="1658"/>
      <c r="CD40" s="1658"/>
      <c r="CE40" s="1658"/>
      <c r="CF40" s="1658"/>
      <c r="CG40" s="1658"/>
      <c r="CH40" s="1658"/>
      <c r="CI40" s="1658"/>
      <c r="CJ40" s="1658"/>
      <c r="CK40" s="1658"/>
      <c r="CL40" s="1658"/>
      <c r="CM40" s="1658"/>
      <c r="CN40" s="1658"/>
      <c r="CO40" s="1658"/>
      <c r="CP40" s="1658"/>
      <c r="CQ40" s="1658"/>
      <c r="CR40" s="1658"/>
      <c r="CS40" s="1658"/>
      <c r="CT40" s="1658"/>
      <c r="CU40" s="1658"/>
      <c r="CV40" s="1658"/>
      <c r="CW40" s="1658"/>
      <c r="CX40" s="1658"/>
      <c r="CY40" s="1658"/>
      <c r="CZ40" s="1658"/>
    </row>
    <row r="41" spans="8:8" ht="15.75">
      <c r="A41" s="1653" t="s">
        <v>69</v>
      </c>
      <c r="B41" s="1654">
        <f t="shared" si="0"/>
        <v>10.0</v>
      </c>
      <c r="C41" s="1655">
        <f t="shared" si="1"/>
        <v>0.0</v>
      </c>
      <c r="D41" s="1656">
        <v>10.0</v>
      </c>
      <c r="E41" s="1657"/>
      <c r="F41" s="1658"/>
      <c r="G41" s="1658"/>
      <c r="H41" s="1658"/>
      <c r="I41" s="1658"/>
      <c r="J41" s="1658"/>
      <c r="K41" s="1658"/>
      <c r="L41" s="1658"/>
      <c r="M41" s="1658"/>
      <c r="N41" s="1658"/>
      <c r="O41" s="1658"/>
      <c r="P41" s="1658"/>
      <c r="Q41" s="1658"/>
      <c r="R41" s="1658"/>
      <c r="S41" s="1658"/>
      <c r="T41" s="1658"/>
      <c r="U41" s="1658"/>
      <c r="V41" s="1658"/>
      <c r="W41" s="1658"/>
      <c r="X41" s="1658"/>
      <c r="Y41" s="1658"/>
      <c r="Z41" s="1658"/>
      <c r="AA41" s="1658"/>
      <c r="AB41" s="1658"/>
      <c r="AC41" s="1658"/>
      <c r="AD41" s="1658"/>
      <c r="AE41" s="1658"/>
      <c r="AF41" s="1658"/>
      <c r="AG41" s="1658"/>
      <c r="AH41" s="1658"/>
      <c r="AI41" s="1658"/>
      <c r="AJ41" s="1658"/>
      <c r="AK41" s="1658"/>
      <c r="AL41" s="1658"/>
      <c r="AM41" s="1658"/>
      <c r="AN41" s="1658"/>
      <c r="AO41" s="1658"/>
      <c r="AP41" s="1658"/>
      <c r="AQ41" s="1658"/>
      <c r="AR41" s="1658"/>
      <c r="AS41" s="1658"/>
      <c r="AT41" s="1658"/>
      <c r="AU41" s="1658"/>
      <c r="AV41" s="1658"/>
      <c r="AW41" s="1658"/>
      <c r="AX41" s="1658"/>
      <c r="AY41" s="1658"/>
      <c r="AZ41" s="1658"/>
      <c r="BA41" s="1658"/>
      <c r="BB41" s="1658"/>
      <c r="BC41" s="1658"/>
      <c r="BD41" s="1658"/>
      <c r="BE41" s="1658"/>
      <c r="BF41" s="1658"/>
      <c r="BG41" s="1658"/>
      <c r="BH41" s="1658"/>
      <c r="BI41" s="1658"/>
      <c r="BJ41" s="1658"/>
      <c r="BK41" s="1658"/>
      <c r="BL41" s="1658"/>
      <c r="BM41" s="1658"/>
      <c r="BN41" s="1658"/>
      <c r="BO41" s="1658"/>
      <c r="BP41" s="1658"/>
      <c r="BQ41" s="1658"/>
      <c r="BR41" s="1658"/>
      <c r="BS41" s="1658"/>
      <c r="BT41" s="1658"/>
      <c r="BU41" s="1658"/>
      <c r="BV41" s="1658"/>
      <c r="BW41" s="1658"/>
      <c r="BX41" s="1658"/>
      <c r="BY41" s="1658"/>
      <c r="BZ41" s="1658"/>
      <c r="CA41" s="1658"/>
      <c r="CB41" s="1658"/>
      <c r="CC41" s="1658"/>
      <c r="CD41" s="1658"/>
      <c r="CE41" s="1658"/>
      <c r="CF41" s="1658"/>
      <c r="CG41" s="1658"/>
      <c r="CH41" s="1658"/>
      <c r="CI41" s="1658"/>
      <c r="CJ41" s="1658"/>
      <c r="CK41" s="1658"/>
      <c r="CL41" s="1658"/>
      <c r="CM41" s="1658"/>
      <c r="CN41" s="1658"/>
      <c r="CO41" s="1658"/>
      <c r="CP41" s="1658"/>
      <c r="CQ41" s="1658"/>
      <c r="CR41" s="1658"/>
      <c r="CS41" s="1658"/>
      <c r="CT41" s="1658"/>
      <c r="CU41" s="1658"/>
      <c r="CV41" s="1658"/>
      <c r="CW41" s="1658"/>
      <c r="CX41" s="1658"/>
      <c r="CY41" s="1658"/>
      <c r="CZ41" s="1658"/>
    </row>
    <row r="42" spans="8:8" ht="15.75">
      <c r="A42" s="1653" t="s">
        <v>71</v>
      </c>
      <c r="B42" s="1654">
        <f t="shared" si="0"/>
        <v>1.0</v>
      </c>
      <c r="C42" s="1655">
        <f t="shared" si="1"/>
        <v>0.0</v>
      </c>
      <c r="D42" s="1656">
        <v>1.0</v>
      </c>
      <c r="E42" s="1657"/>
      <c r="F42" s="1658"/>
      <c r="G42" s="1658"/>
      <c r="H42" s="1658"/>
      <c r="I42" s="1658"/>
      <c r="J42" s="1658"/>
      <c r="K42" s="1658"/>
      <c r="L42" s="1658"/>
      <c r="M42" s="1658"/>
      <c r="N42" s="1658"/>
      <c r="O42" s="1658"/>
      <c r="P42" s="1658"/>
      <c r="Q42" s="1658"/>
      <c r="R42" s="1658"/>
      <c r="S42" s="1658"/>
      <c r="T42" s="1658"/>
      <c r="U42" s="1658"/>
      <c r="V42" s="1658"/>
      <c r="W42" s="1658"/>
      <c r="X42" s="1658"/>
      <c r="Y42" s="1658"/>
      <c r="Z42" s="1658"/>
      <c r="AA42" s="1658"/>
      <c r="AB42" s="1658"/>
      <c r="AC42" s="1658"/>
      <c r="AD42" s="1658"/>
      <c r="AE42" s="1658"/>
      <c r="AF42" s="1658"/>
      <c r="AG42" s="1658"/>
      <c r="AH42" s="1658"/>
      <c r="AI42" s="1658"/>
      <c r="AJ42" s="1658"/>
      <c r="AK42" s="1658"/>
      <c r="AL42" s="1658"/>
      <c r="AM42" s="1658"/>
      <c r="AN42" s="1658"/>
      <c r="AO42" s="1658"/>
      <c r="AP42" s="1658"/>
      <c r="AQ42" s="1658"/>
      <c r="AR42" s="1658"/>
      <c r="AS42" s="1658"/>
      <c r="AT42" s="1658"/>
      <c r="AU42" s="1658"/>
      <c r="AV42" s="1658"/>
      <c r="AW42" s="1658"/>
      <c r="AX42" s="1658"/>
      <c r="AY42" s="1658"/>
      <c r="AZ42" s="1658"/>
      <c r="BA42" s="1658"/>
      <c r="BB42" s="1658"/>
      <c r="BC42" s="1658"/>
      <c r="BD42" s="1658"/>
      <c r="BE42" s="1658"/>
      <c r="BF42" s="1658"/>
      <c r="BG42" s="1658"/>
      <c r="BH42" s="1658"/>
      <c r="BI42" s="1658"/>
      <c r="BJ42" s="1658"/>
      <c r="BK42" s="1658"/>
      <c r="BL42" s="1658"/>
      <c r="BM42" s="1658"/>
      <c r="BN42" s="1658"/>
      <c r="BO42" s="1658"/>
      <c r="BP42" s="1658"/>
      <c r="BQ42" s="1658"/>
      <c r="BR42" s="1658"/>
      <c r="BS42" s="1658"/>
      <c r="BT42" s="1658"/>
      <c r="BU42" s="1658"/>
      <c r="BV42" s="1658"/>
      <c r="BW42" s="1658"/>
      <c r="BX42" s="1658"/>
      <c r="BY42" s="1658"/>
      <c r="BZ42" s="1658"/>
      <c r="CA42" s="1658"/>
      <c r="CB42" s="1658"/>
      <c r="CC42" s="1658"/>
      <c r="CD42" s="1658"/>
      <c r="CE42" s="1658"/>
      <c r="CF42" s="1658"/>
      <c r="CG42" s="1658"/>
      <c r="CH42" s="1658"/>
      <c r="CI42" s="1658"/>
      <c r="CJ42" s="1658"/>
      <c r="CK42" s="1658"/>
      <c r="CL42" s="1658"/>
      <c r="CM42" s="1658"/>
      <c r="CN42" s="1658"/>
      <c r="CO42" s="1658"/>
      <c r="CP42" s="1658"/>
      <c r="CQ42" s="1658"/>
      <c r="CR42" s="1658"/>
      <c r="CS42" s="1658"/>
      <c r="CT42" s="1658"/>
      <c r="CU42" s="1658"/>
      <c r="CV42" s="1658"/>
      <c r="CW42" s="1658"/>
      <c r="CX42" s="1658"/>
      <c r="CY42" s="1658"/>
      <c r="CZ42" s="1658"/>
    </row>
    <row r="43" spans="8:8" ht="15.75">
      <c r="A43" s="1653" t="s">
        <v>73</v>
      </c>
      <c r="B43" s="1654">
        <f t="shared" si="0"/>
        <v>10.0</v>
      </c>
      <c r="C43" s="1655">
        <f t="shared" si="1"/>
        <v>0.0</v>
      </c>
      <c r="D43" s="1656">
        <v>10.0</v>
      </c>
      <c r="E43" s="1657"/>
      <c r="F43" s="1658"/>
      <c r="G43" s="1658"/>
      <c r="H43" s="1658"/>
      <c r="I43" s="1658"/>
      <c r="J43" s="1658"/>
      <c r="K43" s="1658"/>
      <c r="L43" s="1658"/>
      <c r="M43" s="1658"/>
      <c r="N43" s="1658"/>
      <c r="O43" s="1658"/>
      <c r="P43" s="1658"/>
      <c r="Q43" s="1658"/>
      <c r="R43" s="1658"/>
      <c r="S43" s="1658"/>
      <c r="T43" s="1658"/>
      <c r="U43" s="1658"/>
      <c r="V43" s="1658"/>
      <c r="W43" s="1658"/>
      <c r="X43" s="1658"/>
      <c r="Y43" s="1658"/>
      <c r="Z43" s="1658"/>
      <c r="AA43" s="1658"/>
      <c r="AB43" s="1658"/>
      <c r="AC43" s="1658"/>
      <c r="AD43" s="1658"/>
      <c r="AE43" s="1658"/>
      <c r="AF43" s="1658"/>
      <c r="AG43" s="1658"/>
      <c r="AH43" s="1658"/>
      <c r="AI43" s="1658"/>
      <c r="AJ43" s="1658"/>
      <c r="AK43" s="1658"/>
      <c r="AL43" s="1658"/>
      <c r="AM43" s="1658"/>
      <c r="AN43" s="1658"/>
      <c r="AO43" s="1658"/>
      <c r="AP43" s="1658"/>
      <c r="AQ43" s="1658"/>
      <c r="AR43" s="1658"/>
      <c r="AS43" s="1658"/>
      <c r="AT43" s="1658"/>
      <c r="AU43" s="1658"/>
      <c r="AV43" s="1658"/>
      <c r="AW43" s="1658"/>
      <c r="AX43" s="1658"/>
      <c r="AY43" s="1658"/>
      <c r="AZ43" s="1658"/>
      <c r="BA43" s="1658"/>
      <c r="BB43" s="1658"/>
      <c r="BC43" s="1658"/>
      <c r="BD43" s="1658"/>
      <c r="BE43" s="1658"/>
      <c r="BF43" s="1658"/>
      <c r="BG43" s="1658"/>
      <c r="BH43" s="1658"/>
      <c r="BI43" s="1658"/>
      <c r="BJ43" s="1658"/>
      <c r="BK43" s="1658"/>
      <c r="BL43" s="1658"/>
      <c r="BM43" s="1658"/>
      <c r="BN43" s="1658"/>
      <c r="BO43" s="1658"/>
      <c r="BP43" s="1658"/>
      <c r="BQ43" s="1658"/>
      <c r="BR43" s="1658"/>
      <c r="BS43" s="1658"/>
      <c r="BT43" s="1658"/>
      <c r="BU43" s="1658"/>
      <c r="BV43" s="1658"/>
      <c r="BW43" s="1658"/>
      <c r="BX43" s="1658"/>
      <c r="BY43" s="1658"/>
      <c r="BZ43" s="1658"/>
      <c r="CA43" s="1658"/>
      <c r="CB43" s="1658"/>
      <c r="CC43" s="1658"/>
      <c r="CD43" s="1658"/>
      <c r="CE43" s="1658"/>
      <c r="CF43" s="1658"/>
      <c r="CG43" s="1658"/>
      <c r="CH43" s="1658"/>
      <c r="CI43" s="1658"/>
      <c r="CJ43" s="1658"/>
      <c r="CK43" s="1658"/>
      <c r="CL43" s="1658"/>
      <c r="CM43" s="1658"/>
      <c r="CN43" s="1658"/>
      <c r="CO43" s="1658"/>
      <c r="CP43" s="1658"/>
      <c r="CQ43" s="1658"/>
      <c r="CR43" s="1658"/>
      <c r="CS43" s="1658"/>
      <c r="CT43" s="1658"/>
      <c r="CU43" s="1658"/>
      <c r="CV43" s="1658"/>
      <c r="CW43" s="1658"/>
      <c r="CX43" s="1658"/>
      <c r="CY43" s="1658"/>
      <c r="CZ43" s="1658"/>
    </row>
    <row r="44" spans="8:8" ht="15.75">
      <c r="A44" s="1653" t="s">
        <v>75</v>
      </c>
      <c r="B44" s="1654">
        <f t="shared" si="0"/>
        <v>10.0</v>
      </c>
      <c r="C44" s="1655">
        <f t="shared" si="1"/>
        <v>0.0</v>
      </c>
      <c r="D44" s="1656">
        <v>10.0</v>
      </c>
      <c r="E44" s="1657"/>
      <c r="F44" s="1658"/>
      <c r="G44" s="1658"/>
      <c r="H44" s="1658"/>
      <c r="I44" s="1658"/>
      <c r="J44" s="1658"/>
      <c r="K44" s="1658"/>
      <c r="L44" s="1658"/>
      <c r="M44" s="1658"/>
      <c r="N44" s="1658"/>
      <c r="O44" s="1658"/>
      <c r="P44" s="1658"/>
      <c r="Q44" s="1658"/>
      <c r="R44" s="1658"/>
      <c r="S44" s="1658"/>
      <c r="T44" s="1658"/>
      <c r="U44" s="1658"/>
      <c r="V44" s="1658"/>
      <c r="W44" s="1658"/>
      <c r="X44" s="1658"/>
      <c r="Y44" s="1658"/>
      <c r="Z44" s="1658"/>
      <c r="AA44" s="1658"/>
      <c r="AB44" s="1658"/>
      <c r="AC44" s="1658"/>
      <c r="AD44" s="1658"/>
      <c r="AE44" s="1658"/>
      <c r="AF44" s="1658"/>
      <c r="AG44" s="1658"/>
      <c r="AH44" s="1658"/>
      <c r="AI44" s="1658"/>
      <c r="AJ44" s="1658"/>
      <c r="AK44" s="1658"/>
      <c r="AL44" s="1658"/>
      <c r="AM44" s="1658"/>
      <c r="AN44" s="1658"/>
      <c r="AO44" s="1658"/>
      <c r="AP44" s="1658"/>
      <c r="AQ44" s="1658"/>
      <c r="AR44" s="1658"/>
      <c r="AS44" s="1658"/>
      <c r="AT44" s="1658"/>
      <c r="AU44" s="1658"/>
      <c r="AV44" s="1658"/>
      <c r="AW44" s="1658"/>
      <c r="AX44" s="1658"/>
      <c r="AY44" s="1658"/>
      <c r="AZ44" s="1658"/>
      <c r="BA44" s="1658"/>
      <c r="BB44" s="1658"/>
      <c r="BC44" s="1658"/>
      <c r="BD44" s="1658"/>
      <c r="BE44" s="1658"/>
      <c r="BF44" s="1658"/>
      <c r="BG44" s="1658"/>
      <c r="BH44" s="1658"/>
      <c r="BI44" s="1658"/>
      <c r="BJ44" s="1658"/>
      <c r="BK44" s="1658"/>
      <c r="BL44" s="1658"/>
      <c r="BM44" s="1658"/>
      <c r="BN44" s="1658"/>
      <c r="BO44" s="1658"/>
      <c r="BP44" s="1658"/>
      <c r="BQ44" s="1658"/>
      <c r="BR44" s="1658"/>
      <c r="BS44" s="1658"/>
      <c r="BT44" s="1658"/>
      <c r="BU44" s="1658"/>
      <c r="BV44" s="1658"/>
      <c r="BW44" s="1658"/>
      <c r="BX44" s="1658"/>
      <c r="BY44" s="1658"/>
      <c r="BZ44" s="1658"/>
      <c r="CA44" s="1658"/>
      <c r="CB44" s="1658"/>
      <c r="CC44" s="1658"/>
      <c r="CD44" s="1658"/>
      <c r="CE44" s="1658"/>
      <c r="CF44" s="1658"/>
      <c r="CG44" s="1658"/>
      <c r="CH44" s="1658"/>
      <c r="CI44" s="1658"/>
      <c r="CJ44" s="1658"/>
      <c r="CK44" s="1658"/>
      <c r="CL44" s="1658"/>
      <c r="CM44" s="1658"/>
      <c r="CN44" s="1658"/>
      <c r="CO44" s="1658"/>
      <c r="CP44" s="1658"/>
      <c r="CQ44" s="1658"/>
      <c r="CR44" s="1658"/>
      <c r="CS44" s="1658"/>
      <c r="CT44" s="1658"/>
      <c r="CU44" s="1658"/>
      <c r="CV44" s="1658"/>
      <c r="CW44" s="1658"/>
      <c r="CX44" s="1658"/>
      <c r="CY44" s="1658"/>
      <c r="CZ44" s="1658"/>
    </row>
    <row r="45" spans="8:8" ht="15.75">
      <c r="A45" s="1653" t="s">
        <v>78</v>
      </c>
      <c r="B45" s="1654">
        <f t="shared" si="0"/>
        <v>5.0</v>
      </c>
      <c r="C45" s="1655">
        <f t="shared" si="1"/>
        <v>0.0</v>
      </c>
      <c r="D45" s="1656">
        <v>5.0</v>
      </c>
      <c r="E45" s="1657"/>
      <c r="F45" s="1658"/>
      <c r="G45" s="1658"/>
      <c r="H45" s="1658"/>
      <c r="I45" s="1658"/>
      <c r="J45" s="1658"/>
      <c r="K45" s="1658"/>
      <c r="L45" s="1658"/>
      <c r="M45" s="1658"/>
      <c r="N45" s="1658"/>
      <c r="O45" s="1658"/>
      <c r="P45" s="1658"/>
      <c r="Q45" s="1658"/>
      <c r="R45" s="1658"/>
      <c r="S45" s="1658"/>
      <c r="T45" s="1658"/>
      <c r="U45" s="1658"/>
      <c r="V45" s="1658"/>
      <c r="W45" s="1658"/>
      <c r="X45" s="1658"/>
      <c r="Y45" s="1658"/>
      <c r="Z45" s="1658"/>
      <c r="AA45" s="1658"/>
      <c r="AB45" s="1658"/>
      <c r="AC45" s="1658"/>
      <c r="AD45" s="1658"/>
      <c r="AE45" s="1658"/>
      <c r="AF45" s="1658"/>
      <c r="AG45" s="1658"/>
      <c r="AH45" s="1658"/>
      <c r="AI45" s="1658"/>
      <c r="AJ45" s="1658"/>
      <c r="AK45" s="1658"/>
      <c r="AL45" s="1658"/>
      <c r="AM45" s="1658"/>
      <c r="AN45" s="1658"/>
      <c r="AO45" s="1658"/>
      <c r="AP45" s="1658"/>
      <c r="AQ45" s="1658"/>
      <c r="AR45" s="1658"/>
      <c r="AS45" s="1658"/>
      <c r="AT45" s="1658"/>
      <c r="AU45" s="1658"/>
      <c r="AV45" s="1658"/>
      <c r="AW45" s="1658"/>
      <c r="AX45" s="1658"/>
      <c r="AY45" s="1658"/>
      <c r="AZ45" s="1658"/>
      <c r="BA45" s="1658"/>
      <c r="BB45" s="1658"/>
      <c r="BC45" s="1658"/>
      <c r="BD45" s="1658"/>
      <c r="BE45" s="1658"/>
      <c r="BF45" s="1658"/>
      <c r="BG45" s="1658"/>
      <c r="BH45" s="1658"/>
      <c r="BI45" s="1658"/>
      <c r="BJ45" s="1658"/>
      <c r="BK45" s="1658"/>
      <c r="BL45" s="1658"/>
      <c r="BM45" s="1658"/>
      <c r="BN45" s="1658"/>
      <c r="BO45" s="1658"/>
      <c r="BP45" s="1658"/>
      <c r="BQ45" s="1658"/>
      <c r="BR45" s="1658"/>
      <c r="BS45" s="1658"/>
      <c r="BT45" s="1658"/>
      <c r="BU45" s="1658"/>
      <c r="BV45" s="1658"/>
      <c r="BW45" s="1658"/>
      <c r="BX45" s="1658"/>
      <c r="BY45" s="1658"/>
      <c r="BZ45" s="1658"/>
      <c r="CA45" s="1658"/>
      <c r="CB45" s="1658"/>
      <c r="CC45" s="1658"/>
      <c r="CD45" s="1658"/>
      <c r="CE45" s="1658"/>
      <c r="CF45" s="1658"/>
      <c r="CG45" s="1658"/>
      <c r="CH45" s="1658"/>
      <c r="CI45" s="1658"/>
      <c r="CJ45" s="1658"/>
      <c r="CK45" s="1658"/>
      <c r="CL45" s="1658"/>
      <c r="CM45" s="1658"/>
      <c r="CN45" s="1658"/>
      <c r="CO45" s="1658"/>
      <c r="CP45" s="1658"/>
      <c r="CQ45" s="1658"/>
      <c r="CR45" s="1658"/>
      <c r="CS45" s="1658"/>
      <c r="CT45" s="1658"/>
      <c r="CU45" s="1658"/>
      <c r="CV45" s="1658"/>
      <c r="CW45" s="1658"/>
      <c r="CX45" s="1658"/>
      <c r="CY45" s="1658"/>
      <c r="CZ45" s="1658"/>
    </row>
    <row r="46" spans="8:8" ht="15.75">
      <c r="A46" s="1653" t="s">
        <v>83</v>
      </c>
      <c r="B46" s="1654">
        <f t="shared" si="0"/>
        <v>1.0</v>
      </c>
      <c r="C46" s="1655">
        <f t="shared" si="1"/>
        <v>0.0</v>
      </c>
      <c r="D46" s="1656">
        <v>1.0</v>
      </c>
      <c r="E46" s="1657"/>
      <c r="F46" s="1658"/>
      <c r="G46" s="1658"/>
      <c r="H46" s="1658"/>
      <c r="I46" s="1658"/>
      <c r="J46" s="1658"/>
      <c r="K46" s="1658"/>
      <c r="L46" s="1658"/>
      <c r="M46" s="1658"/>
      <c r="N46" s="1658"/>
      <c r="O46" s="1658"/>
      <c r="P46" s="1658"/>
      <c r="Q46" s="1658"/>
      <c r="R46" s="1658"/>
      <c r="S46" s="1658"/>
      <c r="T46" s="1658"/>
      <c r="U46" s="1658"/>
      <c r="V46" s="1658"/>
      <c r="W46" s="1658"/>
      <c r="X46" s="1658"/>
      <c r="Y46" s="1658"/>
      <c r="Z46" s="1658"/>
      <c r="AA46" s="1658"/>
      <c r="AB46" s="1658"/>
      <c r="AC46" s="1658"/>
      <c r="AD46" s="1658"/>
      <c r="AE46" s="1658"/>
      <c r="AF46" s="1658"/>
      <c r="AG46" s="1658"/>
      <c r="AH46" s="1658"/>
      <c r="AI46" s="1658"/>
      <c r="AJ46" s="1658"/>
      <c r="AK46" s="1658"/>
      <c r="AL46" s="1658"/>
      <c r="AM46" s="1658"/>
      <c r="AN46" s="1658"/>
      <c r="AO46" s="1658"/>
      <c r="AP46" s="1658"/>
      <c r="AQ46" s="1658"/>
      <c r="AR46" s="1658"/>
      <c r="AS46" s="1658"/>
      <c r="AT46" s="1658"/>
      <c r="AU46" s="1658"/>
      <c r="AV46" s="1658"/>
      <c r="AW46" s="1658"/>
      <c r="AX46" s="1658"/>
      <c r="AY46" s="1658"/>
      <c r="AZ46" s="1658"/>
      <c r="BA46" s="1658"/>
      <c r="BB46" s="1658"/>
      <c r="BC46" s="1658"/>
      <c r="BD46" s="1658"/>
      <c r="BE46" s="1658"/>
      <c r="BF46" s="1658"/>
      <c r="BG46" s="1658"/>
      <c r="BH46" s="1658"/>
      <c r="BI46" s="1658"/>
      <c r="BJ46" s="1658"/>
      <c r="BK46" s="1658"/>
      <c r="BL46" s="1658"/>
      <c r="BM46" s="1658"/>
      <c r="BN46" s="1658"/>
      <c r="BO46" s="1658"/>
      <c r="BP46" s="1658"/>
      <c r="BQ46" s="1658"/>
      <c r="BR46" s="1658"/>
      <c r="BS46" s="1658"/>
      <c r="BT46" s="1658"/>
      <c r="BU46" s="1658"/>
      <c r="BV46" s="1658"/>
      <c r="BW46" s="1658"/>
      <c r="BX46" s="1658"/>
      <c r="BY46" s="1658"/>
      <c r="BZ46" s="1658"/>
      <c r="CA46" s="1658"/>
      <c r="CB46" s="1658"/>
      <c r="CC46" s="1658"/>
      <c r="CD46" s="1658"/>
      <c r="CE46" s="1658"/>
      <c r="CF46" s="1658"/>
      <c r="CG46" s="1658"/>
      <c r="CH46" s="1658"/>
      <c r="CI46" s="1658"/>
      <c r="CJ46" s="1658"/>
      <c r="CK46" s="1658"/>
      <c r="CL46" s="1658"/>
      <c r="CM46" s="1658"/>
      <c r="CN46" s="1658"/>
      <c r="CO46" s="1658"/>
      <c r="CP46" s="1658"/>
      <c r="CQ46" s="1658"/>
      <c r="CR46" s="1658"/>
      <c r="CS46" s="1658"/>
      <c r="CT46" s="1658"/>
      <c r="CU46" s="1658"/>
      <c r="CV46" s="1658"/>
      <c r="CW46" s="1658"/>
      <c r="CX46" s="1658"/>
      <c r="CY46" s="1658"/>
      <c r="CZ46" s="1658"/>
    </row>
    <row r="47" spans="8:8" ht="15.75">
      <c r="A47" s="1653" t="s">
        <v>91</v>
      </c>
      <c r="B47" s="1654">
        <f t="shared" si="0"/>
        <v>10.0</v>
      </c>
      <c r="C47" s="1655">
        <f t="shared" si="1"/>
        <v>0.0</v>
      </c>
      <c r="D47" s="1656">
        <v>10.0</v>
      </c>
      <c r="E47" s="1657"/>
      <c r="F47" s="1658"/>
      <c r="G47" s="1658"/>
      <c r="H47" s="1658"/>
      <c r="I47" s="1658"/>
      <c r="J47" s="1658"/>
      <c r="K47" s="1658"/>
      <c r="L47" s="1658"/>
      <c r="M47" s="1658"/>
      <c r="N47" s="1658"/>
      <c r="O47" s="1658"/>
      <c r="P47" s="1658"/>
      <c r="Q47" s="1658"/>
      <c r="R47" s="1658"/>
      <c r="S47" s="1658"/>
      <c r="T47" s="1658"/>
      <c r="U47" s="1658"/>
      <c r="V47" s="1658"/>
      <c r="W47" s="1658"/>
      <c r="X47" s="1658"/>
      <c r="Y47" s="1658"/>
      <c r="Z47" s="1658"/>
      <c r="AA47" s="1658"/>
      <c r="AB47" s="1658"/>
      <c r="AC47" s="1658"/>
      <c r="AD47" s="1658"/>
      <c r="AE47" s="1658"/>
      <c r="AF47" s="1658"/>
      <c r="AG47" s="1658"/>
      <c r="AH47" s="1658"/>
      <c r="AI47" s="1658"/>
      <c r="AJ47" s="1658"/>
      <c r="AK47" s="1658"/>
      <c r="AL47" s="1658"/>
      <c r="AM47" s="1658"/>
      <c r="AN47" s="1658"/>
      <c r="AO47" s="1658"/>
      <c r="AP47" s="1658"/>
      <c r="AQ47" s="1658"/>
      <c r="AR47" s="1658"/>
      <c r="AS47" s="1658"/>
      <c r="AT47" s="1658"/>
      <c r="AU47" s="1658"/>
      <c r="AV47" s="1658"/>
      <c r="AW47" s="1658"/>
      <c r="AX47" s="1658"/>
      <c r="AY47" s="1658"/>
      <c r="AZ47" s="1658"/>
      <c r="BA47" s="1658"/>
      <c r="BB47" s="1658"/>
      <c r="BC47" s="1658"/>
      <c r="BD47" s="1658"/>
      <c r="BE47" s="1658"/>
      <c r="BF47" s="1658"/>
      <c r="BG47" s="1658"/>
      <c r="BH47" s="1658"/>
      <c r="BI47" s="1658"/>
      <c r="BJ47" s="1658"/>
      <c r="BK47" s="1658"/>
      <c r="BL47" s="1658"/>
      <c r="BM47" s="1658"/>
      <c r="BN47" s="1658"/>
      <c r="BO47" s="1658"/>
      <c r="BP47" s="1658"/>
      <c r="BQ47" s="1658"/>
      <c r="BR47" s="1658"/>
      <c r="BS47" s="1658"/>
      <c r="BT47" s="1658"/>
      <c r="BU47" s="1658"/>
      <c r="BV47" s="1658"/>
      <c r="BW47" s="1658"/>
      <c r="BX47" s="1658"/>
      <c r="BY47" s="1658"/>
      <c r="BZ47" s="1658"/>
      <c r="CA47" s="1658"/>
      <c r="CB47" s="1658"/>
      <c r="CC47" s="1658"/>
      <c r="CD47" s="1658"/>
      <c r="CE47" s="1658"/>
      <c r="CF47" s="1658"/>
      <c r="CG47" s="1658"/>
      <c r="CH47" s="1658"/>
      <c r="CI47" s="1658"/>
      <c r="CJ47" s="1658"/>
      <c r="CK47" s="1658"/>
      <c r="CL47" s="1658"/>
      <c r="CM47" s="1658"/>
      <c r="CN47" s="1658"/>
      <c r="CO47" s="1658"/>
      <c r="CP47" s="1658"/>
      <c r="CQ47" s="1658"/>
      <c r="CR47" s="1658"/>
      <c r="CS47" s="1658"/>
      <c r="CT47" s="1658"/>
      <c r="CU47" s="1658"/>
      <c r="CV47" s="1658"/>
      <c r="CW47" s="1658"/>
      <c r="CX47" s="1658"/>
      <c r="CY47" s="1658"/>
      <c r="CZ47" s="1658"/>
    </row>
    <row r="48" spans="8:8" ht="15.75">
      <c r="A48" s="1653" t="s">
        <v>93</v>
      </c>
      <c r="B48" s="1654">
        <f t="shared" si="0"/>
        <v>1.0</v>
      </c>
      <c r="C48" s="1655">
        <f t="shared" si="1"/>
        <v>0.0</v>
      </c>
      <c r="D48" s="1656">
        <v>1.0</v>
      </c>
      <c r="E48" s="1657"/>
      <c r="F48" s="1658"/>
      <c r="G48" s="1658"/>
      <c r="H48" s="1658"/>
      <c r="I48" s="1658"/>
      <c r="J48" s="1658"/>
      <c r="K48" s="1658"/>
      <c r="L48" s="1658"/>
      <c r="M48" s="1658"/>
      <c r="N48" s="1658"/>
      <c r="O48" s="1658"/>
      <c r="P48" s="1658"/>
      <c r="Q48" s="1658"/>
      <c r="R48" s="1658"/>
      <c r="S48" s="1658"/>
      <c r="T48" s="1658"/>
      <c r="U48" s="1658"/>
      <c r="V48" s="1658"/>
      <c r="W48" s="1658"/>
      <c r="X48" s="1658"/>
      <c r="Y48" s="1658"/>
      <c r="Z48" s="1658"/>
      <c r="AA48" s="1658"/>
      <c r="AB48" s="1658"/>
      <c r="AC48" s="1658"/>
      <c r="AD48" s="1658"/>
      <c r="AE48" s="1658"/>
      <c r="AF48" s="1658"/>
      <c r="AG48" s="1658"/>
      <c r="AH48" s="1658"/>
      <c r="AI48" s="1658"/>
      <c r="AJ48" s="1658"/>
      <c r="AK48" s="1658"/>
      <c r="AL48" s="1658"/>
      <c r="AM48" s="1658"/>
      <c r="AN48" s="1658"/>
      <c r="AO48" s="1658"/>
      <c r="AP48" s="1658"/>
      <c r="AQ48" s="1658"/>
      <c r="AR48" s="1658"/>
      <c r="AS48" s="1658"/>
      <c r="AT48" s="1658"/>
      <c r="AU48" s="1658"/>
      <c r="AV48" s="1658"/>
      <c r="AW48" s="1658"/>
      <c r="AX48" s="1658"/>
      <c r="AY48" s="1658"/>
      <c r="AZ48" s="1658"/>
      <c r="BA48" s="1658"/>
      <c r="BB48" s="1658"/>
      <c r="BC48" s="1658"/>
      <c r="BD48" s="1658"/>
      <c r="BE48" s="1658"/>
      <c r="BF48" s="1658"/>
      <c r="BG48" s="1658"/>
      <c r="BH48" s="1658"/>
      <c r="BI48" s="1658"/>
      <c r="BJ48" s="1658"/>
      <c r="BK48" s="1658"/>
      <c r="BL48" s="1658"/>
      <c r="BM48" s="1658"/>
      <c r="BN48" s="1658"/>
      <c r="BO48" s="1658"/>
      <c r="BP48" s="1658"/>
      <c r="BQ48" s="1658"/>
      <c r="BR48" s="1658"/>
      <c r="BS48" s="1658"/>
      <c r="BT48" s="1658"/>
      <c r="BU48" s="1658"/>
      <c r="BV48" s="1658"/>
      <c r="BW48" s="1658"/>
      <c r="BX48" s="1658"/>
      <c r="BY48" s="1658"/>
      <c r="BZ48" s="1658"/>
      <c r="CA48" s="1658"/>
      <c r="CB48" s="1658"/>
      <c r="CC48" s="1658"/>
      <c r="CD48" s="1658"/>
      <c r="CE48" s="1658"/>
      <c r="CF48" s="1658"/>
      <c r="CG48" s="1658"/>
      <c r="CH48" s="1658"/>
      <c r="CI48" s="1658"/>
      <c r="CJ48" s="1658"/>
      <c r="CK48" s="1658"/>
      <c r="CL48" s="1658"/>
      <c r="CM48" s="1658"/>
      <c r="CN48" s="1658"/>
      <c r="CO48" s="1658"/>
      <c r="CP48" s="1658"/>
      <c r="CQ48" s="1658"/>
      <c r="CR48" s="1658"/>
      <c r="CS48" s="1658"/>
      <c r="CT48" s="1658"/>
      <c r="CU48" s="1658"/>
      <c r="CV48" s="1658"/>
      <c r="CW48" s="1658"/>
      <c r="CX48" s="1658"/>
      <c r="CY48" s="1658"/>
      <c r="CZ48" s="1658"/>
    </row>
    <row r="49" spans="8:8" ht="15.75">
      <c r="A49" s="1653" t="s">
        <v>100</v>
      </c>
      <c r="B49" s="1654">
        <f t="shared" si="0"/>
        <v>1.0</v>
      </c>
      <c r="C49" s="1655">
        <f t="shared" si="1"/>
        <v>0.0</v>
      </c>
      <c r="D49" s="1656">
        <v>1.0</v>
      </c>
      <c r="E49" s="1657"/>
      <c r="F49" s="1658"/>
      <c r="G49" s="1658"/>
      <c r="H49" s="1658"/>
      <c r="I49" s="1658"/>
      <c r="J49" s="1658"/>
      <c r="K49" s="1658"/>
      <c r="L49" s="1658"/>
      <c r="M49" s="1658"/>
      <c r="N49" s="1658"/>
      <c r="O49" s="1658"/>
      <c r="P49" s="1658"/>
      <c r="Q49" s="1658"/>
      <c r="R49" s="1658"/>
      <c r="S49" s="1658"/>
      <c r="T49" s="1658"/>
      <c r="U49" s="1658"/>
      <c r="V49" s="1658"/>
      <c r="W49" s="1658"/>
      <c r="X49" s="1658"/>
      <c r="Y49" s="1658"/>
      <c r="Z49" s="1658"/>
      <c r="AA49" s="1658"/>
      <c r="AB49" s="1658"/>
      <c r="AC49" s="1658"/>
      <c r="AD49" s="1658"/>
      <c r="AE49" s="1658"/>
      <c r="AF49" s="1658"/>
      <c r="AG49" s="1658"/>
      <c r="AH49" s="1658"/>
      <c r="AI49" s="1658"/>
      <c r="AJ49" s="1658"/>
      <c r="AK49" s="1658"/>
      <c r="AL49" s="1658"/>
      <c r="AM49" s="1658"/>
      <c r="AN49" s="1658"/>
      <c r="AO49" s="1658"/>
      <c r="AP49" s="1658"/>
      <c r="AQ49" s="1658"/>
      <c r="AR49" s="1658"/>
      <c r="AS49" s="1658"/>
      <c r="AT49" s="1658"/>
      <c r="AU49" s="1658"/>
      <c r="AV49" s="1658"/>
      <c r="AW49" s="1658"/>
      <c r="AX49" s="1658"/>
      <c r="AY49" s="1658"/>
      <c r="AZ49" s="1658"/>
      <c r="BA49" s="1658"/>
      <c r="BB49" s="1658"/>
      <c r="BC49" s="1658"/>
      <c r="BD49" s="1658"/>
      <c r="BE49" s="1658"/>
      <c r="BF49" s="1658"/>
      <c r="BG49" s="1658"/>
      <c r="BH49" s="1658"/>
      <c r="BI49" s="1658"/>
      <c r="BJ49" s="1658"/>
      <c r="BK49" s="1658"/>
      <c r="BL49" s="1658"/>
      <c r="BM49" s="1658"/>
      <c r="BN49" s="1658"/>
      <c r="BO49" s="1658"/>
      <c r="BP49" s="1658"/>
      <c r="BQ49" s="1658"/>
      <c r="BR49" s="1658"/>
      <c r="BS49" s="1658"/>
      <c r="BT49" s="1658"/>
      <c r="BU49" s="1658"/>
      <c r="BV49" s="1658"/>
      <c r="BW49" s="1658"/>
      <c r="BX49" s="1658"/>
      <c r="BY49" s="1658"/>
      <c r="BZ49" s="1658"/>
      <c r="CA49" s="1658"/>
      <c r="CB49" s="1658"/>
      <c r="CC49" s="1658"/>
      <c r="CD49" s="1658"/>
      <c r="CE49" s="1658"/>
      <c r="CF49" s="1658"/>
      <c r="CG49" s="1658"/>
      <c r="CH49" s="1658"/>
      <c r="CI49" s="1658"/>
      <c r="CJ49" s="1658"/>
      <c r="CK49" s="1658"/>
      <c r="CL49" s="1658"/>
      <c r="CM49" s="1658"/>
      <c r="CN49" s="1658"/>
      <c r="CO49" s="1658"/>
      <c r="CP49" s="1658"/>
      <c r="CQ49" s="1658"/>
      <c r="CR49" s="1658"/>
      <c r="CS49" s="1658"/>
      <c r="CT49" s="1658"/>
      <c r="CU49" s="1658"/>
      <c r="CV49" s="1658"/>
      <c r="CW49" s="1658"/>
      <c r="CX49" s="1658"/>
      <c r="CY49" s="1658"/>
      <c r="CZ49" s="1658"/>
    </row>
    <row r="50" spans="8:8" ht="15.75">
      <c r="A50" s="1653" t="s">
        <v>102</v>
      </c>
      <c r="B50" s="1654">
        <f t="shared" si="0"/>
        <v>10.0</v>
      </c>
      <c r="C50" s="1655">
        <f>SUM(E50:CZ50)</f>
        <v>0.0</v>
      </c>
      <c r="D50" s="1656">
        <v>10.0</v>
      </c>
      <c r="E50" s="1657"/>
      <c r="F50" s="1658"/>
      <c r="G50" s="1658"/>
      <c r="H50" s="1658"/>
      <c r="I50" s="1658"/>
      <c r="J50" s="1658"/>
      <c r="K50" s="1658"/>
      <c r="L50" s="1658"/>
      <c r="M50" s="1658"/>
      <c r="N50" s="1658"/>
      <c r="O50" s="1658"/>
      <c r="P50" s="1658"/>
      <c r="Q50" s="1658"/>
      <c r="R50" s="1658"/>
      <c r="S50" s="1658"/>
      <c r="T50" s="1658"/>
      <c r="U50" s="1658"/>
      <c r="V50" s="1658"/>
      <c r="W50" s="1658"/>
      <c r="X50" s="1658"/>
      <c r="Y50" s="1658"/>
      <c r="Z50" s="1658"/>
      <c r="AA50" s="1658"/>
      <c r="AB50" s="1658"/>
      <c r="AC50" s="1658"/>
      <c r="AD50" s="1658"/>
      <c r="AE50" s="1658"/>
      <c r="AF50" s="1658"/>
      <c r="AG50" s="1658"/>
      <c r="AH50" s="1658"/>
      <c r="AI50" s="1658"/>
      <c r="AJ50" s="1658"/>
      <c r="AK50" s="1658"/>
      <c r="AL50" s="1658"/>
      <c r="AM50" s="1658"/>
      <c r="AN50" s="1658"/>
      <c r="AO50" s="1658"/>
      <c r="AP50" s="1658"/>
      <c r="AQ50" s="1658"/>
      <c r="AR50" s="1658"/>
      <c r="AS50" s="1658"/>
      <c r="AT50" s="1658"/>
      <c r="AU50" s="1658"/>
      <c r="AV50" s="1658"/>
      <c r="AW50" s="1658"/>
      <c r="AX50" s="1658"/>
      <c r="AY50" s="1658"/>
      <c r="AZ50" s="1658"/>
      <c r="BA50" s="1658"/>
      <c r="BB50" s="1658"/>
      <c r="BC50" s="1658"/>
      <c r="BD50" s="1658"/>
      <c r="BE50" s="1658"/>
      <c r="BF50" s="1658"/>
      <c r="BG50" s="1658"/>
      <c r="BH50" s="1658"/>
      <c r="BI50" s="1658"/>
      <c r="BJ50" s="1658"/>
      <c r="BK50" s="1658"/>
      <c r="BL50" s="1658"/>
      <c r="BM50" s="1658"/>
      <c r="BN50" s="1658"/>
      <c r="BO50" s="1658"/>
      <c r="BP50" s="1658"/>
      <c r="BQ50" s="1658"/>
      <c r="BR50" s="1658"/>
      <c r="BS50" s="1658"/>
      <c r="BT50" s="1658"/>
      <c r="BU50" s="1658"/>
      <c r="BV50" s="1658"/>
      <c r="BW50" s="1658"/>
      <c r="BX50" s="1658"/>
      <c r="BY50" s="1658"/>
      <c r="BZ50" s="1658"/>
      <c r="CA50" s="1658"/>
      <c r="CB50" s="1658"/>
      <c r="CC50" s="1658"/>
      <c r="CD50" s="1658"/>
      <c r="CE50" s="1658"/>
      <c r="CF50" s="1658"/>
      <c r="CG50" s="1658"/>
      <c r="CH50" s="1658"/>
      <c r="CI50" s="1658"/>
      <c r="CJ50" s="1658"/>
      <c r="CK50" s="1658"/>
      <c r="CL50" s="1658"/>
      <c r="CM50" s="1658"/>
      <c r="CN50" s="1658"/>
      <c r="CO50" s="1658"/>
      <c r="CP50" s="1658"/>
      <c r="CQ50" s="1658"/>
      <c r="CR50" s="1658"/>
      <c r="CS50" s="1658"/>
      <c r="CT50" s="1658"/>
      <c r="CU50" s="1658"/>
      <c r="CV50" s="1658"/>
      <c r="CW50" s="1658"/>
      <c r="CX50" s="1658"/>
      <c r="CY50" s="1658"/>
      <c r="CZ50" s="1658"/>
    </row>
    <row r="51" spans="8:8" ht="15.75">
      <c r="A51" s="1653" t="s">
        <v>106</v>
      </c>
      <c r="B51" s="1654">
        <f t="shared" si="0"/>
        <v>5.0</v>
      </c>
      <c r="C51" s="1655">
        <f t="shared" si="1"/>
        <v>0.0</v>
      </c>
      <c r="D51" s="1656">
        <v>5.0</v>
      </c>
      <c r="E51" s="1657"/>
      <c r="F51" s="1658"/>
      <c r="G51" s="1658"/>
      <c r="H51" s="1658"/>
      <c r="I51" s="1658"/>
      <c r="J51" s="1658"/>
      <c r="K51" s="1658"/>
      <c r="L51" s="1658"/>
      <c r="M51" s="1658"/>
      <c r="N51" s="1658"/>
      <c r="O51" s="1658"/>
      <c r="P51" s="1658"/>
      <c r="Q51" s="1658"/>
      <c r="R51" s="1658"/>
      <c r="S51" s="1658"/>
      <c r="T51" s="1658"/>
      <c r="U51" s="1658"/>
      <c r="V51" s="1658"/>
      <c r="W51" s="1658"/>
      <c r="X51" s="1658"/>
      <c r="Y51" s="1658"/>
      <c r="Z51" s="1658"/>
      <c r="AA51" s="1658"/>
      <c r="AB51" s="1658"/>
      <c r="AC51" s="1658"/>
      <c r="AD51" s="1658"/>
      <c r="AE51" s="1658"/>
      <c r="AF51" s="1658"/>
      <c r="AG51" s="1658"/>
      <c r="AH51" s="1658"/>
      <c r="AI51" s="1658"/>
      <c r="AJ51" s="1658"/>
      <c r="AK51" s="1658"/>
      <c r="AL51" s="1658"/>
      <c r="AM51" s="1658"/>
      <c r="AN51" s="1658"/>
      <c r="AO51" s="1658"/>
      <c r="AP51" s="1658"/>
      <c r="AQ51" s="1658"/>
      <c r="AR51" s="1658"/>
      <c r="AS51" s="1658"/>
      <c r="AT51" s="1658"/>
      <c r="AU51" s="1658"/>
      <c r="AV51" s="1658"/>
      <c r="AW51" s="1658"/>
      <c r="AX51" s="1658"/>
      <c r="AY51" s="1658"/>
      <c r="AZ51" s="1658"/>
      <c r="BA51" s="1658"/>
      <c r="BB51" s="1658"/>
      <c r="BC51" s="1658"/>
      <c r="BD51" s="1658"/>
      <c r="BE51" s="1658"/>
      <c r="BF51" s="1658"/>
      <c r="BG51" s="1658"/>
      <c r="BH51" s="1658"/>
      <c r="BI51" s="1658"/>
      <c r="BJ51" s="1658"/>
      <c r="BK51" s="1658"/>
      <c r="BL51" s="1658"/>
      <c r="BM51" s="1658"/>
      <c r="BN51" s="1658"/>
      <c r="BO51" s="1658"/>
      <c r="BP51" s="1658"/>
      <c r="BQ51" s="1658"/>
      <c r="BR51" s="1658"/>
      <c r="BS51" s="1658"/>
      <c r="BT51" s="1658"/>
      <c r="BU51" s="1658"/>
      <c r="BV51" s="1658"/>
      <c r="BW51" s="1658"/>
      <c r="BX51" s="1658"/>
      <c r="BY51" s="1658"/>
      <c r="BZ51" s="1658"/>
      <c r="CA51" s="1658"/>
      <c r="CB51" s="1658"/>
      <c r="CC51" s="1658"/>
      <c r="CD51" s="1658"/>
      <c r="CE51" s="1658"/>
      <c r="CF51" s="1658"/>
      <c r="CG51" s="1658"/>
      <c r="CH51" s="1658"/>
      <c r="CI51" s="1658"/>
      <c r="CJ51" s="1658"/>
      <c r="CK51" s="1658"/>
      <c r="CL51" s="1658"/>
      <c r="CM51" s="1658"/>
      <c r="CN51" s="1658"/>
      <c r="CO51" s="1658"/>
      <c r="CP51" s="1658"/>
      <c r="CQ51" s="1658"/>
      <c r="CR51" s="1658"/>
      <c r="CS51" s="1658"/>
      <c r="CT51" s="1658"/>
      <c r="CU51" s="1658"/>
      <c r="CV51" s="1658"/>
      <c r="CW51" s="1658"/>
      <c r="CX51" s="1658"/>
      <c r="CY51" s="1658"/>
      <c r="CZ51" s="1658"/>
    </row>
    <row r="52" spans="8:8" ht="15.75">
      <c r="A52" s="1653" t="s">
        <v>108</v>
      </c>
      <c r="B52" s="1654">
        <f t="shared" si="0"/>
        <v>1.0</v>
      </c>
      <c r="C52" s="1655">
        <f t="shared" si="1"/>
        <v>0.0</v>
      </c>
      <c r="D52" s="1656">
        <v>1.0</v>
      </c>
      <c r="E52" s="1657"/>
      <c r="F52" s="1658"/>
      <c r="G52" s="1658"/>
      <c r="H52" s="1658"/>
      <c r="I52" s="1658"/>
      <c r="J52" s="1658"/>
      <c r="K52" s="1658"/>
      <c r="L52" s="1658"/>
      <c r="M52" s="1658"/>
      <c r="N52" s="1658"/>
      <c r="O52" s="1658"/>
      <c r="P52" s="1658"/>
      <c r="Q52" s="1658"/>
      <c r="R52" s="1658"/>
      <c r="S52" s="1658"/>
      <c r="T52" s="1658"/>
      <c r="U52" s="1658"/>
      <c r="V52" s="1658"/>
      <c r="W52" s="1658"/>
      <c r="X52" s="1658"/>
      <c r="Y52" s="1658"/>
      <c r="Z52" s="1658"/>
      <c r="AA52" s="1658"/>
      <c r="AB52" s="1658"/>
      <c r="AC52" s="1658"/>
      <c r="AD52" s="1658"/>
      <c r="AE52" s="1658"/>
      <c r="AF52" s="1658"/>
      <c r="AG52" s="1658"/>
      <c r="AH52" s="1658"/>
      <c r="AI52" s="1658"/>
      <c r="AJ52" s="1658"/>
      <c r="AK52" s="1658"/>
      <c r="AL52" s="1658"/>
      <c r="AM52" s="1658"/>
      <c r="AN52" s="1658"/>
      <c r="AO52" s="1658"/>
      <c r="AP52" s="1658"/>
      <c r="AQ52" s="1658"/>
      <c r="AR52" s="1658"/>
      <c r="AS52" s="1658"/>
      <c r="AT52" s="1658"/>
      <c r="AU52" s="1658"/>
      <c r="AV52" s="1658"/>
      <c r="AW52" s="1658"/>
      <c r="AX52" s="1658"/>
      <c r="AY52" s="1658"/>
      <c r="AZ52" s="1658"/>
      <c r="BA52" s="1658"/>
      <c r="BB52" s="1658"/>
      <c r="BC52" s="1658"/>
      <c r="BD52" s="1658"/>
      <c r="BE52" s="1658"/>
      <c r="BF52" s="1658"/>
      <c r="BG52" s="1658"/>
      <c r="BH52" s="1658"/>
      <c r="BI52" s="1658"/>
      <c r="BJ52" s="1658"/>
      <c r="BK52" s="1658"/>
      <c r="BL52" s="1658"/>
      <c r="BM52" s="1658"/>
      <c r="BN52" s="1658"/>
      <c r="BO52" s="1658"/>
      <c r="BP52" s="1658"/>
      <c r="BQ52" s="1658"/>
      <c r="BR52" s="1658"/>
      <c r="BS52" s="1658"/>
      <c r="BT52" s="1658"/>
      <c r="BU52" s="1658"/>
      <c r="BV52" s="1658"/>
      <c r="BW52" s="1658"/>
      <c r="BX52" s="1658"/>
      <c r="BY52" s="1658"/>
      <c r="BZ52" s="1658"/>
      <c r="CA52" s="1658"/>
      <c r="CB52" s="1658"/>
      <c r="CC52" s="1658"/>
      <c r="CD52" s="1658"/>
      <c r="CE52" s="1658"/>
      <c r="CF52" s="1658"/>
      <c r="CG52" s="1658"/>
      <c r="CH52" s="1658"/>
      <c r="CI52" s="1658"/>
      <c r="CJ52" s="1658"/>
      <c r="CK52" s="1658"/>
      <c r="CL52" s="1658"/>
      <c r="CM52" s="1658"/>
      <c r="CN52" s="1658"/>
      <c r="CO52" s="1658"/>
      <c r="CP52" s="1658"/>
      <c r="CQ52" s="1658"/>
      <c r="CR52" s="1658"/>
      <c r="CS52" s="1658"/>
      <c r="CT52" s="1658"/>
      <c r="CU52" s="1658"/>
      <c r="CV52" s="1658"/>
      <c r="CW52" s="1658"/>
      <c r="CX52" s="1658"/>
      <c r="CY52" s="1658"/>
      <c r="CZ52" s="1658"/>
    </row>
    <row r="53" spans="8:8" ht="15.75">
      <c r="A53" s="1653" t="s">
        <v>111</v>
      </c>
      <c r="B53" s="1654">
        <f t="shared" si="0"/>
        <v>1.0</v>
      </c>
      <c r="C53" s="1655">
        <f t="shared" si="1"/>
        <v>0.0</v>
      </c>
      <c r="D53" s="1656">
        <v>1.0</v>
      </c>
      <c r="E53" s="1657"/>
      <c r="F53" s="1658"/>
      <c r="G53" s="1658"/>
      <c r="H53" s="1658"/>
      <c r="I53" s="1658"/>
      <c r="J53" s="1658"/>
      <c r="K53" s="1658"/>
      <c r="L53" s="1658"/>
      <c r="M53" s="1658"/>
      <c r="N53" s="1658"/>
      <c r="O53" s="1658"/>
      <c r="P53" s="1658"/>
      <c r="Q53" s="1658"/>
      <c r="R53" s="1658"/>
      <c r="S53" s="1658"/>
      <c r="T53" s="1658"/>
      <c r="U53" s="1658"/>
      <c r="V53" s="1658"/>
      <c r="W53" s="1658"/>
      <c r="X53" s="1658"/>
      <c r="Y53" s="1658"/>
      <c r="Z53" s="1658"/>
      <c r="AA53" s="1658"/>
      <c r="AB53" s="1658"/>
      <c r="AC53" s="1658"/>
      <c r="AD53" s="1658"/>
      <c r="AE53" s="1658"/>
      <c r="AF53" s="1658"/>
      <c r="AG53" s="1658"/>
      <c r="AH53" s="1658"/>
      <c r="AI53" s="1658"/>
      <c r="AJ53" s="1658"/>
      <c r="AK53" s="1658"/>
      <c r="AL53" s="1658"/>
      <c r="AM53" s="1658"/>
      <c r="AN53" s="1658"/>
      <c r="AO53" s="1658"/>
      <c r="AP53" s="1658"/>
      <c r="AQ53" s="1658"/>
      <c r="AR53" s="1658"/>
      <c r="AS53" s="1658"/>
      <c r="AT53" s="1658"/>
      <c r="AU53" s="1658"/>
      <c r="AV53" s="1658"/>
      <c r="AW53" s="1658"/>
      <c r="AX53" s="1658"/>
      <c r="AY53" s="1658"/>
      <c r="AZ53" s="1658"/>
      <c r="BA53" s="1658"/>
      <c r="BB53" s="1658"/>
      <c r="BC53" s="1658"/>
      <c r="BD53" s="1658"/>
      <c r="BE53" s="1658"/>
      <c r="BF53" s="1658"/>
      <c r="BG53" s="1658"/>
      <c r="BH53" s="1658"/>
      <c r="BI53" s="1658"/>
      <c r="BJ53" s="1658"/>
      <c r="BK53" s="1658"/>
      <c r="BL53" s="1658"/>
      <c r="BM53" s="1658"/>
      <c r="BN53" s="1658"/>
      <c r="BO53" s="1658"/>
      <c r="BP53" s="1658"/>
      <c r="BQ53" s="1658"/>
      <c r="BR53" s="1658"/>
      <c r="BS53" s="1658"/>
      <c r="BT53" s="1658"/>
      <c r="BU53" s="1658"/>
      <c r="BV53" s="1658"/>
      <c r="BW53" s="1658"/>
      <c r="BX53" s="1658"/>
      <c r="BY53" s="1658"/>
      <c r="BZ53" s="1658"/>
      <c r="CA53" s="1658"/>
      <c r="CB53" s="1658"/>
      <c r="CC53" s="1658"/>
      <c r="CD53" s="1658"/>
      <c r="CE53" s="1658"/>
      <c r="CF53" s="1658"/>
      <c r="CG53" s="1658"/>
      <c r="CH53" s="1658"/>
      <c r="CI53" s="1658"/>
      <c r="CJ53" s="1658"/>
      <c r="CK53" s="1658"/>
      <c r="CL53" s="1658"/>
      <c r="CM53" s="1658"/>
      <c r="CN53" s="1658"/>
      <c r="CO53" s="1658"/>
      <c r="CP53" s="1658"/>
      <c r="CQ53" s="1658"/>
      <c r="CR53" s="1658"/>
      <c r="CS53" s="1658"/>
      <c r="CT53" s="1658"/>
      <c r="CU53" s="1658"/>
      <c r="CV53" s="1658"/>
      <c r="CW53" s="1658"/>
      <c r="CX53" s="1658"/>
      <c r="CY53" s="1658"/>
      <c r="CZ53" s="1658"/>
    </row>
    <row r="54" spans="8:8" ht="15.75">
      <c r="A54" s="1653" t="s">
        <v>113</v>
      </c>
      <c r="B54" s="1654">
        <f t="shared" si="0"/>
        <v>1.0</v>
      </c>
      <c r="C54" s="1655">
        <f t="shared" si="1"/>
        <v>0.0</v>
      </c>
      <c r="D54" s="1656">
        <v>1.0</v>
      </c>
      <c r="E54" s="1657"/>
      <c r="F54" s="1658"/>
      <c r="G54" s="1658"/>
      <c r="H54" s="1658"/>
      <c r="I54" s="1658"/>
      <c r="J54" s="1658"/>
      <c r="K54" s="1658"/>
      <c r="L54" s="1658"/>
      <c r="M54" s="1658"/>
      <c r="N54" s="1658"/>
      <c r="O54" s="1658"/>
      <c r="P54" s="1658"/>
      <c r="Q54" s="1658"/>
      <c r="R54" s="1658"/>
      <c r="S54" s="1658"/>
      <c r="T54" s="1658"/>
      <c r="U54" s="1658"/>
      <c r="V54" s="1658"/>
      <c r="W54" s="1658"/>
      <c r="X54" s="1658"/>
      <c r="Y54" s="1658"/>
      <c r="Z54" s="1658"/>
      <c r="AA54" s="1658"/>
      <c r="AB54" s="1658"/>
      <c r="AC54" s="1658"/>
      <c r="AD54" s="1658"/>
      <c r="AE54" s="1658"/>
      <c r="AF54" s="1658"/>
      <c r="AG54" s="1658"/>
      <c r="AH54" s="1658"/>
      <c r="AI54" s="1658"/>
      <c r="AJ54" s="1658"/>
      <c r="AK54" s="1658"/>
      <c r="AL54" s="1658"/>
      <c r="AM54" s="1658"/>
      <c r="AN54" s="1658"/>
      <c r="AO54" s="1658"/>
      <c r="AP54" s="1658"/>
      <c r="AQ54" s="1658"/>
      <c r="AR54" s="1658"/>
      <c r="AS54" s="1658"/>
      <c r="AT54" s="1658"/>
      <c r="AU54" s="1658"/>
      <c r="AV54" s="1658"/>
      <c r="AW54" s="1658"/>
      <c r="AX54" s="1658"/>
      <c r="AY54" s="1658"/>
      <c r="AZ54" s="1658"/>
      <c r="BA54" s="1658"/>
      <c r="BB54" s="1658"/>
      <c r="BC54" s="1658"/>
      <c r="BD54" s="1658"/>
      <c r="BE54" s="1658"/>
      <c r="BF54" s="1658"/>
      <c r="BG54" s="1658"/>
      <c r="BH54" s="1658"/>
      <c r="BI54" s="1658"/>
      <c r="BJ54" s="1658"/>
      <c r="BK54" s="1658"/>
      <c r="BL54" s="1658"/>
      <c r="BM54" s="1658"/>
      <c r="BN54" s="1658"/>
      <c r="BO54" s="1658"/>
      <c r="BP54" s="1658"/>
      <c r="BQ54" s="1658"/>
      <c r="BR54" s="1658"/>
      <c r="BS54" s="1658"/>
      <c r="BT54" s="1658"/>
      <c r="BU54" s="1658"/>
      <c r="BV54" s="1658"/>
      <c r="BW54" s="1658"/>
      <c r="BX54" s="1658"/>
      <c r="BY54" s="1658"/>
      <c r="BZ54" s="1658"/>
      <c r="CA54" s="1658"/>
      <c r="CB54" s="1658"/>
      <c r="CC54" s="1658"/>
      <c r="CD54" s="1658"/>
      <c r="CE54" s="1658"/>
      <c r="CF54" s="1658"/>
      <c r="CG54" s="1658"/>
      <c r="CH54" s="1658"/>
      <c r="CI54" s="1658"/>
      <c r="CJ54" s="1658"/>
      <c r="CK54" s="1658"/>
      <c r="CL54" s="1658"/>
      <c r="CM54" s="1658"/>
      <c r="CN54" s="1658"/>
      <c r="CO54" s="1658"/>
      <c r="CP54" s="1658"/>
      <c r="CQ54" s="1658"/>
      <c r="CR54" s="1658"/>
      <c r="CS54" s="1658"/>
      <c r="CT54" s="1658"/>
      <c r="CU54" s="1658"/>
      <c r="CV54" s="1658"/>
      <c r="CW54" s="1658"/>
      <c r="CX54" s="1658"/>
      <c r="CY54" s="1658"/>
      <c r="CZ54" s="1658"/>
    </row>
    <row r="55" spans="8:8" ht="15.75">
      <c r="A55" s="1653" t="s">
        <v>117</v>
      </c>
      <c r="B55" s="1654">
        <f t="shared" si="0"/>
        <v>10.0</v>
      </c>
      <c r="C55" s="1655">
        <f t="shared" si="1"/>
        <v>0.0</v>
      </c>
      <c r="D55" s="1656">
        <v>10.0</v>
      </c>
      <c r="E55" s="1657"/>
      <c r="F55" s="1658"/>
      <c r="G55" s="1658"/>
      <c r="H55" s="1658"/>
      <c r="I55" s="1658"/>
      <c r="J55" s="1658"/>
      <c r="K55" s="1658"/>
      <c r="L55" s="1658"/>
      <c r="M55" s="1658"/>
      <c r="N55" s="1658"/>
      <c r="O55" s="1658"/>
      <c r="P55" s="1658"/>
      <c r="Q55" s="1658"/>
      <c r="R55" s="1658"/>
      <c r="S55" s="1658"/>
      <c r="T55" s="1658"/>
      <c r="U55" s="1658"/>
      <c r="V55" s="1658"/>
      <c r="W55" s="1658"/>
      <c r="X55" s="1658"/>
      <c r="Y55" s="1658"/>
      <c r="Z55" s="1658"/>
      <c r="AA55" s="1658"/>
      <c r="AB55" s="1658"/>
      <c r="AC55" s="1658"/>
      <c r="AD55" s="1658"/>
      <c r="AE55" s="1658"/>
      <c r="AF55" s="1658"/>
      <c r="AG55" s="1658"/>
      <c r="AH55" s="1658"/>
      <c r="AI55" s="1658"/>
      <c r="AJ55" s="1658"/>
      <c r="AK55" s="1658"/>
      <c r="AL55" s="1658"/>
      <c r="AM55" s="1658"/>
      <c r="AN55" s="1658"/>
      <c r="AO55" s="1658"/>
      <c r="AP55" s="1658"/>
      <c r="AQ55" s="1658"/>
      <c r="AR55" s="1658"/>
      <c r="AS55" s="1658"/>
      <c r="AT55" s="1658"/>
      <c r="AU55" s="1658"/>
      <c r="AV55" s="1658"/>
      <c r="AW55" s="1658"/>
      <c r="AX55" s="1658"/>
      <c r="AY55" s="1658"/>
      <c r="AZ55" s="1658"/>
      <c r="BA55" s="1658"/>
      <c r="BB55" s="1658"/>
      <c r="BC55" s="1658"/>
      <c r="BD55" s="1658"/>
      <c r="BE55" s="1658"/>
      <c r="BF55" s="1658"/>
      <c r="BG55" s="1658"/>
      <c r="BH55" s="1658"/>
      <c r="BI55" s="1658"/>
      <c r="BJ55" s="1658"/>
      <c r="BK55" s="1658"/>
      <c r="BL55" s="1658"/>
      <c r="BM55" s="1658"/>
      <c r="BN55" s="1658"/>
      <c r="BO55" s="1658"/>
      <c r="BP55" s="1658"/>
      <c r="BQ55" s="1658"/>
      <c r="BR55" s="1658"/>
      <c r="BS55" s="1658"/>
      <c r="BT55" s="1658"/>
      <c r="BU55" s="1658"/>
      <c r="BV55" s="1658"/>
      <c r="BW55" s="1658"/>
      <c r="BX55" s="1658"/>
      <c r="BY55" s="1658"/>
      <c r="BZ55" s="1658"/>
      <c r="CA55" s="1658"/>
      <c r="CB55" s="1658"/>
      <c r="CC55" s="1658"/>
      <c r="CD55" s="1658"/>
      <c r="CE55" s="1658"/>
      <c r="CF55" s="1658"/>
      <c r="CG55" s="1658"/>
      <c r="CH55" s="1658"/>
      <c r="CI55" s="1658"/>
      <c r="CJ55" s="1658"/>
      <c r="CK55" s="1658"/>
      <c r="CL55" s="1658"/>
      <c r="CM55" s="1658"/>
      <c r="CN55" s="1658"/>
      <c r="CO55" s="1658"/>
      <c r="CP55" s="1658"/>
      <c r="CQ55" s="1658"/>
      <c r="CR55" s="1658"/>
      <c r="CS55" s="1658"/>
      <c r="CT55" s="1658"/>
      <c r="CU55" s="1658"/>
      <c r="CV55" s="1658"/>
      <c r="CW55" s="1658"/>
      <c r="CX55" s="1658"/>
      <c r="CY55" s="1658"/>
      <c r="CZ55" s="1658"/>
    </row>
    <row r="56" spans="8:8" ht="15.75">
      <c r="A56" s="1653" t="s">
        <v>119</v>
      </c>
      <c r="B56" s="1654">
        <f t="shared" si="0"/>
        <v>25.0</v>
      </c>
      <c r="C56" s="1655">
        <f t="shared" si="1"/>
        <v>0.0</v>
      </c>
      <c r="D56" s="1656">
        <v>25.0</v>
      </c>
      <c r="E56" s="1657"/>
      <c r="F56" s="1658"/>
      <c r="G56" s="1658"/>
      <c r="H56" s="1658"/>
      <c r="I56" s="1658"/>
      <c r="J56" s="1658"/>
      <c r="K56" s="1658"/>
      <c r="L56" s="1658"/>
      <c r="M56" s="1658"/>
      <c r="N56" s="1658"/>
      <c r="O56" s="1658"/>
      <c r="P56" s="1658"/>
      <c r="Q56" s="1658"/>
      <c r="R56" s="1658"/>
      <c r="S56" s="1658"/>
      <c r="T56" s="1658"/>
      <c r="U56" s="1658"/>
      <c r="V56" s="1658"/>
      <c r="W56" s="1658"/>
      <c r="X56" s="1658"/>
      <c r="Y56" s="1658"/>
      <c r="Z56" s="1658"/>
      <c r="AA56" s="1658"/>
      <c r="AB56" s="1658"/>
      <c r="AC56" s="1658"/>
      <c r="AD56" s="1658"/>
      <c r="AE56" s="1658"/>
      <c r="AF56" s="1658"/>
      <c r="AG56" s="1658"/>
      <c r="AH56" s="1658"/>
      <c r="AI56" s="1658"/>
      <c r="AJ56" s="1658"/>
      <c r="AK56" s="1658"/>
      <c r="AL56" s="1658"/>
      <c r="AM56" s="1658"/>
      <c r="AN56" s="1658"/>
      <c r="AO56" s="1658"/>
      <c r="AP56" s="1658"/>
      <c r="AQ56" s="1658"/>
      <c r="AR56" s="1658"/>
      <c r="AS56" s="1658"/>
      <c r="AT56" s="1658"/>
      <c r="AU56" s="1658"/>
      <c r="AV56" s="1658"/>
      <c r="AW56" s="1658"/>
      <c r="AX56" s="1658"/>
      <c r="AY56" s="1658"/>
      <c r="AZ56" s="1658"/>
      <c r="BA56" s="1658"/>
      <c r="BB56" s="1658"/>
      <c r="BC56" s="1658"/>
      <c r="BD56" s="1658"/>
      <c r="BE56" s="1658"/>
      <c r="BF56" s="1658"/>
      <c r="BG56" s="1658"/>
      <c r="BH56" s="1658"/>
      <c r="BI56" s="1658"/>
      <c r="BJ56" s="1658"/>
      <c r="BK56" s="1658"/>
      <c r="BL56" s="1658"/>
      <c r="BM56" s="1658"/>
      <c r="BN56" s="1658"/>
      <c r="BO56" s="1658"/>
      <c r="BP56" s="1658"/>
      <c r="BQ56" s="1658"/>
      <c r="BR56" s="1658"/>
      <c r="BS56" s="1658"/>
      <c r="BT56" s="1658"/>
      <c r="BU56" s="1658"/>
      <c r="BV56" s="1658"/>
      <c r="BW56" s="1658"/>
      <c r="BX56" s="1658"/>
      <c r="BY56" s="1658"/>
      <c r="BZ56" s="1658"/>
      <c r="CA56" s="1658"/>
      <c r="CB56" s="1658"/>
      <c r="CC56" s="1658"/>
      <c r="CD56" s="1658"/>
      <c r="CE56" s="1658"/>
      <c r="CF56" s="1658"/>
      <c r="CG56" s="1658"/>
      <c r="CH56" s="1658"/>
      <c r="CI56" s="1658"/>
      <c r="CJ56" s="1658"/>
      <c r="CK56" s="1658"/>
      <c r="CL56" s="1658"/>
      <c r="CM56" s="1658"/>
      <c r="CN56" s="1658"/>
      <c r="CO56" s="1658"/>
      <c r="CP56" s="1658"/>
      <c r="CQ56" s="1658"/>
      <c r="CR56" s="1658"/>
      <c r="CS56" s="1658"/>
      <c r="CT56" s="1658"/>
      <c r="CU56" s="1658"/>
      <c r="CV56" s="1658"/>
      <c r="CW56" s="1658"/>
      <c r="CX56" s="1658"/>
      <c r="CY56" s="1658"/>
      <c r="CZ56" s="1658"/>
    </row>
    <row r="57" spans="8:8" ht="15.75">
      <c r="A57" s="1653" t="s">
        <v>123</v>
      </c>
      <c r="B57" s="1654">
        <f t="shared" si="0"/>
        <v>20.0</v>
      </c>
      <c r="C57" s="1655">
        <f t="shared" si="1"/>
        <v>0.0</v>
      </c>
      <c r="D57" s="1656">
        <v>20.0</v>
      </c>
      <c r="E57" s="1657"/>
      <c r="F57" s="1658"/>
      <c r="G57" s="1658"/>
      <c r="H57" s="1658"/>
      <c r="I57" s="1658"/>
      <c r="J57" s="1658"/>
      <c r="K57" s="1658"/>
      <c r="L57" s="1658"/>
      <c r="M57" s="1658"/>
      <c r="N57" s="1658"/>
      <c r="O57" s="1658"/>
      <c r="P57" s="1658"/>
      <c r="Q57" s="1658"/>
      <c r="R57" s="1658"/>
      <c r="S57" s="1658"/>
      <c r="T57" s="1658"/>
      <c r="U57" s="1658"/>
      <c r="V57" s="1658"/>
      <c r="W57" s="1658"/>
      <c r="X57" s="1658"/>
      <c r="Y57" s="1658"/>
      <c r="Z57" s="1658"/>
      <c r="AA57" s="1658"/>
      <c r="AB57" s="1658"/>
      <c r="AC57" s="1658"/>
      <c r="AD57" s="1658"/>
      <c r="AE57" s="1658"/>
      <c r="AF57" s="1658"/>
      <c r="AG57" s="1658"/>
      <c r="AH57" s="1658"/>
      <c r="AI57" s="1658"/>
      <c r="AJ57" s="1658"/>
      <c r="AK57" s="1658"/>
      <c r="AL57" s="1658"/>
      <c r="AM57" s="1658"/>
      <c r="AN57" s="1658"/>
      <c r="AO57" s="1658"/>
      <c r="AP57" s="1658"/>
      <c r="AQ57" s="1658"/>
      <c r="AR57" s="1658"/>
      <c r="AS57" s="1658"/>
      <c r="AT57" s="1658"/>
      <c r="AU57" s="1658"/>
      <c r="AV57" s="1658"/>
      <c r="AW57" s="1658"/>
      <c r="AX57" s="1658"/>
      <c r="AY57" s="1658"/>
      <c r="AZ57" s="1658"/>
      <c r="BA57" s="1658"/>
      <c r="BB57" s="1658"/>
      <c r="BC57" s="1658"/>
      <c r="BD57" s="1658"/>
      <c r="BE57" s="1658"/>
      <c r="BF57" s="1658"/>
      <c r="BG57" s="1658"/>
      <c r="BH57" s="1658"/>
      <c r="BI57" s="1658"/>
      <c r="BJ57" s="1658"/>
      <c r="BK57" s="1658"/>
      <c r="BL57" s="1658"/>
      <c r="BM57" s="1658"/>
      <c r="BN57" s="1658"/>
      <c r="BO57" s="1658"/>
      <c r="BP57" s="1658"/>
      <c r="BQ57" s="1658"/>
      <c r="BR57" s="1658"/>
      <c r="BS57" s="1658"/>
      <c r="BT57" s="1658"/>
      <c r="BU57" s="1658"/>
      <c r="BV57" s="1658"/>
      <c r="BW57" s="1658"/>
      <c r="BX57" s="1658"/>
      <c r="BY57" s="1658"/>
      <c r="BZ57" s="1658"/>
      <c r="CA57" s="1658"/>
      <c r="CB57" s="1658"/>
      <c r="CC57" s="1658"/>
      <c r="CD57" s="1658"/>
      <c r="CE57" s="1658"/>
      <c r="CF57" s="1658"/>
      <c r="CG57" s="1658"/>
      <c r="CH57" s="1658"/>
      <c r="CI57" s="1658"/>
      <c r="CJ57" s="1658"/>
      <c r="CK57" s="1658"/>
      <c r="CL57" s="1658"/>
      <c r="CM57" s="1658"/>
      <c r="CN57" s="1658"/>
      <c r="CO57" s="1658"/>
      <c r="CP57" s="1658"/>
      <c r="CQ57" s="1658"/>
      <c r="CR57" s="1658"/>
      <c r="CS57" s="1658"/>
      <c r="CT57" s="1658"/>
      <c r="CU57" s="1658"/>
      <c r="CV57" s="1658"/>
      <c r="CW57" s="1658"/>
      <c r="CX57" s="1658"/>
      <c r="CY57" s="1658"/>
      <c r="CZ57" s="1658"/>
    </row>
    <row r="58" spans="8:8" ht="15.75">
      <c r="A58" s="1653" t="s">
        <v>128</v>
      </c>
      <c r="B58" s="1654">
        <f t="shared" si="0"/>
        <v>10.0</v>
      </c>
      <c r="C58" s="1655">
        <f t="shared" si="1"/>
        <v>0.0</v>
      </c>
      <c r="D58" s="1656">
        <v>10.0</v>
      </c>
      <c r="E58" s="1657"/>
      <c r="F58" s="1658"/>
      <c r="G58" s="1658"/>
      <c r="H58" s="1658"/>
      <c r="I58" s="1658"/>
      <c r="J58" s="1658"/>
      <c r="K58" s="1658"/>
      <c r="L58" s="1658"/>
      <c r="M58" s="1658"/>
      <c r="N58" s="1658"/>
      <c r="O58" s="1658"/>
      <c r="P58" s="1658"/>
      <c r="Q58" s="1658"/>
      <c r="R58" s="1658"/>
      <c r="S58" s="1658"/>
      <c r="T58" s="1658"/>
      <c r="U58" s="1658"/>
      <c r="V58" s="1658"/>
      <c r="W58" s="1658"/>
      <c r="X58" s="1658"/>
      <c r="Y58" s="1658"/>
      <c r="Z58" s="1658"/>
      <c r="AA58" s="1658"/>
      <c r="AB58" s="1658"/>
      <c r="AC58" s="1658"/>
      <c r="AD58" s="1658"/>
      <c r="AE58" s="1658"/>
      <c r="AF58" s="1658"/>
      <c r="AG58" s="1658"/>
      <c r="AH58" s="1658"/>
      <c r="AI58" s="1658"/>
      <c r="AJ58" s="1658"/>
      <c r="AK58" s="1658"/>
      <c r="AL58" s="1658"/>
      <c r="AM58" s="1658"/>
      <c r="AN58" s="1658"/>
      <c r="AO58" s="1658"/>
      <c r="AP58" s="1658"/>
      <c r="AQ58" s="1658"/>
      <c r="AR58" s="1658"/>
      <c r="AS58" s="1658"/>
      <c r="AT58" s="1658"/>
      <c r="AU58" s="1658"/>
      <c r="AV58" s="1658"/>
      <c r="AW58" s="1658"/>
      <c r="AX58" s="1658"/>
      <c r="AY58" s="1658"/>
      <c r="AZ58" s="1658"/>
      <c r="BA58" s="1658"/>
      <c r="BB58" s="1658"/>
      <c r="BC58" s="1658"/>
      <c r="BD58" s="1658"/>
      <c r="BE58" s="1658"/>
      <c r="BF58" s="1658"/>
      <c r="BG58" s="1658"/>
      <c r="BH58" s="1658"/>
      <c r="BI58" s="1658"/>
      <c r="BJ58" s="1658"/>
      <c r="BK58" s="1658"/>
      <c r="BL58" s="1658"/>
      <c r="BM58" s="1658"/>
      <c r="BN58" s="1658"/>
      <c r="BO58" s="1658"/>
      <c r="BP58" s="1658"/>
      <c r="BQ58" s="1658"/>
      <c r="BR58" s="1658"/>
      <c r="BS58" s="1658"/>
      <c r="BT58" s="1658"/>
      <c r="BU58" s="1658"/>
      <c r="BV58" s="1658"/>
      <c r="BW58" s="1658"/>
      <c r="BX58" s="1658"/>
      <c r="BY58" s="1658"/>
      <c r="BZ58" s="1658"/>
      <c r="CA58" s="1658"/>
      <c r="CB58" s="1658"/>
      <c r="CC58" s="1658"/>
      <c r="CD58" s="1658"/>
      <c r="CE58" s="1658"/>
      <c r="CF58" s="1658"/>
      <c r="CG58" s="1658"/>
      <c r="CH58" s="1658"/>
      <c r="CI58" s="1658"/>
      <c r="CJ58" s="1658"/>
      <c r="CK58" s="1658"/>
      <c r="CL58" s="1658"/>
      <c r="CM58" s="1658"/>
      <c r="CN58" s="1658"/>
      <c r="CO58" s="1658"/>
      <c r="CP58" s="1658"/>
      <c r="CQ58" s="1658"/>
      <c r="CR58" s="1658"/>
      <c r="CS58" s="1658"/>
      <c r="CT58" s="1658"/>
      <c r="CU58" s="1658"/>
      <c r="CV58" s="1658"/>
      <c r="CW58" s="1658"/>
      <c r="CX58" s="1658"/>
      <c r="CY58" s="1658"/>
      <c r="CZ58" s="1658"/>
    </row>
    <row r="59" spans="8:8" ht="15.75">
      <c r="A59" s="1653" t="s">
        <v>131</v>
      </c>
      <c r="B59" s="1654">
        <f t="shared" si="0"/>
        <v>20.0</v>
      </c>
      <c r="C59" s="1655">
        <f t="shared" si="1"/>
        <v>0.0</v>
      </c>
      <c r="D59" s="1656">
        <v>20.0</v>
      </c>
      <c r="E59" s="1657"/>
      <c r="F59" s="1658"/>
      <c r="G59" s="1658"/>
      <c r="H59" s="1658"/>
      <c r="I59" s="1658"/>
      <c r="J59" s="1658"/>
      <c r="K59" s="1658"/>
      <c r="L59" s="1658"/>
      <c r="M59" s="1658"/>
      <c r="N59" s="1658"/>
      <c r="O59" s="1658"/>
      <c r="P59" s="1658"/>
      <c r="Q59" s="1658"/>
      <c r="R59" s="1658"/>
      <c r="S59" s="1658"/>
      <c r="T59" s="1658"/>
      <c r="U59" s="1658"/>
      <c r="V59" s="1658"/>
      <c r="W59" s="1658"/>
      <c r="X59" s="1658"/>
      <c r="Y59" s="1658"/>
      <c r="Z59" s="1658"/>
      <c r="AA59" s="1658"/>
      <c r="AB59" s="1658"/>
      <c r="AC59" s="1658"/>
      <c r="AD59" s="1658"/>
      <c r="AE59" s="1658"/>
      <c r="AF59" s="1658"/>
      <c r="AG59" s="1658"/>
      <c r="AH59" s="1658"/>
      <c r="AI59" s="1658"/>
      <c r="AJ59" s="1658"/>
      <c r="AK59" s="1658"/>
      <c r="AL59" s="1658"/>
      <c r="AM59" s="1658"/>
      <c r="AN59" s="1658"/>
      <c r="AO59" s="1658"/>
      <c r="AP59" s="1658"/>
      <c r="AQ59" s="1658"/>
      <c r="AR59" s="1658"/>
      <c r="AS59" s="1658"/>
      <c r="AT59" s="1658"/>
      <c r="AU59" s="1658"/>
      <c r="AV59" s="1658"/>
      <c r="AW59" s="1658"/>
      <c r="AX59" s="1658"/>
      <c r="AY59" s="1658"/>
      <c r="AZ59" s="1658"/>
      <c r="BA59" s="1658"/>
      <c r="BB59" s="1658"/>
      <c r="BC59" s="1658"/>
      <c r="BD59" s="1658"/>
      <c r="BE59" s="1658"/>
      <c r="BF59" s="1658"/>
      <c r="BG59" s="1658"/>
      <c r="BH59" s="1658"/>
      <c r="BI59" s="1658"/>
      <c r="BJ59" s="1658"/>
      <c r="BK59" s="1658"/>
      <c r="BL59" s="1658"/>
      <c r="BM59" s="1658"/>
      <c r="BN59" s="1658"/>
      <c r="BO59" s="1658"/>
      <c r="BP59" s="1658"/>
      <c r="BQ59" s="1658"/>
      <c r="BR59" s="1658"/>
      <c r="BS59" s="1658"/>
      <c r="BT59" s="1658"/>
      <c r="BU59" s="1658"/>
      <c r="BV59" s="1658"/>
      <c r="BW59" s="1658"/>
      <c r="BX59" s="1658"/>
      <c r="BY59" s="1658"/>
      <c r="BZ59" s="1658"/>
      <c r="CA59" s="1658"/>
      <c r="CB59" s="1658"/>
      <c r="CC59" s="1658"/>
      <c r="CD59" s="1658"/>
      <c r="CE59" s="1658"/>
      <c r="CF59" s="1658"/>
      <c r="CG59" s="1658"/>
      <c r="CH59" s="1658"/>
      <c r="CI59" s="1658"/>
      <c r="CJ59" s="1658"/>
      <c r="CK59" s="1658"/>
      <c r="CL59" s="1658"/>
      <c r="CM59" s="1658"/>
      <c r="CN59" s="1658"/>
      <c r="CO59" s="1658"/>
      <c r="CP59" s="1658"/>
      <c r="CQ59" s="1658"/>
      <c r="CR59" s="1658"/>
      <c r="CS59" s="1658"/>
      <c r="CT59" s="1658"/>
      <c r="CU59" s="1658"/>
      <c r="CV59" s="1658"/>
      <c r="CW59" s="1658"/>
      <c r="CX59" s="1658"/>
      <c r="CY59" s="1658"/>
      <c r="CZ59" s="1658"/>
    </row>
    <row r="60" spans="8:8" ht="15.75">
      <c r="A60" s="1653" t="s">
        <v>134</v>
      </c>
      <c r="B60" s="1654">
        <f t="shared" si="0"/>
        <v>20.0</v>
      </c>
      <c r="C60" s="1655">
        <f t="shared" si="1"/>
        <v>0.0</v>
      </c>
      <c r="D60" s="1656">
        <v>20.0</v>
      </c>
      <c r="E60" s="1657"/>
      <c r="F60" s="1658"/>
      <c r="G60" s="1658"/>
      <c r="H60" s="1658"/>
      <c r="I60" s="1658"/>
      <c r="J60" s="1658"/>
      <c r="K60" s="1658"/>
      <c r="L60" s="1658"/>
      <c r="M60" s="1658"/>
      <c r="N60" s="1658"/>
      <c r="O60" s="1658"/>
      <c r="P60" s="1658"/>
      <c r="Q60" s="1658"/>
      <c r="R60" s="1658"/>
      <c r="S60" s="1658"/>
      <c r="T60" s="1658"/>
      <c r="U60" s="1658"/>
      <c r="V60" s="1658"/>
      <c r="W60" s="1658"/>
      <c r="X60" s="1658"/>
      <c r="Y60" s="1658"/>
      <c r="Z60" s="1658"/>
      <c r="AA60" s="1658"/>
      <c r="AB60" s="1658"/>
      <c r="AC60" s="1658"/>
      <c r="AD60" s="1658"/>
      <c r="AE60" s="1658"/>
      <c r="AF60" s="1658"/>
      <c r="AG60" s="1658"/>
      <c r="AH60" s="1658"/>
      <c r="AI60" s="1658"/>
      <c r="AJ60" s="1658"/>
      <c r="AK60" s="1658"/>
      <c r="AL60" s="1658"/>
      <c r="AM60" s="1658"/>
      <c r="AN60" s="1658"/>
      <c r="AO60" s="1658"/>
      <c r="AP60" s="1658"/>
      <c r="AQ60" s="1658"/>
      <c r="AR60" s="1658"/>
      <c r="AS60" s="1658"/>
      <c r="AT60" s="1658"/>
      <c r="AU60" s="1658"/>
      <c r="AV60" s="1658"/>
      <c r="AW60" s="1658"/>
      <c r="AX60" s="1658"/>
      <c r="AY60" s="1658"/>
      <c r="AZ60" s="1658"/>
      <c r="BA60" s="1658"/>
      <c r="BB60" s="1658"/>
      <c r="BC60" s="1658"/>
      <c r="BD60" s="1658"/>
      <c r="BE60" s="1658"/>
      <c r="BF60" s="1658"/>
      <c r="BG60" s="1658"/>
      <c r="BH60" s="1658"/>
      <c r="BI60" s="1658"/>
      <c r="BJ60" s="1658"/>
      <c r="BK60" s="1658"/>
      <c r="BL60" s="1658"/>
      <c r="BM60" s="1658"/>
      <c r="BN60" s="1658"/>
      <c r="BO60" s="1658"/>
      <c r="BP60" s="1658"/>
      <c r="BQ60" s="1658"/>
      <c r="BR60" s="1658"/>
      <c r="BS60" s="1658"/>
      <c r="BT60" s="1658"/>
      <c r="BU60" s="1658"/>
      <c r="BV60" s="1658"/>
      <c r="BW60" s="1658"/>
      <c r="BX60" s="1658"/>
      <c r="BY60" s="1658"/>
      <c r="BZ60" s="1658"/>
      <c r="CA60" s="1658"/>
      <c r="CB60" s="1658"/>
      <c r="CC60" s="1658"/>
      <c r="CD60" s="1658"/>
      <c r="CE60" s="1658"/>
      <c r="CF60" s="1658"/>
      <c r="CG60" s="1658"/>
      <c r="CH60" s="1658"/>
      <c r="CI60" s="1658"/>
      <c r="CJ60" s="1658"/>
      <c r="CK60" s="1658"/>
      <c r="CL60" s="1658"/>
      <c r="CM60" s="1658"/>
      <c r="CN60" s="1658"/>
      <c r="CO60" s="1658"/>
      <c r="CP60" s="1658"/>
      <c r="CQ60" s="1658"/>
      <c r="CR60" s="1658"/>
      <c r="CS60" s="1658"/>
      <c r="CT60" s="1658"/>
      <c r="CU60" s="1658"/>
      <c r="CV60" s="1658"/>
      <c r="CW60" s="1658"/>
      <c r="CX60" s="1658"/>
      <c r="CY60" s="1658"/>
      <c r="CZ60" s="1658"/>
    </row>
    <row r="61" spans="8:8" ht="15.75">
      <c r="A61" s="1653" t="s">
        <v>136</v>
      </c>
      <c r="B61" s="1654">
        <f t="shared" si="0"/>
        <v>10.0</v>
      </c>
      <c r="C61" s="1655">
        <f t="shared" si="1"/>
        <v>0.0</v>
      </c>
      <c r="D61" s="1656">
        <v>10.0</v>
      </c>
      <c r="E61" s="1657"/>
      <c r="F61" s="1658"/>
      <c r="G61" s="1658"/>
      <c r="H61" s="1658"/>
      <c r="I61" s="1658"/>
      <c r="J61" s="1658"/>
      <c r="K61" s="1658"/>
      <c r="L61" s="1658"/>
      <c r="M61" s="1658"/>
      <c r="N61" s="1658"/>
      <c r="O61" s="1658"/>
      <c r="P61" s="1658"/>
      <c r="Q61" s="1658"/>
      <c r="R61" s="1658"/>
      <c r="S61" s="1658"/>
      <c r="T61" s="1658"/>
      <c r="U61" s="1658"/>
      <c r="V61" s="1658"/>
      <c r="W61" s="1658"/>
      <c r="X61" s="1658"/>
      <c r="Y61" s="1658"/>
      <c r="Z61" s="1658"/>
      <c r="AA61" s="1658"/>
      <c r="AB61" s="1658"/>
      <c r="AC61" s="1658"/>
      <c r="AD61" s="1658"/>
      <c r="AE61" s="1658"/>
      <c r="AF61" s="1658"/>
      <c r="AG61" s="1658"/>
      <c r="AH61" s="1658"/>
      <c r="AI61" s="1658"/>
      <c r="AJ61" s="1658"/>
      <c r="AK61" s="1658"/>
      <c r="AL61" s="1658"/>
      <c r="AM61" s="1658"/>
      <c r="AN61" s="1658"/>
      <c r="AO61" s="1658"/>
      <c r="AP61" s="1658"/>
      <c r="AQ61" s="1658"/>
      <c r="AR61" s="1658"/>
      <c r="AS61" s="1658"/>
      <c r="AT61" s="1658"/>
      <c r="AU61" s="1658"/>
      <c r="AV61" s="1658"/>
      <c r="AW61" s="1658"/>
      <c r="AX61" s="1658"/>
      <c r="AY61" s="1658"/>
      <c r="AZ61" s="1658"/>
      <c r="BA61" s="1658"/>
      <c r="BB61" s="1658"/>
      <c r="BC61" s="1658"/>
      <c r="BD61" s="1658"/>
      <c r="BE61" s="1658"/>
      <c r="BF61" s="1658"/>
      <c r="BG61" s="1658"/>
      <c r="BH61" s="1658"/>
      <c r="BI61" s="1658"/>
      <c r="BJ61" s="1658"/>
      <c r="BK61" s="1658"/>
      <c r="BL61" s="1658"/>
      <c r="BM61" s="1658"/>
      <c r="BN61" s="1658"/>
      <c r="BO61" s="1658"/>
      <c r="BP61" s="1658"/>
      <c r="BQ61" s="1658"/>
      <c r="BR61" s="1658"/>
      <c r="BS61" s="1658"/>
      <c r="BT61" s="1658"/>
      <c r="BU61" s="1658"/>
      <c r="BV61" s="1658"/>
      <c r="BW61" s="1658"/>
      <c r="BX61" s="1658"/>
      <c r="BY61" s="1658"/>
      <c r="BZ61" s="1658"/>
      <c r="CA61" s="1658"/>
      <c r="CB61" s="1658"/>
      <c r="CC61" s="1658"/>
      <c r="CD61" s="1658"/>
      <c r="CE61" s="1658"/>
      <c r="CF61" s="1658"/>
      <c r="CG61" s="1658"/>
      <c r="CH61" s="1658"/>
      <c r="CI61" s="1658"/>
      <c r="CJ61" s="1658"/>
      <c r="CK61" s="1658"/>
      <c r="CL61" s="1658"/>
      <c r="CM61" s="1658"/>
      <c r="CN61" s="1658"/>
      <c r="CO61" s="1658"/>
      <c r="CP61" s="1658"/>
      <c r="CQ61" s="1658"/>
      <c r="CR61" s="1658"/>
      <c r="CS61" s="1658"/>
      <c r="CT61" s="1658"/>
      <c r="CU61" s="1658"/>
      <c r="CV61" s="1658"/>
      <c r="CW61" s="1658"/>
      <c r="CX61" s="1658"/>
      <c r="CY61" s="1658"/>
      <c r="CZ61" s="1658"/>
    </row>
    <row r="62" spans="8:8" ht="15.75">
      <c r="A62" s="1653" t="s">
        <v>138</v>
      </c>
      <c r="B62" s="1654">
        <f t="shared" si="0"/>
        <v>5.0</v>
      </c>
      <c r="C62" s="1655">
        <f t="shared" si="1"/>
        <v>0.0</v>
      </c>
      <c r="D62" s="1656">
        <v>5.0</v>
      </c>
      <c r="E62" s="1657"/>
      <c r="F62" s="1658"/>
      <c r="G62" s="1658"/>
      <c r="H62" s="1658"/>
      <c r="I62" s="1658"/>
      <c r="J62" s="1658"/>
      <c r="K62" s="1658"/>
      <c r="L62" s="1658"/>
      <c r="M62" s="1658"/>
      <c r="N62" s="1658"/>
      <c r="O62" s="1658"/>
      <c r="P62" s="1658"/>
      <c r="Q62" s="1658"/>
      <c r="R62" s="1658"/>
      <c r="S62" s="1658"/>
      <c r="T62" s="1658"/>
      <c r="U62" s="1658"/>
      <c r="V62" s="1658"/>
      <c r="W62" s="1658"/>
      <c r="X62" s="1658"/>
      <c r="Y62" s="1658"/>
      <c r="Z62" s="1658"/>
      <c r="AA62" s="1658"/>
      <c r="AB62" s="1658"/>
      <c r="AC62" s="1658"/>
      <c r="AD62" s="1658"/>
      <c r="AE62" s="1658"/>
      <c r="AF62" s="1658"/>
      <c r="AG62" s="1658"/>
      <c r="AH62" s="1658"/>
      <c r="AI62" s="1658"/>
      <c r="AJ62" s="1658"/>
      <c r="AK62" s="1658"/>
      <c r="AL62" s="1658"/>
      <c r="AM62" s="1658"/>
      <c r="AN62" s="1658"/>
      <c r="AO62" s="1658"/>
      <c r="AP62" s="1658"/>
      <c r="AQ62" s="1658"/>
      <c r="AR62" s="1658"/>
      <c r="AS62" s="1658"/>
      <c r="AT62" s="1658"/>
      <c r="AU62" s="1658"/>
      <c r="AV62" s="1658"/>
      <c r="AW62" s="1658"/>
      <c r="AX62" s="1658"/>
      <c r="AY62" s="1658"/>
      <c r="AZ62" s="1658"/>
      <c r="BA62" s="1658"/>
      <c r="BB62" s="1658"/>
      <c r="BC62" s="1658"/>
      <c r="BD62" s="1658"/>
      <c r="BE62" s="1658"/>
      <c r="BF62" s="1658"/>
      <c r="BG62" s="1658"/>
      <c r="BH62" s="1658"/>
      <c r="BI62" s="1658"/>
      <c r="BJ62" s="1658"/>
      <c r="BK62" s="1658"/>
      <c r="BL62" s="1658"/>
      <c r="BM62" s="1658"/>
      <c r="BN62" s="1658"/>
      <c r="BO62" s="1658"/>
      <c r="BP62" s="1658"/>
      <c r="BQ62" s="1658"/>
      <c r="BR62" s="1658"/>
      <c r="BS62" s="1658"/>
      <c r="BT62" s="1658"/>
      <c r="BU62" s="1658"/>
      <c r="BV62" s="1658"/>
      <c r="BW62" s="1658"/>
      <c r="BX62" s="1658"/>
      <c r="BY62" s="1658"/>
      <c r="BZ62" s="1658"/>
      <c r="CA62" s="1658"/>
      <c r="CB62" s="1658"/>
      <c r="CC62" s="1658"/>
      <c r="CD62" s="1658"/>
      <c r="CE62" s="1658"/>
      <c r="CF62" s="1658"/>
      <c r="CG62" s="1658"/>
      <c r="CH62" s="1658"/>
      <c r="CI62" s="1658"/>
      <c r="CJ62" s="1658"/>
      <c r="CK62" s="1658"/>
      <c r="CL62" s="1658"/>
      <c r="CM62" s="1658"/>
      <c r="CN62" s="1658"/>
      <c r="CO62" s="1658"/>
      <c r="CP62" s="1658"/>
      <c r="CQ62" s="1658"/>
      <c r="CR62" s="1658"/>
      <c r="CS62" s="1658"/>
      <c r="CT62" s="1658"/>
      <c r="CU62" s="1658"/>
      <c r="CV62" s="1658"/>
      <c r="CW62" s="1658"/>
      <c r="CX62" s="1658"/>
      <c r="CY62" s="1658"/>
      <c r="CZ62" s="1658"/>
    </row>
    <row r="63" spans="8:8" ht="15.75">
      <c r="A63" s="1653" t="s">
        <v>140</v>
      </c>
      <c r="B63" s="1654">
        <f t="shared" si="0"/>
        <v>1.0</v>
      </c>
      <c r="C63" s="1655">
        <f t="shared" si="1"/>
        <v>0.0</v>
      </c>
      <c r="D63" s="1656">
        <v>1.0</v>
      </c>
      <c r="E63" s="1657"/>
      <c r="F63" s="1658"/>
      <c r="G63" s="1658"/>
      <c r="H63" s="1658"/>
      <c r="I63" s="1658"/>
      <c r="J63" s="1658"/>
      <c r="K63" s="1658"/>
      <c r="L63" s="1658"/>
      <c r="M63" s="1658"/>
      <c r="N63" s="1658"/>
      <c r="O63" s="1658"/>
      <c r="P63" s="1658"/>
      <c r="Q63" s="1658"/>
      <c r="R63" s="1658"/>
      <c r="S63" s="1658"/>
      <c r="T63" s="1658"/>
      <c r="U63" s="1658"/>
      <c r="V63" s="1658"/>
      <c r="W63" s="1658"/>
      <c r="X63" s="1658"/>
      <c r="Y63" s="1658"/>
      <c r="Z63" s="1658"/>
      <c r="AA63" s="1658"/>
      <c r="AB63" s="1658"/>
      <c r="AC63" s="1658"/>
      <c r="AD63" s="1658"/>
      <c r="AE63" s="1658"/>
      <c r="AF63" s="1658"/>
      <c r="AG63" s="1658"/>
      <c r="AH63" s="1658"/>
      <c r="AI63" s="1658"/>
      <c r="AJ63" s="1658"/>
      <c r="AK63" s="1658"/>
      <c r="AL63" s="1658"/>
      <c r="AM63" s="1658"/>
      <c r="AN63" s="1658"/>
      <c r="AO63" s="1658"/>
      <c r="AP63" s="1658"/>
      <c r="AQ63" s="1658"/>
      <c r="AR63" s="1658"/>
      <c r="AS63" s="1658"/>
      <c r="AT63" s="1658"/>
      <c r="AU63" s="1658"/>
      <c r="AV63" s="1658"/>
      <c r="AW63" s="1658"/>
      <c r="AX63" s="1658"/>
      <c r="AY63" s="1658"/>
      <c r="AZ63" s="1658"/>
      <c r="BA63" s="1658"/>
      <c r="BB63" s="1658"/>
      <c r="BC63" s="1658"/>
      <c r="BD63" s="1658"/>
      <c r="BE63" s="1658"/>
      <c r="BF63" s="1658"/>
      <c r="BG63" s="1658"/>
      <c r="BH63" s="1658"/>
      <c r="BI63" s="1658"/>
      <c r="BJ63" s="1658"/>
      <c r="BK63" s="1658"/>
      <c r="BL63" s="1658"/>
      <c r="BM63" s="1658"/>
      <c r="BN63" s="1658"/>
      <c r="BO63" s="1658"/>
      <c r="BP63" s="1658"/>
      <c r="BQ63" s="1658"/>
      <c r="BR63" s="1658"/>
      <c r="BS63" s="1658"/>
      <c r="BT63" s="1658"/>
      <c r="BU63" s="1658"/>
      <c r="BV63" s="1658"/>
      <c r="BW63" s="1658"/>
      <c r="BX63" s="1658"/>
      <c r="BY63" s="1658"/>
      <c r="BZ63" s="1658"/>
      <c r="CA63" s="1658"/>
      <c r="CB63" s="1658"/>
      <c r="CC63" s="1658"/>
      <c r="CD63" s="1658"/>
      <c r="CE63" s="1658"/>
      <c r="CF63" s="1658"/>
      <c r="CG63" s="1658"/>
      <c r="CH63" s="1658"/>
      <c r="CI63" s="1658"/>
      <c r="CJ63" s="1658"/>
      <c r="CK63" s="1658"/>
      <c r="CL63" s="1658"/>
      <c r="CM63" s="1658"/>
      <c r="CN63" s="1658"/>
      <c r="CO63" s="1658"/>
      <c r="CP63" s="1658"/>
      <c r="CQ63" s="1658"/>
      <c r="CR63" s="1658"/>
      <c r="CS63" s="1658"/>
      <c r="CT63" s="1658"/>
      <c r="CU63" s="1658"/>
      <c r="CV63" s="1658"/>
      <c r="CW63" s="1658"/>
      <c r="CX63" s="1658"/>
      <c r="CY63" s="1658"/>
      <c r="CZ63" s="1658"/>
    </row>
    <row r="64" spans="8:8" ht="15.75">
      <c r="A64" s="1653" t="s">
        <v>142</v>
      </c>
      <c r="B64" s="1654">
        <f t="shared" si="0"/>
        <v>1.0</v>
      </c>
      <c r="C64" s="1655">
        <f>SUM(E64:CZ64)</f>
        <v>0.0</v>
      </c>
      <c r="D64" s="1656">
        <v>1.0</v>
      </c>
      <c r="E64" s="1657"/>
      <c r="F64" s="1658"/>
      <c r="G64" s="1658"/>
      <c r="H64" s="1658"/>
      <c r="I64" s="1658"/>
      <c r="J64" s="1658"/>
      <c r="K64" s="1658"/>
      <c r="L64" s="1658"/>
      <c r="M64" s="1658"/>
      <c r="N64" s="1658"/>
      <c r="O64" s="1658"/>
      <c r="P64" s="1658"/>
      <c r="Q64" s="1658"/>
      <c r="R64" s="1658"/>
      <c r="S64" s="1658"/>
      <c r="T64" s="1658"/>
      <c r="U64" s="1658"/>
      <c r="V64" s="1658"/>
      <c r="W64" s="1658"/>
      <c r="X64" s="1658"/>
      <c r="Y64" s="1658"/>
      <c r="Z64" s="1658"/>
      <c r="AA64" s="1658"/>
      <c r="AB64" s="1658"/>
      <c r="AC64" s="1658"/>
      <c r="AD64" s="1658"/>
      <c r="AE64" s="1658"/>
      <c r="AF64" s="1658"/>
      <c r="AG64" s="1658"/>
      <c r="AH64" s="1658"/>
      <c r="AI64" s="1658"/>
      <c r="AJ64" s="1658"/>
      <c r="AK64" s="1658"/>
      <c r="AL64" s="1658"/>
      <c r="AM64" s="1658"/>
      <c r="AN64" s="1658"/>
      <c r="AO64" s="1658"/>
      <c r="AP64" s="1658"/>
      <c r="AQ64" s="1658"/>
      <c r="AR64" s="1658"/>
      <c r="AS64" s="1658"/>
      <c r="AT64" s="1658"/>
      <c r="AU64" s="1658"/>
      <c r="AV64" s="1658"/>
      <c r="AW64" s="1658"/>
      <c r="AX64" s="1658"/>
      <c r="AY64" s="1658"/>
      <c r="AZ64" s="1658"/>
      <c r="BA64" s="1658"/>
      <c r="BB64" s="1658"/>
      <c r="BC64" s="1658"/>
      <c r="BD64" s="1658"/>
      <c r="BE64" s="1658"/>
      <c r="BF64" s="1658"/>
      <c r="BG64" s="1658"/>
      <c r="BH64" s="1658"/>
      <c r="BI64" s="1658"/>
      <c r="BJ64" s="1658"/>
      <c r="BK64" s="1658"/>
      <c r="BL64" s="1658"/>
      <c r="BM64" s="1658"/>
      <c r="BN64" s="1658"/>
      <c r="BO64" s="1658"/>
      <c r="BP64" s="1658"/>
      <c r="BQ64" s="1658"/>
      <c r="BR64" s="1658"/>
      <c r="BS64" s="1658"/>
      <c r="BT64" s="1658"/>
      <c r="BU64" s="1658"/>
      <c r="BV64" s="1658"/>
      <c r="BW64" s="1658"/>
      <c r="BX64" s="1658"/>
      <c r="BY64" s="1658"/>
      <c r="BZ64" s="1658"/>
      <c r="CA64" s="1658"/>
      <c r="CB64" s="1658"/>
      <c r="CC64" s="1658"/>
      <c r="CD64" s="1658"/>
      <c r="CE64" s="1658"/>
      <c r="CF64" s="1658"/>
      <c r="CG64" s="1658"/>
      <c r="CH64" s="1658"/>
      <c r="CI64" s="1658"/>
      <c r="CJ64" s="1658"/>
      <c r="CK64" s="1658"/>
      <c r="CL64" s="1658"/>
      <c r="CM64" s="1658"/>
      <c r="CN64" s="1658"/>
      <c r="CO64" s="1658"/>
      <c r="CP64" s="1658"/>
      <c r="CQ64" s="1658"/>
      <c r="CR64" s="1658"/>
      <c r="CS64" s="1658"/>
      <c r="CT64" s="1658"/>
      <c r="CU64" s="1658"/>
      <c r="CV64" s="1658"/>
      <c r="CW64" s="1658"/>
      <c r="CX64" s="1658"/>
      <c r="CY64" s="1658"/>
      <c r="CZ64" s="1658"/>
    </row>
    <row r="65" spans="8:8" ht="15.75">
      <c r="A65" s="1653" t="s">
        <v>145</v>
      </c>
      <c r="B65" s="1654">
        <f t="shared" si="0"/>
        <v>1.0</v>
      </c>
      <c r="C65" s="1655">
        <f t="shared" si="1"/>
        <v>0.0</v>
      </c>
      <c r="D65" s="1656">
        <v>1.0</v>
      </c>
      <c r="E65" s="1657"/>
      <c r="F65" s="1658"/>
      <c r="G65" s="1658"/>
      <c r="H65" s="1658"/>
      <c r="I65" s="1658"/>
      <c r="J65" s="1658"/>
      <c r="K65" s="1658"/>
      <c r="L65" s="1658"/>
      <c r="M65" s="1658"/>
      <c r="N65" s="1658"/>
      <c r="O65" s="1658"/>
      <c r="P65" s="1658"/>
      <c r="Q65" s="1658"/>
      <c r="R65" s="1658"/>
      <c r="S65" s="1658"/>
      <c r="T65" s="1658"/>
      <c r="U65" s="1658"/>
      <c r="V65" s="1658"/>
      <c r="W65" s="1658"/>
      <c r="X65" s="1658"/>
      <c r="Y65" s="1658"/>
      <c r="Z65" s="1658"/>
      <c r="AA65" s="1658"/>
      <c r="AB65" s="1658"/>
      <c r="AC65" s="1658"/>
      <c r="AD65" s="1658"/>
      <c r="AE65" s="1658"/>
      <c r="AF65" s="1658"/>
      <c r="AG65" s="1658"/>
      <c r="AH65" s="1658"/>
      <c r="AI65" s="1658"/>
      <c r="AJ65" s="1658"/>
      <c r="AK65" s="1658"/>
      <c r="AL65" s="1658"/>
      <c r="AM65" s="1658"/>
      <c r="AN65" s="1658"/>
      <c r="AO65" s="1658"/>
      <c r="AP65" s="1658"/>
      <c r="AQ65" s="1658"/>
      <c r="AR65" s="1658"/>
      <c r="AS65" s="1658"/>
      <c r="AT65" s="1658"/>
      <c r="AU65" s="1658"/>
      <c r="AV65" s="1658"/>
      <c r="AW65" s="1658"/>
      <c r="AX65" s="1658"/>
      <c r="AY65" s="1658"/>
      <c r="AZ65" s="1658"/>
      <c r="BA65" s="1658"/>
      <c r="BB65" s="1658"/>
      <c r="BC65" s="1658"/>
      <c r="BD65" s="1658"/>
      <c r="BE65" s="1658"/>
      <c r="BF65" s="1658"/>
      <c r="BG65" s="1658"/>
      <c r="BH65" s="1658"/>
      <c r="BI65" s="1658"/>
      <c r="BJ65" s="1658"/>
      <c r="BK65" s="1658"/>
      <c r="BL65" s="1658"/>
      <c r="BM65" s="1658"/>
      <c r="BN65" s="1658"/>
      <c r="BO65" s="1658"/>
      <c r="BP65" s="1658"/>
      <c r="BQ65" s="1658"/>
      <c r="BR65" s="1658"/>
      <c r="BS65" s="1658"/>
      <c r="BT65" s="1658"/>
      <c r="BU65" s="1658"/>
      <c r="BV65" s="1658"/>
      <c r="BW65" s="1658"/>
      <c r="BX65" s="1658"/>
      <c r="BY65" s="1658"/>
      <c r="BZ65" s="1658"/>
      <c r="CA65" s="1658"/>
      <c r="CB65" s="1658"/>
      <c r="CC65" s="1658"/>
      <c r="CD65" s="1658"/>
      <c r="CE65" s="1658"/>
      <c r="CF65" s="1658"/>
      <c r="CG65" s="1658"/>
      <c r="CH65" s="1658"/>
      <c r="CI65" s="1658"/>
      <c r="CJ65" s="1658"/>
      <c r="CK65" s="1658"/>
      <c r="CL65" s="1658"/>
      <c r="CM65" s="1658"/>
      <c r="CN65" s="1658"/>
      <c r="CO65" s="1658"/>
      <c r="CP65" s="1658"/>
      <c r="CQ65" s="1658"/>
      <c r="CR65" s="1658"/>
      <c r="CS65" s="1658"/>
      <c r="CT65" s="1658"/>
      <c r="CU65" s="1658"/>
      <c r="CV65" s="1658"/>
      <c r="CW65" s="1658"/>
      <c r="CX65" s="1658"/>
      <c r="CY65" s="1658"/>
      <c r="CZ65" s="1658"/>
    </row>
    <row r="66" spans="8:8" ht="15.75">
      <c r="A66" s="1653" t="s">
        <v>147</v>
      </c>
      <c r="B66" s="1654">
        <f t="shared" si="0"/>
        <v>1.0</v>
      </c>
      <c r="C66" s="1655">
        <f t="shared" si="1"/>
        <v>0.0</v>
      </c>
      <c r="D66" s="1656">
        <v>1.0</v>
      </c>
      <c r="E66" s="1657"/>
      <c r="F66" s="1658"/>
      <c r="G66" s="1658"/>
      <c r="H66" s="1658"/>
      <c r="I66" s="1658"/>
      <c r="J66" s="1658"/>
      <c r="K66" s="1658"/>
      <c r="L66" s="1658"/>
      <c r="M66" s="1658"/>
      <c r="N66" s="1658"/>
      <c r="O66" s="1658"/>
      <c r="P66" s="1658"/>
      <c r="Q66" s="1658"/>
      <c r="R66" s="1658"/>
      <c r="S66" s="1658"/>
      <c r="T66" s="1658"/>
      <c r="U66" s="1658"/>
      <c r="V66" s="1658"/>
      <c r="W66" s="1658"/>
      <c r="X66" s="1658"/>
      <c r="Y66" s="1658"/>
      <c r="Z66" s="1658"/>
      <c r="AA66" s="1658"/>
      <c r="AB66" s="1658"/>
      <c r="AC66" s="1658"/>
      <c r="AD66" s="1658"/>
      <c r="AE66" s="1658"/>
      <c r="AF66" s="1658"/>
      <c r="AG66" s="1658"/>
      <c r="AH66" s="1658"/>
      <c r="AI66" s="1658"/>
      <c r="AJ66" s="1658"/>
      <c r="AK66" s="1658"/>
      <c r="AL66" s="1658"/>
      <c r="AM66" s="1658"/>
      <c r="AN66" s="1658"/>
      <c r="AO66" s="1658"/>
      <c r="AP66" s="1658"/>
      <c r="AQ66" s="1658"/>
      <c r="AR66" s="1658"/>
      <c r="AS66" s="1658"/>
      <c r="AT66" s="1658"/>
      <c r="AU66" s="1658"/>
      <c r="AV66" s="1658"/>
      <c r="AW66" s="1658"/>
      <c r="AX66" s="1658"/>
      <c r="AY66" s="1658"/>
      <c r="AZ66" s="1658"/>
      <c r="BA66" s="1658"/>
      <c r="BB66" s="1658"/>
      <c r="BC66" s="1658"/>
      <c r="BD66" s="1658"/>
      <c r="BE66" s="1658"/>
      <c r="BF66" s="1658"/>
      <c r="BG66" s="1658"/>
      <c r="BH66" s="1658"/>
      <c r="BI66" s="1658"/>
      <c r="BJ66" s="1658"/>
      <c r="BK66" s="1658"/>
      <c r="BL66" s="1658"/>
      <c r="BM66" s="1658"/>
      <c r="BN66" s="1658"/>
      <c r="BO66" s="1658"/>
      <c r="BP66" s="1658"/>
      <c r="BQ66" s="1658"/>
      <c r="BR66" s="1658"/>
      <c r="BS66" s="1658"/>
      <c r="BT66" s="1658"/>
      <c r="BU66" s="1658"/>
      <c r="BV66" s="1658"/>
      <c r="BW66" s="1658"/>
      <c r="BX66" s="1658"/>
      <c r="BY66" s="1658"/>
      <c r="BZ66" s="1658"/>
      <c r="CA66" s="1658"/>
      <c r="CB66" s="1658"/>
      <c r="CC66" s="1658"/>
      <c r="CD66" s="1658"/>
      <c r="CE66" s="1658"/>
      <c r="CF66" s="1658"/>
      <c r="CG66" s="1658"/>
      <c r="CH66" s="1658"/>
      <c r="CI66" s="1658"/>
      <c r="CJ66" s="1658"/>
      <c r="CK66" s="1658"/>
      <c r="CL66" s="1658"/>
      <c r="CM66" s="1658"/>
      <c r="CN66" s="1658"/>
      <c r="CO66" s="1658"/>
      <c r="CP66" s="1658"/>
      <c r="CQ66" s="1658"/>
      <c r="CR66" s="1658"/>
      <c r="CS66" s="1658"/>
      <c r="CT66" s="1658"/>
      <c r="CU66" s="1658"/>
      <c r="CV66" s="1658"/>
      <c r="CW66" s="1658"/>
      <c r="CX66" s="1658"/>
      <c r="CY66" s="1658"/>
      <c r="CZ66" s="1658"/>
    </row>
    <row r="67" spans="8:8" ht="15.75">
      <c r="A67" s="1653" t="s">
        <v>149</v>
      </c>
      <c r="B67" s="1654">
        <f t="shared" si="0"/>
        <v>1.0</v>
      </c>
      <c r="C67" s="1655">
        <f t="shared" si="1"/>
        <v>0.0</v>
      </c>
      <c r="D67" s="1656">
        <v>1.0</v>
      </c>
      <c r="E67" s="1657"/>
      <c r="F67" s="1658"/>
      <c r="G67" s="1658"/>
      <c r="H67" s="1658"/>
      <c r="I67" s="1658"/>
      <c r="J67" s="1658"/>
      <c r="K67" s="1658"/>
      <c r="L67" s="1658"/>
      <c r="M67" s="1658"/>
      <c r="N67" s="1658"/>
      <c r="O67" s="1658"/>
      <c r="P67" s="1658"/>
      <c r="Q67" s="1658"/>
      <c r="R67" s="1658"/>
      <c r="S67" s="1658"/>
      <c r="T67" s="1658"/>
      <c r="U67" s="1658"/>
      <c r="V67" s="1658"/>
      <c r="W67" s="1658"/>
      <c r="X67" s="1658"/>
      <c r="Y67" s="1658"/>
      <c r="Z67" s="1658"/>
      <c r="AA67" s="1658"/>
      <c r="AB67" s="1658"/>
      <c r="AC67" s="1658"/>
      <c r="AD67" s="1658"/>
      <c r="AE67" s="1658"/>
      <c r="AF67" s="1658"/>
      <c r="AG67" s="1658"/>
      <c r="AH67" s="1658"/>
      <c r="AI67" s="1658"/>
      <c r="AJ67" s="1658"/>
      <c r="AK67" s="1658"/>
      <c r="AL67" s="1658"/>
      <c r="AM67" s="1658"/>
      <c r="AN67" s="1658"/>
      <c r="AO67" s="1658"/>
      <c r="AP67" s="1658"/>
      <c r="AQ67" s="1658"/>
      <c r="AR67" s="1658"/>
      <c r="AS67" s="1658"/>
      <c r="AT67" s="1658"/>
      <c r="AU67" s="1658"/>
      <c r="AV67" s="1658"/>
      <c r="AW67" s="1658"/>
      <c r="AX67" s="1658"/>
      <c r="AY67" s="1658"/>
      <c r="AZ67" s="1658"/>
      <c r="BA67" s="1658"/>
      <c r="BB67" s="1658"/>
      <c r="BC67" s="1658"/>
      <c r="BD67" s="1658"/>
      <c r="BE67" s="1658"/>
      <c r="BF67" s="1658"/>
      <c r="BG67" s="1658"/>
      <c r="BH67" s="1658"/>
      <c r="BI67" s="1658"/>
      <c r="BJ67" s="1658"/>
      <c r="BK67" s="1658"/>
      <c r="BL67" s="1658"/>
      <c r="BM67" s="1658"/>
      <c r="BN67" s="1658"/>
      <c r="BO67" s="1658"/>
      <c r="BP67" s="1658"/>
      <c r="BQ67" s="1658"/>
      <c r="BR67" s="1658"/>
      <c r="BS67" s="1658"/>
      <c r="BT67" s="1658"/>
      <c r="BU67" s="1658"/>
      <c r="BV67" s="1658"/>
      <c r="BW67" s="1658"/>
      <c r="BX67" s="1658"/>
      <c r="BY67" s="1658"/>
      <c r="BZ67" s="1658"/>
      <c r="CA67" s="1658"/>
      <c r="CB67" s="1658"/>
      <c r="CC67" s="1658"/>
      <c r="CD67" s="1658"/>
      <c r="CE67" s="1658"/>
      <c r="CF67" s="1658"/>
      <c r="CG67" s="1658"/>
      <c r="CH67" s="1658"/>
      <c r="CI67" s="1658"/>
      <c r="CJ67" s="1658"/>
      <c r="CK67" s="1658"/>
      <c r="CL67" s="1658"/>
      <c r="CM67" s="1658"/>
      <c r="CN67" s="1658"/>
      <c r="CO67" s="1658"/>
      <c r="CP67" s="1658"/>
      <c r="CQ67" s="1658"/>
      <c r="CR67" s="1658"/>
      <c r="CS67" s="1658"/>
      <c r="CT67" s="1658"/>
      <c r="CU67" s="1658"/>
      <c r="CV67" s="1658"/>
      <c r="CW67" s="1658"/>
      <c r="CX67" s="1658"/>
      <c r="CY67" s="1658"/>
      <c r="CZ67" s="1658"/>
    </row>
    <row r="68" spans="8:8" ht="15.75">
      <c r="A68" s="1653" t="s">
        <v>151</v>
      </c>
      <c r="B68" s="1654">
        <f t="shared" si="2" ref="B68:B95">C68+D68</f>
        <v>1.0</v>
      </c>
      <c r="C68" s="1655">
        <f t="shared" si="3" ref="C68:C81">SUM(E68:CZ68)</f>
        <v>0.0</v>
      </c>
      <c r="D68" s="1656">
        <v>1.0</v>
      </c>
      <c r="E68" s="1657"/>
      <c r="F68" s="1658"/>
      <c r="G68" s="1658"/>
      <c r="H68" s="1658"/>
      <c r="I68" s="1658"/>
      <c r="J68" s="1658"/>
      <c r="K68" s="1658"/>
      <c r="L68" s="1658"/>
      <c r="M68" s="1658"/>
      <c r="N68" s="1658"/>
      <c r="O68" s="1658"/>
      <c r="P68" s="1658"/>
      <c r="Q68" s="1658"/>
      <c r="R68" s="1658"/>
      <c r="S68" s="1658"/>
      <c r="T68" s="1658"/>
      <c r="U68" s="1658"/>
      <c r="V68" s="1658"/>
      <c r="W68" s="1658"/>
      <c r="X68" s="1658"/>
      <c r="Y68" s="1658"/>
      <c r="Z68" s="1658"/>
      <c r="AA68" s="1658"/>
      <c r="AB68" s="1658"/>
      <c r="AC68" s="1658"/>
      <c r="AD68" s="1658"/>
      <c r="AE68" s="1658"/>
      <c r="AF68" s="1658"/>
      <c r="AG68" s="1658"/>
      <c r="AH68" s="1658"/>
      <c r="AI68" s="1658"/>
      <c r="AJ68" s="1658"/>
      <c r="AK68" s="1658"/>
      <c r="AL68" s="1658"/>
      <c r="AM68" s="1658"/>
      <c r="AN68" s="1658"/>
      <c r="AO68" s="1658"/>
      <c r="AP68" s="1658"/>
      <c r="AQ68" s="1658"/>
      <c r="AR68" s="1658"/>
      <c r="AS68" s="1658"/>
      <c r="AT68" s="1658"/>
      <c r="AU68" s="1658"/>
      <c r="AV68" s="1658"/>
      <c r="AW68" s="1658"/>
      <c r="AX68" s="1658"/>
      <c r="AY68" s="1658"/>
      <c r="AZ68" s="1658"/>
      <c r="BA68" s="1658"/>
      <c r="BB68" s="1658"/>
      <c r="BC68" s="1658"/>
      <c r="BD68" s="1658"/>
      <c r="BE68" s="1658"/>
      <c r="BF68" s="1658"/>
      <c r="BG68" s="1658"/>
      <c r="BH68" s="1658"/>
      <c r="BI68" s="1658"/>
      <c r="BJ68" s="1658"/>
      <c r="BK68" s="1658"/>
      <c r="BL68" s="1658"/>
      <c r="BM68" s="1658"/>
      <c r="BN68" s="1658"/>
      <c r="BO68" s="1658"/>
      <c r="BP68" s="1658"/>
      <c r="BQ68" s="1658"/>
      <c r="BR68" s="1658"/>
      <c r="BS68" s="1658"/>
      <c r="BT68" s="1658"/>
      <c r="BU68" s="1658"/>
      <c r="BV68" s="1658"/>
      <c r="BW68" s="1658"/>
      <c r="BX68" s="1658"/>
      <c r="BY68" s="1658"/>
      <c r="BZ68" s="1658"/>
      <c r="CA68" s="1658"/>
      <c r="CB68" s="1658"/>
      <c r="CC68" s="1658"/>
      <c r="CD68" s="1658"/>
      <c r="CE68" s="1658"/>
      <c r="CF68" s="1658"/>
      <c r="CG68" s="1658"/>
      <c r="CH68" s="1658"/>
      <c r="CI68" s="1658"/>
      <c r="CJ68" s="1658"/>
      <c r="CK68" s="1658"/>
      <c r="CL68" s="1658"/>
      <c r="CM68" s="1658"/>
      <c r="CN68" s="1658"/>
      <c r="CO68" s="1658"/>
      <c r="CP68" s="1658"/>
      <c r="CQ68" s="1658"/>
      <c r="CR68" s="1658"/>
      <c r="CS68" s="1658"/>
      <c r="CT68" s="1658"/>
      <c r="CU68" s="1658"/>
      <c r="CV68" s="1658"/>
      <c r="CW68" s="1658"/>
      <c r="CX68" s="1658"/>
      <c r="CY68" s="1658"/>
      <c r="CZ68" s="1658"/>
    </row>
    <row r="69" spans="8:8" ht="15.75">
      <c r="A69" s="1653" t="s">
        <v>153</v>
      </c>
      <c r="B69" s="1654">
        <f t="shared" si="2"/>
        <v>0.0</v>
      </c>
      <c r="C69" s="1655">
        <f t="shared" si="3"/>
        <v>0.0</v>
      </c>
      <c r="D69" s="1656"/>
      <c r="E69" s="1657"/>
      <c r="F69" s="1658"/>
      <c r="G69" s="1658"/>
      <c r="H69" s="1658"/>
      <c r="I69" s="1658"/>
      <c r="J69" s="1658"/>
      <c r="K69" s="1658"/>
      <c r="L69" s="1658"/>
      <c r="M69" s="1658"/>
      <c r="N69" s="1658"/>
      <c r="O69" s="1658"/>
      <c r="P69" s="1658"/>
      <c r="Q69" s="1658"/>
      <c r="R69" s="1658"/>
      <c r="S69" s="1658"/>
      <c r="T69" s="1658"/>
      <c r="U69" s="1658"/>
      <c r="V69" s="1658"/>
      <c r="W69" s="1658"/>
      <c r="X69" s="1658"/>
      <c r="Y69" s="1658"/>
      <c r="Z69" s="1658"/>
      <c r="AA69" s="1658"/>
      <c r="AB69" s="1658"/>
      <c r="AC69" s="1658"/>
      <c r="AD69" s="1658"/>
      <c r="AE69" s="1658"/>
      <c r="AF69" s="1658"/>
      <c r="AG69" s="1658"/>
      <c r="AH69" s="1658"/>
      <c r="AI69" s="1658"/>
      <c r="AJ69" s="1658"/>
      <c r="AK69" s="1658"/>
      <c r="AL69" s="1658"/>
      <c r="AM69" s="1658"/>
      <c r="AN69" s="1658"/>
      <c r="AO69" s="1658"/>
      <c r="AP69" s="1658"/>
      <c r="AQ69" s="1658"/>
      <c r="AR69" s="1658"/>
      <c r="AS69" s="1658"/>
      <c r="AT69" s="1658"/>
      <c r="AU69" s="1658"/>
      <c r="AV69" s="1658"/>
      <c r="AW69" s="1658"/>
      <c r="AX69" s="1658"/>
      <c r="AY69" s="1658"/>
      <c r="AZ69" s="1658"/>
      <c r="BA69" s="1658"/>
      <c r="BB69" s="1658"/>
      <c r="BC69" s="1658"/>
      <c r="BD69" s="1658"/>
      <c r="BE69" s="1658"/>
      <c r="BF69" s="1658"/>
      <c r="BG69" s="1658"/>
      <c r="BH69" s="1658"/>
      <c r="BI69" s="1658"/>
      <c r="BJ69" s="1658"/>
      <c r="BK69" s="1658"/>
      <c r="BL69" s="1658"/>
      <c r="BM69" s="1658"/>
      <c r="BN69" s="1658"/>
      <c r="BO69" s="1658"/>
      <c r="BP69" s="1658"/>
      <c r="BQ69" s="1658"/>
      <c r="BR69" s="1658"/>
      <c r="BS69" s="1658"/>
      <c r="BT69" s="1658"/>
      <c r="BU69" s="1658"/>
      <c r="BV69" s="1658"/>
      <c r="BW69" s="1658"/>
      <c r="BX69" s="1658"/>
      <c r="BY69" s="1658"/>
      <c r="BZ69" s="1658"/>
      <c r="CA69" s="1658"/>
      <c r="CB69" s="1658"/>
      <c r="CC69" s="1658"/>
      <c r="CD69" s="1658"/>
      <c r="CE69" s="1658"/>
      <c r="CF69" s="1658"/>
      <c r="CG69" s="1658"/>
      <c r="CH69" s="1658"/>
      <c r="CI69" s="1658"/>
      <c r="CJ69" s="1658"/>
      <c r="CK69" s="1658"/>
      <c r="CL69" s="1658"/>
      <c r="CM69" s="1658"/>
      <c r="CN69" s="1658"/>
      <c r="CO69" s="1658"/>
      <c r="CP69" s="1658"/>
      <c r="CQ69" s="1658"/>
      <c r="CR69" s="1658"/>
      <c r="CS69" s="1658"/>
      <c r="CT69" s="1658"/>
      <c r="CU69" s="1658"/>
      <c r="CV69" s="1658"/>
      <c r="CW69" s="1658"/>
      <c r="CX69" s="1658"/>
      <c r="CY69" s="1658"/>
      <c r="CZ69" s="1658"/>
    </row>
    <row r="70" spans="8:8" ht="15.75">
      <c r="A70" s="1653" t="s">
        <v>153</v>
      </c>
      <c r="B70" s="1654">
        <f t="shared" si="2"/>
        <v>0.0</v>
      </c>
      <c r="C70" s="1655">
        <f t="shared" si="3"/>
        <v>0.0</v>
      </c>
      <c r="D70" s="1656"/>
      <c r="E70" s="1657"/>
      <c r="F70" s="1658"/>
      <c r="G70" s="1658"/>
      <c r="H70" s="1658"/>
      <c r="I70" s="1658"/>
      <c r="J70" s="1658"/>
      <c r="K70" s="1658"/>
      <c r="L70" s="1658"/>
      <c r="M70" s="1658"/>
      <c r="N70" s="1658"/>
      <c r="O70" s="1658"/>
      <c r="P70" s="1658"/>
      <c r="Q70" s="1658"/>
      <c r="R70" s="1658"/>
      <c r="S70" s="1658"/>
      <c r="T70" s="1658"/>
      <c r="U70" s="1658"/>
      <c r="V70" s="1658"/>
      <c r="W70" s="1658"/>
      <c r="X70" s="1658"/>
      <c r="Y70" s="1658"/>
      <c r="Z70" s="1658"/>
      <c r="AA70" s="1658"/>
      <c r="AB70" s="1658"/>
      <c r="AC70" s="1658"/>
      <c r="AD70" s="1658"/>
      <c r="AE70" s="1658"/>
      <c r="AF70" s="1658"/>
      <c r="AG70" s="1658"/>
      <c r="AH70" s="1658"/>
      <c r="AI70" s="1658"/>
      <c r="AJ70" s="1658"/>
      <c r="AK70" s="1658"/>
      <c r="AL70" s="1658"/>
      <c r="AM70" s="1658"/>
      <c r="AN70" s="1658"/>
      <c r="AO70" s="1658"/>
      <c r="AP70" s="1658"/>
      <c r="AQ70" s="1658"/>
      <c r="AR70" s="1658"/>
      <c r="AS70" s="1658"/>
      <c r="AT70" s="1658"/>
      <c r="AU70" s="1658"/>
      <c r="AV70" s="1658"/>
      <c r="AW70" s="1658"/>
      <c r="AX70" s="1658"/>
      <c r="AY70" s="1658"/>
      <c r="AZ70" s="1658"/>
      <c r="BA70" s="1658"/>
      <c r="BB70" s="1658"/>
      <c r="BC70" s="1658"/>
      <c r="BD70" s="1658"/>
      <c r="BE70" s="1658"/>
      <c r="BF70" s="1658"/>
      <c r="BG70" s="1658"/>
      <c r="BH70" s="1658"/>
      <c r="BI70" s="1658"/>
      <c r="BJ70" s="1658"/>
      <c r="BK70" s="1658"/>
      <c r="BL70" s="1658"/>
      <c r="BM70" s="1658"/>
      <c r="BN70" s="1658"/>
      <c r="BO70" s="1658"/>
      <c r="BP70" s="1658"/>
      <c r="BQ70" s="1658"/>
      <c r="BR70" s="1658"/>
      <c r="BS70" s="1658"/>
      <c r="BT70" s="1658"/>
      <c r="BU70" s="1658"/>
      <c r="BV70" s="1658"/>
      <c r="BW70" s="1658"/>
      <c r="BX70" s="1658"/>
      <c r="BY70" s="1658"/>
      <c r="BZ70" s="1658"/>
      <c r="CA70" s="1658"/>
      <c r="CB70" s="1658"/>
      <c r="CC70" s="1658"/>
      <c r="CD70" s="1658"/>
      <c r="CE70" s="1658"/>
      <c r="CF70" s="1658"/>
      <c r="CG70" s="1658"/>
      <c r="CH70" s="1658"/>
      <c r="CI70" s="1658"/>
      <c r="CJ70" s="1658"/>
      <c r="CK70" s="1658"/>
      <c r="CL70" s="1658"/>
      <c r="CM70" s="1658"/>
      <c r="CN70" s="1658"/>
      <c r="CO70" s="1658"/>
      <c r="CP70" s="1658"/>
      <c r="CQ70" s="1658"/>
      <c r="CR70" s="1658"/>
      <c r="CS70" s="1658"/>
      <c r="CT70" s="1658"/>
      <c r="CU70" s="1658"/>
      <c r="CV70" s="1658"/>
      <c r="CW70" s="1658"/>
      <c r="CX70" s="1658"/>
      <c r="CY70" s="1658"/>
      <c r="CZ70" s="1658"/>
    </row>
    <row r="71" spans="8:8" ht="15.75">
      <c r="A71" s="1653" t="s">
        <v>303</v>
      </c>
      <c r="B71" s="1654">
        <f t="shared" si="2"/>
        <v>0.0</v>
      </c>
      <c r="C71" s="1655">
        <f t="shared" si="3"/>
        <v>0.0</v>
      </c>
      <c r="D71" s="1656"/>
      <c r="E71" s="1657"/>
      <c r="F71" s="1658"/>
      <c r="G71" s="1658"/>
      <c r="H71" s="1658"/>
      <c r="I71" s="1658"/>
      <c r="J71" s="1658"/>
      <c r="K71" s="1658"/>
      <c r="L71" s="1658"/>
      <c r="M71" s="1658"/>
      <c r="N71" s="1658"/>
      <c r="O71" s="1658"/>
      <c r="P71" s="1658"/>
      <c r="Q71" s="1658"/>
      <c r="R71" s="1658"/>
      <c r="S71" s="1658"/>
      <c r="T71" s="1658"/>
      <c r="U71" s="1658"/>
      <c r="V71" s="1658"/>
      <c r="W71" s="1658"/>
      <c r="X71" s="1658"/>
      <c r="Y71" s="1658"/>
      <c r="Z71" s="1658"/>
      <c r="AA71" s="1658"/>
      <c r="AB71" s="1658"/>
      <c r="AC71" s="1658"/>
      <c r="AD71" s="1658"/>
      <c r="AE71" s="1658"/>
      <c r="AF71" s="1658"/>
      <c r="AG71" s="1658"/>
      <c r="AH71" s="1658"/>
      <c r="AI71" s="1658"/>
      <c r="AJ71" s="1658"/>
      <c r="AK71" s="1658"/>
      <c r="AL71" s="1658"/>
      <c r="AM71" s="1658"/>
      <c r="AN71" s="1658"/>
      <c r="AO71" s="1658"/>
      <c r="AP71" s="1658"/>
      <c r="AQ71" s="1658"/>
      <c r="AR71" s="1658"/>
      <c r="AS71" s="1658"/>
      <c r="AT71" s="1658"/>
      <c r="AU71" s="1658"/>
      <c r="AV71" s="1658"/>
      <c r="AW71" s="1658"/>
      <c r="AX71" s="1658"/>
      <c r="AY71" s="1658"/>
      <c r="AZ71" s="1658"/>
      <c r="BA71" s="1658"/>
      <c r="BB71" s="1658"/>
      <c r="BC71" s="1658"/>
      <c r="BD71" s="1658"/>
      <c r="BE71" s="1658"/>
      <c r="BF71" s="1658"/>
      <c r="BG71" s="1658"/>
      <c r="BH71" s="1658"/>
      <c r="BI71" s="1658"/>
      <c r="BJ71" s="1658"/>
      <c r="BK71" s="1658"/>
      <c r="BL71" s="1658"/>
      <c r="BM71" s="1658"/>
      <c r="BN71" s="1658"/>
      <c r="BO71" s="1658"/>
      <c r="BP71" s="1658"/>
      <c r="BQ71" s="1658"/>
      <c r="BR71" s="1658"/>
      <c r="BS71" s="1658"/>
      <c r="BT71" s="1658"/>
      <c r="BU71" s="1658"/>
      <c r="BV71" s="1658"/>
      <c r="BW71" s="1658"/>
      <c r="BX71" s="1658"/>
      <c r="BY71" s="1658"/>
      <c r="BZ71" s="1658"/>
      <c r="CA71" s="1658"/>
      <c r="CB71" s="1658"/>
      <c r="CC71" s="1658"/>
      <c r="CD71" s="1658"/>
      <c r="CE71" s="1658"/>
      <c r="CF71" s="1658"/>
      <c r="CG71" s="1658"/>
      <c r="CH71" s="1658"/>
      <c r="CI71" s="1658"/>
      <c r="CJ71" s="1658"/>
      <c r="CK71" s="1658"/>
      <c r="CL71" s="1658"/>
      <c r="CM71" s="1658"/>
      <c r="CN71" s="1658"/>
      <c r="CO71" s="1658"/>
      <c r="CP71" s="1658"/>
      <c r="CQ71" s="1658"/>
      <c r="CR71" s="1658"/>
      <c r="CS71" s="1658"/>
      <c r="CT71" s="1658"/>
      <c r="CU71" s="1658"/>
      <c r="CV71" s="1658"/>
      <c r="CW71" s="1658"/>
      <c r="CX71" s="1658"/>
      <c r="CY71" s="1658"/>
      <c r="CZ71" s="1658"/>
    </row>
    <row r="72" spans="8:8" ht="15.75">
      <c r="A72" s="1653" t="s">
        <v>307</v>
      </c>
      <c r="B72" s="1654">
        <f t="shared" si="2"/>
        <v>0.0</v>
      </c>
      <c r="C72" s="1655">
        <f t="shared" si="3"/>
        <v>0.0</v>
      </c>
      <c r="D72" s="1656"/>
      <c r="E72" s="1657"/>
      <c r="F72" s="1658"/>
      <c r="G72" s="1658"/>
      <c r="H72" s="1658"/>
      <c r="I72" s="1658"/>
      <c r="J72" s="1658"/>
      <c r="K72" s="1658"/>
      <c r="L72" s="1658"/>
      <c r="M72" s="1658"/>
      <c r="N72" s="1658"/>
      <c r="O72" s="1658"/>
      <c r="P72" s="1658"/>
      <c r="Q72" s="1658"/>
      <c r="R72" s="1658"/>
      <c r="S72" s="1658"/>
      <c r="T72" s="1658"/>
      <c r="U72" s="1658"/>
      <c r="V72" s="1658"/>
      <c r="W72" s="1658"/>
      <c r="X72" s="1658"/>
      <c r="Y72" s="1658"/>
      <c r="Z72" s="1658"/>
      <c r="AA72" s="1658"/>
      <c r="AB72" s="1658"/>
      <c r="AC72" s="1658"/>
      <c r="AD72" s="1658"/>
      <c r="AE72" s="1658"/>
      <c r="AF72" s="1658"/>
      <c r="AG72" s="1658"/>
      <c r="AH72" s="1658"/>
      <c r="AI72" s="1658"/>
      <c r="AJ72" s="1658"/>
      <c r="AK72" s="1658"/>
      <c r="AL72" s="1658"/>
      <c r="AM72" s="1658"/>
      <c r="AN72" s="1658"/>
      <c r="AO72" s="1658"/>
      <c r="AP72" s="1658"/>
      <c r="AQ72" s="1658"/>
      <c r="AR72" s="1658"/>
      <c r="AS72" s="1658"/>
      <c r="AT72" s="1658"/>
      <c r="AU72" s="1658"/>
      <c r="AV72" s="1658"/>
      <c r="AW72" s="1658"/>
      <c r="AX72" s="1658"/>
      <c r="AY72" s="1658"/>
      <c r="AZ72" s="1658"/>
      <c r="BA72" s="1658"/>
      <c r="BB72" s="1658"/>
      <c r="BC72" s="1658"/>
      <c r="BD72" s="1658"/>
      <c r="BE72" s="1658"/>
      <c r="BF72" s="1658"/>
      <c r="BG72" s="1658"/>
      <c r="BH72" s="1658"/>
      <c r="BI72" s="1658"/>
      <c r="BJ72" s="1658"/>
      <c r="BK72" s="1658"/>
      <c r="BL72" s="1658"/>
      <c r="BM72" s="1658"/>
      <c r="BN72" s="1658"/>
      <c r="BO72" s="1658"/>
      <c r="BP72" s="1658"/>
      <c r="BQ72" s="1658"/>
      <c r="BR72" s="1658"/>
      <c r="BS72" s="1658"/>
      <c r="BT72" s="1658"/>
      <c r="BU72" s="1658"/>
      <c r="BV72" s="1658"/>
      <c r="BW72" s="1658"/>
      <c r="BX72" s="1658"/>
      <c r="BY72" s="1658"/>
      <c r="BZ72" s="1658"/>
      <c r="CA72" s="1658"/>
      <c r="CB72" s="1658"/>
      <c r="CC72" s="1658"/>
      <c r="CD72" s="1658"/>
      <c r="CE72" s="1658"/>
      <c r="CF72" s="1658"/>
      <c r="CG72" s="1658"/>
      <c r="CH72" s="1658"/>
      <c r="CI72" s="1658"/>
      <c r="CJ72" s="1658"/>
      <c r="CK72" s="1658"/>
      <c r="CL72" s="1658"/>
      <c r="CM72" s="1658"/>
      <c r="CN72" s="1658"/>
      <c r="CO72" s="1658"/>
      <c r="CP72" s="1658"/>
      <c r="CQ72" s="1658"/>
      <c r="CR72" s="1658"/>
      <c r="CS72" s="1658"/>
      <c r="CT72" s="1658"/>
      <c r="CU72" s="1658"/>
      <c r="CV72" s="1658"/>
      <c r="CW72" s="1658"/>
      <c r="CX72" s="1658"/>
      <c r="CY72" s="1658"/>
      <c r="CZ72" s="1658"/>
    </row>
    <row r="73" spans="8:8" ht="15.75">
      <c r="A73" s="1653" t="s">
        <v>310</v>
      </c>
      <c r="B73" s="1654">
        <f t="shared" si="2"/>
        <v>0.0</v>
      </c>
      <c r="C73" s="1655">
        <f t="shared" si="3"/>
        <v>0.0</v>
      </c>
      <c r="D73" s="1656"/>
      <c r="E73" s="1657"/>
      <c r="F73" s="1658"/>
      <c r="G73" s="1658"/>
      <c r="H73" s="1658"/>
      <c r="I73" s="1658"/>
      <c r="J73" s="1658"/>
      <c r="K73" s="1658"/>
      <c r="L73" s="1658"/>
      <c r="M73" s="1658"/>
      <c r="N73" s="1658"/>
      <c r="O73" s="1658"/>
      <c r="P73" s="1658"/>
      <c r="Q73" s="1658"/>
      <c r="R73" s="1658"/>
      <c r="S73" s="1658"/>
      <c r="T73" s="1658"/>
      <c r="U73" s="1658"/>
      <c r="V73" s="1658"/>
      <c r="W73" s="1658"/>
      <c r="X73" s="1658"/>
      <c r="Y73" s="1658"/>
      <c r="Z73" s="1658"/>
      <c r="AA73" s="1658"/>
      <c r="AB73" s="1658"/>
      <c r="AC73" s="1658"/>
      <c r="AD73" s="1658"/>
      <c r="AE73" s="1658"/>
      <c r="AF73" s="1658"/>
      <c r="AG73" s="1658"/>
      <c r="AH73" s="1658"/>
      <c r="AI73" s="1658"/>
      <c r="AJ73" s="1658"/>
      <c r="AK73" s="1658"/>
      <c r="AL73" s="1658"/>
      <c r="AM73" s="1658"/>
      <c r="AN73" s="1658"/>
      <c r="AO73" s="1658"/>
      <c r="AP73" s="1658"/>
      <c r="AQ73" s="1658"/>
      <c r="AR73" s="1658"/>
      <c r="AS73" s="1658"/>
      <c r="AT73" s="1658"/>
      <c r="AU73" s="1658"/>
      <c r="AV73" s="1658"/>
      <c r="AW73" s="1658"/>
      <c r="AX73" s="1658"/>
      <c r="AY73" s="1658"/>
      <c r="AZ73" s="1658"/>
      <c r="BA73" s="1658"/>
      <c r="BB73" s="1658"/>
      <c r="BC73" s="1658"/>
      <c r="BD73" s="1658"/>
      <c r="BE73" s="1658"/>
      <c r="BF73" s="1658"/>
      <c r="BG73" s="1658"/>
      <c r="BH73" s="1658"/>
      <c r="BI73" s="1658"/>
      <c r="BJ73" s="1658"/>
      <c r="BK73" s="1658"/>
      <c r="BL73" s="1658"/>
      <c r="BM73" s="1658"/>
      <c r="BN73" s="1658"/>
      <c r="BO73" s="1658"/>
      <c r="BP73" s="1658"/>
      <c r="BQ73" s="1658"/>
      <c r="BR73" s="1658"/>
      <c r="BS73" s="1658"/>
      <c r="BT73" s="1658"/>
      <c r="BU73" s="1658"/>
      <c r="BV73" s="1658"/>
      <c r="BW73" s="1658"/>
      <c r="BX73" s="1658"/>
      <c r="BY73" s="1658"/>
      <c r="BZ73" s="1658"/>
      <c r="CA73" s="1658"/>
      <c r="CB73" s="1658"/>
      <c r="CC73" s="1658"/>
      <c r="CD73" s="1658"/>
      <c r="CE73" s="1658"/>
      <c r="CF73" s="1658"/>
      <c r="CG73" s="1658"/>
      <c r="CH73" s="1658"/>
      <c r="CI73" s="1658"/>
      <c r="CJ73" s="1658"/>
      <c r="CK73" s="1658"/>
      <c r="CL73" s="1658"/>
      <c r="CM73" s="1658"/>
      <c r="CN73" s="1658"/>
      <c r="CO73" s="1658"/>
      <c r="CP73" s="1658"/>
      <c r="CQ73" s="1658"/>
      <c r="CR73" s="1658"/>
      <c r="CS73" s="1658"/>
      <c r="CT73" s="1658"/>
      <c r="CU73" s="1658"/>
      <c r="CV73" s="1658"/>
      <c r="CW73" s="1658"/>
      <c r="CX73" s="1658"/>
      <c r="CY73" s="1658"/>
      <c r="CZ73" s="1658"/>
    </row>
    <row r="74" spans="8:8" ht="15.75">
      <c r="A74" s="1653" t="s">
        <v>304</v>
      </c>
      <c r="B74" s="1654">
        <f t="shared" si="2"/>
        <v>0.0</v>
      </c>
      <c r="C74" s="1655">
        <f t="shared" si="3"/>
        <v>0.0</v>
      </c>
      <c r="D74" s="1656"/>
      <c r="E74" s="1657"/>
      <c r="F74" s="1658"/>
      <c r="G74" s="1658"/>
      <c r="H74" s="1658"/>
      <c r="I74" s="1658"/>
      <c r="J74" s="1658"/>
      <c r="K74" s="1658"/>
      <c r="L74" s="1658"/>
      <c r="M74" s="1658"/>
      <c r="N74" s="1658"/>
      <c r="O74" s="1658"/>
      <c r="P74" s="1658"/>
      <c r="Q74" s="1658"/>
      <c r="R74" s="1658"/>
      <c r="S74" s="1658"/>
      <c r="T74" s="1658"/>
      <c r="U74" s="1658"/>
      <c r="V74" s="1658"/>
      <c r="W74" s="1658"/>
      <c r="X74" s="1658"/>
      <c r="Y74" s="1658"/>
      <c r="Z74" s="1658"/>
      <c r="AA74" s="1658"/>
      <c r="AB74" s="1658"/>
      <c r="AC74" s="1658"/>
      <c r="AD74" s="1658"/>
      <c r="AE74" s="1658"/>
      <c r="AF74" s="1658"/>
      <c r="AG74" s="1658"/>
      <c r="AH74" s="1658"/>
      <c r="AI74" s="1658"/>
      <c r="AJ74" s="1658"/>
      <c r="AK74" s="1658"/>
      <c r="AL74" s="1658"/>
      <c r="AM74" s="1658"/>
      <c r="AN74" s="1658"/>
      <c r="AO74" s="1658"/>
      <c r="AP74" s="1658"/>
      <c r="AQ74" s="1658"/>
      <c r="AR74" s="1658"/>
      <c r="AS74" s="1658"/>
      <c r="AT74" s="1658"/>
      <c r="AU74" s="1658"/>
      <c r="AV74" s="1658"/>
      <c r="AW74" s="1658"/>
      <c r="AX74" s="1658"/>
      <c r="AY74" s="1658"/>
      <c r="AZ74" s="1658"/>
      <c r="BA74" s="1658"/>
      <c r="BB74" s="1658"/>
      <c r="BC74" s="1658"/>
      <c r="BD74" s="1658"/>
      <c r="BE74" s="1658"/>
      <c r="BF74" s="1658"/>
      <c r="BG74" s="1658"/>
      <c r="BH74" s="1658"/>
      <c r="BI74" s="1658"/>
      <c r="BJ74" s="1658"/>
      <c r="BK74" s="1658"/>
      <c r="BL74" s="1658"/>
      <c r="BM74" s="1658"/>
      <c r="BN74" s="1658"/>
      <c r="BO74" s="1658"/>
      <c r="BP74" s="1658"/>
      <c r="BQ74" s="1658"/>
      <c r="BR74" s="1658"/>
      <c r="BS74" s="1658"/>
      <c r="BT74" s="1658"/>
      <c r="BU74" s="1658"/>
      <c r="BV74" s="1658"/>
      <c r="BW74" s="1658"/>
      <c r="BX74" s="1658"/>
      <c r="BY74" s="1658"/>
      <c r="BZ74" s="1658"/>
      <c r="CA74" s="1658"/>
      <c r="CB74" s="1658"/>
      <c r="CC74" s="1658"/>
      <c r="CD74" s="1658"/>
      <c r="CE74" s="1658"/>
      <c r="CF74" s="1658"/>
      <c r="CG74" s="1658"/>
      <c r="CH74" s="1658"/>
      <c r="CI74" s="1658"/>
      <c r="CJ74" s="1658"/>
      <c r="CK74" s="1658"/>
      <c r="CL74" s="1658"/>
      <c r="CM74" s="1658"/>
      <c r="CN74" s="1658"/>
      <c r="CO74" s="1658"/>
      <c r="CP74" s="1658"/>
      <c r="CQ74" s="1658"/>
      <c r="CR74" s="1658"/>
      <c r="CS74" s="1658"/>
      <c r="CT74" s="1658"/>
      <c r="CU74" s="1658"/>
      <c r="CV74" s="1658"/>
      <c r="CW74" s="1658"/>
      <c r="CX74" s="1658"/>
      <c r="CY74" s="1658"/>
      <c r="CZ74" s="1658"/>
    </row>
    <row r="75" spans="8:8" ht="15.75">
      <c r="A75" s="1653" t="s">
        <v>308</v>
      </c>
      <c r="B75" s="1654">
        <f t="shared" si="2"/>
        <v>0.0</v>
      </c>
      <c r="C75" s="1655">
        <f t="shared" si="3"/>
        <v>0.0</v>
      </c>
      <c r="D75" s="1656"/>
      <c r="E75" s="1657"/>
      <c r="F75" s="1658"/>
      <c r="G75" s="1658"/>
      <c r="H75" s="1658"/>
      <c r="I75" s="1658"/>
      <c r="J75" s="1658"/>
      <c r="K75" s="1658"/>
      <c r="L75" s="1658"/>
      <c r="M75" s="1658"/>
      <c r="N75" s="1658"/>
      <c r="O75" s="1658"/>
      <c r="P75" s="1658"/>
      <c r="Q75" s="1658"/>
      <c r="R75" s="1658"/>
      <c r="S75" s="1658"/>
      <c r="T75" s="1658"/>
      <c r="U75" s="1658"/>
      <c r="V75" s="1658"/>
      <c r="W75" s="1658"/>
      <c r="X75" s="1658"/>
      <c r="Y75" s="1658"/>
      <c r="Z75" s="1658"/>
      <c r="AA75" s="1658"/>
      <c r="AB75" s="1658"/>
      <c r="AC75" s="1658"/>
      <c r="AD75" s="1658"/>
      <c r="AE75" s="1658"/>
      <c r="AF75" s="1658"/>
      <c r="AG75" s="1658"/>
      <c r="AH75" s="1658"/>
      <c r="AI75" s="1658"/>
      <c r="AJ75" s="1658"/>
      <c r="AK75" s="1658"/>
      <c r="AL75" s="1658"/>
      <c r="AM75" s="1658"/>
      <c r="AN75" s="1658"/>
      <c r="AO75" s="1658"/>
      <c r="AP75" s="1658"/>
      <c r="AQ75" s="1658"/>
      <c r="AR75" s="1658"/>
      <c r="AS75" s="1658"/>
      <c r="AT75" s="1658"/>
      <c r="AU75" s="1658"/>
      <c r="AV75" s="1658"/>
      <c r="AW75" s="1658"/>
      <c r="AX75" s="1658"/>
      <c r="AY75" s="1658"/>
      <c r="AZ75" s="1658"/>
      <c r="BA75" s="1658"/>
      <c r="BB75" s="1658"/>
      <c r="BC75" s="1658"/>
      <c r="BD75" s="1658"/>
      <c r="BE75" s="1658"/>
      <c r="BF75" s="1658"/>
      <c r="BG75" s="1658"/>
      <c r="BH75" s="1658"/>
      <c r="BI75" s="1658"/>
      <c r="BJ75" s="1658"/>
      <c r="BK75" s="1658"/>
      <c r="BL75" s="1658"/>
      <c r="BM75" s="1658"/>
      <c r="BN75" s="1658"/>
      <c r="BO75" s="1658"/>
      <c r="BP75" s="1658"/>
      <c r="BQ75" s="1658"/>
      <c r="BR75" s="1658"/>
      <c r="BS75" s="1658"/>
      <c r="BT75" s="1658"/>
      <c r="BU75" s="1658"/>
      <c r="BV75" s="1658"/>
      <c r="BW75" s="1658"/>
      <c r="BX75" s="1658"/>
      <c r="BY75" s="1658"/>
      <c r="BZ75" s="1658"/>
      <c r="CA75" s="1658"/>
      <c r="CB75" s="1658"/>
      <c r="CC75" s="1658"/>
      <c r="CD75" s="1658"/>
      <c r="CE75" s="1658"/>
      <c r="CF75" s="1658"/>
      <c r="CG75" s="1658"/>
      <c r="CH75" s="1658"/>
      <c r="CI75" s="1658"/>
      <c r="CJ75" s="1658"/>
      <c r="CK75" s="1658"/>
      <c r="CL75" s="1658"/>
      <c r="CM75" s="1658"/>
      <c r="CN75" s="1658"/>
      <c r="CO75" s="1658"/>
      <c r="CP75" s="1658"/>
      <c r="CQ75" s="1658"/>
      <c r="CR75" s="1658"/>
      <c r="CS75" s="1658"/>
      <c r="CT75" s="1658"/>
      <c r="CU75" s="1658"/>
      <c r="CV75" s="1658"/>
      <c r="CW75" s="1658"/>
      <c r="CX75" s="1658"/>
      <c r="CY75" s="1658"/>
      <c r="CZ75" s="1658"/>
    </row>
    <row r="76" spans="8:8" ht="15.75">
      <c r="A76" s="1653" t="s">
        <v>306</v>
      </c>
      <c r="B76" s="1654">
        <f t="shared" si="2"/>
        <v>0.0</v>
      </c>
      <c r="C76" s="1655">
        <f t="shared" si="3"/>
        <v>0.0</v>
      </c>
      <c r="D76" s="1656"/>
      <c r="E76" s="1657"/>
      <c r="F76" s="1658"/>
      <c r="G76" s="1658"/>
      <c r="H76" s="1658"/>
      <c r="I76" s="1658"/>
      <c r="J76" s="1658"/>
      <c r="K76" s="1658"/>
      <c r="L76" s="1658"/>
      <c r="M76" s="1658"/>
      <c r="N76" s="1658"/>
      <c r="O76" s="1658"/>
      <c r="P76" s="1658"/>
      <c r="Q76" s="1658"/>
      <c r="R76" s="1658"/>
      <c r="S76" s="1658"/>
      <c r="T76" s="1658"/>
      <c r="U76" s="1658"/>
      <c r="V76" s="1658"/>
      <c r="W76" s="1658"/>
      <c r="X76" s="1658"/>
      <c r="Y76" s="1658"/>
      <c r="Z76" s="1658"/>
      <c r="AA76" s="1658"/>
      <c r="AB76" s="1658"/>
      <c r="AC76" s="1658"/>
      <c r="AD76" s="1658"/>
      <c r="AE76" s="1658"/>
      <c r="AF76" s="1658"/>
      <c r="AG76" s="1658"/>
      <c r="AH76" s="1658"/>
      <c r="AI76" s="1658"/>
      <c r="AJ76" s="1658"/>
      <c r="AK76" s="1658"/>
      <c r="AL76" s="1658"/>
      <c r="AM76" s="1658"/>
      <c r="AN76" s="1658"/>
      <c r="AO76" s="1658"/>
      <c r="AP76" s="1658"/>
      <c r="AQ76" s="1658"/>
      <c r="AR76" s="1658"/>
      <c r="AS76" s="1658"/>
      <c r="AT76" s="1658"/>
      <c r="AU76" s="1658"/>
      <c r="AV76" s="1658"/>
      <c r="AW76" s="1658"/>
      <c r="AX76" s="1658"/>
      <c r="AY76" s="1658"/>
      <c r="AZ76" s="1658"/>
      <c r="BA76" s="1658"/>
      <c r="BB76" s="1658"/>
      <c r="BC76" s="1658"/>
      <c r="BD76" s="1658"/>
      <c r="BE76" s="1658"/>
      <c r="BF76" s="1658"/>
      <c r="BG76" s="1658"/>
      <c r="BH76" s="1658"/>
      <c r="BI76" s="1658"/>
      <c r="BJ76" s="1658"/>
      <c r="BK76" s="1658"/>
      <c r="BL76" s="1658"/>
      <c r="BM76" s="1658"/>
      <c r="BN76" s="1658"/>
      <c r="BO76" s="1658"/>
      <c r="BP76" s="1658"/>
      <c r="BQ76" s="1658"/>
      <c r="BR76" s="1658"/>
      <c r="BS76" s="1658"/>
      <c r="BT76" s="1658"/>
      <c r="BU76" s="1658"/>
      <c r="BV76" s="1658"/>
      <c r="BW76" s="1658"/>
      <c r="BX76" s="1658"/>
      <c r="BY76" s="1658"/>
      <c r="BZ76" s="1658"/>
      <c r="CA76" s="1658"/>
      <c r="CB76" s="1658"/>
      <c r="CC76" s="1658"/>
      <c r="CD76" s="1658"/>
      <c r="CE76" s="1658"/>
      <c r="CF76" s="1658"/>
      <c r="CG76" s="1658"/>
      <c r="CH76" s="1658"/>
      <c r="CI76" s="1658"/>
      <c r="CJ76" s="1658"/>
      <c r="CK76" s="1658"/>
      <c r="CL76" s="1658"/>
      <c r="CM76" s="1658"/>
      <c r="CN76" s="1658"/>
      <c r="CO76" s="1658"/>
      <c r="CP76" s="1658"/>
      <c r="CQ76" s="1658"/>
      <c r="CR76" s="1658"/>
      <c r="CS76" s="1658"/>
      <c r="CT76" s="1658"/>
      <c r="CU76" s="1658"/>
      <c r="CV76" s="1658"/>
      <c r="CW76" s="1658"/>
      <c r="CX76" s="1658"/>
      <c r="CY76" s="1658"/>
      <c r="CZ76" s="1658"/>
    </row>
    <row r="77" spans="8:8" ht="15.75">
      <c r="A77" s="1653" t="s">
        <v>305</v>
      </c>
      <c r="B77" s="1654">
        <f t="shared" si="2"/>
        <v>0.0</v>
      </c>
      <c r="C77" s="1655">
        <f t="shared" si="3"/>
        <v>0.0</v>
      </c>
      <c r="D77" s="1656"/>
      <c r="E77" s="1657"/>
      <c r="F77" s="1658"/>
      <c r="G77" s="1658"/>
      <c r="H77" s="1658"/>
      <c r="I77" s="1658"/>
      <c r="J77" s="1658"/>
      <c r="K77" s="1658"/>
      <c r="L77" s="1658"/>
      <c r="M77" s="1658"/>
      <c r="N77" s="1658"/>
      <c r="O77" s="1658"/>
      <c r="P77" s="1658"/>
      <c r="Q77" s="1658"/>
      <c r="R77" s="1658"/>
      <c r="S77" s="1658"/>
      <c r="T77" s="1658"/>
      <c r="U77" s="1658"/>
      <c r="V77" s="1658"/>
      <c r="W77" s="1658"/>
      <c r="X77" s="1658"/>
      <c r="Y77" s="1658"/>
      <c r="Z77" s="1658"/>
      <c r="AA77" s="1658"/>
      <c r="AB77" s="1658"/>
      <c r="AC77" s="1658"/>
      <c r="AD77" s="1658"/>
      <c r="AE77" s="1658"/>
      <c r="AF77" s="1658"/>
      <c r="AG77" s="1658"/>
      <c r="AH77" s="1658"/>
      <c r="AI77" s="1658"/>
      <c r="AJ77" s="1658"/>
      <c r="AK77" s="1658"/>
      <c r="AL77" s="1658"/>
      <c r="AM77" s="1658"/>
      <c r="AN77" s="1658"/>
      <c r="AO77" s="1658"/>
      <c r="AP77" s="1658"/>
      <c r="AQ77" s="1658"/>
      <c r="AR77" s="1658"/>
      <c r="AS77" s="1658"/>
      <c r="AT77" s="1658"/>
      <c r="AU77" s="1658"/>
      <c r="AV77" s="1658"/>
      <c r="AW77" s="1658"/>
      <c r="AX77" s="1658"/>
      <c r="AY77" s="1658"/>
      <c r="AZ77" s="1658"/>
      <c r="BA77" s="1658"/>
      <c r="BB77" s="1658"/>
      <c r="BC77" s="1658"/>
      <c r="BD77" s="1658"/>
      <c r="BE77" s="1658"/>
      <c r="BF77" s="1658"/>
      <c r="BG77" s="1658"/>
      <c r="BH77" s="1658"/>
      <c r="BI77" s="1658"/>
      <c r="BJ77" s="1658"/>
      <c r="BK77" s="1658"/>
      <c r="BL77" s="1658"/>
      <c r="BM77" s="1658"/>
      <c r="BN77" s="1658"/>
      <c r="BO77" s="1658"/>
      <c r="BP77" s="1658"/>
      <c r="BQ77" s="1658"/>
      <c r="BR77" s="1658"/>
      <c r="BS77" s="1658"/>
      <c r="BT77" s="1658"/>
      <c r="BU77" s="1658"/>
      <c r="BV77" s="1658"/>
      <c r="BW77" s="1658"/>
      <c r="BX77" s="1658"/>
      <c r="BY77" s="1658"/>
      <c r="BZ77" s="1658"/>
      <c r="CA77" s="1658"/>
      <c r="CB77" s="1658"/>
      <c r="CC77" s="1658"/>
      <c r="CD77" s="1658"/>
      <c r="CE77" s="1658"/>
      <c r="CF77" s="1658"/>
      <c r="CG77" s="1658"/>
      <c r="CH77" s="1658"/>
      <c r="CI77" s="1658"/>
      <c r="CJ77" s="1658"/>
      <c r="CK77" s="1658"/>
      <c r="CL77" s="1658"/>
      <c r="CM77" s="1658"/>
      <c r="CN77" s="1658"/>
      <c r="CO77" s="1658"/>
      <c r="CP77" s="1658"/>
      <c r="CQ77" s="1658"/>
      <c r="CR77" s="1658"/>
      <c r="CS77" s="1658"/>
      <c r="CT77" s="1658"/>
      <c r="CU77" s="1658"/>
      <c r="CV77" s="1658"/>
      <c r="CW77" s="1658"/>
      <c r="CX77" s="1658"/>
      <c r="CY77" s="1658"/>
      <c r="CZ77" s="1658"/>
    </row>
    <row r="78" spans="8:8" ht="15.75">
      <c r="A78" s="1653" t="s">
        <v>309</v>
      </c>
      <c r="B78" s="1654">
        <f t="shared" si="2"/>
        <v>0.0</v>
      </c>
      <c r="C78" s="1655">
        <f t="shared" si="3"/>
        <v>0.0</v>
      </c>
      <c r="D78" s="1656"/>
      <c r="E78" s="1657"/>
      <c r="F78" s="1658"/>
      <c r="G78" s="1658"/>
      <c r="H78" s="1658"/>
      <c r="I78" s="1658"/>
      <c r="J78" s="1658"/>
      <c r="K78" s="1658"/>
      <c r="L78" s="1658"/>
      <c r="M78" s="1658"/>
      <c r="N78" s="1658"/>
      <c r="O78" s="1658"/>
      <c r="P78" s="1658"/>
      <c r="Q78" s="1658"/>
      <c r="R78" s="1658"/>
      <c r="S78" s="1658"/>
      <c r="T78" s="1658"/>
      <c r="U78" s="1658"/>
      <c r="V78" s="1658"/>
      <c r="W78" s="1658"/>
      <c r="X78" s="1658"/>
      <c r="Y78" s="1658"/>
      <c r="Z78" s="1658"/>
      <c r="AA78" s="1658"/>
      <c r="AB78" s="1658"/>
      <c r="AC78" s="1658"/>
      <c r="AD78" s="1658"/>
      <c r="AE78" s="1658"/>
      <c r="AF78" s="1658"/>
      <c r="AG78" s="1658"/>
      <c r="AH78" s="1658"/>
      <c r="AI78" s="1658"/>
      <c r="AJ78" s="1658"/>
      <c r="AK78" s="1658"/>
      <c r="AL78" s="1658"/>
      <c r="AM78" s="1658"/>
      <c r="AN78" s="1658"/>
      <c r="AO78" s="1658"/>
      <c r="AP78" s="1658"/>
      <c r="AQ78" s="1658"/>
      <c r="AR78" s="1658"/>
      <c r="AS78" s="1658"/>
      <c r="AT78" s="1658"/>
      <c r="AU78" s="1658"/>
      <c r="AV78" s="1658"/>
      <c r="AW78" s="1658"/>
      <c r="AX78" s="1658"/>
      <c r="AY78" s="1658"/>
      <c r="AZ78" s="1658"/>
      <c r="BA78" s="1658"/>
      <c r="BB78" s="1658"/>
      <c r="BC78" s="1658"/>
      <c r="BD78" s="1658"/>
      <c r="BE78" s="1658"/>
      <c r="BF78" s="1658"/>
      <c r="BG78" s="1658"/>
      <c r="BH78" s="1658"/>
      <c r="BI78" s="1658"/>
      <c r="BJ78" s="1658"/>
      <c r="BK78" s="1658"/>
      <c r="BL78" s="1658"/>
      <c r="BM78" s="1658"/>
      <c r="BN78" s="1658"/>
      <c r="BO78" s="1658"/>
      <c r="BP78" s="1658"/>
      <c r="BQ78" s="1658"/>
      <c r="BR78" s="1658"/>
      <c r="BS78" s="1658"/>
      <c r="BT78" s="1658"/>
      <c r="BU78" s="1658"/>
      <c r="BV78" s="1658"/>
      <c r="BW78" s="1658"/>
      <c r="BX78" s="1658"/>
      <c r="BY78" s="1658"/>
      <c r="BZ78" s="1658"/>
      <c r="CA78" s="1658"/>
      <c r="CB78" s="1658"/>
      <c r="CC78" s="1658"/>
      <c r="CD78" s="1658"/>
      <c r="CE78" s="1658"/>
      <c r="CF78" s="1658"/>
      <c r="CG78" s="1658"/>
      <c r="CH78" s="1658"/>
      <c r="CI78" s="1658"/>
      <c r="CJ78" s="1658"/>
      <c r="CK78" s="1658"/>
      <c r="CL78" s="1658"/>
      <c r="CM78" s="1658"/>
      <c r="CN78" s="1658"/>
      <c r="CO78" s="1658"/>
      <c r="CP78" s="1658"/>
      <c r="CQ78" s="1658"/>
      <c r="CR78" s="1658"/>
      <c r="CS78" s="1658"/>
      <c r="CT78" s="1658"/>
      <c r="CU78" s="1658"/>
      <c r="CV78" s="1658"/>
      <c r="CW78" s="1658"/>
      <c r="CX78" s="1658"/>
      <c r="CY78" s="1658"/>
      <c r="CZ78" s="1658"/>
    </row>
    <row r="79" spans="8:8" ht="16.2" customHeight="1">
      <c r="A79" s="1653" t="s">
        <v>371</v>
      </c>
      <c r="B79" s="1654">
        <f t="shared" si="2"/>
        <v>0.0</v>
      </c>
      <c r="C79" s="1655">
        <f t="shared" si="3"/>
        <v>0.0</v>
      </c>
      <c r="D79" s="1656"/>
      <c r="E79" s="1657"/>
      <c r="F79" s="1658"/>
      <c r="G79" s="1658"/>
      <c r="H79" s="1658"/>
      <c r="I79" s="1658"/>
      <c r="J79" s="1658"/>
      <c r="K79" s="1658"/>
      <c r="L79" s="1658"/>
      <c r="M79" s="1658"/>
      <c r="N79" s="1658"/>
      <c r="O79" s="1658"/>
      <c r="P79" s="1658"/>
      <c r="Q79" s="1658"/>
      <c r="R79" s="1658"/>
      <c r="S79" s="1658"/>
      <c r="T79" s="1658"/>
      <c r="U79" s="1658"/>
      <c r="V79" s="1658"/>
      <c r="W79" s="1658"/>
      <c r="X79" s="1658"/>
      <c r="Y79" s="1658"/>
      <c r="Z79" s="1658"/>
      <c r="AA79" s="1658"/>
      <c r="AB79" s="1658"/>
      <c r="AC79" s="1658"/>
      <c r="AD79" s="1658"/>
      <c r="AE79" s="1658"/>
      <c r="AF79" s="1658"/>
      <c r="AG79" s="1658"/>
      <c r="AH79" s="1658"/>
      <c r="AI79" s="1658"/>
      <c r="AJ79" s="1658"/>
      <c r="AK79" s="1658"/>
      <c r="AL79" s="1658"/>
      <c r="AM79" s="1658"/>
      <c r="AN79" s="1658"/>
      <c r="AO79" s="1658"/>
      <c r="AP79" s="1658"/>
      <c r="AQ79" s="1658"/>
      <c r="AR79" s="1658"/>
      <c r="AS79" s="1658"/>
      <c r="AT79" s="1658"/>
      <c r="AU79" s="1658"/>
      <c r="AV79" s="1658"/>
      <c r="AW79" s="1658"/>
      <c r="AX79" s="1658"/>
      <c r="AY79" s="1658"/>
      <c r="AZ79" s="1658"/>
      <c r="BA79" s="1658"/>
      <c r="BB79" s="1658"/>
      <c r="BC79" s="1658"/>
      <c r="BD79" s="1658"/>
      <c r="BE79" s="1658"/>
      <c r="BF79" s="1658"/>
      <c r="BG79" s="1658"/>
      <c r="BH79" s="1658"/>
      <c r="BI79" s="1658"/>
      <c r="BJ79" s="1658"/>
      <c r="BK79" s="1658"/>
      <c r="BL79" s="1658"/>
      <c r="BM79" s="1658"/>
      <c r="BN79" s="1658"/>
      <c r="BO79" s="1658"/>
      <c r="BP79" s="1658"/>
      <c r="BQ79" s="1658"/>
      <c r="BR79" s="1658"/>
      <c r="BS79" s="1658"/>
      <c r="BT79" s="1658"/>
      <c r="BU79" s="1658"/>
      <c r="BV79" s="1658"/>
      <c r="BW79" s="1658"/>
      <c r="BX79" s="1658"/>
      <c r="BY79" s="1658"/>
      <c r="BZ79" s="1658"/>
      <c r="CA79" s="1658"/>
      <c r="CB79" s="1658"/>
      <c r="CC79" s="1658"/>
      <c r="CD79" s="1658"/>
      <c r="CE79" s="1658"/>
      <c r="CF79" s="1658"/>
      <c r="CG79" s="1658"/>
      <c r="CH79" s="1658"/>
      <c r="CI79" s="1658"/>
      <c r="CJ79" s="1658"/>
      <c r="CK79" s="1658"/>
      <c r="CL79" s="1658"/>
      <c r="CM79" s="1658"/>
      <c r="CN79" s="1658"/>
      <c r="CO79" s="1658"/>
      <c r="CP79" s="1658"/>
      <c r="CQ79" s="1658"/>
      <c r="CR79" s="1658"/>
      <c r="CS79" s="1658"/>
      <c r="CT79" s="1658"/>
      <c r="CU79" s="1658"/>
      <c r="CV79" s="1658"/>
      <c r="CW79" s="1658"/>
      <c r="CX79" s="1658"/>
      <c r="CY79" s="1658"/>
      <c r="CZ79" s="1658"/>
    </row>
    <row r="80" spans="8:8" ht="16.2" customHeight="1">
      <c r="A80" s="1653" t="s">
        <v>345</v>
      </c>
      <c r="B80" s="1654">
        <f t="shared" si="2"/>
        <v>0.0</v>
      </c>
      <c r="C80" s="1655">
        <f>SUM(E80:CZ80)</f>
        <v>0.0</v>
      </c>
      <c r="D80" s="1656"/>
      <c r="E80" s="1657"/>
      <c r="F80" s="1658"/>
      <c r="G80" s="1658"/>
      <c r="H80" s="1658"/>
      <c r="I80" s="1658"/>
      <c r="J80" s="1658"/>
      <c r="K80" s="1658"/>
      <c r="L80" s="1658"/>
      <c r="M80" s="1658"/>
      <c r="N80" s="1658"/>
      <c r="O80" s="1658"/>
      <c r="P80" s="1658"/>
      <c r="Q80" s="1658"/>
      <c r="R80" s="1658"/>
      <c r="S80" s="1658"/>
      <c r="T80" s="1658"/>
      <c r="U80" s="1658"/>
      <c r="V80" s="1658"/>
      <c r="W80" s="1658"/>
      <c r="X80" s="1658"/>
      <c r="Y80" s="1658"/>
      <c r="Z80" s="1658"/>
      <c r="AA80" s="1658"/>
      <c r="AB80" s="1658"/>
      <c r="AC80" s="1658"/>
      <c r="AD80" s="1658"/>
      <c r="AE80" s="1658"/>
      <c r="AF80" s="1658"/>
      <c r="AG80" s="1658"/>
      <c r="AH80" s="1658"/>
      <c r="AI80" s="1658"/>
      <c r="AJ80" s="1658"/>
      <c r="AK80" s="1658"/>
      <c r="AL80" s="1658"/>
      <c r="AM80" s="1658"/>
      <c r="AN80" s="1658"/>
      <c r="AO80" s="1658"/>
      <c r="AP80" s="1658"/>
      <c r="AQ80" s="1658"/>
      <c r="AR80" s="1658"/>
      <c r="AS80" s="1658"/>
      <c r="AT80" s="1658"/>
      <c r="AU80" s="1658"/>
      <c r="AV80" s="1658"/>
      <c r="AW80" s="1658"/>
      <c r="AX80" s="1658"/>
      <c r="AY80" s="1658"/>
      <c r="AZ80" s="1658"/>
      <c r="BA80" s="1658"/>
      <c r="BB80" s="1658"/>
      <c r="BC80" s="1658"/>
      <c r="BD80" s="1658"/>
      <c r="BE80" s="1658"/>
      <c r="BF80" s="1658"/>
      <c r="BG80" s="1658"/>
      <c r="BH80" s="1658"/>
      <c r="BI80" s="1658"/>
      <c r="BJ80" s="1658"/>
      <c r="BK80" s="1658"/>
      <c r="BL80" s="1658"/>
      <c r="BM80" s="1658"/>
      <c r="BN80" s="1658"/>
      <c r="BO80" s="1658"/>
      <c r="BP80" s="1658"/>
      <c r="BQ80" s="1658"/>
      <c r="BR80" s="1658"/>
      <c r="BS80" s="1658"/>
      <c r="BT80" s="1658"/>
      <c r="BU80" s="1658"/>
      <c r="BV80" s="1658"/>
      <c r="BW80" s="1658"/>
      <c r="BX80" s="1658"/>
      <c r="BY80" s="1658"/>
      <c r="BZ80" s="1658"/>
      <c r="CA80" s="1658"/>
      <c r="CB80" s="1658"/>
      <c r="CC80" s="1658"/>
      <c r="CD80" s="1658"/>
      <c r="CE80" s="1658"/>
      <c r="CF80" s="1658"/>
      <c r="CG80" s="1658"/>
      <c r="CH80" s="1658"/>
      <c r="CI80" s="1658"/>
      <c r="CJ80" s="1658"/>
      <c r="CK80" s="1658"/>
      <c r="CL80" s="1658"/>
      <c r="CM80" s="1658"/>
      <c r="CN80" s="1658"/>
      <c r="CO80" s="1658"/>
      <c r="CP80" s="1658"/>
      <c r="CQ80" s="1658"/>
      <c r="CR80" s="1658"/>
      <c r="CS80" s="1658"/>
      <c r="CT80" s="1658"/>
      <c r="CU80" s="1658"/>
      <c r="CV80" s="1658"/>
      <c r="CW80" s="1658"/>
      <c r="CX80" s="1658"/>
      <c r="CY80" s="1658"/>
      <c r="CZ80" s="1658"/>
    </row>
    <row r="81" spans="8:8" ht="16.2" customHeight="1">
      <c r="A81" s="1653"/>
      <c r="B81" s="1654">
        <f t="shared" si="2"/>
        <v>0.0</v>
      </c>
      <c r="C81" s="1655">
        <f t="shared" si="3"/>
        <v>0.0</v>
      </c>
      <c r="D81" s="1656"/>
      <c r="E81" s="1657"/>
      <c r="F81" s="1658"/>
      <c r="G81" s="1658"/>
      <c r="H81" s="1658"/>
      <c r="I81" s="1658"/>
      <c r="J81" s="1658"/>
      <c r="K81" s="1658"/>
      <c r="L81" s="1658"/>
      <c r="M81" s="1658"/>
      <c r="N81" s="1658"/>
      <c r="O81" s="1658"/>
      <c r="P81" s="1658"/>
      <c r="Q81" s="1658"/>
      <c r="R81" s="1658"/>
      <c r="S81" s="1658"/>
      <c r="T81" s="1658"/>
      <c r="U81" s="1658"/>
      <c r="V81" s="1658"/>
      <c r="W81" s="1658"/>
      <c r="X81" s="1658"/>
      <c r="Y81" s="1658"/>
      <c r="Z81" s="1658"/>
      <c r="AA81" s="1658"/>
      <c r="AB81" s="1658"/>
      <c r="AC81" s="1658"/>
      <c r="AD81" s="1658"/>
      <c r="AE81" s="1658"/>
      <c r="AF81" s="1658"/>
      <c r="AG81" s="1658"/>
      <c r="AH81" s="1658"/>
      <c r="AI81" s="1658"/>
      <c r="AJ81" s="1658"/>
      <c r="AK81" s="1658"/>
      <c r="AL81" s="1658"/>
      <c r="AM81" s="1658"/>
      <c r="AN81" s="1658"/>
      <c r="AO81" s="1658"/>
      <c r="AP81" s="1658"/>
      <c r="AQ81" s="1658"/>
      <c r="AR81" s="1658"/>
      <c r="AS81" s="1658"/>
      <c r="AT81" s="1658"/>
      <c r="AU81" s="1658"/>
      <c r="AV81" s="1658"/>
      <c r="AW81" s="1658"/>
      <c r="AX81" s="1658"/>
      <c r="AY81" s="1658"/>
      <c r="AZ81" s="1658"/>
      <c r="BA81" s="1658"/>
      <c r="BB81" s="1658"/>
      <c r="BC81" s="1658"/>
      <c r="BD81" s="1658"/>
      <c r="BE81" s="1658"/>
      <c r="BF81" s="1658"/>
      <c r="BG81" s="1658"/>
      <c r="BH81" s="1658"/>
      <c r="BI81" s="1658"/>
      <c r="BJ81" s="1658"/>
      <c r="BK81" s="1658"/>
      <c r="BL81" s="1658"/>
      <c r="BM81" s="1658"/>
      <c r="BN81" s="1658"/>
      <c r="BO81" s="1658"/>
      <c r="BP81" s="1658"/>
      <c r="BQ81" s="1658"/>
      <c r="BR81" s="1658"/>
      <c r="BS81" s="1658"/>
      <c r="BT81" s="1658"/>
      <c r="BU81" s="1658"/>
      <c r="BV81" s="1658"/>
      <c r="BW81" s="1658"/>
      <c r="BX81" s="1658"/>
      <c r="BY81" s="1658"/>
      <c r="BZ81" s="1658"/>
      <c r="CA81" s="1658"/>
      <c r="CB81" s="1658"/>
      <c r="CC81" s="1658"/>
      <c r="CD81" s="1658"/>
      <c r="CE81" s="1658"/>
      <c r="CF81" s="1658"/>
      <c r="CG81" s="1658"/>
      <c r="CH81" s="1658"/>
      <c r="CI81" s="1658"/>
      <c r="CJ81" s="1658"/>
      <c r="CK81" s="1658"/>
      <c r="CL81" s="1658"/>
      <c r="CM81" s="1658"/>
      <c r="CN81" s="1658"/>
      <c r="CO81" s="1658"/>
      <c r="CP81" s="1658"/>
      <c r="CQ81" s="1658"/>
      <c r="CR81" s="1658"/>
      <c r="CS81" s="1658"/>
      <c r="CT81" s="1658"/>
      <c r="CU81" s="1658"/>
      <c r="CV81" s="1658"/>
      <c r="CW81" s="1658"/>
      <c r="CX81" s="1658"/>
      <c r="CY81" s="1658"/>
      <c r="CZ81" s="1658"/>
    </row>
    <row r="82" spans="8:8" ht="16.2" customHeight="1">
      <c r="A82" s="1653"/>
      <c r="B82" s="1654">
        <f t="shared" si="2"/>
        <v>0.0</v>
      </c>
      <c r="C82" s="1655">
        <f>SUM(E82:CZ82)</f>
        <v>0.0</v>
      </c>
      <c r="D82" s="1656"/>
      <c r="E82" s="1657"/>
      <c r="F82" s="1658"/>
      <c r="G82" s="1658"/>
      <c r="H82" s="1658"/>
      <c r="I82" s="1658"/>
      <c r="J82" s="1658"/>
      <c r="K82" s="1658"/>
      <c r="L82" s="1658"/>
      <c r="M82" s="1658"/>
      <c r="N82" s="1658"/>
      <c r="O82" s="1658"/>
      <c r="P82" s="1658"/>
      <c r="Q82" s="1658"/>
      <c r="R82" s="1658"/>
      <c r="S82" s="1658"/>
      <c r="T82" s="1658"/>
      <c r="U82" s="1658"/>
      <c r="V82" s="1658"/>
      <c r="W82" s="1658"/>
      <c r="X82" s="1658"/>
      <c r="Y82" s="1658"/>
      <c r="Z82" s="1658"/>
      <c r="AA82" s="1658"/>
      <c r="AB82" s="1658"/>
      <c r="AC82" s="1658"/>
      <c r="AD82" s="1658"/>
      <c r="AE82" s="1658"/>
      <c r="AF82" s="1658"/>
      <c r="AG82" s="1658"/>
      <c r="AH82" s="1658"/>
      <c r="AI82" s="1658"/>
      <c r="AJ82" s="1658"/>
      <c r="AK82" s="1658"/>
      <c r="AL82" s="1658"/>
      <c r="AM82" s="1658"/>
      <c r="AN82" s="1658"/>
      <c r="AO82" s="1658"/>
      <c r="AP82" s="1658"/>
      <c r="AQ82" s="1658"/>
      <c r="AR82" s="1658"/>
      <c r="AS82" s="1658"/>
      <c r="AT82" s="1658"/>
      <c r="AU82" s="1658"/>
      <c r="AV82" s="1658"/>
      <c r="AW82" s="1658"/>
      <c r="AX82" s="1658"/>
      <c r="AY82" s="1658"/>
      <c r="AZ82" s="1658"/>
      <c r="BA82" s="1658"/>
      <c r="BB82" s="1658"/>
      <c r="BC82" s="1658"/>
      <c r="BD82" s="1658"/>
      <c r="BE82" s="1658"/>
      <c r="BF82" s="1658"/>
      <c r="BG82" s="1658"/>
      <c r="BH82" s="1658"/>
      <c r="BI82" s="1658"/>
      <c r="BJ82" s="1658"/>
      <c r="BK82" s="1658"/>
      <c r="BL82" s="1658"/>
      <c r="BM82" s="1658"/>
      <c r="BN82" s="1658"/>
      <c r="BO82" s="1658"/>
      <c r="BP82" s="1658"/>
      <c r="BQ82" s="1658"/>
      <c r="BR82" s="1658"/>
      <c r="BS82" s="1658"/>
      <c r="BT82" s="1658"/>
      <c r="BU82" s="1658"/>
      <c r="BV82" s="1658"/>
      <c r="BW82" s="1658"/>
      <c r="BX82" s="1658"/>
      <c r="BY82" s="1658"/>
      <c r="BZ82" s="1658"/>
      <c r="CA82" s="1658"/>
      <c r="CB82" s="1658"/>
      <c r="CC82" s="1658"/>
      <c r="CD82" s="1658"/>
      <c r="CE82" s="1658"/>
      <c r="CF82" s="1658"/>
      <c r="CG82" s="1658"/>
      <c r="CH82" s="1658"/>
      <c r="CI82" s="1658"/>
      <c r="CJ82" s="1658"/>
      <c r="CK82" s="1658"/>
      <c r="CL82" s="1658"/>
      <c r="CM82" s="1658"/>
      <c r="CN82" s="1658"/>
      <c r="CO82" s="1658"/>
      <c r="CP82" s="1658"/>
      <c r="CQ82" s="1658"/>
      <c r="CR82" s="1658"/>
      <c r="CS82" s="1658"/>
      <c r="CT82" s="1658"/>
      <c r="CU82" s="1658"/>
      <c r="CV82" s="1658"/>
      <c r="CW82" s="1658"/>
      <c r="CX82" s="1658"/>
      <c r="CY82" s="1658"/>
      <c r="CZ82" s="1658"/>
    </row>
    <row r="83" spans="8:8" ht="16.2" customHeight="1">
      <c r="A83" s="1653"/>
      <c r="B83" s="1654">
        <f t="shared" si="2"/>
        <v>0.0</v>
      </c>
      <c r="C83" s="1655">
        <f t="shared" si="4" ref="C83:C95">SUM(E83:CZ83)</f>
        <v>0.0</v>
      </c>
      <c r="D83" s="1656"/>
      <c r="E83" s="1657"/>
      <c r="F83" s="1658"/>
      <c r="G83" s="1658"/>
      <c r="H83" s="1658"/>
      <c r="I83" s="1658"/>
      <c r="J83" s="1658"/>
      <c r="K83" s="1658"/>
      <c r="L83" s="1658"/>
      <c r="M83" s="1658"/>
      <c r="N83" s="1658"/>
      <c r="O83" s="1658"/>
      <c r="P83" s="1658"/>
      <c r="Q83" s="1658"/>
      <c r="R83" s="1658"/>
      <c r="S83" s="1658"/>
      <c r="T83" s="1658"/>
      <c r="U83" s="1658"/>
      <c r="V83" s="1658"/>
      <c r="W83" s="1658"/>
      <c r="X83" s="1658"/>
      <c r="Y83" s="1658"/>
      <c r="Z83" s="1658"/>
      <c r="AA83" s="1658"/>
      <c r="AB83" s="1658"/>
      <c r="AC83" s="1658"/>
      <c r="AD83" s="1658"/>
      <c r="AE83" s="1658"/>
      <c r="AF83" s="1658"/>
      <c r="AG83" s="1658"/>
      <c r="AH83" s="1658"/>
      <c r="AI83" s="1658"/>
      <c r="AJ83" s="1658"/>
      <c r="AK83" s="1658"/>
      <c r="AL83" s="1658"/>
      <c r="AM83" s="1658"/>
      <c r="AN83" s="1658"/>
      <c r="AO83" s="1658"/>
      <c r="AP83" s="1658"/>
      <c r="AQ83" s="1658"/>
      <c r="AR83" s="1658"/>
      <c r="AS83" s="1658"/>
      <c r="AT83" s="1658"/>
      <c r="AU83" s="1658"/>
      <c r="AV83" s="1658"/>
      <c r="AW83" s="1658"/>
      <c r="AX83" s="1658"/>
      <c r="AY83" s="1658"/>
      <c r="AZ83" s="1658"/>
      <c r="BA83" s="1658"/>
      <c r="BB83" s="1658"/>
      <c r="BC83" s="1658"/>
      <c r="BD83" s="1658"/>
      <c r="BE83" s="1658"/>
      <c r="BF83" s="1658"/>
      <c r="BG83" s="1658"/>
      <c r="BH83" s="1658"/>
      <c r="BI83" s="1658"/>
      <c r="BJ83" s="1658"/>
      <c r="BK83" s="1658"/>
      <c r="BL83" s="1658"/>
      <c r="BM83" s="1658"/>
      <c r="BN83" s="1658"/>
      <c r="BO83" s="1658"/>
      <c r="BP83" s="1658"/>
      <c r="BQ83" s="1658"/>
      <c r="BR83" s="1658"/>
      <c r="BS83" s="1658"/>
      <c r="BT83" s="1658"/>
      <c r="BU83" s="1658"/>
      <c r="BV83" s="1658"/>
      <c r="BW83" s="1658"/>
      <c r="BX83" s="1658"/>
      <c r="BY83" s="1658"/>
      <c r="BZ83" s="1658"/>
      <c r="CA83" s="1658"/>
      <c r="CB83" s="1658"/>
      <c r="CC83" s="1658"/>
      <c r="CD83" s="1658"/>
      <c r="CE83" s="1658"/>
      <c r="CF83" s="1658"/>
      <c r="CG83" s="1658"/>
      <c r="CH83" s="1658"/>
      <c r="CI83" s="1658"/>
      <c r="CJ83" s="1658"/>
      <c r="CK83" s="1658"/>
      <c r="CL83" s="1658"/>
      <c r="CM83" s="1658"/>
      <c r="CN83" s="1658"/>
      <c r="CO83" s="1658"/>
      <c r="CP83" s="1658"/>
      <c r="CQ83" s="1658"/>
      <c r="CR83" s="1658"/>
      <c r="CS83" s="1658"/>
      <c r="CT83" s="1658"/>
      <c r="CU83" s="1658"/>
      <c r="CV83" s="1658"/>
      <c r="CW83" s="1658"/>
      <c r="CX83" s="1658"/>
      <c r="CY83" s="1658"/>
      <c r="CZ83" s="1658"/>
    </row>
    <row r="84" spans="8:8" ht="16.2" customHeight="1">
      <c r="A84" s="1653"/>
      <c r="B84" s="1654">
        <f t="shared" si="2"/>
        <v>0.0</v>
      </c>
      <c r="C84" s="1655">
        <f t="shared" si="4"/>
        <v>0.0</v>
      </c>
      <c r="D84" s="1656"/>
      <c r="E84" s="1657"/>
      <c r="F84" s="1658"/>
      <c r="G84" s="1658"/>
      <c r="H84" s="1658"/>
      <c r="I84" s="1658"/>
      <c r="J84" s="1658"/>
      <c r="K84" s="1658"/>
      <c r="L84" s="1658"/>
      <c r="M84" s="1658"/>
      <c r="N84" s="1658"/>
      <c r="O84" s="1658"/>
      <c r="P84" s="1658"/>
      <c r="Q84" s="1658"/>
      <c r="R84" s="1658"/>
      <c r="S84" s="1658"/>
      <c r="T84" s="1658"/>
      <c r="U84" s="1658"/>
      <c r="V84" s="1658"/>
      <c r="W84" s="1658"/>
      <c r="X84" s="1658"/>
      <c r="Y84" s="1658"/>
      <c r="Z84" s="1658"/>
      <c r="AA84" s="1658"/>
      <c r="AB84" s="1658"/>
      <c r="AC84" s="1658"/>
      <c r="AD84" s="1658"/>
      <c r="AE84" s="1658"/>
      <c r="AF84" s="1658"/>
      <c r="AG84" s="1658"/>
      <c r="AH84" s="1658"/>
      <c r="AI84" s="1658"/>
      <c r="AJ84" s="1658"/>
      <c r="AK84" s="1658"/>
      <c r="AL84" s="1658"/>
      <c r="AM84" s="1658"/>
      <c r="AN84" s="1658"/>
      <c r="AO84" s="1658"/>
      <c r="AP84" s="1658"/>
      <c r="AQ84" s="1658"/>
      <c r="AR84" s="1658"/>
      <c r="AS84" s="1658"/>
      <c r="AT84" s="1658"/>
      <c r="AU84" s="1658"/>
      <c r="AV84" s="1658"/>
      <c r="AW84" s="1658"/>
      <c r="AX84" s="1658"/>
      <c r="AY84" s="1658"/>
      <c r="AZ84" s="1658"/>
      <c r="BA84" s="1658"/>
      <c r="BB84" s="1658"/>
      <c r="BC84" s="1658"/>
      <c r="BD84" s="1658"/>
      <c r="BE84" s="1658"/>
      <c r="BF84" s="1658"/>
      <c r="BG84" s="1658"/>
      <c r="BH84" s="1658"/>
      <c r="BI84" s="1658"/>
      <c r="BJ84" s="1658"/>
      <c r="BK84" s="1658"/>
      <c r="BL84" s="1658"/>
      <c r="BM84" s="1658"/>
      <c r="BN84" s="1658"/>
      <c r="BO84" s="1658"/>
      <c r="BP84" s="1658"/>
      <c r="BQ84" s="1658"/>
      <c r="BR84" s="1658"/>
      <c r="BS84" s="1658"/>
      <c r="BT84" s="1658"/>
      <c r="BU84" s="1658"/>
      <c r="BV84" s="1658"/>
      <c r="BW84" s="1658"/>
      <c r="BX84" s="1658"/>
      <c r="BY84" s="1658"/>
      <c r="BZ84" s="1658"/>
      <c r="CA84" s="1658"/>
      <c r="CB84" s="1658"/>
      <c r="CC84" s="1658"/>
      <c r="CD84" s="1658"/>
      <c r="CE84" s="1658"/>
      <c r="CF84" s="1658"/>
      <c r="CG84" s="1658"/>
      <c r="CH84" s="1658"/>
      <c r="CI84" s="1658"/>
      <c r="CJ84" s="1658"/>
      <c r="CK84" s="1658"/>
      <c r="CL84" s="1658"/>
      <c r="CM84" s="1658"/>
      <c r="CN84" s="1658"/>
      <c r="CO84" s="1658"/>
      <c r="CP84" s="1658"/>
      <c r="CQ84" s="1658"/>
      <c r="CR84" s="1658"/>
      <c r="CS84" s="1658"/>
      <c r="CT84" s="1658"/>
      <c r="CU84" s="1658"/>
      <c r="CV84" s="1658"/>
      <c r="CW84" s="1658"/>
      <c r="CX84" s="1658"/>
      <c r="CY84" s="1658"/>
      <c r="CZ84" s="1658"/>
    </row>
    <row r="85" spans="8:8" ht="16.2" customHeight="1">
      <c r="A85" s="1653"/>
      <c r="B85" s="1654">
        <f t="shared" si="2"/>
        <v>0.0</v>
      </c>
      <c r="C85" s="1655">
        <f t="shared" si="4"/>
        <v>0.0</v>
      </c>
      <c r="D85" s="1656"/>
      <c r="E85" s="1657"/>
      <c r="F85" s="1658"/>
      <c r="G85" s="1658"/>
      <c r="H85" s="1658"/>
      <c r="I85" s="1658"/>
      <c r="J85" s="1658"/>
      <c r="K85" s="1658"/>
      <c r="L85" s="1658"/>
      <c r="M85" s="1658"/>
      <c r="N85" s="1658"/>
      <c r="O85" s="1658"/>
      <c r="P85" s="1658"/>
      <c r="Q85" s="1658"/>
      <c r="R85" s="1658"/>
      <c r="S85" s="1658"/>
      <c r="T85" s="1658"/>
      <c r="U85" s="1658"/>
      <c r="V85" s="1658"/>
      <c r="W85" s="1658"/>
      <c r="X85" s="1658"/>
      <c r="Y85" s="1658"/>
      <c r="Z85" s="1658"/>
      <c r="AA85" s="1658"/>
      <c r="AB85" s="1658"/>
      <c r="AC85" s="1658"/>
      <c r="AD85" s="1658"/>
      <c r="AE85" s="1658"/>
      <c r="AF85" s="1658"/>
      <c r="AG85" s="1658"/>
      <c r="AH85" s="1658"/>
      <c r="AI85" s="1658"/>
      <c r="AJ85" s="1658"/>
      <c r="AK85" s="1658"/>
      <c r="AL85" s="1658"/>
      <c r="AM85" s="1658"/>
      <c r="AN85" s="1658"/>
      <c r="AO85" s="1658"/>
      <c r="AP85" s="1658"/>
      <c r="AQ85" s="1658"/>
      <c r="AR85" s="1658"/>
      <c r="AS85" s="1658"/>
      <c r="AT85" s="1658"/>
      <c r="AU85" s="1658"/>
      <c r="AV85" s="1658"/>
      <c r="AW85" s="1658"/>
      <c r="AX85" s="1658"/>
      <c r="AY85" s="1658"/>
      <c r="AZ85" s="1658"/>
      <c r="BA85" s="1658"/>
      <c r="BB85" s="1658"/>
      <c r="BC85" s="1658"/>
      <c r="BD85" s="1658"/>
      <c r="BE85" s="1658"/>
      <c r="BF85" s="1658"/>
      <c r="BG85" s="1658"/>
      <c r="BH85" s="1658"/>
      <c r="BI85" s="1658"/>
      <c r="BJ85" s="1658"/>
      <c r="BK85" s="1658"/>
      <c r="BL85" s="1658"/>
      <c r="BM85" s="1658"/>
      <c r="BN85" s="1658"/>
      <c r="BO85" s="1658"/>
      <c r="BP85" s="1658"/>
      <c r="BQ85" s="1658"/>
      <c r="BR85" s="1658"/>
      <c r="BS85" s="1658"/>
      <c r="BT85" s="1658"/>
      <c r="BU85" s="1658"/>
      <c r="BV85" s="1658"/>
      <c r="BW85" s="1658"/>
      <c r="BX85" s="1658"/>
      <c r="BY85" s="1658"/>
      <c r="BZ85" s="1658"/>
      <c r="CA85" s="1658"/>
      <c r="CB85" s="1658"/>
      <c r="CC85" s="1658"/>
      <c r="CD85" s="1658"/>
      <c r="CE85" s="1658"/>
      <c r="CF85" s="1658"/>
      <c r="CG85" s="1658"/>
      <c r="CH85" s="1658"/>
      <c r="CI85" s="1658"/>
      <c r="CJ85" s="1658"/>
      <c r="CK85" s="1658"/>
      <c r="CL85" s="1658"/>
      <c r="CM85" s="1658"/>
      <c r="CN85" s="1658"/>
      <c r="CO85" s="1658"/>
      <c r="CP85" s="1658"/>
      <c r="CQ85" s="1658"/>
      <c r="CR85" s="1658"/>
      <c r="CS85" s="1658"/>
      <c r="CT85" s="1658"/>
      <c r="CU85" s="1658"/>
      <c r="CV85" s="1658"/>
      <c r="CW85" s="1658"/>
      <c r="CX85" s="1658"/>
      <c r="CY85" s="1658"/>
      <c r="CZ85" s="1658"/>
    </row>
    <row r="86" spans="8:8" ht="16.2" customHeight="1">
      <c r="A86" s="1653"/>
      <c r="B86" s="1654">
        <f t="shared" si="2"/>
        <v>0.0</v>
      </c>
      <c r="C86" s="1655">
        <f t="shared" si="4"/>
        <v>0.0</v>
      </c>
      <c r="D86" s="1656"/>
      <c r="E86" s="1657"/>
      <c r="F86" s="1658"/>
      <c r="G86" s="1658"/>
      <c r="H86" s="1658"/>
      <c r="I86" s="1658"/>
      <c r="J86" s="1658"/>
      <c r="K86" s="1658"/>
      <c r="L86" s="1658"/>
      <c r="M86" s="1658"/>
      <c r="N86" s="1658"/>
      <c r="O86" s="1658"/>
      <c r="P86" s="1658"/>
      <c r="Q86" s="1658"/>
      <c r="R86" s="1658"/>
      <c r="S86" s="1658"/>
      <c r="T86" s="1658"/>
      <c r="U86" s="1658"/>
      <c r="V86" s="1658"/>
      <c r="W86" s="1658"/>
      <c r="X86" s="1658"/>
      <c r="Y86" s="1658"/>
      <c r="Z86" s="1658"/>
      <c r="AA86" s="1658"/>
      <c r="AB86" s="1658"/>
      <c r="AC86" s="1658"/>
      <c r="AD86" s="1658"/>
      <c r="AE86" s="1658"/>
      <c r="AF86" s="1658"/>
      <c r="AG86" s="1658"/>
      <c r="AH86" s="1658"/>
      <c r="AI86" s="1658"/>
      <c r="AJ86" s="1658"/>
      <c r="AK86" s="1658"/>
      <c r="AL86" s="1658"/>
      <c r="AM86" s="1658"/>
      <c r="AN86" s="1658"/>
      <c r="AO86" s="1658"/>
      <c r="AP86" s="1658"/>
      <c r="AQ86" s="1658"/>
      <c r="AR86" s="1658"/>
      <c r="AS86" s="1658"/>
      <c r="AT86" s="1658"/>
      <c r="AU86" s="1658"/>
      <c r="AV86" s="1658"/>
      <c r="AW86" s="1658"/>
      <c r="AX86" s="1658"/>
      <c r="AY86" s="1658"/>
      <c r="AZ86" s="1658"/>
      <c r="BA86" s="1658"/>
      <c r="BB86" s="1658"/>
      <c r="BC86" s="1658"/>
      <c r="BD86" s="1658"/>
      <c r="BE86" s="1658"/>
      <c r="BF86" s="1658"/>
      <c r="BG86" s="1658"/>
      <c r="BH86" s="1658"/>
      <c r="BI86" s="1658"/>
      <c r="BJ86" s="1658"/>
      <c r="BK86" s="1658"/>
      <c r="BL86" s="1658"/>
      <c r="BM86" s="1658"/>
      <c r="BN86" s="1658"/>
      <c r="BO86" s="1658"/>
      <c r="BP86" s="1658"/>
      <c r="BQ86" s="1658"/>
      <c r="BR86" s="1658"/>
      <c r="BS86" s="1658"/>
      <c r="BT86" s="1658"/>
      <c r="BU86" s="1658"/>
      <c r="BV86" s="1658"/>
      <c r="BW86" s="1658"/>
      <c r="BX86" s="1658"/>
      <c r="BY86" s="1658"/>
      <c r="BZ86" s="1658"/>
      <c r="CA86" s="1658"/>
      <c r="CB86" s="1658"/>
      <c r="CC86" s="1658"/>
      <c r="CD86" s="1658"/>
      <c r="CE86" s="1658"/>
      <c r="CF86" s="1658"/>
      <c r="CG86" s="1658"/>
      <c r="CH86" s="1658"/>
      <c r="CI86" s="1658"/>
      <c r="CJ86" s="1658"/>
      <c r="CK86" s="1658"/>
      <c r="CL86" s="1658"/>
      <c r="CM86" s="1658"/>
      <c r="CN86" s="1658"/>
      <c r="CO86" s="1658"/>
      <c r="CP86" s="1658"/>
      <c r="CQ86" s="1658"/>
      <c r="CR86" s="1658"/>
      <c r="CS86" s="1658"/>
      <c r="CT86" s="1658"/>
      <c r="CU86" s="1658"/>
      <c r="CV86" s="1658"/>
      <c r="CW86" s="1658"/>
      <c r="CX86" s="1658"/>
      <c r="CY86" s="1658"/>
      <c r="CZ86" s="1658"/>
    </row>
    <row r="87" spans="8:8" ht="16.2" customHeight="1">
      <c r="A87" s="1653"/>
      <c r="B87" s="1654">
        <f t="shared" si="2"/>
        <v>0.0</v>
      </c>
      <c r="C87" s="1655">
        <f t="shared" si="4"/>
        <v>0.0</v>
      </c>
      <c r="D87" s="1656"/>
      <c r="E87" s="1657"/>
      <c r="F87" s="1658"/>
      <c r="G87" s="1658"/>
      <c r="H87" s="1658"/>
      <c r="I87" s="1658"/>
      <c r="J87" s="1658"/>
      <c r="K87" s="1658"/>
      <c r="L87" s="1658"/>
      <c r="M87" s="1658"/>
      <c r="N87" s="1658"/>
      <c r="O87" s="1658"/>
      <c r="P87" s="1658"/>
      <c r="Q87" s="1658"/>
      <c r="R87" s="1658"/>
      <c r="S87" s="1658"/>
      <c r="T87" s="1658"/>
      <c r="U87" s="1658"/>
      <c r="V87" s="1658"/>
      <c r="W87" s="1658"/>
      <c r="X87" s="1658"/>
      <c r="Y87" s="1658"/>
      <c r="Z87" s="1658"/>
      <c r="AA87" s="1658"/>
      <c r="AB87" s="1658"/>
      <c r="AC87" s="1658"/>
      <c r="AD87" s="1658"/>
      <c r="AE87" s="1658"/>
      <c r="AF87" s="1658"/>
      <c r="AG87" s="1658"/>
      <c r="AH87" s="1658"/>
      <c r="AI87" s="1658"/>
      <c r="AJ87" s="1658"/>
      <c r="AK87" s="1658"/>
      <c r="AL87" s="1658"/>
      <c r="AM87" s="1658"/>
      <c r="AN87" s="1658"/>
      <c r="AO87" s="1658"/>
      <c r="AP87" s="1658"/>
      <c r="AQ87" s="1658"/>
      <c r="AR87" s="1658"/>
      <c r="AS87" s="1658"/>
      <c r="AT87" s="1658"/>
      <c r="AU87" s="1658"/>
      <c r="AV87" s="1658"/>
      <c r="AW87" s="1658"/>
      <c r="AX87" s="1658"/>
      <c r="AY87" s="1658"/>
      <c r="AZ87" s="1658"/>
      <c r="BA87" s="1658"/>
      <c r="BB87" s="1658"/>
      <c r="BC87" s="1658"/>
      <c r="BD87" s="1658"/>
      <c r="BE87" s="1658"/>
      <c r="BF87" s="1658"/>
      <c r="BG87" s="1658"/>
      <c r="BH87" s="1658"/>
      <c r="BI87" s="1658"/>
      <c r="BJ87" s="1658"/>
      <c r="BK87" s="1658"/>
      <c r="BL87" s="1658"/>
      <c r="BM87" s="1658"/>
      <c r="BN87" s="1658"/>
      <c r="BO87" s="1658"/>
      <c r="BP87" s="1658"/>
      <c r="BQ87" s="1658"/>
      <c r="BR87" s="1658"/>
      <c r="BS87" s="1658"/>
      <c r="BT87" s="1658"/>
      <c r="BU87" s="1658"/>
      <c r="BV87" s="1658"/>
      <c r="BW87" s="1658"/>
      <c r="BX87" s="1658"/>
      <c r="BY87" s="1658"/>
      <c r="BZ87" s="1658"/>
      <c r="CA87" s="1658"/>
      <c r="CB87" s="1658"/>
      <c r="CC87" s="1658"/>
      <c r="CD87" s="1658"/>
      <c r="CE87" s="1658"/>
      <c r="CF87" s="1658"/>
      <c r="CG87" s="1658"/>
      <c r="CH87" s="1658"/>
      <c r="CI87" s="1658"/>
      <c r="CJ87" s="1658"/>
      <c r="CK87" s="1658"/>
      <c r="CL87" s="1658"/>
      <c r="CM87" s="1658"/>
      <c r="CN87" s="1658"/>
      <c r="CO87" s="1658"/>
      <c r="CP87" s="1658"/>
      <c r="CQ87" s="1658"/>
      <c r="CR87" s="1658"/>
      <c r="CS87" s="1658"/>
      <c r="CT87" s="1658"/>
      <c r="CU87" s="1658"/>
      <c r="CV87" s="1658"/>
      <c r="CW87" s="1658"/>
      <c r="CX87" s="1658"/>
      <c r="CY87" s="1658"/>
      <c r="CZ87" s="1658"/>
    </row>
    <row r="88" spans="8:8" ht="16.2" customHeight="1">
      <c r="A88" s="1653"/>
      <c r="B88" s="1654">
        <f t="shared" si="2"/>
        <v>0.0</v>
      </c>
      <c r="C88" s="1655">
        <f t="shared" si="4"/>
        <v>0.0</v>
      </c>
      <c r="D88" s="1656"/>
      <c r="E88" s="1657"/>
      <c r="F88" s="1658"/>
      <c r="G88" s="1658"/>
      <c r="H88" s="1658"/>
      <c r="I88" s="1658"/>
      <c r="J88" s="1658"/>
      <c r="K88" s="1658"/>
      <c r="L88" s="1658"/>
      <c r="M88" s="1658"/>
      <c r="N88" s="1658"/>
      <c r="O88" s="1658"/>
      <c r="P88" s="1658"/>
      <c r="Q88" s="1658"/>
      <c r="R88" s="1658"/>
      <c r="S88" s="1658"/>
      <c r="T88" s="1658"/>
      <c r="U88" s="1658"/>
      <c r="V88" s="1658"/>
      <c r="W88" s="1658"/>
      <c r="X88" s="1658"/>
      <c r="Y88" s="1658"/>
      <c r="Z88" s="1658"/>
      <c r="AA88" s="1658"/>
      <c r="AB88" s="1658"/>
      <c r="AC88" s="1658"/>
      <c r="AD88" s="1658"/>
      <c r="AE88" s="1658"/>
      <c r="AF88" s="1658"/>
      <c r="AG88" s="1658"/>
      <c r="AH88" s="1658"/>
      <c r="AI88" s="1658"/>
      <c r="AJ88" s="1658"/>
      <c r="AK88" s="1658"/>
      <c r="AL88" s="1658"/>
      <c r="AM88" s="1658"/>
      <c r="AN88" s="1658"/>
      <c r="AO88" s="1658"/>
      <c r="AP88" s="1658"/>
      <c r="AQ88" s="1658"/>
      <c r="AR88" s="1658"/>
      <c r="AS88" s="1658"/>
      <c r="AT88" s="1658"/>
      <c r="AU88" s="1658"/>
      <c r="AV88" s="1658"/>
      <c r="AW88" s="1658"/>
      <c r="AX88" s="1658"/>
      <c r="AY88" s="1658"/>
      <c r="AZ88" s="1658"/>
      <c r="BA88" s="1658"/>
      <c r="BB88" s="1658"/>
      <c r="BC88" s="1658"/>
      <c r="BD88" s="1658"/>
      <c r="BE88" s="1658"/>
      <c r="BF88" s="1658"/>
      <c r="BG88" s="1658"/>
      <c r="BH88" s="1658"/>
      <c r="BI88" s="1658"/>
      <c r="BJ88" s="1658"/>
      <c r="BK88" s="1658"/>
      <c r="BL88" s="1658"/>
      <c r="BM88" s="1658"/>
      <c r="BN88" s="1658"/>
      <c r="BO88" s="1658"/>
      <c r="BP88" s="1658"/>
      <c r="BQ88" s="1658"/>
      <c r="BR88" s="1658"/>
      <c r="BS88" s="1658"/>
      <c r="BT88" s="1658"/>
      <c r="BU88" s="1658"/>
      <c r="BV88" s="1658"/>
      <c r="BW88" s="1658"/>
      <c r="BX88" s="1658"/>
      <c r="BY88" s="1658"/>
      <c r="BZ88" s="1658"/>
      <c r="CA88" s="1658"/>
      <c r="CB88" s="1658"/>
      <c r="CC88" s="1658"/>
      <c r="CD88" s="1658"/>
      <c r="CE88" s="1658"/>
      <c r="CF88" s="1658"/>
      <c r="CG88" s="1658"/>
      <c r="CH88" s="1658"/>
      <c r="CI88" s="1658"/>
      <c r="CJ88" s="1658"/>
      <c r="CK88" s="1658"/>
      <c r="CL88" s="1658"/>
      <c r="CM88" s="1658"/>
      <c r="CN88" s="1658"/>
      <c r="CO88" s="1658"/>
      <c r="CP88" s="1658"/>
      <c r="CQ88" s="1658"/>
      <c r="CR88" s="1658"/>
      <c r="CS88" s="1658"/>
      <c r="CT88" s="1658"/>
      <c r="CU88" s="1658"/>
      <c r="CV88" s="1658"/>
      <c r="CW88" s="1658"/>
      <c r="CX88" s="1658"/>
      <c r="CY88" s="1658"/>
      <c r="CZ88" s="1658"/>
    </row>
    <row r="89" spans="8:8" ht="16.2" customHeight="1">
      <c r="A89" s="1653"/>
      <c r="B89" s="1654">
        <f t="shared" si="2"/>
        <v>0.0</v>
      </c>
      <c r="C89" s="1655">
        <f t="shared" si="4"/>
        <v>0.0</v>
      </c>
      <c r="D89" s="1656"/>
      <c r="E89" s="1657"/>
      <c r="F89" s="1658"/>
      <c r="G89" s="1658"/>
      <c r="H89" s="1658"/>
      <c r="I89" s="1658"/>
      <c r="J89" s="1658"/>
      <c r="K89" s="1658"/>
      <c r="L89" s="1658"/>
      <c r="M89" s="1658"/>
      <c r="N89" s="1658"/>
      <c r="O89" s="1658"/>
      <c r="P89" s="1658"/>
      <c r="Q89" s="1658"/>
      <c r="R89" s="1658"/>
      <c r="S89" s="1658"/>
      <c r="T89" s="1658"/>
      <c r="U89" s="1658"/>
      <c r="V89" s="1658"/>
      <c r="W89" s="1658"/>
      <c r="X89" s="1658"/>
      <c r="Y89" s="1658"/>
      <c r="Z89" s="1658"/>
      <c r="AA89" s="1658"/>
      <c r="AB89" s="1658"/>
      <c r="AC89" s="1658"/>
      <c r="AD89" s="1658"/>
      <c r="AE89" s="1658"/>
      <c r="AF89" s="1658"/>
      <c r="AG89" s="1658"/>
      <c r="AH89" s="1658"/>
      <c r="AI89" s="1658"/>
      <c r="AJ89" s="1658"/>
      <c r="AK89" s="1658"/>
      <c r="AL89" s="1658"/>
      <c r="AM89" s="1658"/>
      <c r="AN89" s="1658"/>
      <c r="AO89" s="1658"/>
      <c r="AP89" s="1658"/>
      <c r="AQ89" s="1658"/>
      <c r="AR89" s="1658"/>
      <c r="AS89" s="1658"/>
      <c r="AT89" s="1658"/>
      <c r="AU89" s="1658"/>
      <c r="AV89" s="1658"/>
      <c r="AW89" s="1658"/>
      <c r="AX89" s="1658"/>
      <c r="AY89" s="1658"/>
      <c r="AZ89" s="1658"/>
      <c r="BA89" s="1658"/>
      <c r="BB89" s="1658"/>
      <c r="BC89" s="1658"/>
      <c r="BD89" s="1658"/>
      <c r="BE89" s="1658"/>
      <c r="BF89" s="1658"/>
      <c r="BG89" s="1658"/>
      <c r="BH89" s="1658"/>
      <c r="BI89" s="1658"/>
      <c r="BJ89" s="1658"/>
      <c r="BK89" s="1658"/>
      <c r="BL89" s="1658"/>
      <c r="BM89" s="1658"/>
      <c r="BN89" s="1658"/>
      <c r="BO89" s="1658"/>
      <c r="BP89" s="1658"/>
      <c r="BQ89" s="1658"/>
      <c r="BR89" s="1658"/>
      <c r="BS89" s="1658"/>
      <c r="BT89" s="1658"/>
      <c r="BU89" s="1658"/>
      <c r="BV89" s="1658"/>
      <c r="BW89" s="1658"/>
      <c r="BX89" s="1658"/>
      <c r="BY89" s="1658"/>
      <c r="BZ89" s="1658"/>
      <c r="CA89" s="1658"/>
      <c r="CB89" s="1658"/>
      <c r="CC89" s="1658"/>
      <c r="CD89" s="1658"/>
      <c r="CE89" s="1658"/>
      <c r="CF89" s="1658"/>
      <c r="CG89" s="1658"/>
      <c r="CH89" s="1658"/>
      <c r="CI89" s="1658"/>
      <c r="CJ89" s="1658"/>
      <c r="CK89" s="1658"/>
      <c r="CL89" s="1658"/>
      <c r="CM89" s="1658"/>
      <c r="CN89" s="1658"/>
      <c r="CO89" s="1658"/>
      <c r="CP89" s="1658"/>
      <c r="CQ89" s="1658"/>
      <c r="CR89" s="1658"/>
      <c r="CS89" s="1658"/>
      <c r="CT89" s="1658"/>
      <c r="CU89" s="1658"/>
      <c r="CV89" s="1658"/>
      <c r="CW89" s="1658"/>
      <c r="CX89" s="1658"/>
      <c r="CY89" s="1658"/>
      <c r="CZ89" s="1658"/>
    </row>
    <row r="90" spans="8:8" ht="16.2" customHeight="1">
      <c r="A90" s="1653"/>
      <c r="B90" s="1654">
        <f t="shared" si="2"/>
        <v>0.0</v>
      </c>
      <c r="C90" s="1655">
        <f t="shared" si="4"/>
        <v>0.0</v>
      </c>
      <c r="D90" s="1656"/>
      <c r="E90" s="1657"/>
      <c r="F90" s="1658"/>
      <c r="G90" s="1658"/>
      <c r="H90" s="1658"/>
      <c r="I90" s="1658"/>
      <c r="J90" s="1658"/>
      <c r="K90" s="1658"/>
      <c r="L90" s="1658"/>
      <c r="M90" s="1658"/>
      <c r="N90" s="1658"/>
      <c r="O90" s="1658"/>
      <c r="P90" s="1658"/>
      <c r="Q90" s="1658"/>
      <c r="R90" s="1658"/>
      <c r="S90" s="1658"/>
      <c r="T90" s="1658"/>
      <c r="U90" s="1658"/>
      <c r="V90" s="1658"/>
      <c r="W90" s="1658"/>
      <c r="X90" s="1658"/>
      <c r="Y90" s="1658"/>
      <c r="Z90" s="1658"/>
      <c r="AA90" s="1658"/>
      <c r="AB90" s="1658"/>
      <c r="AC90" s="1658"/>
      <c r="AD90" s="1658"/>
      <c r="AE90" s="1658"/>
      <c r="AF90" s="1658"/>
      <c r="AG90" s="1658"/>
      <c r="AH90" s="1658"/>
      <c r="AI90" s="1658"/>
      <c r="AJ90" s="1658"/>
      <c r="AK90" s="1658"/>
      <c r="AL90" s="1658"/>
      <c r="AM90" s="1658"/>
      <c r="AN90" s="1658"/>
      <c r="AO90" s="1658"/>
      <c r="AP90" s="1658"/>
      <c r="AQ90" s="1658"/>
      <c r="AR90" s="1658"/>
      <c r="AS90" s="1658"/>
      <c r="AT90" s="1658"/>
      <c r="AU90" s="1658"/>
      <c r="AV90" s="1658"/>
      <c r="AW90" s="1658"/>
      <c r="AX90" s="1658"/>
      <c r="AY90" s="1658"/>
      <c r="AZ90" s="1658"/>
      <c r="BA90" s="1658"/>
      <c r="BB90" s="1658"/>
      <c r="BC90" s="1658"/>
      <c r="BD90" s="1658"/>
      <c r="BE90" s="1658"/>
      <c r="BF90" s="1658"/>
      <c r="BG90" s="1658"/>
      <c r="BH90" s="1658"/>
      <c r="BI90" s="1658"/>
      <c r="BJ90" s="1658"/>
      <c r="BK90" s="1658"/>
      <c r="BL90" s="1658"/>
      <c r="BM90" s="1658"/>
      <c r="BN90" s="1658"/>
      <c r="BO90" s="1658"/>
      <c r="BP90" s="1658"/>
      <c r="BQ90" s="1658"/>
      <c r="BR90" s="1658"/>
      <c r="BS90" s="1658"/>
      <c r="BT90" s="1658"/>
      <c r="BU90" s="1658"/>
      <c r="BV90" s="1658"/>
      <c r="BW90" s="1658"/>
      <c r="BX90" s="1658"/>
      <c r="BY90" s="1658"/>
      <c r="BZ90" s="1658"/>
      <c r="CA90" s="1658"/>
      <c r="CB90" s="1658"/>
      <c r="CC90" s="1658"/>
      <c r="CD90" s="1658"/>
      <c r="CE90" s="1658"/>
      <c r="CF90" s="1658"/>
      <c r="CG90" s="1658"/>
      <c r="CH90" s="1658"/>
      <c r="CI90" s="1658"/>
      <c r="CJ90" s="1658"/>
      <c r="CK90" s="1658"/>
      <c r="CL90" s="1658"/>
      <c r="CM90" s="1658"/>
      <c r="CN90" s="1658"/>
      <c r="CO90" s="1658"/>
      <c r="CP90" s="1658"/>
      <c r="CQ90" s="1658"/>
      <c r="CR90" s="1658"/>
      <c r="CS90" s="1658"/>
      <c r="CT90" s="1658"/>
      <c r="CU90" s="1658"/>
      <c r="CV90" s="1658"/>
      <c r="CW90" s="1658"/>
      <c r="CX90" s="1658"/>
      <c r="CY90" s="1658"/>
      <c r="CZ90" s="1658"/>
    </row>
    <row r="91" spans="8:8" ht="16.2" customHeight="1">
      <c r="A91" s="1653"/>
      <c r="B91" s="1654">
        <f t="shared" si="2"/>
        <v>0.0</v>
      </c>
      <c r="C91" s="1655">
        <f t="shared" si="4"/>
        <v>0.0</v>
      </c>
      <c r="D91" s="1656"/>
      <c r="E91" s="1657"/>
      <c r="F91" s="1658"/>
      <c r="G91" s="1658"/>
      <c r="H91" s="1658"/>
      <c r="I91" s="1658"/>
      <c r="J91" s="1658"/>
      <c r="K91" s="1658"/>
      <c r="L91" s="1658"/>
      <c r="M91" s="1658"/>
      <c r="N91" s="1658"/>
      <c r="O91" s="1658"/>
      <c r="P91" s="1658"/>
      <c r="Q91" s="1658"/>
      <c r="R91" s="1658"/>
      <c r="S91" s="1658"/>
      <c r="T91" s="1658"/>
      <c r="U91" s="1658"/>
      <c r="V91" s="1658"/>
      <c r="W91" s="1658"/>
      <c r="X91" s="1658"/>
      <c r="Y91" s="1658"/>
      <c r="Z91" s="1658"/>
      <c r="AA91" s="1658"/>
      <c r="AB91" s="1658"/>
      <c r="AC91" s="1658"/>
      <c r="AD91" s="1658"/>
      <c r="AE91" s="1658"/>
      <c r="AF91" s="1658"/>
      <c r="AG91" s="1658"/>
      <c r="AH91" s="1658"/>
      <c r="AI91" s="1658"/>
      <c r="AJ91" s="1658"/>
      <c r="AK91" s="1658"/>
      <c r="AL91" s="1658"/>
      <c r="AM91" s="1658"/>
      <c r="AN91" s="1658"/>
      <c r="AO91" s="1658"/>
      <c r="AP91" s="1658"/>
      <c r="AQ91" s="1658"/>
      <c r="AR91" s="1658"/>
      <c r="AS91" s="1658"/>
      <c r="AT91" s="1658"/>
      <c r="AU91" s="1658"/>
      <c r="AV91" s="1658"/>
      <c r="AW91" s="1658"/>
      <c r="AX91" s="1658"/>
      <c r="AY91" s="1658"/>
      <c r="AZ91" s="1658"/>
      <c r="BA91" s="1658"/>
      <c r="BB91" s="1658"/>
      <c r="BC91" s="1658"/>
      <c r="BD91" s="1658"/>
      <c r="BE91" s="1658"/>
      <c r="BF91" s="1658"/>
      <c r="BG91" s="1658"/>
      <c r="BH91" s="1658"/>
      <c r="BI91" s="1658"/>
      <c r="BJ91" s="1658"/>
      <c r="BK91" s="1658"/>
      <c r="BL91" s="1658"/>
      <c r="BM91" s="1658"/>
      <c r="BN91" s="1658"/>
      <c r="BO91" s="1658"/>
      <c r="BP91" s="1658"/>
      <c r="BQ91" s="1658"/>
      <c r="BR91" s="1658"/>
      <c r="BS91" s="1658"/>
      <c r="BT91" s="1658"/>
      <c r="BU91" s="1658"/>
      <c r="BV91" s="1658"/>
      <c r="BW91" s="1658"/>
      <c r="BX91" s="1658"/>
      <c r="BY91" s="1658"/>
      <c r="BZ91" s="1658"/>
      <c r="CA91" s="1658"/>
      <c r="CB91" s="1658"/>
      <c r="CC91" s="1658"/>
      <c r="CD91" s="1658"/>
      <c r="CE91" s="1658"/>
      <c r="CF91" s="1658"/>
      <c r="CG91" s="1658"/>
      <c r="CH91" s="1658"/>
      <c r="CI91" s="1658"/>
      <c r="CJ91" s="1658"/>
      <c r="CK91" s="1658"/>
      <c r="CL91" s="1658"/>
      <c r="CM91" s="1658"/>
      <c r="CN91" s="1658"/>
      <c r="CO91" s="1658"/>
      <c r="CP91" s="1658"/>
      <c r="CQ91" s="1658"/>
      <c r="CR91" s="1658"/>
      <c r="CS91" s="1658"/>
      <c r="CT91" s="1658"/>
      <c r="CU91" s="1658"/>
      <c r="CV91" s="1658"/>
      <c r="CW91" s="1658"/>
      <c r="CX91" s="1658"/>
      <c r="CY91" s="1658"/>
      <c r="CZ91" s="1658"/>
    </row>
    <row r="92" spans="8:8" ht="16.2" customHeight="1">
      <c r="A92" s="1653"/>
      <c r="B92" s="1654">
        <f t="shared" si="2"/>
        <v>0.0</v>
      </c>
      <c r="C92" s="1655">
        <f t="shared" si="4"/>
        <v>0.0</v>
      </c>
      <c r="D92" s="1656"/>
      <c r="E92" s="1657"/>
      <c r="F92" s="1658"/>
      <c r="G92" s="1658"/>
      <c r="H92" s="1658"/>
      <c r="I92" s="1658"/>
      <c r="J92" s="1658"/>
      <c r="K92" s="1658"/>
      <c r="L92" s="1658"/>
      <c r="M92" s="1658"/>
      <c r="N92" s="1658"/>
      <c r="O92" s="1658"/>
      <c r="P92" s="1658"/>
      <c r="Q92" s="1658"/>
      <c r="R92" s="1658"/>
      <c r="S92" s="1658"/>
      <c r="T92" s="1658"/>
      <c r="U92" s="1658"/>
      <c r="V92" s="1658"/>
      <c r="W92" s="1658"/>
      <c r="X92" s="1658"/>
      <c r="Y92" s="1658"/>
      <c r="Z92" s="1658"/>
      <c r="AA92" s="1658"/>
      <c r="AB92" s="1658"/>
      <c r="AC92" s="1658"/>
      <c r="AD92" s="1658"/>
      <c r="AE92" s="1658"/>
      <c r="AF92" s="1658"/>
      <c r="AG92" s="1658"/>
      <c r="AH92" s="1658"/>
      <c r="AI92" s="1658"/>
      <c r="AJ92" s="1658"/>
      <c r="AK92" s="1658"/>
      <c r="AL92" s="1658"/>
      <c r="AM92" s="1658"/>
      <c r="AN92" s="1658"/>
      <c r="AO92" s="1658"/>
      <c r="AP92" s="1658"/>
      <c r="AQ92" s="1658"/>
      <c r="AR92" s="1658"/>
      <c r="AS92" s="1658"/>
      <c r="AT92" s="1658"/>
      <c r="AU92" s="1658"/>
      <c r="AV92" s="1658"/>
      <c r="AW92" s="1658"/>
      <c r="AX92" s="1658"/>
      <c r="AY92" s="1658"/>
      <c r="AZ92" s="1658"/>
      <c r="BA92" s="1658"/>
      <c r="BB92" s="1658"/>
      <c r="BC92" s="1658"/>
      <c r="BD92" s="1658"/>
      <c r="BE92" s="1658"/>
      <c r="BF92" s="1658"/>
      <c r="BG92" s="1658"/>
      <c r="BH92" s="1658"/>
      <c r="BI92" s="1658"/>
      <c r="BJ92" s="1658"/>
      <c r="BK92" s="1658"/>
      <c r="BL92" s="1658"/>
      <c r="BM92" s="1658"/>
      <c r="BN92" s="1658"/>
      <c r="BO92" s="1658"/>
      <c r="BP92" s="1658"/>
      <c r="BQ92" s="1658"/>
      <c r="BR92" s="1658"/>
      <c r="BS92" s="1658"/>
      <c r="BT92" s="1658"/>
      <c r="BU92" s="1658"/>
      <c r="BV92" s="1658"/>
      <c r="BW92" s="1658"/>
      <c r="BX92" s="1658"/>
      <c r="BY92" s="1658"/>
      <c r="BZ92" s="1658"/>
      <c r="CA92" s="1658"/>
      <c r="CB92" s="1658"/>
      <c r="CC92" s="1658"/>
      <c r="CD92" s="1658"/>
      <c r="CE92" s="1658"/>
      <c r="CF92" s="1658"/>
      <c r="CG92" s="1658"/>
      <c r="CH92" s="1658"/>
      <c r="CI92" s="1658"/>
      <c r="CJ92" s="1658"/>
      <c r="CK92" s="1658"/>
      <c r="CL92" s="1658"/>
      <c r="CM92" s="1658"/>
      <c r="CN92" s="1658"/>
      <c r="CO92" s="1658"/>
      <c r="CP92" s="1658"/>
      <c r="CQ92" s="1658"/>
      <c r="CR92" s="1658"/>
      <c r="CS92" s="1658"/>
      <c r="CT92" s="1658"/>
      <c r="CU92" s="1658"/>
      <c r="CV92" s="1658"/>
      <c r="CW92" s="1658"/>
      <c r="CX92" s="1658"/>
      <c r="CY92" s="1658"/>
      <c r="CZ92" s="1658"/>
    </row>
    <row r="93" spans="8:8" ht="16.2" customHeight="1">
      <c r="A93" s="1653"/>
      <c r="B93" s="1654">
        <f t="shared" si="2"/>
        <v>0.0</v>
      </c>
      <c r="C93" s="1655">
        <f t="shared" si="4"/>
        <v>0.0</v>
      </c>
      <c r="D93" s="1656"/>
      <c r="E93" s="1657"/>
      <c r="F93" s="1658"/>
      <c r="G93" s="1658"/>
      <c r="H93" s="1658"/>
      <c r="I93" s="1658"/>
      <c r="J93" s="1658"/>
      <c r="K93" s="1658"/>
      <c r="L93" s="1658"/>
      <c r="M93" s="1658"/>
      <c r="N93" s="1658"/>
      <c r="O93" s="1658"/>
      <c r="P93" s="1658"/>
      <c r="Q93" s="1658"/>
      <c r="R93" s="1658"/>
      <c r="S93" s="1658"/>
      <c r="T93" s="1658"/>
      <c r="U93" s="1658"/>
      <c r="V93" s="1658"/>
      <c r="W93" s="1658"/>
      <c r="X93" s="1658"/>
      <c r="Y93" s="1658"/>
      <c r="Z93" s="1658"/>
      <c r="AA93" s="1658"/>
      <c r="AB93" s="1658"/>
      <c r="AC93" s="1658"/>
      <c r="AD93" s="1658"/>
      <c r="AE93" s="1658"/>
      <c r="AF93" s="1658"/>
      <c r="AG93" s="1658"/>
      <c r="AH93" s="1658"/>
      <c r="AI93" s="1658"/>
      <c r="AJ93" s="1658"/>
      <c r="AK93" s="1658"/>
      <c r="AL93" s="1658"/>
      <c r="AM93" s="1658"/>
      <c r="AN93" s="1658"/>
      <c r="AO93" s="1658"/>
      <c r="AP93" s="1658"/>
      <c r="AQ93" s="1658"/>
      <c r="AR93" s="1658"/>
      <c r="AS93" s="1658"/>
      <c r="AT93" s="1658"/>
      <c r="AU93" s="1658"/>
      <c r="AV93" s="1658"/>
      <c r="AW93" s="1658"/>
      <c r="AX93" s="1658"/>
      <c r="AY93" s="1658"/>
      <c r="AZ93" s="1658"/>
      <c r="BA93" s="1658"/>
      <c r="BB93" s="1658"/>
      <c r="BC93" s="1658"/>
      <c r="BD93" s="1658"/>
      <c r="BE93" s="1658"/>
      <c r="BF93" s="1658"/>
      <c r="BG93" s="1658"/>
      <c r="BH93" s="1658"/>
      <c r="BI93" s="1658"/>
      <c r="BJ93" s="1658"/>
      <c r="BK93" s="1658"/>
      <c r="BL93" s="1658"/>
      <c r="BM93" s="1658"/>
      <c r="BN93" s="1658"/>
      <c r="BO93" s="1658"/>
      <c r="BP93" s="1658"/>
      <c r="BQ93" s="1658"/>
      <c r="BR93" s="1658"/>
      <c r="BS93" s="1658"/>
      <c r="BT93" s="1658"/>
      <c r="BU93" s="1658"/>
      <c r="BV93" s="1658"/>
      <c r="BW93" s="1658"/>
      <c r="BX93" s="1658"/>
      <c r="BY93" s="1658"/>
      <c r="BZ93" s="1658"/>
      <c r="CA93" s="1658"/>
      <c r="CB93" s="1658"/>
      <c r="CC93" s="1658"/>
      <c r="CD93" s="1658"/>
      <c r="CE93" s="1658"/>
      <c r="CF93" s="1658"/>
      <c r="CG93" s="1658"/>
      <c r="CH93" s="1658"/>
      <c r="CI93" s="1658"/>
      <c r="CJ93" s="1658"/>
      <c r="CK93" s="1658"/>
      <c r="CL93" s="1658"/>
      <c r="CM93" s="1658"/>
      <c r="CN93" s="1658"/>
      <c r="CO93" s="1658"/>
      <c r="CP93" s="1658"/>
      <c r="CQ93" s="1658"/>
      <c r="CR93" s="1658"/>
      <c r="CS93" s="1658"/>
      <c r="CT93" s="1658"/>
      <c r="CU93" s="1658"/>
      <c r="CV93" s="1658"/>
      <c r="CW93" s="1658"/>
      <c r="CX93" s="1658"/>
      <c r="CY93" s="1658"/>
      <c r="CZ93" s="1658"/>
    </row>
    <row r="94" spans="8:8" ht="16.2" customHeight="1">
      <c r="A94" s="1653"/>
      <c r="B94" s="1654">
        <f t="shared" si="2"/>
        <v>0.0</v>
      </c>
      <c r="C94" s="1655">
        <f t="shared" si="4"/>
        <v>0.0</v>
      </c>
      <c r="D94" s="1656"/>
      <c r="E94" s="1657"/>
      <c r="F94" s="1658"/>
      <c r="G94" s="1658"/>
      <c r="H94" s="1658"/>
      <c r="I94" s="1658"/>
      <c r="J94" s="1658"/>
      <c r="K94" s="1658"/>
      <c r="L94" s="1658"/>
      <c r="M94" s="1658"/>
      <c r="N94" s="1658"/>
      <c r="O94" s="1658"/>
      <c r="P94" s="1658"/>
      <c r="Q94" s="1658"/>
      <c r="R94" s="1658"/>
      <c r="S94" s="1658"/>
      <c r="T94" s="1658"/>
      <c r="U94" s="1658"/>
      <c r="V94" s="1658"/>
      <c r="W94" s="1658"/>
      <c r="X94" s="1658"/>
      <c r="Y94" s="1658"/>
      <c r="Z94" s="1658"/>
      <c r="AA94" s="1658"/>
      <c r="AB94" s="1658"/>
      <c r="AC94" s="1658"/>
      <c r="AD94" s="1658"/>
      <c r="AE94" s="1658"/>
      <c r="AF94" s="1658"/>
      <c r="AG94" s="1658"/>
      <c r="AH94" s="1658"/>
      <c r="AI94" s="1658"/>
      <c r="AJ94" s="1658"/>
      <c r="AK94" s="1658"/>
      <c r="AL94" s="1658"/>
      <c r="AM94" s="1658"/>
      <c r="AN94" s="1658"/>
      <c r="AO94" s="1658"/>
      <c r="AP94" s="1658"/>
      <c r="AQ94" s="1658"/>
      <c r="AR94" s="1658"/>
      <c r="AS94" s="1658"/>
      <c r="AT94" s="1658"/>
      <c r="AU94" s="1658"/>
      <c r="AV94" s="1658"/>
      <c r="AW94" s="1658"/>
      <c r="AX94" s="1658"/>
      <c r="AY94" s="1658"/>
      <c r="AZ94" s="1658"/>
      <c r="BA94" s="1658"/>
      <c r="BB94" s="1658"/>
      <c r="BC94" s="1658"/>
      <c r="BD94" s="1658"/>
      <c r="BE94" s="1658"/>
      <c r="BF94" s="1658"/>
      <c r="BG94" s="1658"/>
      <c r="BH94" s="1658"/>
      <c r="BI94" s="1658"/>
      <c r="BJ94" s="1658"/>
      <c r="BK94" s="1658"/>
      <c r="BL94" s="1658"/>
      <c r="BM94" s="1658"/>
      <c r="BN94" s="1658"/>
      <c r="BO94" s="1658"/>
      <c r="BP94" s="1658"/>
      <c r="BQ94" s="1658"/>
      <c r="BR94" s="1658"/>
      <c r="BS94" s="1658"/>
      <c r="BT94" s="1658"/>
      <c r="BU94" s="1658"/>
      <c r="BV94" s="1658"/>
      <c r="BW94" s="1658"/>
      <c r="BX94" s="1658"/>
      <c r="BY94" s="1658"/>
      <c r="BZ94" s="1658"/>
      <c r="CA94" s="1658"/>
      <c r="CB94" s="1658"/>
      <c r="CC94" s="1658"/>
      <c r="CD94" s="1658"/>
      <c r="CE94" s="1658"/>
      <c r="CF94" s="1658"/>
      <c r="CG94" s="1658"/>
      <c r="CH94" s="1658"/>
      <c r="CI94" s="1658"/>
      <c r="CJ94" s="1658"/>
      <c r="CK94" s="1658"/>
      <c r="CL94" s="1658"/>
      <c r="CM94" s="1658"/>
      <c r="CN94" s="1658"/>
      <c r="CO94" s="1658"/>
      <c r="CP94" s="1658"/>
      <c r="CQ94" s="1658"/>
      <c r="CR94" s="1658"/>
      <c r="CS94" s="1658"/>
      <c r="CT94" s="1658"/>
      <c r="CU94" s="1658"/>
      <c r="CV94" s="1658"/>
      <c r="CW94" s="1658"/>
      <c r="CX94" s="1658"/>
      <c r="CY94" s="1658"/>
      <c r="CZ94" s="1658"/>
    </row>
    <row r="95" spans="8:8" ht="16.2" customHeight="1">
      <c r="A95" s="1659"/>
      <c r="B95" s="1660">
        <f t="shared" si="2"/>
        <v>0.0</v>
      </c>
      <c r="C95" s="1661">
        <f t="shared" si="4"/>
        <v>0.0</v>
      </c>
      <c r="D95" s="1662"/>
      <c r="E95" s="1663"/>
      <c r="F95" s="1664"/>
      <c r="G95" s="1664"/>
      <c r="H95" s="1664"/>
      <c r="I95" s="1664"/>
      <c r="J95" s="1664"/>
      <c r="K95" s="1664"/>
      <c r="L95" s="1664"/>
      <c r="M95" s="1664"/>
      <c r="N95" s="1664"/>
      <c r="O95" s="1664"/>
      <c r="P95" s="1664"/>
      <c r="Q95" s="1664"/>
      <c r="R95" s="1664"/>
      <c r="S95" s="1664"/>
      <c r="T95" s="1664"/>
      <c r="U95" s="1664"/>
      <c r="V95" s="1664"/>
      <c r="W95" s="1664"/>
      <c r="X95" s="1664"/>
      <c r="Y95" s="1664"/>
      <c r="Z95" s="1664"/>
      <c r="AA95" s="1664"/>
      <c r="AB95" s="1664"/>
      <c r="AC95" s="1664"/>
      <c r="AD95" s="1664"/>
      <c r="AE95" s="1664"/>
      <c r="AF95" s="1664"/>
      <c r="AG95" s="1664"/>
      <c r="AH95" s="1664"/>
      <c r="AI95" s="1664"/>
      <c r="AJ95" s="1664"/>
      <c r="AK95" s="1664"/>
      <c r="AL95" s="1664"/>
      <c r="AM95" s="1664"/>
      <c r="AN95" s="1664"/>
      <c r="AO95" s="1664"/>
      <c r="AP95" s="1664"/>
      <c r="AQ95" s="1664"/>
      <c r="AR95" s="1664"/>
      <c r="AS95" s="1664"/>
      <c r="AT95" s="1664"/>
      <c r="AU95" s="1664"/>
      <c r="AV95" s="1664"/>
      <c r="AW95" s="1664"/>
      <c r="AX95" s="1664"/>
      <c r="AY95" s="1664"/>
      <c r="AZ95" s="1664"/>
      <c r="BA95" s="1664"/>
      <c r="BB95" s="1664"/>
      <c r="BC95" s="1664"/>
      <c r="BD95" s="1664"/>
      <c r="BE95" s="1664"/>
      <c r="BF95" s="1664"/>
      <c r="BG95" s="1664"/>
      <c r="BH95" s="1664"/>
      <c r="BI95" s="1664"/>
      <c r="BJ95" s="1664"/>
      <c r="BK95" s="1664"/>
      <c r="BL95" s="1664"/>
      <c r="BM95" s="1664"/>
      <c r="BN95" s="1664"/>
      <c r="BO95" s="1664"/>
      <c r="BP95" s="1664"/>
      <c r="BQ95" s="1664"/>
      <c r="BR95" s="1664"/>
      <c r="BS95" s="1664"/>
      <c r="BT95" s="1664"/>
      <c r="BU95" s="1664"/>
      <c r="BV95" s="1664"/>
      <c r="BW95" s="1664"/>
      <c r="BX95" s="1664"/>
      <c r="BY95" s="1664"/>
      <c r="BZ95" s="1664"/>
      <c r="CA95" s="1664"/>
      <c r="CB95" s="1664"/>
      <c r="CC95" s="1664"/>
      <c r="CD95" s="1664"/>
      <c r="CE95" s="1664"/>
      <c r="CF95" s="1664"/>
      <c r="CG95" s="1664"/>
      <c r="CH95" s="1664"/>
      <c r="CI95" s="1664"/>
      <c r="CJ95" s="1664"/>
      <c r="CK95" s="1664"/>
      <c r="CL95" s="1664"/>
      <c r="CM95" s="1664"/>
      <c r="CN95" s="1664"/>
      <c r="CO95" s="1664"/>
      <c r="CP95" s="1664"/>
      <c r="CQ95" s="1664"/>
      <c r="CR95" s="1664"/>
      <c r="CS95" s="1664"/>
      <c r="CT95" s="1664"/>
      <c r="CU95" s="1664"/>
      <c r="CV95" s="1664"/>
      <c r="CW95" s="1664"/>
      <c r="CX95" s="1664"/>
      <c r="CY95" s="1664"/>
      <c r="CZ95" s="1664"/>
    </row>
    <row r="96" spans="8:8" ht="16.2" customHeight="1">
      <c r="A96" s="1665" t="s">
        <v>5926</v>
      </c>
      <c r="B96" s="1666" t="s">
        <v>5927</v>
      </c>
      <c r="C96" s="1667"/>
      <c r="D96" s="1668"/>
      <c r="E96" s="1669" t="s">
        <v>5925</v>
      </c>
      <c r="F96" s="1670"/>
      <c r="G96" s="1670"/>
      <c r="H96" s="1670"/>
      <c r="I96" s="1670"/>
      <c r="J96" s="1670"/>
      <c r="K96" s="1670"/>
      <c r="L96" s="1670"/>
      <c r="M96" s="1670"/>
      <c r="N96" s="1670"/>
      <c r="O96" s="1670"/>
      <c r="P96" s="1670"/>
      <c r="Q96" s="1670"/>
      <c r="R96" s="1670"/>
      <c r="S96" s="1670"/>
      <c r="T96" s="1670"/>
      <c r="U96" s="1670"/>
      <c r="V96" s="1670"/>
      <c r="W96" s="1670"/>
      <c r="X96" s="1670"/>
      <c r="Y96" s="1670"/>
      <c r="Z96" s="1670"/>
      <c r="AA96" s="1670"/>
      <c r="AB96" s="1670"/>
      <c r="AC96" s="1670"/>
      <c r="AD96" s="1670"/>
      <c r="AE96" s="1670"/>
      <c r="AF96" s="1670"/>
      <c r="AG96" s="1670"/>
      <c r="AH96" s="1670"/>
      <c r="AI96" s="1670"/>
      <c r="AJ96" s="1670"/>
      <c r="AK96" s="1670"/>
      <c r="AL96" s="1670"/>
      <c r="AM96" s="1670"/>
      <c r="AN96" s="1670"/>
      <c r="AO96" s="1670"/>
      <c r="AP96" s="1670"/>
      <c r="AQ96" s="1670"/>
      <c r="AR96" s="1670"/>
      <c r="AS96" s="1670"/>
      <c r="AT96" s="1670"/>
      <c r="AU96" s="1670"/>
      <c r="AV96" s="1670"/>
      <c r="AW96" s="1670"/>
      <c r="AX96" s="1670"/>
      <c r="AY96" s="1670"/>
      <c r="AZ96" s="1670"/>
      <c r="BA96" s="1670"/>
      <c r="BB96" s="1670"/>
      <c r="BC96" s="1670"/>
      <c r="BD96" s="1670"/>
      <c r="BE96" s="1670"/>
      <c r="BF96" s="1670"/>
      <c r="BG96" s="1670"/>
      <c r="BH96" s="1670"/>
      <c r="BI96" s="1670"/>
      <c r="BJ96" s="1670"/>
      <c r="BK96" s="1670"/>
      <c r="BL96" s="1670"/>
      <c r="BM96" s="1670"/>
      <c r="BN96" s="1670"/>
      <c r="BO96" s="1670"/>
      <c r="BP96" s="1670"/>
      <c r="BQ96" s="1670"/>
      <c r="BR96" s="1670"/>
      <c r="BS96" s="1670"/>
      <c r="BT96" s="1670"/>
      <c r="BU96" s="1670"/>
      <c r="BV96" s="1670"/>
      <c r="BW96" s="1670"/>
      <c r="BX96" s="1670"/>
      <c r="BY96" s="1670"/>
      <c r="BZ96" s="1670"/>
      <c r="CA96" s="1670"/>
      <c r="CB96" s="1670"/>
      <c r="CC96" s="1670"/>
      <c r="CD96" s="1670"/>
      <c r="CE96" s="1670"/>
      <c r="CF96" s="1670"/>
      <c r="CG96" s="1670"/>
      <c r="CH96" s="1670"/>
      <c r="CI96" s="1670"/>
      <c r="CJ96" s="1670"/>
      <c r="CK96" s="1670"/>
      <c r="CL96" s="1670"/>
      <c r="CM96" s="1670"/>
      <c r="CN96" s="1670"/>
      <c r="CO96" s="1670"/>
      <c r="CP96" s="1670"/>
      <c r="CQ96" s="1670"/>
      <c r="CR96" s="1670"/>
      <c r="CS96" s="1670"/>
      <c r="CT96" s="1670"/>
      <c r="CU96" s="1670"/>
      <c r="CV96" s="1670"/>
      <c r="CW96" s="1670"/>
      <c r="CX96" s="1670"/>
      <c r="CY96" s="1670"/>
      <c r="CZ96" s="1671"/>
    </row>
    <row r="97" spans="8:8" ht="16.2" customHeight="1">
      <c r="A97" s="1672"/>
      <c r="B97" s="1673"/>
      <c r="C97" s="1674"/>
      <c r="D97" s="1675"/>
      <c r="E97" s="1657" t="s">
        <v>5924</v>
      </c>
      <c r="F97" s="1658"/>
      <c r="G97" s="1658"/>
      <c r="H97" s="1658"/>
      <c r="I97" s="1658"/>
      <c r="J97" s="1658"/>
      <c r="K97" s="1658"/>
      <c r="L97" s="1658"/>
      <c r="M97" s="1658"/>
      <c r="N97" s="1658"/>
      <c r="O97" s="1658"/>
      <c r="P97" s="1658"/>
      <c r="Q97" s="1658"/>
      <c r="R97" s="1658"/>
      <c r="S97" s="1658"/>
      <c r="T97" s="1658"/>
      <c r="U97" s="1658"/>
      <c r="V97" s="1658"/>
      <c r="W97" s="1658"/>
      <c r="X97" s="1658"/>
      <c r="Y97" s="1658"/>
      <c r="Z97" s="1658"/>
      <c r="AA97" s="1658"/>
      <c r="AB97" s="1658"/>
      <c r="AC97" s="1658"/>
      <c r="AD97" s="1658"/>
      <c r="AE97" s="1658"/>
      <c r="AF97" s="1658"/>
      <c r="AG97" s="1658"/>
      <c r="AH97" s="1658"/>
      <c r="AI97" s="1658"/>
      <c r="AJ97" s="1658"/>
      <c r="AK97" s="1658"/>
      <c r="AL97" s="1658"/>
      <c r="AM97" s="1658"/>
      <c r="AN97" s="1658"/>
      <c r="AO97" s="1658"/>
      <c r="AP97" s="1658"/>
      <c r="AQ97" s="1658"/>
      <c r="AR97" s="1658"/>
      <c r="AS97" s="1658"/>
      <c r="AT97" s="1658"/>
      <c r="AU97" s="1658"/>
      <c r="AV97" s="1658"/>
      <c r="AW97" s="1658"/>
      <c r="AX97" s="1658"/>
      <c r="AY97" s="1658"/>
      <c r="AZ97" s="1658"/>
      <c r="BA97" s="1658"/>
      <c r="BB97" s="1658"/>
      <c r="BC97" s="1658"/>
      <c r="BD97" s="1658"/>
      <c r="BE97" s="1658"/>
      <c r="BF97" s="1658"/>
      <c r="BG97" s="1658"/>
      <c r="BH97" s="1658"/>
      <c r="BI97" s="1658"/>
      <c r="BJ97" s="1658"/>
      <c r="BK97" s="1658"/>
      <c r="BL97" s="1658"/>
      <c r="BM97" s="1658"/>
      <c r="BN97" s="1658"/>
      <c r="BO97" s="1658"/>
      <c r="BP97" s="1658"/>
      <c r="BQ97" s="1658"/>
      <c r="BR97" s="1658"/>
      <c r="BS97" s="1658"/>
      <c r="BT97" s="1658"/>
      <c r="BU97" s="1658"/>
      <c r="BV97" s="1658"/>
      <c r="BW97" s="1658"/>
      <c r="BX97" s="1658"/>
      <c r="BY97" s="1658"/>
      <c r="BZ97" s="1658"/>
      <c r="CA97" s="1658"/>
      <c r="CB97" s="1658"/>
      <c r="CC97" s="1658"/>
      <c r="CD97" s="1658"/>
      <c r="CE97" s="1658"/>
      <c r="CF97" s="1658"/>
      <c r="CG97" s="1658"/>
      <c r="CH97" s="1658"/>
      <c r="CI97" s="1658"/>
      <c r="CJ97" s="1658"/>
      <c r="CK97" s="1658"/>
      <c r="CL97" s="1658"/>
      <c r="CM97" s="1658"/>
      <c r="CN97" s="1658"/>
      <c r="CO97" s="1658"/>
      <c r="CP97" s="1658"/>
      <c r="CQ97" s="1658"/>
      <c r="CR97" s="1658"/>
      <c r="CS97" s="1658"/>
      <c r="CT97" s="1658"/>
      <c r="CU97" s="1658"/>
      <c r="CV97" s="1658"/>
      <c r="CW97" s="1658"/>
      <c r="CX97" s="1658"/>
      <c r="CY97" s="1658"/>
      <c r="CZ97" s="1676"/>
    </row>
    <row r="98" spans="8:8" ht="16.2" customHeight="1">
      <c r="A98" s="1672"/>
      <c r="B98" s="1673"/>
      <c r="C98" s="1674"/>
      <c r="D98" s="1675"/>
      <c r="E98" s="1657" t="s">
        <v>5930</v>
      </c>
      <c r="F98" s="1658"/>
      <c r="G98" s="1658"/>
      <c r="H98" s="1658"/>
      <c r="I98" s="1658"/>
      <c r="J98" s="1658"/>
      <c r="K98" s="1658"/>
      <c r="L98" s="1658"/>
      <c r="M98" s="1658"/>
      <c r="N98" s="1658"/>
      <c r="O98" s="1658"/>
      <c r="P98" s="1658"/>
      <c r="Q98" s="1658"/>
      <c r="R98" s="1658"/>
      <c r="S98" s="1658"/>
      <c r="T98" s="1658"/>
      <c r="U98" s="1658"/>
      <c r="V98" s="1658"/>
      <c r="W98" s="1658"/>
      <c r="X98" s="1658"/>
      <c r="Y98" s="1658"/>
      <c r="Z98" s="1658"/>
      <c r="AA98" s="1658"/>
      <c r="AB98" s="1658"/>
      <c r="AC98" s="1658"/>
      <c r="AD98" s="1658"/>
      <c r="AE98" s="1658"/>
      <c r="AF98" s="1658"/>
      <c r="AG98" s="1658"/>
      <c r="AH98" s="1658"/>
      <c r="AI98" s="1658"/>
      <c r="AJ98" s="1658"/>
      <c r="AK98" s="1658"/>
      <c r="AL98" s="1658"/>
      <c r="AM98" s="1658"/>
      <c r="AN98" s="1658"/>
      <c r="AO98" s="1658"/>
      <c r="AP98" s="1658"/>
      <c r="AQ98" s="1658"/>
      <c r="AR98" s="1658"/>
      <c r="AS98" s="1658"/>
      <c r="AT98" s="1658"/>
      <c r="AU98" s="1658"/>
      <c r="AV98" s="1658"/>
      <c r="AW98" s="1658"/>
      <c r="AX98" s="1658"/>
      <c r="AY98" s="1658"/>
      <c r="AZ98" s="1658"/>
      <c r="BA98" s="1658"/>
      <c r="BB98" s="1658"/>
      <c r="BC98" s="1658"/>
      <c r="BD98" s="1658"/>
      <c r="BE98" s="1658"/>
      <c r="BF98" s="1658"/>
      <c r="BG98" s="1658"/>
      <c r="BH98" s="1658"/>
      <c r="BI98" s="1658"/>
      <c r="BJ98" s="1658"/>
      <c r="BK98" s="1658"/>
      <c r="BL98" s="1658"/>
      <c r="BM98" s="1658"/>
      <c r="BN98" s="1658"/>
      <c r="BO98" s="1658"/>
      <c r="BP98" s="1658"/>
      <c r="BQ98" s="1658"/>
      <c r="BR98" s="1658"/>
      <c r="BS98" s="1658"/>
      <c r="BT98" s="1658"/>
      <c r="BU98" s="1658"/>
      <c r="BV98" s="1658"/>
      <c r="BW98" s="1658"/>
      <c r="BX98" s="1658"/>
      <c r="BY98" s="1658"/>
      <c r="BZ98" s="1658"/>
      <c r="CA98" s="1658"/>
      <c r="CB98" s="1658"/>
      <c r="CC98" s="1658"/>
      <c r="CD98" s="1658"/>
      <c r="CE98" s="1658"/>
      <c r="CF98" s="1658"/>
      <c r="CG98" s="1658"/>
      <c r="CH98" s="1658"/>
      <c r="CI98" s="1658"/>
      <c r="CJ98" s="1658"/>
      <c r="CK98" s="1658"/>
      <c r="CL98" s="1658"/>
      <c r="CM98" s="1658"/>
      <c r="CN98" s="1658"/>
      <c r="CO98" s="1658"/>
      <c r="CP98" s="1658"/>
      <c r="CQ98" s="1658"/>
      <c r="CR98" s="1658"/>
      <c r="CS98" s="1658"/>
      <c r="CT98" s="1658"/>
      <c r="CU98" s="1658"/>
      <c r="CV98" s="1658"/>
      <c r="CW98" s="1658"/>
      <c r="CX98" s="1658"/>
      <c r="CY98" s="1658"/>
      <c r="CZ98" s="1676"/>
    </row>
    <row r="99" spans="8:8" ht="16.2" customHeight="1">
      <c r="A99" s="1672"/>
      <c r="B99" s="1673"/>
      <c r="C99" s="1674"/>
      <c r="D99" s="1675"/>
      <c r="E99" s="1657" t="s">
        <v>5928</v>
      </c>
      <c r="F99" s="1658"/>
      <c r="G99" s="1658"/>
      <c r="H99" s="1658"/>
      <c r="I99" s="1658"/>
      <c r="J99" s="1658"/>
      <c r="K99" s="1658"/>
      <c r="L99" s="1658"/>
      <c r="M99" s="1658"/>
      <c r="N99" s="1658"/>
      <c r="O99" s="1658"/>
      <c r="P99" s="1658"/>
      <c r="Q99" s="1658"/>
      <c r="R99" s="1658"/>
      <c r="S99" s="1658"/>
      <c r="T99" s="1658"/>
      <c r="U99" s="1658"/>
      <c r="V99" s="1658"/>
      <c r="W99" s="1658"/>
      <c r="X99" s="1658"/>
      <c r="Y99" s="1658"/>
      <c r="Z99" s="1658"/>
      <c r="AA99" s="1658"/>
      <c r="AB99" s="1658"/>
      <c r="AC99" s="1658"/>
      <c r="AD99" s="1658"/>
      <c r="AE99" s="1658"/>
      <c r="AF99" s="1658"/>
      <c r="AG99" s="1658"/>
      <c r="AH99" s="1658"/>
      <c r="AI99" s="1658"/>
      <c r="AJ99" s="1658"/>
      <c r="AK99" s="1658"/>
      <c r="AL99" s="1658"/>
      <c r="AM99" s="1658"/>
      <c r="AN99" s="1658"/>
      <c r="AO99" s="1658"/>
      <c r="AP99" s="1658"/>
      <c r="AQ99" s="1658"/>
      <c r="AR99" s="1658"/>
      <c r="AS99" s="1658"/>
      <c r="AT99" s="1658"/>
      <c r="AU99" s="1658"/>
      <c r="AV99" s="1658"/>
      <c r="AW99" s="1658"/>
      <c r="AX99" s="1658"/>
      <c r="AY99" s="1658"/>
      <c r="AZ99" s="1658"/>
      <c r="BA99" s="1658"/>
      <c r="BB99" s="1658"/>
      <c r="BC99" s="1658"/>
      <c r="BD99" s="1658"/>
      <c r="BE99" s="1658"/>
      <c r="BF99" s="1658"/>
      <c r="BG99" s="1658"/>
      <c r="BH99" s="1658"/>
      <c r="BI99" s="1658"/>
      <c r="BJ99" s="1658"/>
      <c r="BK99" s="1658"/>
      <c r="BL99" s="1658"/>
      <c r="BM99" s="1658"/>
      <c r="BN99" s="1658"/>
      <c r="BO99" s="1658"/>
      <c r="BP99" s="1658"/>
      <c r="BQ99" s="1658"/>
      <c r="BR99" s="1658"/>
      <c r="BS99" s="1658"/>
      <c r="BT99" s="1658"/>
      <c r="BU99" s="1658"/>
      <c r="BV99" s="1658"/>
      <c r="BW99" s="1658"/>
      <c r="BX99" s="1658"/>
      <c r="BY99" s="1658"/>
      <c r="BZ99" s="1658"/>
      <c r="CA99" s="1658"/>
      <c r="CB99" s="1658"/>
      <c r="CC99" s="1658"/>
      <c r="CD99" s="1658"/>
      <c r="CE99" s="1658"/>
      <c r="CF99" s="1658"/>
      <c r="CG99" s="1658"/>
      <c r="CH99" s="1658"/>
      <c r="CI99" s="1658"/>
      <c r="CJ99" s="1658"/>
      <c r="CK99" s="1658"/>
      <c r="CL99" s="1658"/>
      <c r="CM99" s="1658"/>
      <c r="CN99" s="1658"/>
      <c r="CO99" s="1658"/>
      <c r="CP99" s="1658"/>
      <c r="CQ99" s="1658"/>
      <c r="CR99" s="1658"/>
      <c r="CS99" s="1658"/>
      <c r="CT99" s="1658"/>
      <c r="CU99" s="1658"/>
      <c r="CV99" s="1658"/>
      <c r="CW99" s="1658"/>
      <c r="CX99" s="1658"/>
      <c r="CY99" s="1658"/>
      <c r="CZ99" s="1676"/>
    </row>
    <row r="100" spans="8:8" ht="16.2" customHeight="1">
      <c r="A100" s="1677"/>
      <c r="B100" s="1678"/>
      <c r="C100" s="1679"/>
      <c r="D100" s="1680"/>
      <c r="E100" s="1681" t="s">
        <v>5929</v>
      </c>
      <c r="F100" s="1682"/>
      <c r="G100" s="1682"/>
      <c r="H100" s="1682"/>
      <c r="I100" s="1682"/>
      <c r="J100" s="1682"/>
      <c r="K100" s="1682"/>
      <c r="L100" s="1682"/>
      <c r="M100" s="1682"/>
      <c r="N100" s="1682"/>
      <c r="O100" s="1682"/>
      <c r="P100" s="1682"/>
      <c r="Q100" s="1682"/>
      <c r="R100" s="1682"/>
      <c r="S100" s="1682"/>
      <c r="T100" s="1682"/>
      <c r="U100" s="1682"/>
      <c r="V100" s="1682"/>
      <c r="W100" s="1682"/>
      <c r="X100" s="1682"/>
      <c r="Y100" s="1682"/>
      <c r="Z100" s="1682"/>
      <c r="AA100" s="1682"/>
      <c r="AB100" s="1682"/>
      <c r="AC100" s="1682"/>
      <c r="AD100" s="1682"/>
      <c r="AE100" s="1682"/>
      <c r="AF100" s="1682"/>
      <c r="AG100" s="1682"/>
      <c r="AH100" s="1682"/>
      <c r="AI100" s="1682"/>
      <c r="AJ100" s="1682"/>
      <c r="AK100" s="1682"/>
      <c r="AL100" s="1682"/>
      <c r="AM100" s="1682"/>
      <c r="AN100" s="1682"/>
      <c r="AO100" s="1682"/>
      <c r="AP100" s="1682"/>
      <c r="AQ100" s="1682"/>
      <c r="AR100" s="1682"/>
      <c r="AS100" s="1682"/>
      <c r="AT100" s="1682"/>
      <c r="AU100" s="1682"/>
      <c r="AV100" s="1682"/>
      <c r="AW100" s="1682"/>
      <c r="AX100" s="1682"/>
      <c r="AY100" s="1682"/>
      <c r="AZ100" s="1682"/>
      <c r="BA100" s="1682"/>
      <c r="BB100" s="1682"/>
      <c r="BC100" s="1682"/>
      <c r="BD100" s="1682"/>
      <c r="BE100" s="1682"/>
      <c r="BF100" s="1682"/>
      <c r="BG100" s="1682"/>
      <c r="BH100" s="1682"/>
      <c r="BI100" s="1682"/>
      <c r="BJ100" s="1682"/>
      <c r="BK100" s="1682"/>
      <c r="BL100" s="1682"/>
      <c r="BM100" s="1682"/>
      <c r="BN100" s="1682"/>
      <c r="BO100" s="1682"/>
      <c r="BP100" s="1682"/>
      <c r="BQ100" s="1682"/>
      <c r="BR100" s="1682"/>
      <c r="BS100" s="1682"/>
      <c r="BT100" s="1682"/>
      <c r="BU100" s="1682"/>
      <c r="BV100" s="1682"/>
      <c r="BW100" s="1682"/>
      <c r="BX100" s="1682"/>
      <c r="BY100" s="1682"/>
      <c r="BZ100" s="1682"/>
      <c r="CA100" s="1682"/>
      <c r="CB100" s="1682"/>
      <c r="CC100" s="1682"/>
      <c r="CD100" s="1682"/>
      <c r="CE100" s="1682"/>
      <c r="CF100" s="1682"/>
      <c r="CG100" s="1682"/>
      <c r="CH100" s="1682"/>
      <c r="CI100" s="1682"/>
      <c r="CJ100" s="1682"/>
      <c r="CK100" s="1682"/>
      <c r="CL100" s="1682"/>
      <c r="CM100" s="1682"/>
      <c r="CN100" s="1682"/>
      <c r="CO100" s="1682"/>
      <c r="CP100" s="1682"/>
      <c r="CQ100" s="1682"/>
      <c r="CR100" s="1682"/>
      <c r="CS100" s="1682"/>
      <c r="CT100" s="1682"/>
      <c r="CU100" s="1682"/>
      <c r="CV100" s="1682"/>
      <c r="CW100" s="1682"/>
      <c r="CX100" s="1682"/>
      <c r="CY100" s="1682"/>
      <c r="CZ100" s="1683"/>
    </row>
  </sheetData>
  <sheetProtection sheet="1" selectLockedCells="1"/>
  <mergeCells count="4">
    <mergeCell ref="B96:D100"/>
    <mergeCell ref="A96:A100"/>
    <mergeCell ref="C1:E1"/>
    <mergeCell ref="F1:H1"/>
  </mergeCells>
  <pageMargins left="0.7" right="0.7" top="0.75" bottom="0.75" header="0.3" footer="0.3"/>
  <legacyDrawing r:id="rId1"/>
</worksheet>
</file>

<file path=xl/worksheets/sheet7.xml><?xml version="1.0" encoding="utf-8"?>
<worksheet xmlns:r="http://schemas.openxmlformats.org/officeDocument/2006/relationships" xmlns="http://schemas.openxmlformats.org/spreadsheetml/2006/main">
  <dimension ref="A1:LL76"/>
  <sheetViews>
    <sheetView workbookViewId="0" zoomScale="65">
      <pane xSplit="1" topLeftCell="B1" state="frozen" activePane="topRight"/>
      <selection pane="topRight" activeCell="A1" sqref="A1"/>
    </sheetView>
  </sheetViews>
  <sheetFormatPr defaultRowHeight="110.3" customHeight="1" defaultColWidth="3"/>
  <cols>
    <col min="1" max="1" customWidth="1" width="20.441406" style="1684"/>
    <col min="2" max="232" customWidth="1" width="3.109375" style="1684"/>
    <col min="233" max="233" customWidth="1" width="3.0" style="1684"/>
    <col min="234" max="16384" customWidth="0" width="3.0" style="1684"/>
  </cols>
  <sheetData>
    <row r="1" spans="8:8" ht="15.0" customHeight="1">
      <c r="B1" s="1684">
        <v>0.0</v>
      </c>
      <c r="C1" s="1685">
        <v>1.0</v>
      </c>
      <c r="D1" s="1685">
        <v>2.0</v>
      </c>
      <c r="E1" s="1685">
        <v>3.0</v>
      </c>
      <c r="F1" s="1685">
        <v>4.0</v>
      </c>
      <c r="G1" s="1685">
        <v>5.0</v>
      </c>
      <c r="H1" s="1685">
        <v>6.0</v>
      </c>
      <c r="I1" s="1685">
        <v>7.0</v>
      </c>
      <c r="J1" s="1685">
        <v>8.0</v>
      </c>
      <c r="K1" s="1685">
        <v>9.0</v>
      </c>
      <c r="L1" s="1685">
        <v>10.0</v>
      </c>
      <c r="M1" s="1685">
        <v>11.0</v>
      </c>
      <c r="N1" s="1685">
        <v>12.0</v>
      </c>
      <c r="O1" s="1685">
        <v>13.0</v>
      </c>
      <c r="P1" s="1685">
        <v>14.0</v>
      </c>
      <c r="Q1" s="1685">
        <v>15.0</v>
      </c>
      <c r="R1" s="1685">
        <v>16.0</v>
      </c>
      <c r="S1" s="1685">
        <v>17.0</v>
      </c>
      <c r="T1" s="1685">
        <v>18.0</v>
      </c>
      <c r="U1" s="1685">
        <v>19.0</v>
      </c>
      <c r="V1" s="1685">
        <v>20.0</v>
      </c>
      <c r="W1" s="1685">
        <v>21.0</v>
      </c>
      <c r="X1" s="1685">
        <v>22.0</v>
      </c>
      <c r="Y1" s="1685">
        <v>23.0</v>
      </c>
      <c r="Z1" s="1685">
        <v>24.0</v>
      </c>
      <c r="AA1" s="1685">
        <v>25.0</v>
      </c>
      <c r="AB1" s="1685">
        <v>26.0</v>
      </c>
      <c r="AC1" s="1685">
        <v>27.0</v>
      </c>
      <c r="AD1" s="1685">
        <v>28.0</v>
      </c>
      <c r="AE1" s="1685">
        <v>29.0</v>
      </c>
      <c r="AF1" s="1685">
        <v>30.0</v>
      </c>
      <c r="AG1" s="1685">
        <v>31.0</v>
      </c>
      <c r="AH1" s="1685">
        <v>32.0</v>
      </c>
      <c r="AI1" s="1685">
        <v>33.0</v>
      </c>
      <c r="AJ1" s="1685">
        <v>34.0</v>
      </c>
      <c r="AK1" s="1685">
        <v>35.0</v>
      </c>
      <c r="AL1" s="1685">
        <v>36.0</v>
      </c>
      <c r="AM1" s="1685">
        <v>37.0</v>
      </c>
      <c r="AN1" s="1685">
        <v>38.0</v>
      </c>
      <c r="AO1" s="1685">
        <v>39.0</v>
      </c>
      <c r="AP1" s="1685">
        <v>40.0</v>
      </c>
      <c r="AQ1" s="1685">
        <v>41.0</v>
      </c>
      <c r="AR1" s="1685">
        <v>42.0</v>
      </c>
      <c r="AS1" s="1685">
        <v>43.0</v>
      </c>
      <c r="AT1" s="1685">
        <v>44.0</v>
      </c>
      <c r="AU1" s="1685">
        <v>45.0</v>
      </c>
      <c r="AV1" s="1685">
        <v>46.0</v>
      </c>
      <c r="AW1" s="1685">
        <v>47.0</v>
      </c>
      <c r="AX1" s="1685">
        <v>48.0</v>
      </c>
      <c r="AY1" s="1685">
        <v>49.0</v>
      </c>
      <c r="AZ1" s="1685">
        <v>50.0</v>
      </c>
      <c r="BA1" s="1685">
        <v>51.0</v>
      </c>
      <c r="BB1" s="1685">
        <v>52.0</v>
      </c>
      <c r="BC1" s="1685">
        <v>53.0</v>
      </c>
      <c r="BD1" s="1685">
        <v>54.0</v>
      </c>
      <c r="BE1" s="1685">
        <v>55.0</v>
      </c>
      <c r="BF1" s="1685">
        <v>56.0</v>
      </c>
      <c r="BG1" s="1685">
        <v>57.0</v>
      </c>
      <c r="BH1" s="1685">
        <v>58.0</v>
      </c>
      <c r="BI1" s="1685">
        <v>59.0</v>
      </c>
      <c r="BJ1" s="1685">
        <v>60.0</v>
      </c>
      <c r="BK1" s="1685">
        <v>61.0</v>
      </c>
      <c r="BL1" s="1685">
        <v>62.0</v>
      </c>
      <c r="BM1" s="1685">
        <v>63.0</v>
      </c>
      <c r="BN1" s="1685">
        <v>64.0</v>
      </c>
      <c r="BO1" s="1685">
        <v>65.0</v>
      </c>
      <c r="BP1" s="1685">
        <v>66.0</v>
      </c>
      <c r="BQ1" s="1685">
        <v>67.0</v>
      </c>
      <c r="BR1" s="1685">
        <v>68.0</v>
      </c>
      <c r="BS1" s="1685">
        <v>69.0</v>
      </c>
      <c r="BT1" s="1685">
        <v>70.0</v>
      </c>
      <c r="BU1" s="1685">
        <v>71.0</v>
      </c>
      <c r="BV1" s="1685">
        <v>72.0</v>
      </c>
      <c r="BW1" s="1685">
        <v>73.0</v>
      </c>
      <c r="BX1" s="1685">
        <v>74.0</v>
      </c>
      <c r="BY1" s="1685">
        <v>75.0</v>
      </c>
      <c r="BZ1" s="1685">
        <v>76.0</v>
      </c>
      <c r="CA1" s="1685">
        <v>77.0</v>
      </c>
      <c r="CB1" s="1685">
        <v>78.0</v>
      </c>
      <c r="CC1" s="1685">
        <v>79.0</v>
      </c>
      <c r="CD1" s="1685">
        <v>80.0</v>
      </c>
      <c r="CE1" s="1685">
        <v>81.0</v>
      </c>
      <c r="CF1" s="1685">
        <v>82.0</v>
      </c>
      <c r="CG1" s="1685">
        <v>83.0</v>
      </c>
      <c r="CH1" s="1685">
        <v>84.0</v>
      </c>
      <c r="CI1" s="1685">
        <v>85.0</v>
      </c>
      <c r="CJ1" s="1685">
        <v>86.0</v>
      </c>
      <c r="CK1" s="1685">
        <v>87.0</v>
      </c>
      <c r="CL1" s="1685">
        <v>88.0</v>
      </c>
      <c r="CM1" s="1685">
        <v>89.0</v>
      </c>
      <c r="CN1" s="1685">
        <v>90.0</v>
      </c>
      <c r="CO1" s="1685">
        <v>91.0</v>
      </c>
      <c r="CP1" s="1685">
        <v>92.0</v>
      </c>
      <c r="CQ1" s="1685">
        <v>93.0</v>
      </c>
      <c r="CR1" s="1685">
        <v>94.0</v>
      </c>
      <c r="CS1" s="1685">
        <v>95.0</v>
      </c>
      <c r="CT1" s="1685">
        <v>96.0</v>
      </c>
      <c r="CU1" s="1685">
        <v>97.0</v>
      </c>
      <c r="CV1" s="1685">
        <v>98.0</v>
      </c>
      <c r="CW1" s="1685">
        <v>99.0</v>
      </c>
      <c r="CX1" s="1685">
        <v>100.0</v>
      </c>
      <c r="CY1" s="1685">
        <v>101.0</v>
      </c>
      <c r="CZ1" s="1685">
        <v>102.0</v>
      </c>
      <c r="DA1" s="1685">
        <v>103.0</v>
      </c>
      <c r="DB1" s="1685">
        <v>104.0</v>
      </c>
      <c r="DC1" s="1685">
        <v>105.0</v>
      </c>
      <c r="DD1" s="1685">
        <v>106.0</v>
      </c>
      <c r="DE1" s="1685">
        <v>107.0</v>
      </c>
      <c r="DF1" s="1685">
        <v>108.0</v>
      </c>
      <c r="DG1" s="1685">
        <v>109.0</v>
      </c>
      <c r="DH1" s="1685">
        <v>110.0</v>
      </c>
      <c r="DI1" s="1685">
        <v>111.0</v>
      </c>
      <c r="DJ1" s="1685">
        <v>112.0</v>
      </c>
      <c r="DK1" s="1685">
        <v>113.0</v>
      </c>
      <c r="DL1" s="1685">
        <v>114.0</v>
      </c>
      <c r="DM1" s="1685">
        <v>115.0</v>
      </c>
      <c r="DN1" s="1685">
        <v>116.0</v>
      </c>
      <c r="DO1" s="1685">
        <v>117.0</v>
      </c>
      <c r="DP1" s="1685">
        <v>118.0</v>
      </c>
      <c r="DQ1" s="1685">
        <v>119.0</v>
      </c>
      <c r="DR1" s="1685">
        <v>120.0</v>
      </c>
      <c r="DS1" s="1685">
        <v>121.0</v>
      </c>
      <c r="DT1" s="1685">
        <v>122.0</v>
      </c>
      <c r="DU1" s="1685">
        <v>123.0</v>
      </c>
      <c r="DV1" s="1685">
        <v>124.0</v>
      </c>
      <c r="DW1" s="1685">
        <v>125.0</v>
      </c>
      <c r="DX1" s="1685">
        <v>126.0</v>
      </c>
      <c r="DY1" s="1685">
        <v>127.0</v>
      </c>
      <c r="DZ1" s="1685">
        <v>128.0</v>
      </c>
      <c r="EA1" s="1685">
        <v>129.0</v>
      </c>
      <c r="EB1" s="1685">
        <v>130.0</v>
      </c>
      <c r="EC1" s="1685">
        <v>131.0</v>
      </c>
      <c r="ED1" s="1685">
        <v>132.0</v>
      </c>
      <c r="EE1" s="1685">
        <v>133.0</v>
      </c>
      <c r="EF1" s="1685">
        <v>134.0</v>
      </c>
      <c r="EG1" s="1685">
        <v>135.0</v>
      </c>
      <c r="EH1" s="1685">
        <v>136.0</v>
      </c>
      <c r="EI1" s="1685">
        <v>137.0</v>
      </c>
      <c r="EJ1" s="1685">
        <v>138.0</v>
      </c>
      <c r="EK1" s="1685">
        <v>139.0</v>
      </c>
      <c r="EL1" s="1685">
        <v>140.0</v>
      </c>
      <c r="EM1" s="1685">
        <v>141.0</v>
      </c>
      <c r="EN1" s="1685">
        <v>142.0</v>
      </c>
      <c r="EO1" s="1685">
        <v>143.0</v>
      </c>
      <c r="EP1" s="1685">
        <v>144.0</v>
      </c>
      <c r="EQ1" s="1685">
        <v>145.0</v>
      </c>
      <c r="ER1" s="1685">
        <v>146.0</v>
      </c>
      <c r="ES1" s="1685">
        <v>147.0</v>
      </c>
      <c r="ET1" s="1685">
        <v>148.0</v>
      </c>
      <c r="EU1" s="1685">
        <v>149.0</v>
      </c>
      <c r="EV1" s="1685">
        <v>150.0</v>
      </c>
      <c r="EW1" s="1685">
        <v>151.0</v>
      </c>
      <c r="EX1" s="1685">
        <v>152.0</v>
      </c>
      <c r="EY1" s="1685">
        <v>153.0</v>
      </c>
      <c r="EZ1" s="1685">
        <v>154.0</v>
      </c>
      <c r="FA1" s="1685">
        <v>155.0</v>
      </c>
      <c r="FB1" s="1685">
        <v>156.0</v>
      </c>
      <c r="FC1" s="1685">
        <v>157.0</v>
      </c>
      <c r="FD1" s="1685">
        <v>158.0</v>
      </c>
      <c r="FE1" s="1685">
        <v>159.0</v>
      </c>
      <c r="FF1" s="1685">
        <v>160.0</v>
      </c>
      <c r="FG1" s="1685">
        <v>161.0</v>
      </c>
      <c r="FH1" s="1685">
        <v>162.0</v>
      </c>
      <c r="FI1" s="1685">
        <v>163.0</v>
      </c>
      <c r="FJ1" s="1685">
        <v>164.0</v>
      </c>
      <c r="FK1" s="1685">
        <v>165.0</v>
      </c>
      <c r="FL1" s="1685">
        <v>166.0</v>
      </c>
      <c r="FM1" s="1685">
        <v>167.0</v>
      </c>
      <c r="FN1" s="1685">
        <v>168.0</v>
      </c>
      <c r="FO1" s="1685">
        <v>169.0</v>
      </c>
      <c r="FP1" s="1685">
        <v>170.0</v>
      </c>
      <c r="FQ1" s="1685">
        <v>171.0</v>
      </c>
      <c r="FR1" s="1685">
        <v>172.0</v>
      </c>
      <c r="FS1" s="1685">
        <v>173.0</v>
      </c>
      <c r="FT1" s="1685">
        <v>174.0</v>
      </c>
      <c r="FU1" s="1685">
        <v>175.0</v>
      </c>
      <c r="FV1" s="1685">
        <v>176.0</v>
      </c>
      <c r="FW1" s="1685">
        <v>177.0</v>
      </c>
      <c r="FX1" s="1685">
        <v>178.0</v>
      </c>
      <c r="FY1" s="1685">
        <v>179.0</v>
      </c>
      <c r="FZ1" s="1685">
        <v>180.0</v>
      </c>
      <c r="GA1" s="1685">
        <v>181.0</v>
      </c>
      <c r="GB1" s="1685">
        <v>182.0</v>
      </c>
      <c r="GC1" s="1685">
        <v>183.0</v>
      </c>
      <c r="GD1" s="1685">
        <v>184.0</v>
      </c>
      <c r="GE1" s="1685">
        <v>185.0</v>
      </c>
      <c r="GF1" s="1685">
        <v>186.0</v>
      </c>
      <c r="GG1" s="1685">
        <v>187.0</v>
      </c>
      <c r="GH1" s="1685">
        <v>188.0</v>
      </c>
      <c r="GI1" s="1685">
        <v>189.0</v>
      </c>
      <c r="GJ1" s="1685">
        <v>190.0</v>
      </c>
      <c r="GK1" s="1685">
        <v>191.0</v>
      </c>
      <c r="GL1" s="1685">
        <v>192.0</v>
      </c>
      <c r="GM1" s="1685">
        <v>193.0</v>
      </c>
      <c r="GN1" s="1685">
        <v>194.0</v>
      </c>
      <c r="GO1" s="1685">
        <v>195.0</v>
      </c>
      <c r="GP1" s="1685">
        <v>196.0</v>
      </c>
      <c r="GQ1" s="1685">
        <v>197.0</v>
      </c>
      <c r="GR1" s="1685">
        <v>198.0</v>
      </c>
      <c r="GS1" s="1685">
        <v>199.0</v>
      </c>
      <c r="GT1" s="1685">
        <v>200.0</v>
      </c>
      <c r="GU1" s="1685">
        <v>201.0</v>
      </c>
      <c r="GV1" s="1685">
        <v>202.0</v>
      </c>
      <c r="GW1" s="1685">
        <v>203.0</v>
      </c>
      <c r="GX1" s="1685">
        <v>204.0</v>
      </c>
      <c r="GY1" s="1686">
        <v>205.0</v>
      </c>
      <c r="GZ1" s="1686">
        <v>206.0</v>
      </c>
      <c r="HA1" s="1686">
        <v>207.0</v>
      </c>
      <c r="HB1" s="1686">
        <v>208.0</v>
      </c>
      <c r="HC1" s="1686">
        <v>209.0</v>
      </c>
      <c r="HD1" s="1686">
        <v>210.0</v>
      </c>
      <c r="HE1" s="1686">
        <v>211.0</v>
      </c>
      <c r="HF1" s="1686">
        <v>212.0</v>
      </c>
      <c r="HG1" s="1686">
        <v>213.0</v>
      </c>
      <c r="HH1" s="1686">
        <v>214.0</v>
      </c>
      <c r="HI1" s="1686">
        <v>215.0</v>
      </c>
      <c r="HJ1" s="1686">
        <v>216.0</v>
      </c>
      <c r="HK1" s="1686">
        <v>217.0</v>
      </c>
      <c r="HL1" s="1686">
        <v>218.0</v>
      </c>
      <c r="HM1" s="1686">
        <v>219.0</v>
      </c>
      <c r="HN1" s="1686">
        <v>220.0</v>
      </c>
      <c r="HO1" s="1686">
        <v>221.0</v>
      </c>
      <c r="HP1" s="1686">
        <v>222.0</v>
      </c>
      <c r="HQ1" s="1686">
        <v>223.0</v>
      </c>
      <c r="HR1" s="1686">
        <v>224.0</v>
      </c>
      <c r="HS1" s="1686">
        <v>225.0</v>
      </c>
      <c r="HT1" s="1686">
        <v>226.0</v>
      </c>
      <c r="HU1" s="1686">
        <v>227.0</v>
      </c>
      <c r="HV1" s="1686">
        <v>228.0</v>
      </c>
      <c r="HW1" s="1686">
        <v>229.0</v>
      </c>
      <c r="HX1" s="1686">
        <v>230.0</v>
      </c>
    </row>
    <row r="2" spans="8:8" s="1687" ht="147.95" customFormat="1" customHeight="1">
      <c r="C2" s="1687" t="s">
        <v>1321</v>
      </c>
      <c r="D2" s="1687" t="s">
        <v>401</v>
      </c>
      <c r="E2" s="1687" t="s">
        <v>407</v>
      </c>
      <c r="F2" s="1687" t="s">
        <v>413</v>
      </c>
      <c r="G2" s="1687" t="s">
        <v>419</v>
      </c>
      <c r="H2" s="1687" t="s">
        <v>1322</v>
      </c>
      <c r="I2" s="1687" t="s">
        <v>429</v>
      </c>
      <c r="J2" s="1687" t="s">
        <v>435</v>
      </c>
      <c r="K2" s="1687" t="s">
        <v>441</v>
      </c>
      <c r="L2" s="1687" t="s">
        <v>445</v>
      </c>
      <c r="M2" s="1687" t="s">
        <v>450</v>
      </c>
      <c r="N2" s="1687" t="s">
        <v>455</v>
      </c>
      <c r="O2" s="1687" t="s">
        <v>462</v>
      </c>
      <c r="P2" s="1687" t="s">
        <v>468</v>
      </c>
      <c r="Q2" s="1687" t="s">
        <v>473</v>
      </c>
      <c r="R2" s="1687" t="s">
        <v>478</v>
      </c>
      <c r="S2" s="1687" t="s">
        <v>483</v>
      </c>
      <c r="T2" s="1687" t="s">
        <v>488</v>
      </c>
      <c r="U2" s="1687" t="s">
        <v>493</v>
      </c>
      <c r="V2" s="1687" t="s">
        <v>499</v>
      </c>
      <c r="W2" s="1687" t="s">
        <v>503</v>
      </c>
      <c r="X2" s="1687" t="s">
        <v>509</v>
      </c>
      <c r="Y2" s="1687" t="s">
        <v>512</v>
      </c>
      <c r="Z2" s="1687" t="s">
        <v>517</v>
      </c>
      <c r="AA2" s="1687" t="s">
        <v>522</v>
      </c>
      <c r="AB2" s="1687" t="s">
        <v>526</v>
      </c>
      <c r="AC2" s="1687" t="s">
        <v>530</v>
      </c>
      <c r="AD2" s="1687" t="s">
        <v>535</v>
      </c>
      <c r="AE2" s="1687" t="s">
        <v>540</v>
      </c>
      <c r="AF2" s="1687" t="s">
        <v>546</v>
      </c>
      <c r="AG2" s="1687" t="s">
        <v>552</v>
      </c>
      <c r="AH2" s="1687" t="s">
        <v>557</v>
      </c>
      <c r="AI2" s="1687" t="s">
        <v>563</v>
      </c>
      <c r="AJ2" s="1687" t="s">
        <v>568</v>
      </c>
      <c r="AK2" s="1687" t="s">
        <v>573</v>
      </c>
      <c r="AL2" s="1687" t="s">
        <v>577</v>
      </c>
      <c r="AM2" s="1687" t="s">
        <v>581</v>
      </c>
      <c r="AN2" s="1687" t="s">
        <v>586</v>
      </c>
      <c r="AO2" s="1687" t="s">
        <v>591</v>
      </c>
      <c r="AP2" s="1687" t="s">
        <v>595</v>
      </c>
      <c r="AQ2" s="1687" t="s">
        <v>598</v>
      </c>
      <c r="AR2" s="1687" t="s">
        <v>602</v>
      </c>
      <c r="AS2" s="1687" t="s">
        <v>607</v>
      </c>
      <c r="AT2" s="1687" t="s">
        <v>611</v>
      </c>
      <c r="AU2" s="1687" t="s">
        <v>616</v>
      </c>
      <c r="AV2" s="1687" t="s">
        <v>622</v>
      </c>
      <c r="AW2" s="1687" t="s">
        <v>626</v>
      </c>
      <c r="AX2" s="1687" t="s">
        <v>630</v>
      </c>
      <c r="AY2" s="1687" t="s">
        <v>634</v>
      </c>
      <c r="AZ2" s="1687" t="s">
        <v>639</v>
      </c>
      <c r="BA2" s="1687" t="s">
        <v>644</v>
      </c>
      <c r="BB2" s="1687" t="s">
        <v>648</v>
      </c>
      <c r="BC2" s="1687" t="s">
        <v>652</v>
      </c>
      <c r="BD2" s="1687" t="s">
        <v>657</v>
      </c>
      <c r="BE2" s="1687" t="s">
        <v>661</v>
      </c>
      <c r="BF2" s="1687" t="s">
        <v>665</v>
      </c>
      <c r="BG2" s="1687" t="s">
        <v>669</v>
      </c>
      <c r="BH2" s="1687" t="s">
        <v>673</v>
      </c>
      <c r="BI2" s="1687" t="s">
        <v>678</v>
      </c>
      <c r="BJ2" s="1687" t="s">
        <v>684</v>
      </c>
      <c r="BK2" s="1687" t="s">
        <v>689</v>
      </c>
      <c r="BL2" s="1687" t="s">
        <v>692</v>
      </c>
      <c r="BM2" s="1687" t="s">
        <v>697</v>
      </c>
      <c r="BN2" s="1687" t="s">
        <v>702</v>
      </c>
      <c r="BO2" s="1687" t="s">
        <v>708</v>
      </c>
      <c r="BP2" s="1687" t="s">
        <v>712</v>
      </c>
      <c r="BQ2" s="1687" t="s">
        <v>716</v>
      </c>
      <c r="BR2" s="1687" t="s">
        <v>721</v>
      </c>
      <c r="BS2" s="1687" t="s">
        <v>1323</v>
      </c>
      <c r="BT2" s="1687" t="s">
        <v>729</v>
      </c>
      <c r="BU2" s="1687" t="s">
        <v>732</v>
      </c>
      <c r="BV2" s="1687" t="s">
        <v>735</v>
      </c>
      <c r="BW2" s="1687" t="s">
        <v>739</v>
      </c>
      <c r="BX2" s="1687" t="s">
        <v>744</v>
      </c>
      <c r="BY2" s="1687" t="s">
        <v>748</v>
      </c>
      <c r="BZ2" s="1687" t="s">
        <v>753</v>
      </c>
      <c r="CA2" s="1687" t="s">
        <v>758</v>
      </c>
      <c r="CB2" s="1687" t="s">
        <v>762</v>
      </c>
      <c r="CC2" s="1687" t="s">
        <v>766</v>
      </c>
      <c r="CD2" s="1687" t="s">
        <v>771</v>
      </c>
      <c r="CE2" s="1687" t="s">
        <v>775</v>
      </c>
      <c r="CF2" s="1687" t="s">
        <v>780</v>
      </c>
      <c r="CG2" s="1687" t="s">
        <v>785</v>
      </c>
      <c r="CH2" s="1687" t="s">
        <v>789</v>
      </c>
      <c r="CI2" s="1687" t="s">
        <v>794</v>
      </c>
      <c r="CJ2" s="1687" t="s">
        <v>798</v>
      </c>
      <c r="CK2" s="1687" t="s">
        <v>801</v>
      </c>
      <c r="CL2" s="1687" t="s">
        <v>805</v>
      </c>
      <c r="CM2" s="1687" t="s">
        <v>809</v>
      </c>
      <c r="CN2" s="1687" t="s">
        <v>813</v>
      </c>
      <c r="CO2" s="1687" t="s">
        <v>817</v>
      </c>
      <c r="CP2" s="1687" t="s">
        <v>821</v>
      </c>
      <c r="CQ2" s="1687" t="s">
        <v>825</v>
      </c>
      <c r="CR2" s="1687" t="s">
        <v>830</v>
      </c>
      <c r="CS2" s="1687" t="s">
        <v>835</v>
      </c>
      <c r="CT2" s="1687" t="s">
        <v>839</v>
      </c>
      <c r="CU2" s="1687" t="s">
        <v>843</v>
      </c>
      <c r="CV2" s="1687" t="s">
        <v>847</v>
      </c>
      <c r="CW2" s="1687" t="s">
        <v>852</v>
      </c>
      <c r="CX2" s="1687" t="s">
        <v>856</v>
      </c>
      <c r="CY2" s="1687" t="s">
        <v>860</v>
      </c>
      <c r="CZ2" s="1687" t="s">
        <v>864</v>
      </c>
      <c r="DA2" s="1687" t="s">
        <v>869</v>
      </c>
      <c r="DB2" s="1687" t="s">
        <v>873</v>
      </c>
      <c r="DC2" s="1687" t="s">
        <v>876</v>
      </c>
      <c r="DD2" s="1687" t="s">
        <v>880</v>
      </c>
      <c r="DE2" s="1687" t="s">
        <v>885</v>
      </c>
      <c r="DF2" s="1687" t="s">
        <v>890</v>
      </c>
      <c r="DG2" s="1687" t="s">
        <v>895</v>
      </c>
      <c r="DH2" s="1687" t="s">
        <v>899</v>
      </c>
      <c r="DI2" s="1687" t="s">
        <v>903</v>
      </c>
      <c r="DJ2" s="1687" t="s">
        <v>907</v>
      </c>
      <c r="DK2" s="1687" t="s">
        <v>911</v>
      </c>
      <c r="DL2" s="1687" t="s">
        <v>916</v>
      </c>
      <c r="DM2" s="1687" t="s">
        <v>920</v>
      </c>
      <c r="DN2" s="1687" t="s">
        <v>924</v>
      </c>
      <c r="DO2" s="1687" t="s">
        <v>929</v>
      </c>
      <c r="DP2" s="1687" t="s">
        <v>931</v>
      </c>
      <c r="DQ2" s="1687" t="s">
        <v>936</v>
      </c>
      <c r="DR2" s="1687" t="s">
        <v>939</v>
      </c>
      <c r="DS2" s="1687" t="s">
        <v>942</v>
      </c>
      <c r="DT2" s="1687" t="s">
        <v>945</v>
      </c>
      <c r="DU2" s="1687" t="s">
        <v>949</v>
      </c>
      <c r="DV2" s="1687" t="s">
        <v>952</v>
      </c>
      <c r="DW2" s="1687" t="s">
        <v>953</v>
      </c>
      <c r="DX2" s="1687" t="s">
        <v>956</v>
      </c>
      <c r="DY2" s="1687" t="s">
        <v>959</v>
      </c>
      <c r="DZ2" s="1687" t="s">
        <v>962</v>
      </c>
      <c r="EA2" s="1687" t="s">
        <v>965</v>
      </c>
      <c r="EB2" s="1687" t="s">
        <v>968</v>
      </c>
      <c r="EC2" s="1687" t="s">
        <v>971</v>
      </c>
      <c r="ED2" s="1687" t="s">
        <v>974</v>
      </c>
      <c r="EE2" s="1687" t="s">
        <v>977</v>
      </c>
      <c r="EF2" s="1687" t="s">
        <v>978</v>
      </c>
      <c r="EG2" s="1687" t="s">
        <v>979</v>
      </c>
      <c r="EH2" s="1687" t="s">
        <v>980</v>
      </c>
      <c r="EI2" s="1687" t="s">
        <v>982</v>
      </c>
      <c r="EJ2" s="1687" t="s">
        <v>985</v>
      </c>
      <c r="EK2" s="1687" t="s">
        <v>988</v>
      </c>
      <c r="EL2" s="1687" t="s">
        <v>1324</v>
      </c>
      <c r="EM2" s="1687" t="s">
        <v>994</v>
      </c>
      <c r="EN2" s="1687" t="s">
        <v>997</v>
      </c>
      <c r="EO2" s="1687" t="s">
        <v>1001</v>
      </c>
      <c r="EP2" s="1687" t="s">
        <v>1325</v>
      </c>
      <c r="EQ2" s="1687" t="s">
        <v>1007</v>
      </c>
      <c r="ER2" s="1687" t="s">
        <v>1010</v>
      </c>
      <c r="ES2" s="1687" t="s">
        <v>1012</v>
      </c>
      <c r="ET2" s="1687" t="s">
        <v>1014</v>
      </c>
      <c r="EU2" s="1687" t="s">
        <v>1017</v>
      </c>
      <c r="EV2" s="1687" t="s">
        <v>1020</v>
      </c>
      <c r="EW2" s="1687" t="s">
        <v>1024</v>
      </c>
      <c r="EX2" s="1687" t="s">
        <v>1027</v>
      </c>
      <c r="EY2" s="1687" t="s">
        <v>1030</v>
      </c>
      <c r="EZ2" s="1687" t="s">
        <v>1033</v>
      </c>
      <c r="FA2" s="1687" t="s">
        <v>1036</v>
      </c>
      <c r="FB2" s="1687" t="s">
        <v>1041</v>
      </c>
      <c r="FC2" s="1687" t="s">
        <v>1046</v>
      </c>
      <c r="FD2" s="1687" t="s">
        <v>1053</v>
      </c>
      <c r="FE2" s="1687" t="s">
        <v>1057</v>
      </c>
      <c r="FF2" s="1687" t="s">
        <v>1062</v>
      </c>
      <c r="FG2" s="1687" t="s">
        <v>1066</v>
      </c>
      <c r="FH2" s="1687" t="s">
        <v>1069</v>
      </c>
      <c r="FI2" s="1687" t="s">
        <v>1073</v>
      </c>
      <c r="FJ2" s="1687" t="s">
        <v>1077</v>
      </c>
      <c r="FK2" s="1687" t="s">
        <v>1080</v>
      </c>
      <c r="FL2" s="1687" t="s">
        <v>1082</v>
      </c>
      <c r="FM2" s="1687" t="s">
        <v>1084</v>
      </c>
      <c r="FN2" s="1687" t="s">
        <v>1088</v>
      </c>
      <c r="FO2" s="1687" t="s">
        <v>1091</v>
      </c>
      <c r="FP2" s="1687" t="s">
        <v>1094</v>
      </c>
      <c r="FQ2" s="1687" t="s">
        <v>1099</v>
      </c>
      <c r="FR2" s="1687" t="s">
        <v>1102</v>
      </c>
      <c r="FS2" s="1687" t="s">
        <v>1105</v>
      </c>
      <c r="FT2" s="1687" t="s">
        <v>1108</v>
      </c>
      <c r="FU2" s="1687" t="s">
        <v>1112</v>
      </c>
      <c r="FV2" s="1687" t="s">
        <v>1114</v>
      </c>
      <c r="FW2" s="1687" t="s">
        <v>1116</v>
      </c>
      <c r="FX2" s="1687" t="s">
        <v>1117</v>
      </c>
      <c r="FY2" s="1687" t="s">
        <v>1120</v>
      </c>
      <c r="FZ2" s="1687" t="s">
        <v>1121</v>
      </c>
      <c r="GA2" s="1687" t="s">
        <v>1123</v>
      </c>
      <c r="GB2" s="1687" t="s">
        <v>1125</v>
      </c>
      <c r="GC2" s="1687" t="s">
        <v>1127</v>
      </c>
      <c r="GD2" s="1687" t="s">
        <v>1128</v>
      </c>
      <c r="GE2" s="1687" t="s">
        <v>1129</v>
      </c>
      <c r="GF2" s="1687" t="s">
        <v>1131</v>
      </c>
      <c r="GG2" s="1687" t="s">
        <v>1132</v>
      </c>
      <c r="GH2" s="1687" t="s">
        <v>1134</v>
      </c>
      <c r="GI2" s="1687" t="s">
        <v>1136</v>
      </c>
      <c r="GJ2" s="1687" t="s">
        <v>1138</v>
      </c>
      <c r="GK2" s="1687" t="s">
        <v>1140</v>
      </c>
      <c r="GL2" s="1687" t="s">
        <v>1141</v>
      </c>
      <c r="GM2" s="1687" t="s">
        <v>1142</v>
      </c>
      <c r="GN2" s="1687" t="s">
        <v>1143</v>
      </c>
      <c r="GO2" s="1687" t="s">
        <v>1145</v>
      </c>
      <c r="GP2" s="1687" t="s">
        <v>1147</v>
      </c>
      <c r="GQ2" s="1687" t="s">
        <v>1149</v>
      </c>
      <c r="GR2" s="1687" t="s">
        <v>1152</v>
      </c>
      <c r="GS2" s="1687" t="s">
        <v>1153</v>
      </c>
      <c r="GT2" s="1687" t="s">
        <v>1155</v>
      </c>
      <c r="GU2" s="1687" t="s">
        <v>1157</v>
      </c>
      <c r="GV2" s="1687" t="s">
        <v>1158</v>
      </c>
      <c r="GW2" s="1687" t="s">
        <v>1161</v>
      </c>
      <c r="GX2" s="1687" t="s">
        <v>1163</v>
      </c>
      <c r="GY2" s="1687" t="s">
        <v>1165</v>
      </c>
      <c r="GZ2" s="1687" t="s">
        <v>1169</v>
      </c>
      <c r="HA2" s="1687" t="s">
        <v>1171</v>
      </c>
      <c r="HB2" s="1687" t="s">
        <v>462</v>
      </c>
      <c r="HC2" s="1687" t="s">
        <v>1175</v>
      </c>
      <c r="HD2" s="1687" t="s">
        <v>1177</v>
      </c>
      <c r="HE2" s="1687" t="s">
        <v>1179</v>
      </c>
      <c r="HF2" s="1687" t="s">
        <v>1182</v>
      </c>
      <c r="HG2" s="1687" t="s">
        <v>530</v>
      </c>
      <c r="HH2" s="1687" t="s">
        <v>1186</v>
      </c>
      <c r="HI2" s="1687" t="s">
        <v>1188</v>
      </c>
      <c r="HJ2" s="1687" t="s">
        <v>648</v>
      </c>
      <c r="HK2" s="1687" t="s">
        <v>1191</v>
      </c>
      <c r="HL2" s="1687" t="s">
        <v>1194</v>
      </c>
      <c r="HM2" s="1687" t="s">
        <v>817</v>
      </c>
      <c r="HN2" s="1687" t="s">
        <v>1198</v>
      </c>
      <c r="HO2" s="1687" t="s">
        <v>1200</v>
      </c>
      <c r="HP2" s="1687" t="s">
        <v>735</v>
      </c>
      <c r="HQ2" s="1687" t="s">
        <v>1203</v>
      </c>
      <c r="HR2" s="1687" t="s">
        <v>1205</v>
      </c>
      <c r="HS2" s="1687" t="s">
        <v>1207</v>
      </c>
      <c r="HT2" s="1687" t="s">
        <v>860</v>
      </c>
      <c r="HU2" s="1687" t="s">
        <v>1210</v>
      </c>
      <c r="HV2" s="1687" t="s">
        <v>1212</v>
      </c>
      <c r="HW2" s="1687" t="s">
        <v>1214</v>
      </c>
      <c r="HX2" s="1687" t="s">
        <v>1216</v>
      </c>
      <c r="HY2" s="1688"/>
      <c r="HZ2" s="1688"/>
      <c r="IA2" s="1688"/>
      <c r="IB2" s="1688"/>
      <c r="IC2" s="1688"/>
      <c r="ID2" s="1688"/>
      <c r="IE2" s="1688"/>
      <c r="IF2" s="1688"/>
      <c r="IG2" s="1688"/>
      <c r="IH2" s="1688"/>
      <c r="II2" s="1688"/>
      <c r="IJ2" s="1688"/>
      <c r="IK2" s="1688"/>
      <c r="IL2" s="1688"/>
      <c r="IM2" s="1688"/>
      <c r="IN2" s="1688"/>
      <c r="IO2" s="1688"/>
      <c r="IP2" s="1688"/>
      <c r="IQ2" s="1688"/>
      <c r="IR2" s="1688"/>
      <c r="IS2" s="1688"/>
      <c r="IT2" s="1688"/>
      <c r="IU2" s="1688"/>
      <c r="IV2" s="1688"/>
    </row>
    <row r="3" spans="8:8" s="1689" ht="20.0" customFormat="1" customHeight="1">
      <c r="A3" s="1690" t="s">
        <v>1326</v>
      </c>
      <c r="B3" s="1691"/>
      <c r="C3" s="1691"/>
      <c r="D3" s="1691"/>
      <c r="E3" s="1691"/>
      <c r="F3" s="1691"/>
      <c r="G3" s="1691"/>
      <c r="H3" s="1691"/>
      <c r="I3" s="1691"/>
      <c r="J3" s="1691"/>
      <c r="K3" s="1691"/>
      <c r="L3" s="1691"/>
      <c r="M3" s="1691">
        <v>1.0</v>
      </c>
      <c r="N3" s="1691">
        <v>1.0</v>
      </c>
      <c r="O3" s="1691">
        <v>1.0</v>
      </c>
      <c r="P3" s="1691"/>
      <c r="Q3" s="1691"/>
      <c r="R3" s="1691">
        <v>1.0</v>
      </c>
      <c r="S3" s="1691"/>
      <c r="T3" s="1691">
        <v>1.0</v>
      </c>
      <c r="U3" s="1691"/>
      <c r="V3" s="1691">
        <v>1.0</v>
      </c>
      <c r="W3" s="1691"/>
      <c r="X3" s="1691">
        <v>1.0</v>
      </c>
      <c r="Y3" s="1691"/>
      <c r="Z3" s="1691"/>
      <c r="AA3" s="1691"/>
      <c r="AB3" s="1691">
        <v>1.0</v>
      </c>
      <c r="AC3" s="1691"/>
      <c r="AD3" s="1691"/>
      <c r="AE3" s="1691">
        <v>1.0</v>
      </c>
      <c r="AF3" s="1691"/>
      <c r="AG3" s="1691">
        <v>1.0</v>
      </c>
      <c r="AH3" s="1691">
        <v>1.0</v>
      </c>
      <c r="AI3" s="1691">
        <v>1.0</v>
      </c>
      <c r="AJ3" s="1691">
        <v>1.0</v>
      </c>
      <c r="AK3" s="1691"/>
      <c r="AL3" s="1691"/>
      <c r="AM3" s="1691">
        <v>1.0</v>
      </c>
      <c r="AN3" s="1691"/>
      <c r="AO3" s="1691"/>
      <c r="AP3" s="1691">
        <v>1.0</v>
      </c>
      <c r="AQ3" s="1691">
        <v>1.0</v>
      </c>
      <c r="AR3" s="1691"/>
      <c r="AS3" s="1691"/>
      <c r="AT3" s="1691"/>
      <c r="AU3" s="1691"/>
      <c r="AV3" s="1691"/>
      <c r="AW3" s="1691"/>
      <c r="AX3" s="1691"/>
      <c r="AY3" s="1691"/>
      <c r="AZ3" s="1691"/>
      <c r="BA3" s="1691"/>
      <c r="BB3" s="1691"/>
      <c r="BC3" s="1691">
        <v>1.0</v>
      </c>
      <c r="BD3" s="1691"/>
      <c r="BE3" s="1691"/>
      <c r="BF3" s="1691"/>
      <c r="BG3" s="1691"/>
      <c r="BH3" s="1691"/>
      <c r="BI3" s="1691"/>
      <c r="BJ3" s="1691"/>
      <c r="BK3" s="1691"/>
      <c r="BL3" s="1691"/>
      <c r="BM3" s="1691">
        <v>1.0</v>
      </c>
      <c r="BN3" s="1691"/>
      <c r="BO3" s="1691"/>
      <c r="BP3" s="1691"/>
      <c r="BQ3" s="1691"/>
      <c r="BR3" s="1691">
        <v>1.0</v>
      </c>
      <c r="BS3" s="1691"/>
      <c r="BT3" s="1691">
        <v>1.0</v>
      </c>
      <c r="BU3" s="1691"/>
      <c r="BV3" s="1691"/>
      <c r="BW3" s="1691"/>
      <c r="BX3" s="1691"/>
      <c r="BY3" s="1691"/>
      <c r="BZ3" s="1691"/>
      <c r="CA3" s="1691"/>
      <c r="CB3" s="1691"/>
      <c r="CC3" s="1691"/>
      <c r="CD3" s="1691"/>
      <c r="CE3" s="1691"/>
      <c r="CF3" s="1691"/>
      <c r="CG3" s="1691"/>
      <c r="CH3" s="1691"/>
      <c r="CI3" s="1691"/>
      <c r="CJ3" s="1691"/>
      <c r="CK3" s="1691"/>
      <c r="CL3" s="1691"/>
      <c r="CM3" s="1691">
        <v>1.0</v>
      </c>
      <c r="CN3" s="1691">
        <v>1.0</v>
      </c>
      <c r="CO3" s="1691"/>
      <c r="CP3" s="1691"/>
      <c r="CQ3" s="1691"/>
      <c r="CR3" s="1691"/>
      <c r="CS3" s="1691"/>
      <c r="CT3" s="1691"/>
      <c r="CU3" s="1691"/>
      <c r="CV3" s="1691">
        <v>1.0</v>
      </c>
      <c r="CW3" s="1691"/>
      <c r="CX3" s="1691">
        <v>1.0</v>
      </c>
      <c r="CY3" s="1691">
        <v>1.0</v>
      </c>
      <c r="CZ3" s="1691">
        <v>1.0</v>
      </c>
      <c r="DA3" s="1691"/>
      <c r="DB3" s="1691">
        <v>1.0</v>
      </c>
      <c r="DC3" s="1691">
        <v>1.0</v>
      </c>
      <c r="DD3" s="1691">
        <v>1.0</v>
      </c>
      <c r="DE3" s="1691">
        <v>1.0</v>
      </c>
      <c r="DF3" s="1691">
        <v>1.0</v>
      </c>
      <c r="DG3" s="1691"/>
      <c r="DH3" s="1691"/>
      <c r="DI3" s="1691"/>
      <c r="DJ3" s="1691">
        <v>1.0</v>
      </c>
      <c r="DK3" s="1691"/>
      <c r="DL3" s="1691"/>
      <c r="DM3" s="1691"/>
      <c r="DN3" s="1691"/>
      <c r="DO3" s="1691"/>
      <c r="DP3" s="1691"/>
      <c r="DQ3" s="1691"/>
      <c r="DR3" s="1691"/>
      <c r="DS3" s="1691"/>
      <c r="DT3" s="1691"/>
      <c r="DU3" s="1691"/>
      <c r="DV3" s="1691"/>
      <c r="DW3" s="1691"/>
      <c r="DX3" s="1691"/>
      <c r="DY3" s="1691"/>
      <c r="DZ3" s="1691"/>
      <c r="EA3" s="1691"/>
      <c r="EB3" s="1691"/>
      <c r="EC3" s="1691"/>
      <c r="ED3" s="1691"/>
      <c r="EE3" s="1691"/>
      <c r="EF3" s="1691"/>
      <c r="EG3" s="1691"/>
      <c r="EH3" s="1691"/>
      <c r="EI3" s="1691"/>
      <c r="EJ3" s="1691">
        <v>1.0</v>
      </c>
      <c r="EK3" s="1691"/>
      <c r="EL3" s="1691"/>
      <c r="EM3" s="1691"/>
      <c r="EN3" s="1691">
        <v>1.0</v>
      </c>
      <c r="EO3" s="1691"/>
      <c r="EP3" s="1691"/>
      <c r="EQ3" s="1691"/>
      <c r="ER3" s="1691">
        <v>1.0</v>
      </c>
      <c r="ES3" s="1691"/>
      <c r="ET3" s="1691"/>
      <c r="EU3" s="1691"/>
      <c r="EV3" s="1691"/>
      <c r="EW3" s="1691"/>
      <c r="EX3" s="1691"/>
      <c r="EY3" s="1691"/>
      <c r="EZ3" s="1691"/>
      <c r="FA3" s="1691"/>
      <c r="FB3" s="1691">
        <v>1.0</v>
      </c>
      <c r="FC3" s="1691">
        <v>1.0</v>
      </c>
      <c r="FD3" s="1691"/>
      <c r="FE3" s="1691">
        <v>1.0</v>
      </c>
      <c r="FF3" s="1691"/>
      <c r="FG3" s="1691"/>
      <c r="FH3" s="1691"/>
      <c r="FI3" s="1691">
        <v>1.0</v>
      </c>
      <c r="FJ3" s="1691">
        <v>1.0</v>
      </c>
      <c r="FK3" s="1691"/>
      <c r="FL3" s="1691">
        <v>1.0</v>
      </c>
      <c r="FM3" s="1691"/>
      <c r="FN3" s="1691"/>
      <c r="FO3" s="1691"/>
      <c r="FP3" s="1691"/>
      <c r="FQ3" s="1691"/>
      <c r="FR3" s="1691"/>
      <c r="FS3" s="1691"/>
      <c r="FT3" s="1691"/>
      <c r="FU3" s="1691"/>
      <c r="FV3" s="1691"/>
      <c r="FW3" s="1691"/>
      <c r="FX3" s="1691"/>
      <c r="FY3" s="1691"/>
      <c r="FZ3" s="1691">
        <v>1.0</v>
      </c>
      <c r="GA3" s="1691"/>
      <c r="GB3" s="1691"/>
      <c r="GC3" s="1691">
        <v>1.0</v>
      </c>
      <c r="GD3" s="1691">
        <v>1.0</v>
      </c>
      <c r="GE3" s="1691">
        <v>1.0</v>
      </c>
      <c r="GF3" s="1691">
        <v>1.0</v>
      </c>
      <c r="GG3" s="1691"/>
      <c r="GH3" s="1691"/>
      <c r="GI3" s="1691"/>
      <c r="GJ3" s="1691"/>
      <c r="GK3" s="1691"/>
      <c r="GL3" s="1691"/>
      <c r="GM3" s="1691"/>
      <c r="GN3" s="1691"/>
      <c r="GO3" s="1691"/>
      <c r="GP3" s="1691"/>
      <c r="GQ3" s="1691"/>
      <c r="GR3" s="1691"/>
      <c r="GS3" s="1691"/>
      <c r="GT3" s="1691"/>
      <c r="GU3" s="1691">
        <v>1.0</v>
      </c>
      <c r="GV3" s="1691"/>
      <c r="GW3" s="1691">
        <v>1.0</v>
      </c>
      <c r="GX3" s="1691"/>
      <c r="GY3" s="1691">
        <v>1.0</v>
      </c>
      <c r="GZ3" s="1691"/>
      <c r="HA3" s="1691"/>
      <c r="HB3" s="1691"/>
      <c r="HC3" s="1691"/>
      <c r="HD3" s="1691"/>
      <c r="HE3" s="1691"/>
      <c r="HF3" s="1691"/>
      <c r="HG3" s="1691"/>
      <c r="HH3" s="1691"/>
      <c r="HI3" s="1691"/>
      <c r="HJ3" s="1691"/>
      <c r="HK3" s="1691">
        <v>1.0</v>
      </c>
      <c r="HL3" s="1691"/>
      <c r="HM3" s="1691"/>
      <c r="HN3" s="1691"/>
      <c r="HO3" s="1691"/>
      <c r="HP3" s="1691"/>
      <c r="HQ3" s="1691"/>
      <c r="HR3" s="1691"/>
      <c r="HS3" s="1691"/>
      <c r="HT3" s="1691"/>
      <c r="HU3" s="1691"/>
      <c r="HV3" s="1691"/>
      <c r="HW3" s="1691"/>
      <c r="HX3" s="1691"/>
      <c r="HY3" s="1692"/>
      <c r="HZ3" s="1692"/>
      <c r="IA3" s="1692"/>
      <c r="IB3" s="1692"/>
      <c r="IC3" s="1692"/>
      <c r="ID3" s="1692"/>
      <c r="IE3" s="1692"/>
      <c r="IF3" s="1692"/>
      <c r="IG3" s="1692"/>
      <c r="IH3" s="1692"/>
      <c r="II3" s="1692"/>
      <c r="IJ3" s="1692"/>
      <c r="IK3" s="1692"/>
      <c r="IL3" s="1692"/>
      <c r="IM3" s="1692"/>
      <c r="IN3" s="1692"/>
      <c r="IO3" s="1692"/>
      <c r="IP3" s="1692"/>
      <c r="IQ3" s="1692"/>
      <c r="IR3" s="1692"/>
      <c r="IS3" s="1692"/>
      <c r="IT3" s="1692"/>
      <c r="IU3" s="1692"/>
      <c r="IV3" s="1692"/>
    </row>
    <row r="4" spans="8:8" s="1689" ht="20.0" customFormat="1" customHeight="1">
      <c r="A4" s="1690" t="s">
        <v>1327</v>
      </c>
      <c r="B4" s="1693"/>
      <c r="C4" s="1693"/>
      <c r="D4" s="1693"/>
      <c r="E4" s="1694"/>
      <c r="F4" s="1693"/>
      <c r="G4" s="1693"/>
      <c r="H4" s="1693"/>
      <c r="I4" s="1693"/>
      <c r="J4" s="1693"/>
      <c r="K4" s="1693"/>
      <c r="L4" s="1693"/>
      <c r="M4" s="1693"/>
      <c r="N4" s="1693"/>
      <c r="O4" s="1693"/>
      <c r="P4" s="1693"/>
      <c r="Q4" s="1693"/>
      <c r="R4" s="1693"/>
      <c r="S4" s="1693"/>
      <c r="T4" s="1693">
        <v>1.0</v>
      </c>
      <c r="U4" s="1693"/>
      <c r="V4" s="1693">
        <v>1.0</v>
      </c>
      <c r="W4" s="1693"/>
      <c r="X4" s="1693"/>
      <c r="Y4" s="1693"/>
      <c r="Z4" s="1693"/>
      <c r="AA4" s="1693"/>
      <c r="AB4" s="1693">
        <v>1.0</v>
      </c>
      <c r="AC4" s="1693"/>
      <c r="AD4" s="1693"/>
      <c r="AE4" s="1693"/>
      <c r="AF4" s="1693"/>
      <c r="AG4" s="1693"/>
      <c r="AH4" s="1693"/>
      <c r="AI4" s="1693">
        <v>1.0</v>
      </c>
      <c r="AJ4" s="1693"/>
      <c r="AK4" s="1693"/>
      <c r="AL4" s="1693"/>
      <c r="AM4" s="1693"/>
      <c r="AN4" s="1693"/>
      <c r="AO4" s="1693"/>
      <c r="AP4" s="1693"/>
      <c r="AQ4" s="1693"/>
      <c r="AR4" s="1693"/>
      <c r="AS4" s="1693"/>
      <c r="AT4" s="1693"/>
      <c r="AU4" s="1693"/>
      <c r="AV4" s="1693"/>
      <c r="AW4" s="1693"/>
      <c r="AX4" s="1693"/>
      <c r="AY4" s="1693"/>
      <c r="AZ4" s="1693"/>
      <c r="BA4" s="1693"/>
      <c r="BB4" s="1693"/>
      <c r="BC4" s="1693"/>
      <c r="BD4" s="1693"/>
      <c r="BE4" s="1693"/>
      <c r="BF4" s="1693"/>
      <c r="BG4" s="1693"/>
      <c r="BH4" s="1693"/>
      <c r="BI4" s="1693"/>
      <c r="BJ4" s="1693"/>
      <c r="BK4" s="1693"/>
      <c r="BL4" s="1693"/>
      <c r="BM4" s="1693"/>
      <c r="BN4" s="1693"/>
      <c r="BO4" s="1693"/>
      <c r="BP4" s="1693"/>
      <c r="BQ4" s="1693"/>
      <c r="BR4" s="1693"/>
      <c r="BS4" s="1693"/>
      <c r="BT4" s="1693"/>
      <c r="BU4" s="1693"/>
      <c r="BV4" s="1693"/>
      <c r="BW4" s="1693"/>
      <c r="BX4" s="1693"/>
      <c r="BY4" s="1693"/>
      <c r="BZ4" s="1693"/>
      <c r="CA4" s="1693"/>
      <c r="CB4" s="1693"/>
      <c r="CC4" s="1693"/>
      <c r="CD4" s="1693"/>
      <c r="CE4" s="1693"/>
      <c r="CF4" s="1693"/>
      <c r="CG4" s="1693"/>
      <c r="CH4" s="1693"/>
      <c r="CI4" s="1693"/>
      <c r="CJ4" s="1693"/>
      <c r="CK4" s="1693"/>
      <c r="CL4" s="1693"/>
      <c r="CM4" s="1693"/>
      <c r="CN4" s="1693"/>
      <c r="CO4" s="1693"/>
      <c r="CP4" s="1693"/>
      <c r="CQ4" s="1693"/>
      <c r="CR4" s="1693"/>
      <c r="CS4" s="1693"/>
      <c r="CT4" s="1693"/>
      <c r="CU4" s="1693"/>
      <c r="CV4" s="1693"/>
      <c r="CW4" s="1693"/>
      <c r="CX4" s="1693"/>
      <c r="CY4" s="1693"/>
      <c r="CZ4" s="1693">
        <v>1.0</v>
      </c>
      <c r="DA4" s="1693"/>
      <c r="DB4" s="1693"/>
      <c r="DC4" s="1693"/>
      <c r="DD4" s="1693"/>
      <c r="DE4" s="1693"/>
      <c r="DF4" s="1693"/>
      <c r="DG4" s="1693"/>
      <c r="DH4" s="1693"/>
      <c r="DI4" s="1693"/>
      <c r="DJ4" s="1693"/>
      <c r="DK4" s="1693"/>
      <c r="DL4" s="1693"/>
      <c r="DM4" s="1693"/>
      <c r="DN4" s="1693"/>
      <c r="DO4" s="1693"/>
      <c r="DP4" s="1693"/>
      <c r="DQ4" s="1693"/>
      <c r="DR4" s="1693"/>
      <c r="DS4" s="1693"/>
      <c r="DT4" s="1693"/>
      <c r="DU4" s="1693"/>
      <c r="DV4" s="1693"/>
      <c r="DW4" s="1693"/>
      <c r="DX4" s="1693"/>
      <c r="DY4" s="1693"/>
      <c r="DZ4" s="1693"/>
      <c r="EA4" s="1693"/>
      <c r="EB4" s="1693"/>
      <c r="EC4" s="1693"/>
      <c r="ED4" s="1693"/>
      <c r="EE4" s="1693"/>
      <c r="EF4" s="1693"/>
      <c r="EG4" s="1693"/>
      <c r="EH4" s="1693"/>
      <c r="EI4" s="1693"/>
      <c r="EJ4" s="1693"/>
      <c r="EK4" s="1693"/>
      <c r="EL4" s="1693"/>
      <c r="EM4" s="1693"/>
      <c r="EN4" s="1693"/>
      <c r="EO4" s="1693"/>
      <c r="EP4" s="1693"/>
      <c r="EQ4" s="1693"/>
      <c r="ER4" s="1693"/>
      <c r="ES4" s="1693"/>
      <c r="ET4" s="1693"/>
      <c r="EU4" s="1693"/>
      <c r="EV4" s="1693"/>
      <c r="EW4" s="1693"/>
      <c r="EX4" s="1693"/>
      <c r="EY4" s="1693"/>
      <c r="EZ4" s="1693"/>
      <c r="FA4" s="1693"/>
      <c r="FB4" s="1693"/>
      <c r="FC4" s="1693"/>
      <c r="FD4" s="1693"/>
      <c r="FE4" s="1693"/>
      <c r="FF4" s="1693"/>
      <c r="FG4" s="1693"/>
      <c r="FH4" s="1693"/>
      <c r="FI4" s="1693"/>
      <c r="FJ4" s="1693"/>
      <c r="FK4" s="1693"/>
      <c r="FL4" s="1693"/>
      <c r="FM4" s="1693"/>
      <c r="FN4" s="1693"/>
      <c r="FO4" s="1693"/>
      <c r="FP4" s="1693"/>
      <c r="FQ4" s="1693"/>
      <c r="FR4" s="1693"/>
      <c r="FS4" s="1693"/>
      <c r="FT4" s="1693"/>
      <c r="FU4" s="1693"/>
      <c r="FV4" s="1693"/>
      <c r="FW4" s="1693"/>
      <c r="FX4" s="1693"/>
      <c r="FY4" s="1693"/>
      <c r="FZ4" s="1693"/>
      <c r="GA4" s="1693"/>
      <c r="GB4" s="1693"/>
      <c r="GC4" s="1693"/>
      <c r="GD4" s="1693"/>
      <c r="GE4" s="1693"/>
      <c r="GF4" s="1693"/>
      <c r="GG4" s="1693"/>
      <c r="GH4" s="1693"/>
      <c r="GI4" s="1693"/>
      <c r="GJ4" s="1693"/>
      <c r="GK4" s="1693"/>
      <c r="GL4" s="1693"/>
      <c r="GM4" s="1693"/>
      <c r="GN4" s="1693"/>
      <c r="GO4" s="1693"/>
      <c r="GP4" s="1693"/>
      <c r="GQ4" s="1693"/>
      <c r="GR4" s="1693"/>
      <c r="GS4" s="1693"/>
      <c r="GT4" s="1693"/>
      <c r="GU4" s="1693"/>
      <c r="GV4" s="1693"/>
      <c r="GW4" s="1693"/>
      <c r="GX4" s="1693"/>
      <c r="GY4" s="1693"/>
      <c r="GZ4" s="1693"/>
      <c r="HA4" s="1693"/>
      <c r="HB4" s="1693"/>
      <c r="HC4" s="1693"/>
      <c r="HD4" s="1693"/>
      <c r="HE4" s="1693"/>
      <c r="HF4" s="1693"/>
      <c r="HG4" s="1693"/>
      <c r="HH4" s="1693"/>
      <c r="HI4" s="1693"/>
      <c r="HJ4" s="1693"/>
      <c r="HK4" s="1693"/>
      <c r="HL4" s="1693"/>
      <c r="HM4" s="1693"/>
      <c r="HN4" s="1693"/>
      <c r="HO4" s="1693"/>
      <c r="HP4" s="1693"/>
      <c r="HQ4" s="1693"/>
      <c r="HR4" s="1693"/>
      <c r="HS4" s="1693"/>
      <c r="HT4" s="1693"/>
      <c r="HU4" s="1693"/>
      <c r="HV4" s="1693"/>
      <c r="HW4" s="1693"/>
      <c r="HX4" s="1693"/>
      <c r="HY4" s="1692"/>
      <c r="HZ4" s="1692"/>
      <c r="IA4" s="1692"/>
      <c r="IB4" s="1692"/>
      <c r="IC4" s="1692"/>
      <c r="ID4" s="1692"/>
      <c r="IE4" s="1692"/>
      <c r="IF4" s="1692"/>
      <c r="IG4" s="1692"/>
      <c r="IH4" s="1692"/>
      <c r="II4" s="1692"/>
      <c r="IJ4" s="1692"/>
      <c r="IK4" s="1692"/>
      <c r="IL4" s="1692"/>
      <c r="IM4" s="1692"/>
      <c r="IN4" s="1692"/>
      <c r="IO4" s="1692"/>
      <c r="IP4" s="1692"/>
      <c r="IQ4" s="1692"/>
      <c r="IR4" s="1692"/>
      <c r="IS4" s="1692"/>
      <c r="IT4" s="1692"/>
      <c r="IU4" s="1692"/>
      <c r="IV4" s="1692"/>
    </row>
    <row r="5" spans="8:8" s="1695" ht="20.0" customFormat="1" customHeight="1">
      <c r="A5" s="1696" t="s">
        <v>1328</v>
      </c>
      <c r="B5" s="1697"/>
      <c r="C5" s="1693"/>
      <c r="D5" s="1697"/>
      <c r="E5" s="1697"/>
      <c r="F5" s="1697">
        <v>2.0</v>
      </c>
      <c r="G5" s="1697">
        <v>2.0</v>
      </c>
      <c r="H5" s="1697">
        <v>1.0</v>
      </c>
      <c r="I5" s="1697"/>
      <c r="J5" s="1697"/>
      <c r="K5" s="1697">
        <v>1.0</v>
      </c>
      <c r="L5" s="1697">
        <v>2.0</v>
      </c>
      <c r="M5" s="1697"/>
      <c r="N5" s="1697"/>
      <c r="O5" s="1697">
        <v>1.0</v>
      </c>
      <c r="P5" s="1697">
        <v>2.0</v>
      </c>
      <c r="Q5" s="1697">
        <v>1.0</v>
      </c>
      <c r="R5" s="1697"/>
      <c r="S5" s="1697">
        <v>2.0</v>
      </c>
      <c r="T5" s="1697"/>
      <c r="U5" s="1697">
        <v>1.0</v>
      </c>
      <c r="V5" s="1697">
        <v>1.0</v>
      </c>
      <c r="W5" s="1697"/>
      <c r="X5" s="1697"/>
      <c r="Y5" s="1697">
        <v>1.0</v>
      </c>
      <c r="Z5" s="1697"/>
      <c r="AA5" s="1697">
        <v>1.0</v>
      </c>
      <c r="AB5" s="1697"/>
      <c r="AC5" s="1697"/>
      <c r="AD5" s="1697"/>
      <c r="AE5" s="1697"/>
      <c r="AF5" s="1697">
        <v>2.0</v>
      </c>
      <c r="AG5" s="1697"/>
      <c r="AH5" s="1697">
        <v>2.0</v>
      </c>
      <c r="AI5" s="1697">
        <v>1.0</v>
      </c>
      <c r="AJ5" s="1697">
        <v>2.0</v>
      </c>
      <c r="AK5" s="1697">
        <v>1.0</v>
      </c>
      <c r="AL5" s="1697"/>
      <c r="AM5" s="1697">
        <v>1.0</v>
      </c>
      <c r="AN5" s="1697">
        <v>1.0</v>
      </c>
      <c r="AO5" s="1697">
        <v>2.0</v>
      </c>
      <c r="AP5" s="1697">
        <v>2.0</v>
      </c>
      <c r="AQ5" s="1697"/>
      <c r="AR5" s="1697">
        <v>2.0</v>
      </c>
      <c r="AS5" s="1697"/>
      <c r="AT5" s="1697"/>
      <c r="AU5" s="1697">
        <v>1.0</v>
      </c>
      <c r="AV5" s="1697">
        <v>2.0</v>
      </c>
      <c r="AW5" s="1697">
        <v>1.0</v>
      </c>
      <c r="AX5" s="1697"/>
      <c r="AY5" s="1697">
        <v>2.0</v>
      </c>
      <c r="AZ5" s="1697"/>
      <c r="BA5" s="1697"/>
      <c r="BB5" s="1697">
        <v>2.0</v>
      </c>
      <c r="BC5" s="1697"/>
      <c r="BD5" s="1697">
        <v>1.0</v>
      </c>
      <c r="BE5" s="1697"/>
      <c r="BF5" s="1697"/>
      <c r="BG5" s="1697">
        <v>2.0</v>
      </c>
      <c r="BH5" s="1697"/>
      <c r="BI5" s="1697">
        <v>2.0</v>
      </c>
      <c r="BJ5" s="1697">
        <v>2.0</v>
      </c>
      <c r="BK5" s="1697">
        <v>2.0</v>
      </c>
      <c r="BL5" s="1697">
        <v>2.0</v>
      </c>
      <c r="BM5" s="1697"/>
      <c r="BN5" s="1697">
        <v>1.0</v>
      </c>
      <c r="BO5" s="1697">
        <v>1.0</v>
      </c>
      <c r="BP5" s="1697">
        <v>1.0</v>
      </c>
      <c r="BQ5" s="1697"/>
      <c r="BR5" s="1697"/>
      <c r="BS5" s="1697"/>
      <c r="BT5" s="1697"/>
      <c r="BU5" s="1697"/>
      <c r="BV5" s="1697">
        <v>2.0</v>
      </c>
      <c r="BW5" s="1697"/>
      <c r="BX5" s="1697"/>
      <c r="BY5" s="1697">
        <v>2.0</v>
      </c>
      <c r="BZ5" s="1697">
        <v>1.0</v>
      </c>
      <c r="CA5" s="1697"/>
      <c r="CB5" s="1697"/>
      <c r="CC5" s="1697">
        <v>1.0</v>
      </c>
      <c r="CD5" s="1697">
        <v>1.0</v>
      </c>
      <c r="CE5" s="1697">
        <v>1.0</v>
      </c>
      <c r="CF5" s="1697"/>
      <c r="CG5" s="1697"/>
      <c r="CH5" s="1697">
        <v>1.0</v>
      </c>
      <c r="CI5" s="1697">
        <v>1.0</v>
      </c>
      <c r="CJ5" s="1697">
        <v>1.0</v>
      </c>
      <c r="CK5" s="1697"/>
      <c r="CL5" s="1697"/>
      <c r="CM5" s="1697">
        <v>1.0</v>
      </c>
      <c r="CN5" s="1697"/>
      <c r="CO5" s="1697">
        <v>1.0</v>
      </c>
      <c r="CP5" s="1697"/>
      <c r="CQ5" s="1697"/>
      <c r="CR5" s="1697">
        <v>2.0</v>
      </c>
      <c r="CS5" s="1697"/>
      <c r="CT5" s="1697"/>
      <c r="CU5" s="1697">
        <v>1.0</v>
      </c>
      <c r="CV5" s="1697"/>
      <c r="CW5" s="1697">
        <v>1.0</v>
      </c>
      <c r="CX5" s="1697">
        <v>2.0</v>
      </c>
      <c r="CY5" s="1697">
        <v>1.0</v>
      </c>
      <c r="CZ5" s="1697">
        <v>2.0</v>
      </c>
      <c r="DA5" s="1697">
        <v>2.0</v>
      </c>
      <c r="DB5" s="1697"/>
      <c r="DC5" s="1697">
        <v>1.0</v>
      </c>
      <c r="DD5" s="1697"/>
      <c r="DE5" s="1697"/>
      <c r="DF5" s="1697"/>
      <c r="DG5" s="1697">
        <v>1.0</v>
      </c>
      <c r="DH5" s="1697">
        <v>2.0</v>
      </c>
      <c r="DI5" s="1697">
        <v>2.0</v>
      </c>
      <c r="DJ5" s="1697">
        <v>1.0</v>
      </c>
      <c r="DK5" s="1697">
        <v>2.0</v>
      </c>
      <c r="DL5" s="1697">
        <v>2.0</v>
      </c>
      <c r="DM5" s="1697"/>
      <c r="DN5" s="1697"/>
      <c r="DO5" s="1697">
        <v>1.0</v>
      </c>
      <c r="DP5" s="1697">
        <v>1.0</v>
      </c>
      <c r="DQ5" s="1697">
        <v>1.0</v>
      </c>
      <c r="DR5" s="1697">
        <v>1.0</v>
      </c>
      <c r="DS5" s="1697">
        <v>3.0</v>
      </c>
      <c r="DT5" s="1697">
        <v>2.0</v>
      </c>
      <c r="DU5" s="1697">
        <v>1.0</v>
      </c>
      <c r="DV5" s="1697">
        <v>1.0</v>
      </c>
      <c r="DW5" s="1697">
        <v>1.0</v>
      </c>
      <c r="DX5" s="1697">
        <v>1.0</v>
      </c>
      <c r="DY5" s="1697">
        <v>2.0</v>
      </c>
      <c r="DZ5" s="1697">
        <v>2.0</v>
      </c>
      <c r="EA5" s="1697">
        <v>2.0</v>
      </c>
      <c r="EB5" s="1697">
        <v>2.0</v>
      </c>
      <c r="EC5" s="1697">
        <v>1.0</v>
      </c>
      <c r="ED5" s="1697"/>
      <c r="EE5" s="1697">
        <v>2.0</v>
      </c>
      <c r="EF5" s="1697"/>
      <c r="EG5" s="1697"/>
      <c r="EH5" s="1697"/>
      <c r="EI5" s="1697">
        <v>1.0</v>
      </c>
      <c r="EJ5" s="1697">
        <v>1.0</v>
      </c>
      <c r="EK5" s="1697">
        <v>1.0</v>
      </c>
      <c r="EL5" s="1697"/>
      <c r="EM5" s="1697">
        <v>2.0</v>
      </c>
      <c r="EN5" s="1697"/>
      <c r="EO5" s="1697">
        <v>1.0</v>
      </c>
      <c r="EP5" s="1697"/>
      <c r="EQ5" s="1697"/>
      <c r="ER5" s="1697">
        <v>2.0</v>
      </c>
      <c r="ES5" s="1697">
        <v>2.0</v>
      </c>
      <c r="ET5" s="1697">
        <v>2.0</v>
      </c>
      <c r="EU5" s="1697">
        <v>2.0</v>
      </c>
      <c r="EV5" s="1697">
        <v>2.0</v>
      </c>
      <c r="EW5" s="1697"/>
      <c r="EX5" s="1697">
        <v>2.0</v>
      </c>
      <c r="EY5" s="1697">
        <v>2.0</v>
      </c>
      <c r="EZ5" s="1697"/>
      <c r="FA5" s="1697">
        <v>2.0</v>
      </c>
      <c r="FB5" s="1697">
        <v>1.0</v>
      </c>
      <c r="FC5" s="1697"/>
      <c r="FD5" s="1697"/>
      <c r="FE5" s="1697">
        <v>1.0</v>
      </c>
      <c r="FF5" s="1697">
        <v>1.0</v>
      </c>
      <c r="FG5" s="1697">
        <v>1.0</v>
      </c>
      <c r="FH5" s="1697"/>
      <c r="FI5" s="1697"/>
      <c r="FJ5" s="1697"/>
      <c r="FK5" s="1697"/>
      <c r="FL5" s="1697"/>
      <c r="FM5" s="1697">
        <v>2.0</v>
      </c>
      <c r="FN5" s="1697"/>
      <c r="FO5" s="1697"/>
      <c r="FP5" s="1697"/>
      <c r="FQ5" s="1697">
        <v>2.0</v>
      </c>
      <c r="FR5" s="1697">
        <v>1.0</v>
      </c>
      <c r="FS5" s="1697"/>
      <c r="FT5" s="1697"/>
      <c r="FU5" s="1697"/>
      <c r="FV5" s="1697">
        <v>1.0</v>
      </c>
      <c r="FW5" s="1697"/>
      <c r="FX5" s="1697"/>
      <c r="FY5" s="1697">
        <v>2.0</v>
      </c>
      <c r="FZ5" s="1697"/>
      <c r="GA5" s="1697"/>
      <c r="GB5" s="1697">
        <v>1.0</v>
      </c>
      <c r="GC5" s="1697"/>
      <c r="GD5" s="1697"/>
      <c r="GE5" s="1697"/>
      <c r="GF5" s="1697">
        <v>1.0</v>
      </c>
      <c r="GG5" s="1697">
        <v>2.0</v>
      </c>
      <c r="GH5" s="1697">
        <v>2.0</v>
      </c>
      <c r="GI5" s="1697">
        <v>2.0</v>
      </c>
      <c r="GJ5" s="1697"/>
      <c r="GK5" s="1697"/>
      <c r="GL5" s="1697"/>
      <c r="GM5" s="1697"/>
      <c r="GN5" s="1697">
        <v>2.0</v>
      </c>
      <c r="GO5" s="1697">
        <v>2.0</v>
      </c>
      <c r="GP5" s="1697">
        <v>1.0</v>
      </c>
      <c r="GQ5" s="1697">
        <v>2.0</v>
      </c>
      <c r="GR5" s="1697"/>
      <c r="GS5" s="1697"/>
      <c r="GT5" s="1697">
        <v>1.0</v>
      </c>
      <c r="GU5" s="1697"/>
      <c r="GV5" s="1697"/>
      <c r="GW5" s="1697">
        <v>1.0</v>
      </c>
      <c r="GX5" s="1697">
        <v>1.0</v>
      </c>
      <c r="GY5" s="1697">
        <v>1.0</v>
      </c>
      <c r="GZ5" s="1697">
        <v>1.0</v>
      </c>
      <c r="HA5" s="1697"/>
      <c r="HB5" s="1697"/>
      <c r="HC5" s="1697">
        <v>1.0</v>
      </c>
      <c r="HD5" s="1697">
        <v>1.0</v>
      </c>
      <c r="HE5" s="1697">
        <v>1.0</v>
      </c>
      <c r="HF5" s="1697"/>
      <c r="HG5" s="1697">
        <v>1.0</v>
      </c>
      <c r="HH5" s="1697">
        <v>1.0</v>
      </c>
      <c r="HI5" s="1697"/>
      <c r="HJ5" s="1697">
        <v>2.0</v>
      </c>
      <c r="HK5" s="1697">
        <v>1.0</v>
      </c>
      <c r="HL5" s="1697"/>
      <c r="HM5" s="1697">
        <v>2.0</v>
      </c>
      <c r="HN5" s="1697">
        <v>2.0</v>
      </c>
      <c r="HO5" s="1697"/>
      <c r="HP5" s="1697">
        <v>2.0</v>
      </c>
      <c r="HQ5" s="1697"/>
      <c r="HR5" s="1697">
        <v>1.0</v>
      </c>
      <c r="HS5" s="1697">
        <v>1.0</v>
      </c>
      <c r="HT5" s="1697">
        <v>1.0</v>
      </c>
      <c r="HU5" s="1697"/>
      <c r="HV5" s="1697">
        <v>1.0</v>
      </c>
      <c r="HW5" s="1697"/>
      <c r="HX5" s="1697">
        <v>1.0</v>
      </c>
      <c r="HY5" s="1698"/>
      <c r="HZ5" s="1698"/>
      <c r="IA5" s="1698"/>
      <c r="IB5" s="1698"/>
      <c r="IC5" s="1698"/>
      <c r="ID5" s="1698"/>
      <c r="IE5" s="1698"/>
      <c r="IF5" s="1698"/>
      <c r="IG5" s="1698"/>
      <c r="IH5" s="1698"/>
      <c r="II5" s="1698"/>
      <c r="IJ5" s="1698"/>
      <c r="IK5" s="1698"/>
      <c r="IL5" s="1698"/>
      <c r="IM5" s="1698"/>
      <c r="IN5" s="1698"/>
      <c r="IO5" s="1698"/>
      <c r="IP5" s="1698"/>
      <c r="IQ5" s="1698"/>
      <c r="IR5" s="1698"/>
      <c r="IS5" s="1698"/>
      <c r="IT5" s="1698"/>
      <c r="IU5" s="1698"/>
      <c r="IV5" s="1698"/>
    </row>
    <row r="6" spans="8:8" s="1689" ht="20.0" customFormat="1" customHeight="1">
      <c r="A6" s="1689" t="s">
        <v>1329</v>
      </c>
      <c r="AI6" s="1689">
        <v>1.0</v>
      </c>
      <c r="DB6" s="1689">
        <v>1.0</v>
      </c>
      <c r="DE6" s="1689">
        <v>1.0</v>
      </c>
      <c r="GC6" s="1689">
        <v>1.0</v>
      </c>
      <c r="GD6" s="1689">
        <v>1.0</v>
      </c>
      <c r="GU6" s="1689">
        <v>1.0</v>
      </c>
      <c r="HO6" s="1689">
        <v>1.0</v>
      </c>
      <c r="HU6" s="1689">
        <v>1.0</v>
      </c>
    </row>
    <row r="7" spans="8:8" ht="20.0" customHeight="1">
      <c r="A7" s="1689" t="s">
        <v>65</v>
      </c>
      <c r="B7" s="1699"/>
      <c r="C7" s="1699">
        <f>职业列表!J11</f>
        <v>0.0</v>
      </c>
      <c r="D7" s="1699">
        <v>2.0</v>
      </c>
      <c r="E7" s="1699">
        <v>2.0</v>
      </c>
      <c r="F7" s="1699">
        <v>1.0</v>
      </c>
      <c r="G7" s="1699">
        <v>2.0</v>
      </c>
      <c r="H7" s="1699"/>
      <c r="I7" s="1699"/>
      <c r="J7" s="1699">
        <v>1.0</v>
      </c>
      <c r="K7" s="1699">
        <v>1.0</v>
      </c>
      <c r="L7" s="1699"/>
      <c r="M7" s="1699"/>
      <c r="N7" s="1699"/>
      <c r="O7" s="1699">
        <v>2.0</v>
      </c>
      <c r="P7" s="1699"/>
      <c r="Q7" s="1699">
        <v>1.0</v>
      </c>
      <c r="R7" s="1699">
        <v>1.0</v>
      </c>
      <c r="S7" s="1699">
        <v>1.0</v>
      </c>
      <c r="T7" s="1699"/>
      <c r="U7" s="1699"/>
      <c r="V7" s="1699"/>
      <c r="W7" s="1699">
        <v>2.0</v>
      </c>
      <c r="X7" s="1699">
        <v>1.0</v>
      </c>
      <c r="Y7" s="1699">
        <v>1.0</v>
      </c>
      <c r="Z7" s="1699">
        <v>2.0</v>
      </c>
      <c r="AA7" s="1699">
        <v>2.0</v>
      </c>
      <c r="AB7" s="1699"/>
      <c r="AC7" s="1699">
        <v>2.0</v>
      </c>
      <c r="AD7" s="1699"/>
      <c r="AE7" s="1699">
        <v>1.0</v>
      </c>
      <c r="AF7" s="1699"/>
      <c r="AG7" s="1699"/>
      <c r="AH7" s="1699"/>
      <c r="AI7" s="1699"/>
      <c r="AJ7" s="1699">
        <v>1.0</v>
      </c>
      <c r="AK7" s="1699">
        <v>1.0</v>
      </c>
      <c r="AL7" s="1699">
        <v>1.0</v>
      </c>
      <c r="AM7" s="1699"/>
      <c r="AN7" s="1699"/>
      <c r="AO7" s="1699">
        <v>2.0</v>
      </c>
      <c r="AP7" s="1699"/>
      <c r="AQ7" s="1699">
        <v>1.0</v>
      </c>
      <c r="AR7" s="1699">
        <v>3.0</v>
      </c>
      <c r="AS7" s="1699">
        <v>1.0</v>
      </c>
      <c r="AT7" s="1699">
        <v>2.0</v>
      </c>
      <c r="AU7" s="1699">
        <v>2.0</v>
      </c>
      <c r="AV7" s="1699">
        <v>1.0</v>
      </c>
      <c r="AW7" s="1699">
        <v>1.0</v>
      </c>
      <c r="AX7" s="1699">
        <v>1.0</v>
      </c>
      <c r="AY7" s="1699">
        <v>1.0</v>
      </c>
      <c r="AZ7" s="1699"/>
      <c r="BA7" s="1699">
        <v>1.0</v>
      </c>
      <c r="BB7" s="1699">
        <v>2.0</v>
      </c>
      <c r="BC7" s="1699"/>
      <c r="BD7" s="1699">
        <v>1.0</v>
      </c>
      <c r="BE7" s="1699">
        <v>1.0</v>
      </c>
      <c r="BF7" s="1699"/>
      <c r="BG7" s="1699">
        <v>1.0</v>
      </c>
      <c r="BH7" s="1699"/>
      <c r="BI7" s="1699"/>
      <c r="BJ7" s="1699"/>
      <c r="BK7" s="1699">
        <v>2.0</v>
      </c>
      <c r="BL7" s="1699"/>
      <c r="BM7" s="1699">
        <v>1.0</v>
      </c>
      <c r="BN7" s="1699"/>
      <c r="BO7" s="1699">
        <v>2.0</v>
      </c>
      <c r="BP7" s="1699"/>
      <c r="BQ7" s="1699"/>
      <c r="BR7" s="1699">
        <v>1.0</v>
      </c>
      <c r="BS7" s="1699">
        <v>1.0</v>
      </c>
      <c r="BT7" s="1699"/>
      <c r="BU7" s="1699">
        <v>1.0</v>
      </c>
      <c r="BV7" s="1699">
        <v>2.0</v>
      </c>
      <c r="BW7" s="1699">
        <v>4.0</v>
      </c>
      <c r="BX7" s="1699">
        <v>2.0</v>
      </c>
      <c r="BY7" s="1699">
        <v>1.0</v>
      </c>
      <c r="BZ7" s="1699">
        <v>2.0</v>
      </c>
      <c r="CA7" s="1699"/>
      <c r="CB7" s="1699"/>
      <c r="CC7" s="1699">
        <v>4.0</v>
      </c>
      <c r="CD7" s="1699"/>
      <c r="CE7" s="1699">
        <v>1.0</v>
      </c>
      <c r="CF7" s="1699"/>
      <c r="CG7" s="1699">
        <v>1.0</v>
      </c>
      <c r="CH7" s="1699"/>
      <c r="CI7" s="1699">
        <v>2.0</v>
      </c>
      <c r="CJ7" s="1699">
        <v>2.0</v>
      </c>
      <c r="CK7" s="1699">
        <v>2.0</v>
      </c>
      <c r="CL7" s="1699">
        <v>1.0</v>
      </c>
      <c r="CM7" s="1699">
        <v>1.0</v>
      </c>
      <c r="CN7" s="1699"/>
      <c r="CO7" s="1699">
        <v>1.0</v>
      </c>
      <c r="CP7" s="1699">
        <v>4.0</v>
      </c>
      <c r="CQ7" s="1699">
        <v>1.0</v>
      </c>
      <c r="CR7" s="1699">
        <v>1.0</v>
      </c>
      <c r="CS7" s="1699"/>
      <c r="CT7" s="1699">
        <v>2.0</v>
      </c>
      <c r="CU7" s="1699">
        <v>3.0</v>
      </c>
      <c r="CV7" s="1699"/>
      <c r="CW7" s="1699"/>
      <c r="CX7" s="1699">
        <v>1.0</v>
      </c>
      <c r="CY7" s="1699"/>
      <c r="CZ7" s="1699">
        <v>1.0</v>
      </c>
      <c r="DA7" s="1699"/>
      <c r="DB7" s="1699"/>
      <c r="DC7" s="1699"/>
      <c r="DD7" s="1699">
        <v>5.0</v>
      </c>
      <c r="DE7" s="1699"/>
      <c r="DF7" s="1699"/>
      <c r="DG7" s="1699"/>
      <c r="DH7" s="1699"/>
      <c r="DI7" s="1699">
        <v>1.0</v>
      </c>
      <c r="DJ7" s="1699">
        <v>2.0</v>
      </c>
      <c r="DK7" s="1699">
        <v>2.0</v>
      </c>
      <c r="DL7" s="1699">
        <v>3.0</v>
      </c>
      <c r="DM7" s="1699"/>
      <c r="DN7" s="1699"/>
      <c r="DO7" s="1699">
        <v>1.0</v>
      </c>
      <c r="DP7" s="1699">
        <v>1.0</v>
      </c>
      <c r="DQ7" s="1699">
        <v>1.0</v>
      </c>
      <c r="DR7" s="1699">
        <v>1.0</v>
      </c>
      <c r="DS7" s="1699">
        <v>1.0</v>
      </c>
      <c r="DT7" s="1699">
        <v>2.0</v>
      </c>
      <c r="DU7" s="1699">
        <v>1.0</v>
      </c>
      <c r="DV7" s="1699">
        <v>1.0</v>
      </c>
      <c r="DW7" s="1699">
        <v>1.0</v>
      </c>
      <c r="DX7" s="1699"/>
      <c r="DY7" s="1699">
        <v>2.0</v>
      </c>
      <c r="DZ7" s="1699"/>
      <c r="EA7" s="1699">
        <v>1.0</v>
      </c>
      <c r="EB7" s="1699">
        <v>2.0</v>
      </c>
      <c r="EC7" s="1699">
        <v>1.0</v>
      </c>
      <c r="ED7" s="1699">
        <v>2.0</v>
      </c>
      <c r="EE7" s="1699">
        <v>2.0</v>
      </c>
      <c r="EF7" s="1699">
        <v>2.0</v>
      </c>
      <c r="EG7" s="1699">
        <v>2.0</v>
      </c>
      <c r="EH7" s="1699">
        <v>2.0</v>
      </c>
      <c r="EI7" s="1699">
        <v>1.0</v>
      </c>
      <c r="EJ7" s="1699">
        <v>2.0</v>
      </c>
      <c r="EK7" s="1699">
        <v>2.0</v>
      </c>
      <c r="EL7" s="1699">
        <v>1.0</v>
      </c>
      <c r="EM7" s="1699">
        <v>1.0</v>
      </c>
      <c r="EN7" s="1699">
        <v>1.0</v>
      </c>
      <c r="EO7" s="1699">
        <v>3.0</v>
      </c>
      <c r="EP7" s="1699">
        <v>2.0</v>
      </c>
      <c r="EQ7" s="1699">
        <v>2.0</v>
      </c>
      <c r="ER7" s="1699">
        <v>1.0</v>
      </c>
      <c r="ES7" s="1699">
        <v>1.0</v>
      </c>
      <c r="ET7" s="1699">
        <v>4.0</v>
      </c>
      <c r="EU7" s="1699">
        <v>2.0</v>
      </c>
      <c r="EV7" s="1699">
        <v>2.0</v>
      </c>
      <c r="EW7" s="1699">
        <v>1.0</v>
      </c>
      <c r="EX7" s="1699">
        <v>2.0</v>
      </c>
      <c r="EY7" s="1699">
        <v>2.0</v>
      </c>
      <c r="EZ7" s="1699"/>
      <c r="FA7" s="1699">
        <v>1.0</v>
      </c>
      <c r="FB7" s="1699"/>
      <c r="FC7" s="1699"/>
      <c r="FD7" s="1699">
        <v>3.0</v>
      </c>
      <c r="FE7" s="1699">
        <v>1.0</v>
      </c>
      <c r="FF7" s="1699">
        <v>1.0</v>
      </c>
      <c r="FG7" s="1699">
        <v>1.0</v>
      </c>
      <c r="FH7" s="1699">
        <v>2.0</v>
      </c>
      <c r="FI7" s="1699">
        <v>0.0</v>
      </c>
      <c r="FJ7" s="1699">
        <v>1.0</v>
      </c>
      <c r="FK7" s="1699">
        <v>1.0</v>
      </c>
      <c r="FL7" s="1699"/>
      <c r="FM7" s="1699">
        <v>2.0</v>
      </c>
      <c r="FN7" s="1699">
        <v>1.0</v>
      </c>
      <c r="FO7" s="1699">
        <v>2.0</v>
      </c>
      <c r="FP7" s="1699"/>
      <c r="FQ7" s="1699">
        <v>1.0</v>
      </c>
      <c r="FR7" s="1699"/>
      <c r="FS7" s="1699">
        <v>2.0</v>
      </c>
      <c r="FT7" s="1699">
        <v>1.0</v>
      </c>
      <c r="FU7" s="1699"/>
      <c r="FV7" s="1699">
        <v>1.0</v>
      </c>
      <c r="FW7" s="1699">
        <v>1.0</v>
      </c>
      <c r="FX7" s="1699"/>
      <c r="FY7" s="1699">
        <v>2.0</v>
      </c>
      <c r="FZ7" s="1699">
        <v>1.0</v>
      </c>
      <c r="GA7" s="1699"/>
      <c r="GB7" s="1699"/>
      <c r="GC7" s="1699"/>
      <c r="GD7" s="1699"/>
      <c r="GE7" s="1699"/>
      <c r="GF7" s="1699"/>
      <c r="GG7" s="1699">
        <v>2.0</v>
      </c>
      <c r="GH7" s="1699">
        <v>2.0</v>
      </c>
      <c r="GI7" s="1699">
        <v>2.0</v>
      </c>
      <c r="GJ7" s="1699">
        <v>2.0</v>
      </c>
      <c r="GK7" s="1699">
        <v>2.0</v>
      </c>
      <c r="GL7" s="1699">
        <v>2.0</v>
      </c>
      <c r="GM7" s="1699">
        <v>2.0</v>
      </c>
      <c r="GN7" s="1699"/>
      <c r="GO7" s="1699">
        <v>2.0</v>
      </c>
      <c r="GP7" s="1699"/>
      <c r="GQ7" s="1699">
        <v>1.0</v>
      </c>
      <c r="GR7" s="1699">
        <v>2.0</v>
      </c>
      <c r="GS7" s="1699">
        <v>1.0</v>
      </c>
      <c r="GT7" s="1699">
        <v>2.0</v>
      </c>
      <c r="GU7" s="1699"/>
      <c r="GV7" s="1699">
        <v>3.0</v>
      </c>
      <c r="GW7" s="1699"/>
      <c r="GX7" s="1699">
        <v>2.0</v>
      </c>
      <c r="GY7" s="1699">
        <v>1.0</v>
      </c>
      <c r="GZ7" s="1699">
        <v>2.0</v>
      </c>
      <c r="HA7" s="1699">
        <v>3.0</v>
      </c>
      <c r="HB7" s="1699">
        <v>2.0</v>
      </c>
      <c r="HC7" s="1699">
        <v>2.0</v>
      </c>
      <c r="HD7" s="1699">
        <v>1.0</v>
      </c>
      <c r="HE7" s="1699">
        <v>2.0</v>
      </c>
      <c r="HF7" s="1699">
        <v>2.0</v>
      </c>
      <c r="HG7" s="1699">
        <v>1.0</v>
      </c>
      <c r="HH7" s="1699">
        <v>1.0</v>
      </c>
      <c r="HI7" s="1699">
        <v>6.0</v>
      </c>
      <c r="HJ7" s="1699">
        <v>3.0</v>
      </c>
      <c r="HK7" s="1699"/>
      <c r="HL7" s="1699"/>
      <c r="HM7" s="1699">
        <v>1.0</v>
      </c>
      <c r="HN7" s="1699"/>
      <c r="HO7" s="1699">
        <v>1.0</v>
      </c>
      <c r="HP7" s="1699">
        <v>2.0</v>
      </c>
      <c r="HQ7" s="1699">
        <v>2.0</v>
      </c>
      <c r="HR7" s="1699"/>
      <c r="HS7" s="1699">
        <v>6.0</v>
      </c>
      <c r="HT7" s="1699">
        <v>6.0</v>
      </c>
      <c r="HU7" s="1699">
        <v>1.0</v>
      </c>
      <c r="HV7" s="1699">
        <v>1.0</v>
      </c>
      <c r="HW7" s="1699">
        <v>2.0</v>
      </c>
      <c r="HX7" s="1699"/>
    </row>
    <row r="8" spans="8:8" ht="20.0" customHeight="1">
      <c r="A8" s="1700" t="s">
        <v>57</v>
      </c>
      <c r="B8" s="1701"/>
      <c r="C8" s="1702" t="str">
        <f>IF(ISTEXT(_xlfn.IFERROR(VLOOKUP(本职技能!A8,职业列表!I3:J10,1,FALSE),0)),"★","")</f>
        <v/>
      </c>
      <c r="D8" s="1703" t="s">
        <v>89</v>
      </c>
      <c r="E8" s="1701"/>
      <c r="F8" s="1701"/>
      <c r="G8" s="1701"/>
      <c r="H8" s="1701"/>
      <c r="I8" s="1701"/>
      <c r="J8" s="1701"/>
      <c r="K8" s="1701"/>
      <c r="L8" s="1703" t="s">
        <v>89</v>
      </c>
      <c r="M8" s="1701"/>
      <c r="N8" s="1703" t="s">
        <v>89</v>
      </c>
      <c r="O8" s="1701"/>
      <c r="P8" s="1701"/>
      <c r="Q8" s="1701"/>
      <c r="R8" s="1701"/>
      <c r="S8" s="1703" t="s">
        <v>89</v>
      </c>
      <c r="T8" s="1701"/>
      <c r="U8" s="1703" t="s">
        <v>89</v>
      </c>
      <c r="V8" s="1701"/>
      <c r="W8" s="1701"/>
      <c r="X8" s="1701" t="s">
        <v>1326</v>
      </c>
      <c r="Y8" s="1703" t="s">
        <v>89</v>
      </c>
      <c r="Z8" s="1701"/>
      <c r="AA8" s="1701"/>
      <c r="AB8" s="1701"/>
      <c r="AC8" s="1703" t="s">
        <v>89</v>
      </c>
      <c r="AD8" s="1701"/>
      <c r="AE8" s="1701"/>
      <c r="AF8" s="1701"/>
      <c r="AG8" s="1701"/>
      <c r="AH8" s="1701"/>
      <c r="AI8" s="1701"/>
      <c r="AJ8" s="1701"/>
      <c r="AK8" s="1703" t="s">
        <v>89</v>
      </c>
      <c r="AL8" s="1703" t="s">
        <v>89</v>
      </c>
      <c r="AM8" s="1701"/>
      <c r="AN8" s="1701"/>
      <c r="AO8" s="1703" t="s">
        <v>89</v>
      </c>
      <c r="AP8" s="1701"/>
      <c r="AQ8" s="1703" t="s">
        <v>89</v>
      </c>
      <c r="AR8" s="1701"/>
      <c r="AS8" s="1701"/>
      <c r="AT8" s="1701"/>
      <c r="AU8" s="1701"/>
      <c r="AV8" s="1701"/>
      <c r="AW8" s="1703" t="s">
        <v>89</v>
      </c>
      <c r="AX8" s="1703" t="s">
        <v>89</v>
      </c>
      <c r="AY8" s="1703" t="s">
        <v>89</v>
      </c>
      <c r="AZ8" s="1701"/>
      <c r="BA8" s="1701"/>
      <c r="BB8" s="1701"/>
      <c r="BC8" s="1701"/>
      <c r="BD8" s="1701"/>
      <c r="BE8" s="1701"/>
      <c r="BF8" s="1701"/>
      <c r="BG8" s="1701"/>
      <c r="BH8" s="1701"/>
      <c r="BI8" s="1703" t="s">
        <v>89</v>
      </c>
      <c r="BJ8" s="1701"/>
      <c r="BK8" s="1701"/>
      <c r="BL8" s="1701"/>
      <c r="BM8" s="1701"/>
      <c r="BN8" s="1701"/>
      <c r="BO8" s="1701"/>
      <c r="BP8" s="1701"/>
      <c r="BQ8" s="1701"/>
      <c r="BR8" s="1701"/>
      <c r="BS8" s="1701"/>
      <c r="BT8" s="1701"/>
      <c r="BU8" s="1701"/>
      <c r="BV8" s="1703" t="s">
        <v>89</v>
      </c>
      <c r="BW8" s="1703" t="s">
        <v>89</v>
      </c>
      <c r="BX8" s="1701"/>
      <c r="BY8" s="1703" t="s">
        <v>89</v>
      </c>
      <c r="BZ8" s="1701"/>
      <c r="CA8" s="1701"/>
      <c r="CB8" s="1703" t="s">
        <v>89</v>
      </c>
      <c r="CC8" s="1701"/>
      <c r="CD8" s="1701"/>
      <c r="CE8" s="1701"/>
      <c r="CF8" s="1701"/>
      <c r="CG8" s="1701"/>
      <c r="CH8" s="1703" t="s">
        <v>89</v>
      </c>
      <c r="CI8" s="1701"/>
      <c r="CJ8" s="1701"/>
      <c r="CK8" s="1701"/>
      <c r="CL8" s="1703" t="s">
        <v>89</v>
      </c>
      <c r="CM8" s="1701"/>
      <c r="CN8" s="1701"/>
      <c r="CO8" s="1701"/>
      <c r="CP8" s="1701"/>
      <c r="CQ8" s="1701"/>
      <c r="CR8" s="1701"/>
      <c r="CS8" s="1701"/>
      <c r="CT8" s="1703" t="s">
        <v>89</v>
      </c>
      <c r="CU8" s="1701"/>
      <c r="CV8" s="1701"/>
      <c r="CW8" s="1701"/>
      <c r="CX8" s="1703" t="s">
        <v>89</v>
      </c>
      <c r="CY8" s="1701"/>
      <c r="CZ8" s="1703" t="s">
        <v>89</v>
      </c>
      <c r="DA8" s="1703" t="s">
        <v>89</v>
      </c>
      <c r="DB8" s="1701"/>
      <c r="DC8" s="1701"/>
      <c r="DD8" s="1701"/>
      <c r="DE8" s="1701"/>
      <c r="DF8" s="1701"/>
      <c r="DG8" s="1703" t="s">
        <v>89</v>
      </c>
      <c r="DH8" s="1703" t="s">
        <v>89</v>
      </c>
      <c r="DI8" s="1703" t="s">
        <v>89</v>
      </c>
      <c r="DJ8" s="1703" t="s">
        <v>89</v>
      </c>
      <c r="DK8" s="1703" t="s">
        <v>89</v>
      </c>
      <c r="DL8" s="1701"/>
      <c r="DM8" s="1703" t="s">
        <v>89</v>
      </c>
      <c r="DN8" s="1701"/>
      <c r="DO8" s="1701"/>
      <c r="DP8" s="1701"/>
      <c r="DQ8" s="1701"/>
      <c r="DR8" s="1701"/>
      <c r="DS8" s="1701"/>
      <c r="DT8" s="1701" t="s">
        <v>89</v>
      </c>
      <c r="DU8" s="1701" t="s">
        <v>89</v>
      </c>
      <c r="DV8" s="1701" t="s">
        <v>89</v>
      </c>
      <c r="DW8" s="1701"/>
      <c r="DX8" s="1701"/>
      <c r="DY8" s="1701"/>
      <c r="DZ8" s="1701"/>
      <c r="EA8" s="1701" t="s">
        <v>89</v>
      </c>
      <c r="EB8" s="1701" t="s">
        <v>89</v>
      </c>
      <c r="EC8" s="1701"/>
      <c r="ED8" s="1701" t="s">
        <v>89</v>
      </c>
      <c r="EE8" s="1701" t="s">
        <v>89</v>
      </c>
      <c r="EF8" s="1701"/>
      <c r="EG8" s="1701"/>
      <c r="EH8" s="1701"/>
      <c r="EI8" s="1701" t="s">
        <v>89</v>
      </c>
      <c r="EJ8" s="1701" t="s">
        <v>89</v>
      </c>
      <c r="EK8" s="1701"/>
      <c r="EL8" s="1701"/>
      <c r="EM8" s="1701" t="s">
        <v>89</v>
      </c>
      <c r="EN8" s="1701"/>
      <c r="EO8" s="1701" t="s">
        <v>89</v>
      </c>
      <c r="EP8" s="1701"/>
      <c r="EQ8" s="1701"/>
      <c r="ER8" s="1701" t="s">
        <v>89</v>
      </c>
      <c r="ES8" s="1701" t="s">
        <v>89</v>
      </c>
      <c r="ET8" s="1701" t="s">
        <v>89</v>
      </c>
      <c r="EU8" s="1701"/>
      <c r="EV8" s="1701" t="s">
        <v>89</v>
      </c>
      <c r="EW8" s="1701" t="s">
        <v>89</v>
      </c>
      <c r="EX8" s="1701"/>
      <c r="EY8" s="1701" t="s">
        <v>89</v>
      </c>
      <c r="EZ8" s="1701"/>
      <c r="FA8" s="1701"/>
      <c r="FB8" s="1701"/>
      <c r="FC8" s="1701"/>
      <c r="FD8" s="1701"/>
      <c r="FE8" s="1701"/>
      <c r="FF8" s="1701"/>
      <c r="FG8" s="1701"/>
      <c r="FH8" s="1701"/>
      <c r="FI8" s="1701"/>
      <c r="FJ8" s="1701"/>
      <c r="FK8" s="1701"/>
      <c r="FL8" s="1701"/>
      <c r="FM8" s="1701"/>
      <c r="FN8" s="1701"/>
      <c r="FO8" s="1701"/>
      <c r="FP8" s="1701"/>
      <c r="FQ8" s="1701"/>
      <c r="FR8" s="1701"/>
      <c r="FS8" s="1701" t="s">
        <v>89</v>
      </c>
      <c r="FT8" s="1701"/>
      <c r="FU8" s="1701"/>
      <c r="FV8" s="1701" t="s">
        <v>89</v>
      </c>
      <c r="FW8" s="1701"/>
      <c r="FX8" s="1701"/>
      <c r="FY8" s="1701"/>
      <c r="FZ8" s="1701" t="s">
        <v>89</v>
      </c>
      <c r="GA8" s="1701"/>
      <c r="GB8" s="1701"/>
      <c r="GC8" s="1701"/>
      <c r="GD8" s="1701"/>
      <c r="GE8" s="1701"/>
      <c r="GF8" s="1701"/>
      <c r="GG8" s="1701"/>
      <c r="GH8" s="1701"/>
      <c r="GI8" s="1701"/>
      <c r="GJ8" s="1701"/>
      <c r="GK8" s="1701"/>
      <c r="GL8" s="1701"/>
      <c r="GM8" s="1701"/>
      <c r="GN8" s="1701"/>
      <c r="GO8" s="1701"/>
      <c r="GP8" s="1701"/>
      <c r="GQ8" s="1701"/>
      <c r="GR8" s="1701"/>
      <c r="GS8" s="1701"/>
      <c r="GT8" s="1701"/>
      <c r="GU8" s="1701"/>
      <c r="GV8" s="1701"/>
      <c r="GW8" s="1701"/>
      <c r="GX8" s="1701"/>
      <c r="GY8" s="1701"/>
      <c r="GZ8" s="1702" t="s">
        <v>89</v>
      </c>
      <c r="HA8" s="1701"/>
      <c r="HB8" s="1701"/>
      <c r="HC8" s="1701"/>
      <c r="HD8" s="1703"/>
      <c r="HE8" s="1701"/>
      <c r="HF8" s="1703"/>
      <c r="HG8" s="1702" t="s">
        <v>89</v>
      </c>
      <c r="HH8" s="1701"/>
      <c r="HI8" s="1701"/>
      <c r="HJ8" s="1701"/>
      <c r="HK8" s="1703"/>
      <c r="HL8" s="1701"/>
      <c r="HM8" s="1704" t="s">
        <v>89</v>
      </c>
      <c r="HN8" s="1701"/>
      <c r="HO8" s="1701"/>
      <c r="HP8" s="1701" t="s">
        <v>89</v>
      </c>
      <c r="HQ8" s="1703"/>
      <c r="HR8" s="1701"/>
      <c r="HS8" s="1701"/>
      <c r="HT8" s="1701"/>
      <c r="HU8" s="1703" t="s">
        <v>1329</v>
      </c>
      <c r="HV8" s="1701" t="s">
        <v>89</v>
      </c>
      <c r="HW8" s="1701"/>
      <c r="HX8" s="1701"/>
      <c r="HY8" s="1688"/>
      <c r="HZ8" s="1688"/>
      <c r="IA8" s="1688"/>
      <c r="IB8" s="1688"/>
      <c r="IC8" s="1688"/>
      <c r="ID8" s="1688"/>
      <c r="IE8" s="1688"/>
      <c r="IF8" s="1688"/>
      <c r="IG8" s="1688"/>
      <c r="IH8" s="1688"/>
      <c r="II8" s="1688"/>
      <c r="IJ8" s="1688"/>
      <c r="IK8" s="1688"/>
      <c r="IL8" s="1688"/>
      <c r="IM8" s="1688"/>
      <c r="IN8" s="1688"/>
      <c r="IO8" s="1688"/>
      <c r="IP8" s="1688"/>
      <c r="IQ8" s="1688"/>
      <c r="IR8" s="1688"/>
      <c r="IS8" s="1688"/>
      <c r="IT8" s="1688"/>
      <c r="IU8" s="1688"/>
      <c r="IV8" s="1688"/>
    </row>
    <row r="9" spans="8:8" ht="20.0" customHeight="1">
      <c r="A9" s="1700" t="s">
        <v>59</v>
      </c>
      <c r="B9" s="1701"/>
      <c r="C9" s="1701" t="str">
        <f>IF(ISTEXT(_xlfn.IFERROR(VLOOKUP(A9,职业列表!I3:J10,1,FALSE),0)),"★","")</f>
        <v/>
      </c>
      <c r="D9" s="1703"/>
      <c r="E9" s="1701"/>
      <c r="F9" s="1701"/>
      <c r="G9" s="1701"/>
      <c r="H9" s="1701"/>
      <c r="I9" s="1701"/>
      <c r="J9" s="1701"/>
      <c r="K9" s="1701"/>
      <c r="L9" s="1701"/>
      <c r="M9" s="1701"/>
      <c r="N9" s="1701"/>
      <c r="O9" s="1701"/>
      <c r="P9" s="1701"/>
      <c r="Q9" s="1701"/>
      <c r="R9" s="1701"/>
      <c r="S9" s="1701"/>
      <c r="T9" s="1701"/>
      <c r="U9" s="1701"/>
      <c r="V9" s="1701"/>
      <c r="W9" s="1701"/>
      <c r="X9" s="1701"/>
      <c r="Y9" s="1701"/>
      <c r="Z9" s="1701"/>
      <c r="AA9" s="1701"/>
      <c r="AB9" s="1701"/>
      <c r="AC9" s="1701"/>
      <c r="AD9" s="1701"/>
      <c r="AE9" s="1701"/>
      <c r="AF9" s="1701"/>
      <c r="AG9" s="1701"/>
      <c r="AH9" s="1701"/>
      <c r="AI9" s="1701"/>
      <c r="AJ9" s="1701"/>
      <c r="AK9" s="1701"/>
      <c r="AL9" s="1701"/>
      <c r="AM9" s="1701"/>
      <c r="AN9" s="1701"/>
      <c r="AO9" s="1701"/>
      <c r="AP9" s="1701"/>
      <c r="AQ9" s="1701"/>
      <c r="AR9" s="1701"/>
      <c r="AS9" s="1701"/>
      <c r="AT9" s="1701"/>
      <c r="AU9" s="1701"/>
      <c r="AV9" s="1701"/>
      <c r="AW9" s="1701"/>
      <c r="AX9" s="1701"/>
      <c r="AY9" s="1701"/>
      <c r="AZ9" s="1701"/>
      <c r="BA9" s="1701"/>
      <c r="BB9" s="1701"/>
      <c r="BC9" s="1701"/>
      <c r="BD9" s="1701"/>
      <c r="BE9" s="1701"/>
      <c r="BF9" s="1701"/>
      <c r="BG9" s="1701"/>
      <c r="BH9" s="1701"/>
      <c r="BI9" s="1701"/>
      <c r="BJ9" s="1701"/>
      <c r="BK9" s="1701"/>
      <c r="BL9" s="1701"/>
      <c r="BM9" s="1701"/>
      <c r="BN9" s="1701"/>
      <c r="BO9" s="1701"/>
      <c r="BP9" s="1701"/>
      <c r="BQ9" s="1701"/>
      <c r="BR9" s="1701"/>
      <c r="BS9" s="1701"/>
      <c r="BT9" s="1701"/>
      <c r="BU9" s="1701"/>
      <c r="BV9" s="1701"/>
      <c r="BW9" s="1701"/>
      <c r="BX9" s="1701"/>
      <c r="BY9" s="1701"/>
      <c r="BZ9" s="1701"/>
      <c r="CA9" s="1701"/>
      <c r="CB9" s="1701"/>
      <c r="CC9" s="1701"/>
      <c r="CD9" s="1701"/>
      <c r="CE9" s="1701" t="s">
        <v>89</v>
      </c>
      <c r="CF9" s="1701"/>
      <c r="CG9" s="1703" t="s">
        <v>89</v>
      </c>
      <c r="CH9" s="1701"/>
      <c r="CI9" s="1701"/>
      <c r="CJ9" s="1701"/>
      <c r="CK9" s="1701"/>
      <c r="CL9" s="1701"/>
      <c r="CM9" s="1701"/>
      <c r="CN9" s="1701"/>
      <c r="CO9" s="1701"/>
      <c r="CP9" s="1701"/>
      <c r="CQ9" s="1701"/>
      <c r="CR9" s="1701"/>
      <c r="CS9" s="1701"/>
      <c r="CT9" s="1701"/>
      <c r="CU9" s="1701"/>
      <c r="CV9" s="1701"/>
      <c r="CW9" s="1701"/>
      <c r="CX9" s="1701"/>
      <c r="CY9" s="1701"/>
      <c r="CZ9" s="1701"/>
      <c r="DA9" s="1701"/>
      <c r="DB9" s="1701"/>
      <c r="DC9" s="1701"/>
      <c r="DD9" s="1701"/>
      <c r="DE9" s="1701"/>
      <c r="DF9" s="1701"/>
      <c r="DG9" s="1701"/>
      <c r="DH9" s="1701"/>
      <c r="DI9" s="1701"/>
      <c r="DJ9" s="1701"/>
      <c r="DK9" s="1701"/>
      <c r="DL9" s="1701"/>
      <c r="DM9" s="1701"/>
      <c r="DN9" s="1701"/>
      <c r="DO9" s="1701"/>
      <c r="DP9" s="1701"/>
      <c r="DQ9" s="1701"/>
      <c r="DR9" s="1701"/>
      <c r="DS9" s="1701"/>
      <c r="DT9" s="1701"/>
      <c r="DU9" s="1701"/>
      <c r="DV9" s="1701"/>
      <c r="DW9" s="1701"/>
      <c r="DX9" s="1701"/>
      <c r="DY9" s="1701"/>
      <c r="DZ9" s="1701"/>
      <c r="EA9" s="1701"/>
      <c r="EB9" s="1701"/>
      <c r="EC9" s="1701"/>
      <c r="ED9" s="1701"/>
      <c r="EE9" s="1701"/>
      <c r="EF9" s="1701"/>
      <c r="EG9" s="1701"/>
      <c r="EH9" s="1701"/>
      <c r="EI9" s="1701"/>
      <c r="EJ9" s="1701"/>
      <c r="EK9" s="1701"/>
      <c r="EL9" s="1701"/>
      <c r="EM9" s="1701"/>
      <c r="EN9" s="1701" t="s">
        <v>89</v>
      </c>
      <c r="EO9" s="1701"/>
      <c r="EP9" s="1701"/>
      <c r="EQ9" s="1701"/>
      <c r="ER9" s="1701"/>
      <c r="ES9" s="1701"/>
      <c r="ET9" s="1701"/>
      <c r="EU9" s="1701"/>
      <c r="EV9" s="1701"/>
      <c r="EW9" s="1701"/>
      <c r="EX9" s="1701"/>
      <c r="EY9" s="1701"/>
      <c r="EZ9" s="1701"/>
      <c r="FA9" s="1701"/>
      <c r="FB9" s="1701"/>
      <c r="FC9" s="1701"/>
      <c r="FD9" s="1701"/>
      <c r="FE9" s="1701"/>
      <c r="FF9" s="1701"/>
      <c r="FG9" s="1701"/>
      <c r="FH9" s="1701"/>
      <c r="FI9" s="1701"/>
      <c r="FJ9" s="1701"/>
      <c r="FK9" s="1701"/>
      <c r="FL9" s="1701"/>
      <c r="FM9" s="1701"/>
      <c r="FN9" s="1701"/>
      <c r="FO9" s="1701"/>
      <c r="FP9" s="1701"/>
      <c r="FQ9" s="1701"/>
      <c r="FR9" s="1701"/>
      <c r="FS9" s="1701"/>
      <c r="FT9" s="1701"/>
      <c r="FU9" s="1701"/>
      <c r="FV9" s="1701"/>
      <c r="FW9" s="1701"/>
      <c r="FX9" s="1701"/>
      <c r="FY9" s="1701"/>
      <c r="FZ9" s="1701"/>
      <c r="GA9" s="1701"/>
      <c r="GB9" s="1701"/>
      <c r="GC9" s="1701"/>
      <c r="GD9" s="1701"/>
      <c r="GE9" s="1701"/>
      <c r="GF9" s="1701"/>
      <c r="GG9" s="1701"/>
      <c r="GH9" s="1701"/>
      <c r="GI9" s="1701"/>
      <c r="GJ9" s="1701"/>
      <c r="GK9" s="1701"/>
      <c r="GL9" s="1701"/>
      <c r="GM9" s="1701"/>
      <c r="GN9" s="1701"/>
      <c r="GO9" s="1701"/>
      <c r="GP9" s="1701"/>
      <c r="GQ9" s="1701"/>
      <c r="GR9" s="1701"/>
      <c r="GS9" s="1701"/>
      <c r="GT9" s="1701"/>
      <c r="GU9" s="1701"/>
      <c r="GV9" s="1701"/>
      <c r="GW9" s="1701"/>
      <c r="GX9" s="1701"/>
      <c r="GY9" s="1701"/>
      <c r="GZ9" s="1701"/>
      <c r="HA9" s="1701"/>
      <c r="HB9" s="1701"/>
      <c r="HC9" s="1701"/>
      <c r="HD9" s="1701"/>
      <c r="HE9" s="1701"/>
      <c r="HF9" s="1702" t="s">
        <v>89</v>
      </c>
      <c r="HG9" s="1701"/>
      <c r="HH9" s="1701"/>
      <c r="HI9" s="1701"/>
      <c r="HJ9" s="1701"/>
      <c r="HK9" s="1701"/>
      <c r="HL9" s="1702" t="s">
        <v>89</v>
      </c>
      <c r="HM9" s="1701"/>
      <c r="HN9" s="1701"/>
      <c r="HO9" s="1701"/>
      <c r="HP9" s="1701"/>
      <c r="HQ9" s="1701"/>
      <c r="HR9" s="1701"/>
      <c r="HS9" s="1701"/>
      <c r="HT9" s="1701"/>
      <c r="HU9" s="1701"/>
      <c r="HV9" s="1701"/>
      <c r="HW9" s="1701"/>
      <c r="HX9" s="1701"/>
      <c r="HY9" s="1688"/>
      <c r="HZ9" s="1688"/>
      <c r="IA9" s="1688"/>
      <c r="IB9" s="1688"/>
      <c r="IC9" s="1688"/>
      <c r="ID9" s="1688"/>
      <c r="IE9" s="1688"/>
      <c r="IF9" s="1688"/>
      <c r="IG9" s="1688"/>
      <c r="IH9" s="1688"/>
      <c r="II9" s="1688"/>
      <c r="IJ9" s="1688"/>
      <c r="IK9" s="1688"/>
      <c r="IL9" s="1688"/>
      <c r="IM9" s="1688"/>
      <c r="IN9" s="1688"/>
      <c r="IO9" s="1688"/>
      <c r="IP9" s="1688"/>
      <c r="IQ9" s="1688"/>
      <c r="IR9" s="1688"/>
      <c r="IS9" s="1688"/>
      <c r="IT9" s="1688"/>
      <c r="IU9" s="1688"/>
      <c r="IV9" s="1688"/>
    </row>
    <row r="10" spans="8:8" ht="20.0" customHeight="1">
      <c r="A10" s="1700" t="s">
        <v>63</v>
      </c>
      <c r="B10" s="1701"/>
      <c r="C10" s="1701" t="str">
        <f>IF(ISTEXT(_xlfn.IFERROR(VLOOKUP(A10,职业列表!I3:J10,1,FALSE),0)),"★","")</f>
        <v/>
      </c>
      <c r="D10" s="1703"/>
      <c r="E10" s="1701"/>
      <c r="F10" s="1701"/>
      <c r="G10" s="1701"/>
      <c r="H10" s="1701"/>
      <c r="I10" s="1701"/>
      <c r="J10" s="1701"/>
      <c r="K10" s="1703" t="s">
        <v>89</v>
      </c>
      <c r="L10" s="1703" t="s">
        <v>89</v>
      </c>
      <c r="M10" s="1701" t="s">
        <v>89</v>
      </c>
      <c r="N10" s="1701"/>
      <c r="O10" s="1701"/>
      <c r="P10" s="1701"/>
      <c r="Q10" s="1701"/>
      <c r="R10" s="1701"/>
      <c r="S10" s="1701"/>
      <c r="T10" s="1701"/>
      <c r="U10" s="1703" t="s">
        <v>89</v>
      </c>
      <c r="V10" s="1701"/>
      <c r="W10" s="1701"/>
      <c r="X10" s="1701" t="s">
        <v>1326</v>
      </c>
      <c r="Y10" s="1701"/>
      <c r="Z10" s="1701"/>
      <c r="AA10" s="1701"/>
      <c r="AB10" s="1701"/>
      <c r="AC10" s="1701"/>
      <c r="AD10" s="1701"/>
      <c r="AE10" s="1701"/>
      <c r="AF10" s="1701"/>
      <c r="AG10" s="1703" t="s">
        <v>89</v>
      </c>
      <c r="AH10" s="1703" t="s">
        <v>89</v>
      </c>
      <c r="AI10" s="1703" t="s">
        <v>89</v>
      </c>
      <c r="AJ10" s="1701"/>
      <c r="AK10" s="1703" t="s">
        <v>89</v>
      </c>
      <c r="AL10" s="1703" t="s">
        <v>89</v>
      </c>
      <c r="AM10" s="1701"/>
      <c r="AN10" s="1701"/>
      <c r="AO10" s="1701"/>
      <c r="AP10" s="1701"/>
      <c r="AQ10" s="1701"/>
      <c r="AR10" s="1701"/>
      <c r="AS10" s="1701"/>
      <c r="AT10" s="1701"/>
      <c r="AU10" s="1701"/>
      <c r="AV10" s="1701"/>
      <c r="AW10" s="1701"/>
      <c r="AX10" s="1701"/>
      <c r="AY10" s="1701"/>
      <c r="AZ10" s="1701"/>
      <c r="BA10" s="1701"/>
      <c r="BB10" s="1701"/>
      <c r="BC10" s="1701"/>
      <c r="BD10" s="1701"/>
      <c r="BE10" s="1701"/>
      <c r="BF10" s="1701"/>
      <c r="BG10" s="1701"/>
      <c r="BH10" s="1701"/>
      <c r="BI10" s="1701"/>
      <c r="BJ10" s="1701"/>
      <c r="BK10" s="1701"/>
      <c r="BL10" s="1701"/>
      <c r="BM10" s="1701"/>
      <c r="BN10" s="1701"/>
      <c r="BO10" s="1701"/>
      <c r="BP10" s="1701"/>
      <c r="BQ10" s="1701"/>
      <c r="BR10" s="1701"/>
      <c r="BS10" s="1701"/>
      <c r="BT10" s="1701"/>
      <c r="BU10" s="1701"/>
      <c r="BV10" s="1701"/>
      <c r="BW10" s="1701"/>
      <c r="BX10" s="1701"/>
      <c r="BY10" s="1701"/>
      <c r="BZ10" s="1701"/>
      <c r="CA10" s="1701"/>
      <c r="CB10" s="1703" t="s">
        <v>89</v>
      </c>
      <c r="CC10" s="1701"/>
      <c r="CD10" s="1701"/>
      <c r="CE10" s="1701"/>
      <c r="CF10" s="1701"/>
      <c r="CG10" s="1701"/>
      <c r="CH10" s="1701"/>
      <c r="CI10" s="1701"/>
      <c r="CJ10" s="1701"/>
      <c r="CK10" s="1701"/>
      <c r="CL10" s="1701"/>
      <c r="CM10" s="1701"/>
      <c r="CN10" s="1701"/>
      <c r="CO10" s="1701"/>
      <c r="CP10" s="1701"/>
      <c r="CQ10" s="1701"/>
      <c r="CR10" s="1701"/>
      <c r="CS10" s="1701"/>
      <c r="CT10" s="1701"/>
      <c r="CU10" s="1701"/>
      <c r="CV10" s="1701"/>
      <c r="CW10" s="1701"/>
      <c r="CX10" s="1701"/>
      <c r="CY10" s="1701"/>
      <c r="CZ10" s="1701"/>
      <c r="DA10" s="1701"/>
      <c r="DB10" s="1701"/>
      <c r="DC10" s="1701"/>
      <c r="DD10" s="1701"/>
      <c r="DE10" s="1701"/>
      <c r="DF10" s="1701"/>
      <c r="DG10" s="1701"/>
      <c r="DH10" s="1701"/>
      <c r="DI10" s="1701"/>
      <c r="DJ10" s="1701"/>
      <c r="DK10" s="1701"/>
      <c r="DL10" s="1701"/>
      <c r="DM10" s="1701"/>
      <c r="DN10" s="1701"/>
      <c r="DO10" s="1701"/>
      <c r="DP10" s="1701"/>
      <c r="DQ10" s="1701"/>
      <c r="DR10" s="1701"/>
      <c r="DS10" s="1701"/>
      <c r="DT10" s="1701"/>
      <c r="DU10" s="1701"/>
      <c r="DV10" s="1701"/>
      <c r="DW10" s="1701"/>
      <c r="DX10" s="1701"/>
      <c r="DY10" s="1701"/>
      <c r="DZ10" s="1701"/>
      <c r="EA10" s="1701"/>
      <c r="EB10" s="1701" t="s">
        <v>89</v>
      </c>
      <c r="EC10" s="1701"/>
      <c r="ED10" s="1701"/>
      <c r="EE10" s="1701"/>
      <c r="EF10" s="1701"/>
      <c r="EG10" s="1701"/>
      <c r="EH10" s="1701"/>
      <c r="EI10" s="1701"/>
      <c r="EJ10" s="1701"/>
      <c r="EK10" s="1701"/>
      <c r="EL10" s="1701"/>
      <c r="EM10" s="1701"/>
      <c r="EN10" s="1701"/>
      <c r="EO10" s="1701"/>
      <c r="EP10" s="1701"/>
      <c r="EQ10" s="1701"/>
      <c r="ER10" s="1701"/>
      <c r="ES10" s="1701"/>
      <c r="ET10" s="1701"/>
      <c r="EU10" s="1701"/>
      <c r="EV10" s="1701" t="s">
        <v>89</v>
      </c>
      <c r="EW10" s="1701"/>
      <c r="EX10" s="1701"/>
      <c r="EY10" s="1701"/>
      <c r="EZ10" s="1701"/>
      <c r="FA10" s="1701"/>
      <c r="FB10" s="1701" t="s">
        <v>89</v>
      </c>
      <c r="FC10" s="1701"/>
      <c r="FD10" s="1701"/>
      <c r="FE10" s="1701"/>
      <c r="FF10" s="1701"/>
      <c r="FG10" s="1701"/>
      <c r="FH10" s="1701"/>
      <c r="FI10" s="1701"/>
      <c r="FJ10" s="1701"/>
      <c r="FK10" s="1701"/>
      <c r="FL10" s="1701"/>
      <c r="FM10" s="1701"/>
      <c r="FN10" s="1701"/>
      <c r="FO10" s="1701"/>
      <c r="FP10" s="1701"/>
      <c r="FQ10" s="1701"/>
      <c r="FR10" s="1701"/>
      <c r="FS10" s="1701"/>
      <c r="FT10" s="1701"/>
      <c r="FU10" s="1701"/>
      <c r="FV10" s="1701"/>
      <c r="FW10" s="1701"/>
      <c r="FX10" s="1701"/>
      <c r="FY10" s="1701"/>
      <c r="FZ10" s="1701"/>
      <c r="GA10" s="1701"/>
      <c r="GB10" s="1701"/>
      <c r="GC10" s="1701"/>
      <c r="GD10" s="1701"/>
      <c r="GE10" s="1701"/>
      <c r="GF10" s="1701"/>
      <c r="GG10" s="1701"/>
      <c r="GH10" s="1701"/>
      <c r="GI10" s="1701"/>
      <c r="GJ10" s="1701"/>
      <c r="GK10" s="1701"/>
      <c r="GL10" s="1701"/>
      <c r="GM10" s="1701"/>
      <c r="GN10" s="1701"/>
      <c r="GO10" s="1701"/>
      <c r="GP10" s="1701"/>
      <c r="GQ10" s="1701"/>
      <c r="GR10" s="1701"/>
      <c r="GS10" s="1701"/>
      <c r="GT10" s="1701"/>
      <c r="GU10" s="1701"/>
      <c r="GV10" s="1701"/>
      <c r="GW10" s="1701"/>
      <c r="GX10" s="1701"/>
      <c r="GY10" s="1702" t="s">
        <v>89</v>
      </c>
      <c r="GZ10" s="1701" t="s">
        <v>89</v>
      </c>
      <c r="HA10" s="1701"/>
      <c r="HB10" s="1702" t="s">
        <v>89</v>
      </c>
      <c r="HC10" s="1701"/>
      <c r="HD10" s="1703"/>
      <c r="HE10" s="1701"/>
      <c r="HF10" s="1701" t="s">
        <v>89</v>
      </c>
      <c r="HG10" s="1702" t="s">
        <v>89</v>
      </c>
      <c r="HH10" s="1702" t="s">
        <v>89</v>
      </c>
      <c r="HI10" s="1701"/>
      <c r="HJ10" s="1701"/>
      <c r="HK10" s="1701"/>
      <c r="HL10" s="1702" t="s">
        <v>89</v>
      </c>
      <c r="HM10" s="1703"/>
      <c r="HN10" s="1702" t="s">
        <v>89</v>
      </c>
      <c r="HO10" s="1705" t="s">
        <v>89</v>
      </c>
      <c r="HP10" s="1701" t="s">
        <v>89</v>
      </c>
      <c r="HQ10" s="1701"/>
      <c r="HR10" s="1701"/>
      <c r="HS10" s="1701"/>
      <c r="HT10" s="1701"/>
      <c r="HU10" s="1701" t="s">
        <v>1329</v>
      </c>
      <c r="HV10" s="1701" t="s">
        <v>89</v>
      </c>
      <c r="HW10" s="1701"/>
      <c r="HX10" s="1701"/>
      <c r="HY10" s="1688"/>
      <c r="HZ10" s="1688"/>
      <c r="IA10" s="1688"/>
      <c r="IB10" s="1688"/>
      <c r="IC10" s="1688"/>
      <c r="ID10" s="1688"/>
      <c r="IE10" s="1688"/>
      <c r="IF10" s="1688"/>
      <c r="IG10" s="1688"/>
      <c r="IH10" s="1688"/>
      <c r="II10" s="1688"/>
      <c r="IJ10" s="1688"/>
      <c r="IK10" s="1688"/>
      <c r="IL10" s="1688"/>
      <c r="IM10" s="1688"/>
      <c r="IN10" s="1688"/>
      <c r="IO10" s="1688"/>
      <c r="IP10" s="1688"/>
      <c r="IQ10" s="1688"/>
      <c r="IR10" s="1688"/>
      <c r="IS10" s="1688"/>
      <c r="IT10" s="1688"/>
      <c r="IU10" s="1688"/>
      <c r="IV10" s="1688"/>
    </row>
    <row r="11" spans="8:8" ht="20.0" customHeight="1">
      <c r="A11" s="1700" t="s">
        <v>66</v>
      </c>
      <c r="B11" s="1701"/>
      <c r="C11" s="1701" t="str">
        <f>IF(ISTEXT(_xlfn.IFERROR(VLOOKUP(A11,职业列表!I3:J10,1,FALSE),0)),"★","")</f>
        <v/>
      </c>
      <c r="D11" s="1703"/>
      <c r="E11" s="1701"/>
      <c r="F11" s="1701"/>
      <c r="G11" s="1701"/>
      <c r="H11" s="1701"/>
      <c r="I11" s="1701"/>
      <c r="J11" s="1701"/>
      <c r="K11" s="1701"/>
      <c r="L11" s="1701"/>
      <c r="M11" s="1703" t="s">
        <v>89</v>
      </c>
      <c r="N11" s="1701"/>
      <c r="O11" s="1701"/>
      <c r="P11" s="1701"/>
      <c r="Q11" s="1701"/>
      <c r="R11" s="1701"/>
      <c r="S11" s="1701"/>
      <c r="T11" s="1701"/>
      <c r="U11" s="1701"/>
      <c r="V11" s="1701"/>
      <c r="W11" s="1701"/>
      <c r="X11" s="1701"/>
      <c r="Y11" s="1701"/>
      <c r="Z11" s="1701"/>
      <c r="AA11" s="1701"/>
      <c r="AB11" s="1701"/>
      <c r="AC11" s="1701"/>
      <c r="AD11" s="1701"/>
      <c r="AE11" s="1701"/>
      <c r="AF11" s="1701"/>
      <c r="AG11" s="1701"/>
      <c r="AH11" s="1701"/>
      <c r="AI11" s="1701"/>
      <c r="AJ11" s="1701"/>
      <c r="AK11" s="1701"/>
      <c r="AL11" s="1701"/>
      <c r="AM11" s="1701"/>
      <c r="AN11" s="1701"/>
      <c r="AO11" s="1701"/>
      <c r="AP11" s="1701"/>
      <c r="AQ11" s="1701"/>
      <c r="AR11" s="1701"/>
      <c r="AS11" s="1701"/>
      <c r="AT11" s="1701"/>
      <c r="AU11" s="1701"/>
      <c r="AV11" s="1701"/>
      <c r="AW11" s="1701"/>
      <c r="AX11" s="1701"/>
      <c r="AY11" s="1701"/>
      <c r="AZ11" s="1701"/>
      <c r="BA11" s="1701"/>
      <c r="BB11" s="1701"/>
      <c r="BC11" s="1701"/>
      <c r="BD11" s="1701"/>
      <c r="BE11" s="1701"/>
      <c r="BF11" s="1701"/>
      <c r="BG11" s="1701"/>
      <c r="BH11" s="1701"/>
      <c r="BI11" s="1701"/>
      <c r="BJ11" s="1701"/>
      <c r="BK11" s="1701"/>
      <c r="BL11" s="1701"/>
      <c r="BM11" s="1701"/>
      <c r="BN11" s="1701"/>
      <c r="BO11" s="1701"/>
      <c r="BP11" s="1701"/>
      <c r="BQ11" s="1701"/>
      <c r="BR11" s="1701"/>
      <c r="BS11" s="1701"/>
      <c r="BT11" s="1701"/>
      <c r="BU11" s="1701"/>
      <c r="BV11" s="1701"/>
      <c r="BW11" s="1701"/>
      <c r="BX11" s="1701"/>
      <c r="BY11" s="1701"/>
      <c r="BZ11" s="1701"/>
      <c r="CA11" s="1701"/>
      <c r="CB11" s="1703" t="s">
        <v>89</v>
      </c>
      <c r="CC11" s="1701"/>
      <c r="CD11" s="1701"/>
      <c r="CE11" s="1703"/>
      <c r="CF11" s="1701"/>
      <c r="CG11" s="1701"/>
      <c r="CH11" s="1701"/>
      <c r="CI11" s="1701"/>
      <c r="CJ11" s="1701"/>
      <c r="CK11" s="1701"/>
      <c r="CL11" s="1701"/>
      <c r="CM11" s="1701"/>
      <c r="CN11" s="1701"/>
      <c r="CO11" s="1701"/>
      <c r="CP11" s="1701"/>
      <c r="CQ11" s="1701"/>
      <c r="CR11" s="1701"/>
      <c r="CS11" s="1701"/>
      <c r="CT11" s="1701"/>
      <c r="CU11" s="1701"/>
      <c r="CV11" s="1701"/>
      <c r="CW11" s="1701"/>
      <c r="CX11" s="1701"/>
      <c r="CY11" s="1701"/>
      <c r="CZ11" s="1701"/>
      <c r="DA11" s="1701"/>
      <c r="DB11" s="1701"/>
      <c r="DC11" s="1701"/>
      <c r="DD11" s="1701"/>
      <c r="DE11" s="1701"/>
      <c r="DF11" s="1701"/>
      <c r="DG11" s="1701"/>
      <c r="DH11" s="1701"/>
      <c r="DI11" s="1701"/>
      <c r="DJ11" s="1701"/>
      <c r="DK11" s="1701"/>
      <c r="DL11" s="1701"/>
      <c r="DM11" s="1701"/>
      <c r="DN11" s="1701"/>
      <c r="DO11" s="1701"/>
      <c r="DP11" s="1701"/>
      <c r="DQ11" s="1701"/>
      <c r="DR11" s="1701"/>
      <c r="DS11" s="1701"/>
      <c r="DT11" s="1701"/>
      <c r="DU11" s="1701"/>
      <c r="DV11" s="1701"/>
      <c r="DW11" s="1701"/>
      <c r="DX11" s="1701"/>
      <c r="DY11" s="1701"/>
      <c r="DZ11" s="1701"/>
      <c r="EA11" s="1701"/>
      <c r="EB11" s="1701"/>
      <c r="EC11" s="1701"/>
      <c r="ED11" s="1701"/>
      <c r="EE11" s="1701"/>
      <c r="EF11" s="1701"/>
      <c r="EG11" s="1701"/>
      <c r="EH11" s="1701"/>
      <c r="EI11" s="1701"/>
      <c r="EJ11" s="1701"/>
      <c r="EK11" s="1701"/>
      <c r="EL11" s="1701"/>
      <c r="EM11" s="1701"/>
      <c r="EN11" s="1701"/>
      <c r="EO11" s="1701"/>
      <c r="EP11" s="1701"/>
      <c r="EQ11" s="1701"/>
      <c r="ER11" s="1701"/>
      <c r="ES11" s="1701"/>
      <c r="ET11" s="1701"/>
      <c r="EU11" s="1701"/>
      <c r="EV11" s="1701"/>
      <c r="EW11" s="1701"/>
      <c r="EX11" s="1701"/>
      <c r="EY11" s="1701"/>
      <c r="EZ11" s="1701"/>
      <c r="FA11" s="1701"/>
      <c r="FB11" s="1701"/>
      <c r="FC11" s="1701"/>
      <c r="FD11" s="1701"/>
      <c r="FE11" s="1701"/>
      <c r="FF11" s="1701"/>
      <c r="FG11" s="1701"/>
      <c r="FH11" s="1701"/>
      <c r="FI11" s="1701"/>
      <c r="FJ11" s="1701"/>
      <c r="FK11" s="1701"/>
      <c r="FL11" s="1701"/>
      <c r="FM11" s="1701"/>
      <c r="FN11" s="1701"/>
      <c r="FO11" s="1701"/>
      <c r="FP11" s="1701"/>
      <c r="FQ11" s="1701"/>
      <c r="FR11" s="1701"/>
      <c r="FS11" s="1701"/>
      <c r="FT11" s="1701"/>
      <c r="FU11" s="1701"/>
      <c r="FV11" s="1701"/>
      <c r="FW11" s="1701"/>
      <c r="FX11" s="1701"/>
      <c r="FY11" s="1701"/>
      <c r="FZ11" s="1701"/>
      <c r="GA11" s="1701"/>
      <c r="GB11" s="1701"/>
      <c r="GC11" s="1701"/>
      <c r="GD11" s="1701"/>
      <c r="GE11" s="1701"/>
      <c r="GF11" s="1701"/>
      <c r="GG11" s="1701"/>
      <c r="GH11" s="1701"/>
      <c r="GI11" s="1701"/>
      <c r="GJ11" s="1701"/>
      <c r="GK11" s="1701"/>
      <c r="GL11" s="1701"/>
      <c r="GM11" s="1701"/>
      <c r="GN11" s="1701"/>
      <c r="GO11" s="1701"/>
      <c r="GP11" s="1701"/>
      <c r="GQ11" s="1701"/>
      <c r="GR11" s="1701"/>
      <c r="GS11" s="1701"/>
      <c r="GT11" s="1701"/>
      <c r="GU11" s="1701"/>
      <c r="GV11" s="1701"/>
      <c r="GW11" s="1701"/>
      <c r="GX11" s="1701"/>
      <c r="GY11" s="1701"/>
      <c r="GZ11" s="1701"/>
      <c r="HA11" s="1701"/>
      <c r="HB11" s="1701"/>
      <c r="HC11" s="1701"/>
      <c r="HD11" s="1701"/>
      <c r="HE11" s="1703"/>
      <c r="HF11" s="1701"/>
      <c r="HG11" s="1701"/>
      <c r="HH11" s="1701"/>
      <c r="HI11" s="1701"/>
      <c r="HJ11" s="1701"/>
      <c r="HK11" s="1701"/>
      <c r="HL11" s="1701" t="s">
        <v>89</v>
      </c>
      <c r="HM11" s="1701"/>
      <c r="HN11" s="1701"/>
      <c r="HO11" s="1701"/>
      <c r="HP11" s="1701"/>
      <c r="HQ11" s="1701"/>
      <c r="HR11" s="1701"/>
      <c r="HS11" s="1701"/>
      <c r="HT11" s="1701"/>
      <c r="HU11" s="1701"/>
      <c r="HV11" s="1701"/>
      <c r="HW11" s="1701"/>
      <c r="HX11" s="1701"/>
      <c r="HY11" s="1688"/>
      <c r="HZ11" s="1688"/>
      <c r="IA11" s="1688"/>
      <c r="IB11" s="1688"/>
      <c r="IC11" s="1688"/>
      <c r="ID11" s="1688"/>
      <c r="IE11" s="1688"/>
      <c r="IF11" s="1688"/>
      <c r="IG11" s="1688"/>
      <c r="IH11" s="1688"/>
      <c r="II11" s="1688"/>
      <c r="IJ11" s="1688"/>
      <c r="IK11" s="1688"/>
      <c r="IL11" s="1688"/>
      <c r="IM11" s="1688"/>
      <c r="IN11" s="1688"/>
      <c r="IO11" s="1688"/>
      <c r="IP11" s="1688"/>
      <c r="IQ11" s="1688"/>
      <c r="IR11" s="1688"/>
      <c r="IS11" s="1688"/>
      <c r="IT11" s="1688"/>
      <c r="IU11" s="1688"/>
      <c r="IV11" s="1688"/>
    </row>
    <row r="12" spans="8:8" s="1706" ht="20.0" customFormat="1" customHeight="1">
      <c r="A12" s="1707" t="s">
        <v>68</v>
      </c>
      <c r="B12" s="1708"/>
      <c r="C12" s="1701" t="str">
        <f>IF(ISTEXT(_xlfn.IFERROR(VLOOKUP(A12,职业列表!I3:J10,1,FALSE),0)),"★","")</f>
        <v/>
      </c>
      <c r="D12" s="1709"/>
      <c r="E12" s="1708"/>
      <c r="F12" s="1708" t="s">
        <v>1330</v>
      </c>
      <c r="G12" s="1708" t="s">
        <v>1330</v>
      </c>
      <c r="H12" s="1708"/>
      <c r="I12" s="1708"/>
      <c r="J12" s="1708"/>
      <c r="K12" s="1709" t="s">
        <v>89</v>
      </c>
      <c r="L12" s="1708"/>
      <c r="M12" s="1708"/>
      <c r="N12" s="1708" t="s">
        <v>1331</v>
      </c>
      <c r="O12" s="1709" t="s">
        <v>89</v>
      </c>
      <c r="P12" s="1708"/>
      <c r="Q12" s="1708"/>
      <c r="R12" s="1708" t="s">
        <v>1332</v>
      </c>
      <c r="S12" s="1708"/>
      <c r="T12" s="1708"/>
      <c r="U12" s="1708"/>
      <c r="V12" s="1708"/>
      <c r="W12" s="1708"/>
      <c r="X12" s="1709" t="s">
        <v>89</v>
      </c>
      <c r="Y12" s="1708"/>
      <c r="Z12" s="1708"/>
      <c r="AA12" s="1708"/>
      <c r="AB12" s="1708"/>
      <c r="AC12" s="1709" t="s">
        <v>89</v>
      </c>
      <c r="AD12" s="1708"/>
      <c r="AE12" s="1708"/>
      <c r="AF12" s="1708"/>
      <c r="AG12" s="1708"/>
      <c r="AH12" s="1708" t="s">
        <v>1330</v>
      </c>
      <c r="AI12" s="1708" t="s">
        <v>1333</v>
      </c>
      <c r="AJ12" s="1709" t="s">
        <v>89</v>
      </c>
      <c r="AK12" s="1708" t="s">
        <v>1334</v>
      </c>
      <c r="AL12" s="1708" t="s">
        <v>1334</v>
      </c>
      <c r="AM12" s="1708"/>
      <c r="AN12" s="1708"/>
      <c r="AO12" s="1708"/>
      <c r="AP12" s="1708"/>
      <c r="AQ12" s="1708" t="s">
        <v>1335</v>
      </c>
      <c r="AR12" s="1709" t="s">
        <v>89</v>
      </c>
      <c r="AS12" s="1708"/>
      <c r="AT12" s="1708"/>
      <c r="AU12" s="1708"/>
      <c r="AV12" s="1708"/>
      <c r="AW12" s="1708"/>
      <c r="AX12" s="1708"/>
      <c r="AY12" s="1708"/>
      <c r="AZ12" s="1708"/>
      <c r="BA12" s="1708" t="s">
        <v>1331</v>
      </c>
      <c r="BB12" s="1708" t="s">
        <v>1336</v>
      </c>
      <c r="BC12" s="1708"/>
      <c r="BD12" s="1708" t="s">
        <v>1337</v>
      </c>
      <c r="BE12" s="1708"/>
      <c r="BF12" s="1708"/>
      <c r="BG12" s="1708"/>
      <c r="BH12" s="1708"/>
      <c r="BI12" s="1708" t="s">
        <v>1330</v>
      </c>
      <c r="BJ12" s="1708"/>
      <c r="BK12" s="1708"/>
      <c r="BL12" s="1709" t="s">
        <v>89</v>
      </c>
      <c r="BM12" s="1709" t="s">
        <v>89</v>
      </c>
      <c r="BN12" s="1708"/>
      <c r="BO12" s="1710" t="s">
        <v>1338</v>
      </c>
      <c r="BP12" s="1708" t="s">
        <v>1330</v>
      </c>
      <c r="BQ12" s="1708"/>
      <c r="BR12" s="1708"/>
      <c r="BS12" s="1708"/>
      <c r="BT12" s="1708"/>
      <c r="BU12" s="1708"/>
      <c r="BV12" s="1708"/>
      <c r="BW12" s="1708"/>
      <c r="BX12" s="1709" t="s">
        <v>89</v>
      </c>
      <c r="BY12" s="1708"/>
      <c r="BZ12" s="1709" t="s">
        <v>89</v>
      </c>
      <c r="CA12" s="1708"/>
      <c r="CB12" s="1708"/>
      <c r="CC12" s="1708" t="s">
        <v>1339</v>
      </c>
      <c r="CD12" s="1708"/>
      <c r="CE12" s="1708"/>
      <c r="CF12" s="1708"/>
      <c r="CG12" s="1708" t="s">
        <v>1335</v>
      </c>
      <c r="CH12" s="1708"/>
      <c r="CI12" s="1708" t="s">
        <v>1335</v>
      </c>
      <c r="CJ12" s="1708" t="s">
        <v>1335</v>
      </c>
      <c r="CK12" s="1708"/>
      <c r="CL12" s="1708"/>
      <c r="CM12" s="1710" t="s">
        <v>1333</v>
      </c>
      <c r="CN12" s="1708"/>
      <c r="CO12" s="1708" t="s">
        <v>1335</v>
      </c>
      <c r="CP12" s="1708"/>
      <c r="CQ12" s="1708"/>
      <c r="CR12" s="1709" t="s">
        <v>89</v>
      </c>
      <c r="CS12" s="1708"/>
      <c r="CT12" s="1708"/>
      <c r="CU12" s="1708"/>
      <c r="CV12" s="1708"/>
      <c r="CW12" s="1708"/>
      <c r="CX12" s="1708"/>
      <c r="CY12" s="1708"/>
      <c r="CZ12" s="1708"/>
      <c r="DA12" s="1708"/>
      <c r="DB12" s="1708"/>
      <c r="DC12" s="1708" t="s">
        <v>1333</v>
      </c>
      <c r="DD12" s="1708"/>
      <c r="DE12" s="1708"/>
      <c r="DF12" s="1708"/>
      <c r="DG12" s="1708"/>
      <c r="DH12" s="1708"/>
      <c r="DI12" s="1709" t="s">
        <v>89</v>
      </c>
      <c r="DJ12" s="1708"/>
      <c r="DK12" s="1708"/>
      <c r="DL12" s="1708"/>
      <c r="DM12" s="1708" t="s">
        <v>1340</v>
      </c>
      <c r="DN12" s="1708"/>
      <c r="DO12" s="1708"/>
      <c r="DP12" s="1708"/>
      <c r="DQ12" s="1708"/>
      <c r="DR12" s="1708"/>
      <c r="DS12" s="1708"/>
      <c r="DT12" s="1708"/>
      <c r="DU12" s="1708"/>
      <c r="DV12" s="1708"/>
      <c r="DW12" s="1708"/>
      <c r="DX12" s="1708"/>
      <c r="DY12" s="1708"/>
      <c r="DZ12" s="1708" t="s">
        <v>1332</v>
      </c>
      <c r="EA12" s="1708"/>
      <c r="EB12" s="1708"/>
      <c r="EC12" s="1708"/>
      <c r="ED12" s="1708"/>
      <c r="EE12" s="1708"/>
      <c r="EF12" s="1708"/>
      <c r="EG12" s="1708"/>
      <c r="EH12" s="1708"/>
      <c r="EI12" s="1708"/>
      <c r="EJ12" s="1708"/>
      <c r="EK12" s="1708" t="s">
        <v>89</v>
      </c>
      <c r="EL12" s="1708" t="s">
        <v>1335</v>
      </c>
      <c r="EM12" s="1708"/>
      <c r="EN12" s="1708"/>
      <c r="EO12" s="1708" t="s">
        <v>1339</v>
      </c>
      <c r="EP12" s="1708"/>
      <c r="EQ12" s="1708" t="s">
        <v>1330</v>
      </c>
      <c r="ER12" s="1708"/>
      <c r="ES12" s="1708"/>
      <c r="ET12" s="1708"/>
      <c r="EU12" s="1708" t="s">
        <v>89</v>
      </c>
      <c r="EV12" s="1708"/>
      <c r="EW12" s="1708" t="s">
        <v>1335</v>
      </c>
      <c r="EX12" s="1708"/>
      <c r="EY12" s="1708"/>
      <c r="EZ12" s="1708" t="s">
        <v>1335</v>
      </c>
      <c r="FA12" s="1708"/>
      <c r="FB12" s="1708"/>
      <c r="FC12" s="1708"/>
      <c r="FD12" s="1708"/>
      <c r="FE12" s="1708" t="s">
        <v>1341</v>
      </c>
      <c r="FF12" s="1708" t="s">
        <v>1341</v>
      </c>
      <c r="FG12" s="1708" t="s">
        <v>89</v>
      </c>
      <c r="FH12" s="1708"/>
      <c r="FI12" s="1708"/>
      <c r="FJ12" s="1708" t="s">
        <v>1330</v>
      </c>
      <c r="FK12" s="1708" t="s">
        <v>1341</v>
      </c>
      <c r="FL12" s="1708"/>
      <c r="FM12" s="1708"/>
      <c r="FN12" s="1708"/>
      <c r="FO12" s="1708"/>
      <c r="FP12" s="1708"/>
      <c r="FQ12" s="1708" t="s">
        <v>89</v>
      </c>
      <c r="FR12" s="1708" t="s">
        <v>89</v>
      </c>
      <c r="FS12" s="1708" t="s">
        <v>1342</v>
      </c>
      <c r="FT12" s="1708"/>
      <c r="FU12" s="1708"/>
      <c r="FV12" s="1708"/>
      <c r="FW12" s="1708" t="s">
        <v>1335</v>
      </c>
      <c r="FX12" s="1708"/>
      <c r="FY12" s="1708" t="s">
        <v>1336</v>
      </c>
      <c r="FZ12" s="1708" t="s">
        <v>1335</v>
      </c>
      <c r="GA12" s="1708"/>
      <c r="GB12" s="1708"/>
      <c r="GC12" s="1708"/>
      <c r="GD12" s="1708"/>
      <c r="GE12" s="1708"/>
      <c r="GF12" s="1708"/>
      <c r="GG12" s="1708" t="s">
        <v>1330</v>
      </c>
      <c r="GH12" s="1708" t="s">
        <v>1343</v>
      </c>
      <c r="GI12" s="1708" t="s">
        <v>1330</v>
      </c>
      <c r="GJ12" s="1708"/>
      <c r="GK12" s="1708" t="s">
        <v>1330</v>
      </c>
      <c r="GL12" s="1708" t="s">
        <v>1330</v>
      </c>
      <c r="GM12" s="1708" t="s">
        <v>1330</v>
      </c>
      <c r="GN12" s="1708" t="s">
        <v>1330</v>
      </c>
      <c r="GO12" s="1708"/>
      <c r="GP12" s="1708" t="s">
        <v>1335</v>
      </c>
      <c r="GQ12" s="1708" t="s">
        <v>1330</v>
      </c>
      <c r="GR12" s="1708" t="s">
        <v>1342</v>
      </c>
      <c r="GS12" s="1708" t="s">
        <v>1344</v>
      </c>
      <c r="GT12" s="1708"/>
      <c r="GU12" s="1708"/>
      <c r="GV12" s="1708"/>
      <c r="GW12" s="1708"/>
      <c r="GX12" s="1708" t="s">
        <v>1345</v>
      </c>
      <c r="GY12" s="1710" t="s">
        <v>89</v>
      </c>
      <c r="GZ12" s="1710" t="s">
        <v>89</v>
      </c>
      <c r="HA12" s="1708"/>
      <c r="HB12" s="1710" t="s">
        <v>89</v>
      </c>
      <c r="HC12" s="1711" t="s">
        <v>1346</v>
      </c>
      <c r="HD12" s="1708"/>
      <c r="HE12" s="1708"/>
      <c r="HF12" s="1708"/>
      <c r="HG12" s="1709" t="s">
        <v>89</v>
      </c>
      <c r="HH12" s="1708"/>
      <c r="HI12" s="1708"/>
      <c r="HJ12" s="1708" t="s">
        <v>89</v>
      </c>
      <c r="HK12" s="1708"/>
      <c r="HL12" s="1708"/>
      <c r="HM12" s="1710" t="s">
        <v>1335</v>
      </c>
      <c r="HN12" s="1710" t="s">
        <v>1335</v>
      </c>
      <c r="HO12" s="1708" t="s">
        <v>1329</v>
      </c>
      <c r="HP12" s="1709"/>
      <c r="HQ12" s="1708"/>
      <c r="HR12" s="1708"/>
      <c r="HS12" s="1708"/>
      <c r="HT12" s="1710" t="s">
        <v>89</v>
      </c>
      <c r="HU12" s="1711" t="s">
        <v>89</v>
      </c>
      <c r="HV12" s="1710" t="s">
        <v>89</v>
      </c>
      <c r="HW12" s="1708"/>
      <c r="HX12" s="1708"/>
      <c r="HY12" s="1712"/>
      <c r="HZ12" s="1712"/>
      <c r="IA12" s="1712"/>
      <c r="IB12" s="1712"/>
      <c r="IC12" s="1712"/>
      <c r="ID12" s="1712"/>
      <c r="IE12" s="1712"/>
      <c r="IF12" s="1712"/>
      <c r="IG12" s="1712"/>
      <c r="IH12" s="1712"/>
      <c r="II12" s="1712"/>
      <c r="IJ12" s="1712"/>
      <c r="IK12" s="1712"/>
      <c r="IL12" s="1712"/>
      <c r="IM12" s="1712"/>
      <c r="IN12" s="1712"/>
      <c r="IO12" s="1712"/>
      <c r="IP12" s="1712"/>
      <c r="IQ12" s="1712"/>
      <c r="IR12" s="1712"/>
      <c r="IS12" s="1712"/>
      <c r="IT12" s="1712"/>
      <c r="IU12" s="1712"/>
      <c r="IV12" s="1712"/>
    </row>
    <row r="13" spans="8:8" ht="20.0" customHeight="1">
      <c r="A13" s="1713" t="s">
        <v>70</v>
      </c>
      <c r="B13" s="1701"/>
      <c r="C13" s="1701" t="str">
        <f>IF(ISTEXT(_xlfn.IFERROR(VLOOKUP(A13,职业列表!I3:J10,1,FALSE),0)),"★","")</f>
        <v/>
      </c>
      <c r="D13" s="1714"/>
      <c r="E13" s="1714"/>
      <c r="F13" s="1714"/>
      <c r="G13" s="1714"/>
      <c r="H13" s="1714"/>
      <c r="I13" s="1714"/>
      <c r="J13" s="1714"/>
      <c r="K13" s="1714"/>
      <c r="L13" s="1714"/>
      <c r="M13" s="1714"/>
      <c r="N13" s="1701"/>
      <c r="O13" s="1714"/>
      <c r="P13" s="1714"/>
      <c r="Q13" s="1714"/>
      <c r="R13" s="1714"/>
      <c r="S13" s="1714"/>
      <c r="T13" s="1714"/>
      <c r="U13" s="1714"/>
      <c r="V13" s="1714"/>
      <c r="W13" s="1714"/>
      <c r="X13" s="1714"/>
      <c r="Y13" s="1714"/>
      <c r="Z13" s="1714"/>
      <c r="AA13" s="1714"/>
      <c r="AB13" s="1714"/>
      <c r="AC13" s="1703" t="s">
        <v>89</v>
      </c>
      <c r="AD13" s="1714"/>
      <c r="AE13" s="1714"/>
      <c r="AF13" s="1714"/>
      <c r="AG13" s="1714"/>
      <c r="AH13" s="1714"/>
      <c r="AI13" s="1714"/>
      <c r="AJ13" s="1714"/>
      <c r="AK13" s="1714"/>
      <c r="AL13" s="1714"/>
      <c r="AM13" s="1714"/>
      <c r="AN13" s="1714"/>
      <c r="AO13" s="1714"/>
      <c r="AP13" s="1714"/>
      <c r="AQ13" s="1703" t="s">
        <v>89</v>
      </c>
      <c r="AR13" s="1714"/>
      <c r="AS13" s="1714"/>
      <c r="AT13" s="1714"/>
      <c r="AU13" s="1714"/>
      <c r="AV13" s="1714"/>
      <c r="AW13" s="1714"/>
      <c r="AX13" s="1714"/>
      <c r="AY13" s="1714"/>
      <c r="AZ13" s="1714"/>
      <c r="BA13" s="1701"/>
      <c r="BB13" s="1714" t="s">
        <v>1347</v>
      </c>
      <c r="BC13" s="1714"/>
      <c r="BD13" s="1714"/>
      <c r="BE13" s="1714"/>
      <c r="BF13" s="1714"/>
      <c r="BG13" s="1714"/>
      <c r="BH13" s="1714"/>
      <c r="BI13" s="1714"/>
      <c r="BJ13" s="1714"/>
      <c r="BK13" s="1714"/>
      <c r="BL13" s="1714"/>
      <c r="BM13" s="1714"/>
      <c r="BN13" s="1714"/>
      <c r="BO13" s="1714" t="s">
        <v>1348</v>
      </c>
      <c r="BP13" s="1714"/>
      <c r="BQ13" s="1714"/>
      <c r="BR13" s="1714"/>
      <c r="BS13" s="1714"/>
      <c r="BT13" s="1714"/>
      <c r="BU13" s="1714"/>
      <c r="BV13" s="1714"/>
      <c r="BW13" s="1714"/>
      <c r="BX13" s="1703" t="s">
        <v>89</v>
      </c>
      <c r="BY13" s="1714"/>
      <c r="BZ13" s="1714"/>
      <c r="CA13" s="1714"/>
      <c r="CB13" s="1714"/>
      <c r="CC13" s="1714"/>
      <c r="CD13" s="1714"/>
      <c r="CE13" s="1714"/>
      <c r="CF13" s="1714"/>
      <c r="CG13" s="1714"/>
      <c r="CH13" s="1714"/>
      <c r="CI13" s="1714"/>
      <c r="CJ13" s="1714"/>
      <c r="CK13" s="1714"/>
      <c r="CL13" s="1714"/>
      <c r="CM13" s="1714"/>
      <c r="CN13" s="1714"/>
      <c r="CO13" s="1714"/>
      <c r="CP13" s="1714"/>
      <c r="CQ13" s="1714"/>
      <c r="CR13" s="1714"/>
      <c r="CS13" s="1714"/>
      <c r="CT13" s="1714"/>
      <c r="CU13" s="1714"/>
      <c r="CV13" s="1714"/>
      <c r="CW13" s="1714"/>
      <c r="CX13" s="1714"/>
      <c r="CY13" s="1714"/>
      <c r="CZ13" s="1715" t="s">
        <v>1349</v>
      </c>
      <c r="DA13" s="1714"/>
      <c r="DB13" s="1714"/>
      <c r="DC13" s="1714"/>
      <c r="DD13" s="1714"/>
      <c r="DE13" s="1714"/>
      <c r="DF13" s="1714"/>
      <c r="DG13" s="1714"/>
      <c r="DH13" s="1714"/>
      <c r="DI13" s="1714"/>
      <c r="DJ13" s="1714"/>
      <c r="DK13" s="1714"/>
      <c r="DL13" s="1714"/>
      <c r="DM13" s="1714"/>
      <c r="DN13" s="1701"/>
      <c r="DO13" s="1701"/>
      <c r="DP13" s="1701"/>
      <c r="DQ13" s="1701"/>
      <c r="DR13" s="1701"/>
      <c r="DS13" s="1701"/>
      <c r="DT13" s="1701"/>
      <c r="DU13" s="1701"/>
      <c r="DV13" s="1701"/>
      <c r="DW13" s="1701"/>
      <c r="DX13" s="1701"/>
      <c r="DY13" s="1701"/>
      <c r="DZ13" s="1701"/>
      <c r="EA13" s="1701"/>
      <c r="EB13" s="1701"/>
      <c r="EC13" s="1701"/>
      <c r="ED13" s="1701"/>
      <c r="EE13" s="1701"/>
      <c r="EF13" s="1701"/>
      <c r="EG13" s="1701"/>
      <c r="EH13" s="1701"/>
      <c r="EI13" s="1701"/>
      <c r="EJ13" s="1701"/>
      <c r="EK13" s="1701"/>
      <c r="EL13" s="1701"/>
      <c r="EM13" s="1701"/>
      <c r="EN13" s="1701"/>
      <c r="EO13" s="1701"/>
      <c r="EP13" s="1701"/>
      <c r="EQ13" s="1701"/>
      <c r="ER13" s="1701"/>
      <c r="ES13" s="1701"/>
      <c r="ET13" s="1701"/>
      <c r="EU13" s="1701"/>
      <c r="EV13" s="1701"/>
      <c r="EW13" s="1701"/>
      <c r="EX13" s="1701"/>
      <c r="EY13" s="1701"/>
      <c r="EZ13" s="1701"/>
      <c r="FA13" s="1701"/>
      <c r="FB13" s="1701"/>
      <c r="FC13" s="1701"/>
      <c r="FD13" s="1701"/>
      <c r="FE13" s="1701"/>
      <c r="FF13" s="1701" t="s">
        <v>89</v>
      </c>
      <c r="FG13" s="1701"/>
      <c r="FH13" s="1701"/>
      <c r="FI13" s="1701"/>
      <c r="FJ13" s="1701"/>
      <c r="FK13" s="1701" t="s">
        <v>89</v>
      </c>
      <c r="FL13" s="1701"/>
      <c r="FM13" s="1701"/>
      <c r="FN13" s="1701"/>
      <c r="FO13" s="1701"/>
      <c r="FP13" s="1701"/>
      <c r="FQ13" s="1701"/>
      <c r="FR13" s="1701"/>
      <c r="FS13" s="1701"/>
      <c r="FT13" s="1701"/>
      <c r="FU13" s="1701"/>
      <c r="FV13" s="1701"/>
      <c r="FW13" s="1701"/>
      <c r="FX13" s="1701"/>
      <c r="FY13" s="1701" t="s">
        <v>1347</v>
      </c>
      <c r="FZ13" s="1701" t="s">
        <v>89</v>
      </c>
      <c r="GA13" s="1701"/>
      <c r="GB13" s="1701"/>
      <c r="GC13" s="1701"/>
      <c r="GD13" s="1701"/>
      <c r="GE13" s="1701"/>
      <c r="GF13" s="1701"/>
      <c r="GG13" s="1701" t="s">
        <v>1343</v>
      </c>
      <c r="GH13" s="1701" t="s">
        <v>1350</v>
      </c>
      <c r="GI13" s="1701" t="s">
        <v>1351</v>
      </c>
      <c r="GJ13" s="1701"/>
      <c r="GK13" s="1701"/>
      <c r="GL13" s="1701"/>
      <c r="GM13" s="1701"/>
      <c r="GN13" s="1701" t="s">
        <v>1343</v>
      </c>
      <c r="GO13" s="1701"/>
      <c r="GP13" s="1701"/>
      <c r="GQ13" s="1701"/>
      <c r="GR13" s="1701" t="s">
        <v>1352</v>
      </c>
      <c r="GS13" s="1701"/>
      <c r="GT13" s="1701"/>
      <c r="GU13" s="1701"/>
      <c r="GV13" s="1701"/>
      <c r="GW13" s="1701"/>
      <c r="GX13" s="1701"/>
      <c r="GY13" s="1714"/>
      <c r="GZ13" s="1714"/>
      <c r="HA13" s="1714"/>
      <c r="HB13" s="1714"/>
      <c r="HC13" s="1714"/>
      <c r="HD13" s="1714"/>
      <c r="HE13" s="1714"/>
      <c r="HF13" s="1701"/>
      <c r="HG13" s="1714"/>
      <c r="HH13" s="1714"/>
      <c r="HI13" s="1714"/>
      <c r="HJ13" s="1714"/>
      <c r="HK13" s="1714"/>
      <c r="HL13" s="1714"/>
      <c r="HM13" s="1714"/>
      <c r="HN13" s="1714"/>
      <c r="HO13" s="1714"/>
      <c r="HP13" s="1714"/>
      <c r="HQ13" s="1714"/>
      <c r="HR13" s="1714"/>
      <c r="HS13" s="1714"/>
      <c r="HT13" s="1714"/>
      <c r="HU13" s="1703"/>
      <c r="HV13" s="1714"/>
      <c r="HW13" s="1714"/>
      <c r="HX13" s="1714"/>
      <c r="HY13" s="1688"/>
      <c r="HZ13" s="1688"/>
      <c r="IA13" s="1688"/>
      <c r="IB13" s="1688"/>
      <c r="IC13" s="1688"/>
      <c r="ID13" s="1688"/>
      <c r="IE13" s="1688"/>
      <c r="IF13" s="1688"/>
      <c r="IG13" s="1688"/>
      <c r="IH13" s="1688"/>
      <c r="II13" s="1688"/>
      <c r="IJ13" s="1688"/>
      <c r="IK13" s="1688"/>
      <c r="IL13" s="1688"/>
      <c r="IM13" s="1688"/>
      <c r="IN13" s="1688"/>
      <c r="IO13" s="1688"/>
      <c r="IP13" s="1688"/>
      <c r="IQ13" s="1688"/>
      <c r="IR13" s="1688"/>
      <c r="IS13" s="1688"/>
      <c r="IT13" s="1688"/>
      <c r="IU13" s="1688"/>
      <c r="IV13" s="1688"/>
    </row>
    <row r="14" spans="8:8" ht="20.0" customHeight="1">
      <c r="A14" s="1713" t="s">
        <v>72</v>
      </c>
      <c r="B14" s="1701"/>
      <c r="C14" s="1701" t="str">
        <f>IF(ISTEXT(_xlfn.IFERROR(VLOOKUP(A14,职业列表!I3:J10,1,FALSE),0)),"★","")</f>
        <v/>
      </c>
      <c r="D14" s="1714"/>
      <c r="E14" s="1714"/>
      <c r="F14" s="1714"/>
      <c r="G14" s="1714"/>
      <c r="H14" s="1714"/>
      <c r="I14" s="1714"/>
      <c r="J14" s="1714"/>
      <c r="K14" s="1714"/>
      <c r="L14" s="1714"/>
      <c r="M14" s="1714"/>
      <c r="N14" s="1714"/>
      <c r="O14" s="1714"/>
      <c r="P14" s="1714"/>
      <c r="Q14" s="1714"/>
      <c r="R14" s="1714"/>
      <c r="S14" s="1714"/>
      <c r="T14" s="1714"/>
      <c r="U14" s="1714"/>
      <c r="V14" s="1714"/>
      <c r="W14" s="1714"/>
      <c r="X14" s="1714"/>
      <c r="Y14" s="1714"/>
      <c r="Z14" s="1714"/>
      <c r="AA14" s="1714"/>
      <c r="AB14" s="1714"/>
      <c r="AC14" s="1714"/>
      <c r="AD14" s="1714"/>
      <c r="AE14" s="1714"/>
      <c r="AF14" s="1714"/>
      <c r="AG14" s="1714"/>
      <c r="AH14" s="1714"/>
      <c r="AI14" s="1714"/>
      <c r="AJ14" s="1714"/>
      <c r="AK14" s="1714"/>
      <c r="AL14" s="1714"/>
      <c r="AM14" s="1714"/>
      <c r="AN14" s="1714"/>
      <c r="AO14" s="1714"/>
      <c r="AP14" s="1714"/>
      <c r="AQ14" s="1714"/>
      <c r="AR14" s="1714"/>
      <c r="AS14" s="1714"/>
      <c r="AT14" s="1714"/>
      <c r="AU14" s="1714"/>
      <c r="AV14" s="1714"/>
      <c r="AW14" s="1714"/>
      <c r="AX14" s="1714"/>
      <c r="AY14" s="1714"/>
      <c r="AZ14" s="1714"/>
      <c r="BA14" s="1714"/>
      <c r="BB14" s="1714" t="s">
        <v>1353</v>
      </c>
      <c r="BC14" s="1714"/>
      <c r="BD14" s="1714"/>
      <c r="BE14" s="1714"/>
      <c r="BF14" s="1714"/>
      <c r="BG14" s="1714"/>
      <c r="BH14" s="1714"/>
      <c r="BI14" s="1714"/>
      <c r="BJ14" s="1714"/>
      <c r="BK14" s="1714"/>
      <c r="BL14" s="1714"/>
      <c r="BM14" s="1714"/>
      <c r="BN14" s="1714"/>
      <c r="BO14" s="1714"/>
      <c r="BP14" s="1714"/>
      <c r="BQ14" s="1714"/>
      <c r="BR14" s="1714"/>
      <c r="BS14" s="1714"/>
      <c r="BT14" s="1714"/>
      <c r="BU14" s="1714"/>
      <c r="BV14" s="1714"/>
      <c r="BW14" s="1714"/>
      <c r="BX14" s="1703" t="s">
        <v>89</v>
      </c>
      <c r="BY14" s="1714"/>
      <c r="BZ14" s="1714"/>
      <c r="CA14" s="1714"/>
      <c r="CB14" s="1714"/>
      <c r="CC14" s="1714"/>
      <c r="CD14" s="1714"/>
      <c r="CE14" s="1714"/>
      <c r="CF14" s="1714"/>
      <c r="CG14" s="1714"/>
      <c r="CH14" s="1714"/>
      <c r="CI14" s="1714"/>
      <c r="CJ14" s="1714"/>
      <c r="CK14" s="1714"/>
      <c r="CL14" s="1714"/>
      <c r="CM14" s="1714"/>
      <c r="CN14" s="1714"/>
      <c r="CO14" s="1714"/>
      <c r="CP14" s="1714"/>
      <c r="CQ14" s="1714"/>
      <c r="CR14" s="1714"/>
      <c r="CS14" s="1714"/>
      <c r="CT14" s="1714"/>
      <c r="CU14" s="1714"/>
      <c r="CV14" s="1714"/>
      <c r="CW14" s="1714"/>
      <c r="CX14" s="1714"/>
      <c r="CY14" s="1714"/>
      <c r="CZ14" s="1715" t="s">
        <v>1354</v>
      </c>
      <c r="DA14" s="1714"/>
      <c r="DB14" s="1714"/>
      <c r="DC14" s="1714"/>
      <c r="DD14" s="1714"/>
      <c r="DE14" s="1714"/>
      <c r="DF14" s="1714"/>
      <c r="DG14" s="1714"/>
      <c r="DH14" s="1714"/>
      <c r="DI14" s="1714"/>
      <c r="DJ14" s="1714"/>
      <c r="DK14" s="1714"/>
      <c r="DL14" s="1714"/>
      <c r="DM14" s="1714"/>
      <c r="DN14" s="1701"/>
      <c r="DO14" s="1701"/>
      <c r="DP14" s="1701"/>
      <c r="DQ14" s="1701"/>
      <c r="DR14" s="1701"/>
      <c r="DS14" s="1701"/>
      <c r="DT14" s="1701"/>
      <c r="DU14" s="1701"/>
      <c r="DV14" s="1701"/>
      <c r="DW14" s="1701"/>
      <c r="DX14" s="1701"/>
      <c r="DY14" s="1701"/>
      <c r="DZ14" s="1701"/>
      <c r="EA14" s="1701"/>
      <c r="EB14" s="1701"/>
      <c r="EC14" s="1701"/>
      <c r="ED14" s="1701"/>
      <c r="EE14" s="1701"/>
      <c r="EF14" s="1701"/>
      <c r="EG14" s="1701"/>
      <c r="EH14" s="1701"/>
      <c r="EI14" s="1701"/>
      <c r="EJ14" s="1701"/>
      <c r="EK14" s="1701"/>
      <c r="EL14" s="1701"/>
      <c r="EM14" s="1701"/>
      <c r="EN14" s="1701"/>
      <c r="EO14" s="1701"/>
      <c r="EP14" s="1701"/>
      <c r="EQ14" s="1701"/>
      <c r="ER14" s="1701"/>
      <c r="ES14" s="1701"/>
      <c r="ET14" s="1701"/>
      <c r="EU14" s="1701"/>
      <c r="EV14" s="1701"/>
      <c r="EW14" s="1701"/>
      <c r="EX14" s="1701"/>
      <c r="EY14" s="1701"/>
      <c r="EZ14" s="1701"/>
      <c r="FA14" s="1701"/>
      <c r="FB14" s="1701"/>
      <c r="FC14" s="1701"/>
      <c r="FD14" s="1701"/>
      <c r="FE14" s="1701"/>
      <c r="FF14" s="1701"/>
      <c r="FG14" s="1701"/>
      <c r="FH14" s="1701"/>
      <c r="FI14" s="1701"/>
      <c r="FJ14" s="1701"/>
      <c r="FK14" s="1701"/>
      <c r="FL14" s="1701"/>
      <c r="FM14" s="1701"/>
      <c r="FN14" s="1701"/>
      <c r="FO14" s="1701"/>
      <c r="FP14" s="1701"/>
      <c r="FQ14" s="1701"/>
      <c r="FR14" s="1701"/>
      <c r="FS14" s="1701"/>
      <c r="FT14" s="1701"/>
      <c r="FU14" s="1701"/>
      <c r="FV14" s="1701"/>
      <c r="FW14" s="1701"/>
      <c r="FX14" s="1701"/>
      <c r="FY14" s="1701" t="s">
        <v>1353</v>
      </c>
      <c r="FZ14" s="1701"/>
      <c r="GA14" s="1701"/>
      <c r="GB14" s="1701"/>
      <c r="GC14" s="1701"/>
      <c r="GD14" s="1701"/>
      <c r="GE14" s="1701"/>
      <c r="GF14" s="1701"/>
      <c r="GG14" s="1701" t="s">
        <v>1350</v>
      </c>
      <c r="GH14" s="1701" t="s">
        <v>1339</v>
      </c>
      <c r="GI14" s="1701" t="s">
        <v>1355</v>
      </c>
      <c r="GJ14" s="1701"/>
      <c r="GK14" s="1701"/>
      <c r="GL14" s="1701"/>
      <c r="GM14" s="1701"/>
      <c r="GN14" s="1701" t="s">
        <v>1351</v>
      </c>
      <c r="GO14" s="1701"/>
      <c r="GP14" s="1701"/>
      <c r="GQ14" s="1701"/>
      <c r="GR14" s="1701" t="s">
        <v>1356</v>
      </c>
      <c r="GS14" s="1701"/>
      <c r="GT14" s="1701"/>
      <c r="GU14" s="1701"/>
      <c r="GV14" s="1701"/>
      <c r="GW14" s="1701"/>
      <c r="GX14" s="1701"/>
      <c r="GY14" s="1714"/>
      <c r="GZ14" s="1714"/>
      <c r="HA14" s="1714"/>
      <c r="HB14" s="1714"/>
      <c r="HC14" s="1714"/>
      <c r="HD14" s="1714"/>
      <c r="HE14" s="1714"/>
      <c r="HF14" s="1714"/>
      <c r="HG14" s="1714"/>
      <c r="HH14" s="1714"/>
      <c r="HI14" s="1714"/>
      <c r="HJ14" s="1714"/>
      <c r="HK14" s="1714"/>
      <c r="HL14" s="1714"/>
      <c r="HM14" s="1714"/>
      <c r="HN14" s="1714"/>
      <c r="HO14" s="1714"/>
      <c r="HP14" s="1714"/>
      <c r="HQ14" s="1714"/>
      <c r="HR14" s="1714"/>
      <c r="HS14" s="1714"/>
      <c r="HT14" s="1714"/>
      <c r="HU14" s="1714"/>
      <c r="HV14" s="1714"/>
      <c r="HW14" s="1714"/>
      <c r="HX14" s="1714"/>
      <c r="HY14" s="1688"/>
      <c r="HZ14" s="1688"/>
      <c r="IA14" s="1688"/>
      <c r="IB14" s="1688"/>
      <c r="IC14" s="1688"/>
      <c r="ID14" s="1688"/>
      <c r="IE14" s="1688"/>
      <c r="IF14" s="1688"/>
      <c r="IG14" s="1688"/>
      <c r="IH14" s="1688"/>
      <c r="II14" s="1688"/>
      <c r="IJ14" s="1688"/>
      <c r="IK14" s="1688"/>
      <c r="IL14" s="1688"/>
      <c r="IM14" s="1688"/>
      <c r="IN14" s="1688"/>
      <c r="IO14" s="1688"/>
      <c r="IP14" s="1688"/>
      <c r="IQ14" s="1688"/>
      <c r="IR14" s="1688"/>
      <c r="IS14" s="1688"/>
      <c r="IT14" s="1688"/>
      <c r="IU14" s="1688"/>
      <c r="IV14" s="1688"/>
    </row>
    <row r="15" spans="8:8" s="1716" ht="20.0" customFormat="1" customHeight="1">
      <c r="A15" s="1717" t="s">
        <v>74</v>
      </c>
      <c r="B15" s="1718"/>
      <c r="C15" s="1701" t="str">
        <f>IF(ISTEXT(_xlfn.IFERROR(VLOOKUP(A15,职业列表!I3:J10,1,FALSE),0)),"★","")</f>
        <v/>
      </c>
      <c r="D15" s="1719"/>
      <c r="E15" s="1718"/>
      <c r="F15" s="1720" t="s">
        <v>1328</v>
      </c>
      <c r="G15" s="1718" t="s">
        <v>1328</v>
      </c>
      <c r="H15" s="1718" t="s">
        <v>1328</v>
      </c>
      <c r="I15" s="1718"/>
      <c r="J15" s="1718"/>
      <c r="K15" s="1718" t="s">
        <v>1328</v>
      </c>
      <c r="L15" s="1718" t="s">
        <v>1328</v>
      </c>
      <c r="M15" s="1718"/>
      <c r="N15" s="1718"/>
      <c r="O15" s="1718" t="s">
        <v>1328</v>
      </c>
      <c r="P15" s="1720" t="s">
        <v>1328</v>
      </c>
      <c r="Q15" s="1718" t="s">
        <v>1328</v>
      </c>
      <c r="R15" s="1718"/>
      <c r="S15" s="1718" t="s">
        <v>1328</v>
      </c>
      <c r="T15" s="1718"/>
      <c r="U15" s="1718" t="s">
        <v>1328</v>
      </c>
      <c r="V15" s="1718" t="s">
        <v>1328</v>
      </c>
      <c r="W15" s="1718"/>
      <c r="X15" s="1718"/>
      <c r="Y15" s="1718" t="s">
        <v>1328</v>
      </c>
      <c r="Z15" s="1718"/>
      <c r="AA15" s="1718" t="s">
        <v>1328</v>
      </c>
      <c r="AB15" s="1718"/>
      <c r="AC15" s="1718"/>
      <c r="AD15" s="1718"/>
      <c r="AE15" s="1718"/>
      <c r="AF15" s="1718" t="s">
        <v>1328</v>
      </c>
      <c r="AG15" s="1718"/>
      <c r="AH15" s="1718" t="s">
        <v>1328</v>
      </c>
      <c r="AI15" s="1718" t="s">
        <v>1328</v>
      </c>
      <c r="AJ15" s="1718" t="s">
        <v>1328</v>
      </c>
      <c r="AK15" s="1718" t="s">
        <v>1328</v>
      </c>
      <c r="AL15" s="1718"/>
      <c r="AM15" s="1718" t="s">
        <v>1328</v>
      </c>
      <c r="AN15" s="1718" t="s">
        <v>1328</v>
      </c>
      <c r="AO15" s="1718" t="s">
        <v>1328</v>
      </c>
      <c r="AP15" s="1718" t="s">
        <v>1328</v>
      </c>
      <c r="AQ15" s="1721"/>
      <c r="AR15" s="1718" t="s">
        <v>1328</v>
      </c>
      <c r="AS15" s="1718"/>
      <c r="AT15" s="1718"/>
      <c r="AU15" s="1718" t="s">
        <v>1328</v>
      </c>
      <c r="AV15" s="1718" t="s">
        <v>1328</v>
      </c>
      <c r="AW15" s="1718" t="s">
        <v>1328</v>
      </c>
      <c r="AX15" s="1718"/>
      <c r="AY15" s="1718" t="s">
        <v>1328</v>
      </c>
      <c r="AZ15" s="1719" t="s">
        <v>89</v>
      </c>
      <c r="BA15" s="1718"/>
      <c r="BB15" s="1718" t="s">
        <v>1328</v>
      </c>
      <c r="BC15" s="1718"/>
      <c r="BD15" s="1718" t="s">
        <v>1328</v>
      </c>
      <c r="BE15" s="1718"/>
      <c r="BF15" s="1718"/>
      <c r="BG15" s="1718" t="s">
        <v>1328</v>
      </c>
      <c r="BH15" s="1718"/>
      <c r="BI15" s="1718" t="s">
        <v>1328</v>
      </c>
      <c r="BJ15" s="1718" t="s">
        <v>1328</v>
      </c>
      <c r="BK15" s="1718" t="s">
        <v>1328</v>
      </c>
      <c r="BL15" s="1718" t="s">
        <v>1328</v>
      </c>
      <c r="BM15" s="1718"/>
      <c r="BN15" s="1718" t="s">
        <v>1328</v>
      </c>
      <c r="BO15" s="1718" t="s">
        <v>1328</v>
      </c>
      <c r="BP15" s="1718" t="s">
        <v>1328</v>
      </c>
      <c r="BQ15" s="1718"/>
      <c r="BR15" s="1718"/>
      <c r="BS15" s="1718"/>
      <c r="BT15" s="1718"/>
      <c r="BU15" s="1721"/>
      <c r="BV15" s="1718" t="s">
        <v>1328</v>
      </c>
      <c r="BW15" s="1718"/>
      <c r="BX15" s="1718"/>
      <c r="BY15" s="1718" t="s">
        <v>1328</v>
      </c>
      <c r="BZ15" s="1718" t="s">
        <v>1328</v>
      </c>
      <c r="CA15" s="1718"/>
      <c r="CB15" s="1718"/>
      <c r="CC15" s="1718" t="s">
        <v>1328</v>
      </c>
      <c r="CD15" s="1718" t="s">
        <v>1328</v>
      </c>
      <c r="CE15" s="1718" t="s">
        <v>1328</v>
      </c>
      <c r="CF15" s="1718"/>
      <c r="CG15" s="1718"/>
      <c r="CH15" s="1718" t="s">
        <v>1328</v>
      </c>
      <c r="CI15" s="1718" t="s">
        <v>1328</v>
      </c>
      <c r="CJ15" s="1718" t="s">
        <v>1328</v>
      </c>
      <c r="CK15" s="1718"/>
      <c r="CL15" s="1718"/>
      <c r="CM15" s="1718" t="s">
        <v>1328</v>
      </c>
      <c r="CN15" s="1718" t="s">
        <v>1328</v>
      </c>
      <c r="CO15" s="1718" t="s">
        <v>1328</v>
      </c>
      <c r="CP15" s="1718"/>
      <c r="CQ15" s="1718"/>
      <c r="CR15" s="1718" t="s">
        <v>1328</v>
      </c>
      <c r="CS15" s="1718"/>
      <c r="CT15" s="1718"/>
      <c r="CU15" s="1718" t="s">
        <v>1328</v>
      </c>
      <c r="CV15" s="1718"/>
      <c r="CW15" s="1718" t="s">
        <v>1328</v>
      </c>
      <c r="CX15" s="1718" t="s">
        <v>1328</v>
      </c>
      <c r="CY15" s="1718" t="s">
        <v>1328</v>
      </c>
      <c r="CZ15" s="1718" t="s">
        <v>1328</v>
      </c>
      <c r="DA15" s="1718" t="s">
        <v>1328</v>
      </c>
      <c r="DB15" s="1718"/>
      <c r="DC15" s="1718" t="s">
        <v>1328</v>
      </c>
      <c r="DD15" s="1718"/>
      <c r="DE15" s="1718"/>
      <c r="DF15" s="1718"/>
      <c r="DG15" s="1718" t="s">
        <v>1328</v>
      </c>
      <c r="DH15" s="1718" t="s">
        <v>1328</v>
      </c>
      <c r="DI15" s="1718" t="s">
        <v>1328</v>
      </c>
      <c r="DJ15" s="1718" t="s">
        <v>1328</v>
      </c>
      <c r="DK15" s="1718" t="s">
        <v>1328</v>
      </c>
      <c r="DL15" s="1718" t="s">
        <v>1328</v>
      </c>
      <c r="DM15" s="1718"/>
      <c r="DN15" s="1718" t="s">
        <v>89</v>
      </c>
      <c r="DO15" s="1718" t="s">
        <v>1328</v>
      </c>
      <c r="DP15" s="1718" t="s">
        <v>1328</v>
      </c>
      <c r="DQ15" s="1718" t="s">
        <v>1328</v>
      </c>
      <c r="DR15" s="1718" t="s">
        <v>1328</v>
      </c>
      <c r="DS15" s="1718" t="s">
        <v>1328</v>
      </c>
      <c r="DT15" s="1718" t="s">
        <v>1328</v>
      </c>
      <c r="DU15" s="1718" t="s">
        <v>1328</v>
      </c>
      <c r="DV15" s="1718" t="s">
        <v>1328</v>
      </c>
      <c r="DW15" s="1718" t="s">
        <v>1328</v>
      </c>
      <c r="DX15" s="1718" t="s">
        <v>1328</v>
      </c>
      <c r="DY15" s="1718" t="s">
        <v>1328</v>
      </c>
      <c r="DZ15" s="1718" t="s">
        <v>1328</v>
      </c>
      <c r="EA15" s="1718" t="s">
        <v>1328</v>
      </c>
      <c r="EB15" s="1718" t="s">
        <v>1328</v>
      </c>
      <c r="EC15" s="1718" t="s">
        <v>1328</v>
      </c>
      <c r="ED15" s="1718"/>
      <c r="EE15" s="1718" t="s">
        <v>1328</v>
      </c>
      <c r="EF15" s="1718"/>
      <c r="EG15" s="1718"/>
      <c r="EH15" s="1718"/>
      <c r="EI15" s="1718" t="s">
        <v>1328</v>
      </c>
      <c r="EJ15" s="1718" t="s">
        <v>1328</v>
      </c>
      <c r="EK15" s="1718" t="s">
        <v>1328</v>
      </c>
      <c r="EL15" s="1718"/>
      <c r="EM15" s="1718" t="s">
        <v>1328</v>
      </c>
      <c r="EN15" s="1718"/>
      <c r="EO15" s="1718" t="s">
        <v>1328</v>
      </c>
      <c r="EP15" s="1718"/>
      <c r="EQ15" s="1718" t="s">
        <v>89</v>
      </c>
      <c r="ER15" s="1718" t="s">
        <v>1328</v>
      </c>
      <c r="ES15" s="1718" t="s">
        <v>1328</v>
      </c>
      <c r="ET15" s="1718" t="s">
        <v>1328</v>
      </c>
      <c r="EU15" s="1718" t="s">
        <v>1328</v>
      </c>
      <c r="EV15" s="1718" t="s">
        <v>1328</v>
      </c>
      <c r="EW15" s="1718"/>
      <c r="EX15" s="1718" t="s">
        <v>1328</v>
      </c>
      <c r="EY15" s="1718" t="s">
        <v>1328</v>
      </c>
      <c r="EZ15" s="1718"/>
      <c r="FA15" s="1718" t="s">
        <v>1328</v>
      </c>
      <c r="FB15" s="1718" t="s">
        <v>1328</v>
      </c>
      <c r="FC15" s="1718"/>
      <c r="FD15" s="1718"/>
      <c r="FE15" s="1718" t="s">
        <v>1328</v>
      </c>
      <c r="FF15" s="1718" t="s">
        <v>1328</v>
      </c>
      <c r="FG15" s="1718" t="s">
        <v>1328</v>
      </c>
      <c r="FH15" s="1718"/>
      <c r="FI15" s="1718"/>
      <c r="FJ15" s="1718"/>
      <c r="FK15" s="1718"/>
      <c r="FL15" s="1718"/>
      <c r="FM15" s="1718" t="s">
        <v>1328</v>
      </c>
      <c r="FN15" s="1718"/>
      <c r="FO15" s="1718"/>
      <c r="FP15" s="1718"/>
      <c r="FQ15" s="1718" t="s">
        <v>1328</v>
      </c>
      <c r="FR15" s="1718" t="s">
        <v>1328</v>
      </c>
      <c r="FS15" s="1718"/>
      <c r="FT15" s="1718"/>
      <c r="FU15" s="1718"/>
      <c r="FV15" s="1718" t="s">
        <v>1328</v>
      </c>
      <c r="FW15" s="1718"/>
      <c r="FX15" s="1718"/>
      <c r="FY15" s="1718" t="s">
        <v>1328</v>
      </c>
      <c r="FZ15" s="1718"/>
      <c r="GA15" s="1718"/>
      <c r="GB15" s="1718" t="s">
        <v>1328</v>
      </c>
      <c r="GC15" s="1718"/>
      <c r="GD15" s="1718"/>
      <c r="GE15" s="1718"/>
      <c r="GF15" s="1718" t="s">
        <v>1328</v>
      </c>
      <c r="GG15" s="1718" t="s">
        <v>1328</v>
      </c>
      <c r="GH15" s="1718" t="s">
        <v>1328</v>
      </c>
      <c r="GI15" s="1718" t="s">
        <v>1328</v>
      </c>
      <c r="GJ15" s="1718"/>
      <c r="GK15" s="1718" t="s">
        <v>89</v>
      </c>
      <c r="GL15" s="1718" t="s">
        <v>89</v>
      </c>
      <c r="GM15" s="1718" t="s">
        <v>89</v>
      </c>
      <c r="GN15" s="1718" t="s">
        <v>1328</v>
      </c>
      <c r="GO15" s="1718" t="s">
        <v>1328</v>
      </c>
      <c r="GP15" s="1718" t="s">
        <v>1328</v>
      </c>
      <c r="GQ15" s="1718" t="s">
        <v>1328</v>
      </c>
      <c r="GR15" s="1718"/>
      <c r="GS15" s="1718"/>
      <c r="GT15" s="1718" t="s">
        <v>1328</v>
      </c>
      <c r="GU15" s="1718"/>
      <c r="GV15" s="1718"/>
      <c r="GW15" s="1718" t="s">
        <v>1328</v>
      </c>
      <c r="GX15" s="1718" t="s">
        <v>1328</v>
      </c>
      <c r="GY15" s="1720" t="s">
        <v>1328</v>
      </c>
      <c r="GZ15" s="1718" t="s">
        <v>1328</v>
      </c>
      <c r="HA15" s="1718" t="s">
        <v>1328</v>
      </c>
      <c r="HB15" s="1718"/>
      <c r="HC15" s="1718" t="s">
        <v>1328</v>
      </c>
      <c r="HD15" s="1718"/>
      <c r="HE15" s="1718" t="s">
        <v>1328</v>
      </c>
      <c r="HF15" s="1718"/>
      <c r="HG15" s="1720" t="s">
        <v>1328</v>
      </c>
      <c r="HH15" s="1718" t="s">
        <v>1328</v>
      </c>
      <c r="HI15" s="1718"/>
      <c r="HJ15" s="1718" t="s">
        <v>1328</v>
      </c>
      <c r="HK15" s="1720" t="s">
        <v>1328</v>
      </c>
      <c r="HL15" s="1718"/>
      <c r="HM15" s="1718" t="s">
        <v>1328</v>
      </c>
      <c r="HN15" s="1720" t="s">
        <v>1328</v>
      </c>
      <c r="HO15" s="1720" t="s">
        <v>1328</v>
      </c>
      <c r="HP15" s="1718" t="s">
        <v>1328</v>
      </c>
      <c r="HQ15" s="1718"/>
      <c r="HR15" s="1720" t="s">
        <v>1328</v>
      </c>
      <c r="HS15" s="1718" t="s">
        <v>1328</v>
      </c>
      <c r="HT15" s="1718" t="s">
        <v>1328</v>
      </c>
      <c r="HU15" s="1718"/>
      <c r="HV15" s="1720" t="s">
        <v>1328</v>
      </c>
      <c r="HW15" s="1718"/>
      <c r="HX15" s="1718" t="s">
        <v>1328</v>
      </c>
      <c r="HY15" s="1722"/>
      <c r="HZ15" s="1722"/>
      <c r="IA15" s="1722"/>
      <c r="IB15" s="1722"/>
      <c r="IC15" s="1722"/>
      <c r="ID15" s="1722"/>
      <c r="IE15" s="1722"/>
      <c r="IF15" s="1722"/>
      <c r="IG15" s="1722"/>
      <c r="IH15" s="1722"/>
      <c r="II15" s="1722"/>
      <c r="IJ15" s="1722"/>
      <c r="IK15" s="1722"/>
      <c r="IL15" s="1722"/>
      <c r="IM15" s="1722"/>
      <c r="IN15" s="1722"/>
      <c r="IO15" s="1722"/>
      <c r="IP15" s="1722"/>
      <c r="IQ15" s="1722"/>
      <c r="IR15" s="1722"/>
      <c r="IS15" s="1722"/>
      <c r="IT15" s="1722"/>
      <c r="IU15" s="1722"/>
      <c r="IV15" s="1722"/>
    </row>
    <row r="16" spans="8:8" ht="20.0" customHeight="1">
      <c r="A16" s="1700" t="s">
        <v>77</v>
      </c>
      <c r="B16" s="1701"/>
      <c r="C16" s="1701" t="str">
        <f>IF(ISTEXT(_xlfn.IFERROR(VLOOKUP(A16,职业列表!I3:J10,1,FALSE),0)),"★","")</f>
        <v/>
      </c>
      <c r="D16" s="1703"/>
      <c r="E16" s="1703" t="s">
        <v>89</v>
      </c>
      <c r="F16" s="1701"/>
      <c r="G16" s="1701"/>
      <c r="H16" s="1701"/>
      <c r="I16" s="1701"/>
      <c r="J16" s="1701"/>
      <c r="K16" s="1701"/>
      <c r="L16" s="1701"/>
      <c r="M16" s="1701"/>
      <c r="N16" s="1701"/>
      <c r="O16" s="1701"/>
      <c r="P16" s="1701"/>
      <c r="Q16" s="1703" t="s">
        <v>89</v>
      </c>
      <c r="R16" s="1701"/>
      <c r="S16" s="1701"/>
      <c r="T16" s="1701"/>
      <c r="U16" s="1701"/>
      <c r="V16" s="1701"/>
      <c r="W16" s="1701"/>
      <c r="X16" s="1701"/>
      <c r="Y16" s="1701"/>
      <c r="Z16" s="1701"/>
      <c r="AA16" s="1701"/>
      <c r="AB16" s="1701"/>
      <c r="AC16" s="1701"/>
      <c r="AD16" s="1701"/>
      <c r="AE16" s="1701"/>
      <c r="AF16" s="1701"/>
      <c r="AG16" s="1703" t="s">
        <v>89</v>
      </c>
      <c r="AH16" s="1701"/>
      <c r="AI16" s="1701"/>
      <c r="AJ16" s="1701"/>
      <c r="AK16" s="1701"/>
      <c r="AL16" s="1701"/>
      <c r="AM16" s="1701"/>
      <c r="AN16" s="1703" t="s">
        <v>89</v>
      </c>
      <c r="AO16" s="1701"/>
      <c r="AP16" s="1701"/>
      <c r="AQ16" s="1701"/>
      <c r="AR16" s="1701"/>
      <c r="AS16" s="1701"/>
      <c r="AT16" s="1701"/>
      <c r="AU16" s="1703" t="s">
        <v>89</v>
      </c>
      <c r="AV16" s="1701"/>
      <c r="AW16" s="1701"/>
      <c r="AX16" s="1701"/>
      <c r="AY16" s="1701"/>
      <c r="AZ16" s="1701"/>
      <c r="BA16" s="1701"/>
      <c r="BB16" s="1701"/>
      <c r="BC16" s="1701" t="s">
        <v>1326</v>
      </c>
      <c r="BD16" s="1701"/>
      <c r="BE16" s="1701"/>
      <c r="BF16" s="1703" t="s">
        <v>89</v>
      </c>
      <c r="BG16" s="1701"/>
      <c r="BH16" s="1701"/>
      <c r="BI16" s="1701"/>
      <c r="BJ16" s="1701"/>
      <c r="BK16" s="1701"/>
      <c r="BL16" s="1701"/>
      <c r="BM16" s="1703" t="s">
        <v>89</v>
      </c>
      <c r="BN16" s="1701"/>
      <c r="BO16" s="1701"/>
      <c r="BP16" s="1701"/>
      <c r="BQ16" s="1701"/>
      <c r="BR16" s="1701"/>
      <c r="BS16" s="1701"/>
      <c r="BT16" s="1703" t="s">
        <v>89</v>
      </c>
      <c r="BU16" s="1703" t="s">
        <v>89</v>
      </c>
      <c r="BV16" s="1701"/>
      <c r="BW16" s="1701"/>
      <c r="BX16" s="1703" t="s">
        <v>89</v>
      </c>
      <c r="BY16" s="1701"/>
      <c r="BZ16" s="1701"/>
      <c r="CA16" s="1703" t="s">
        <v>89</v>
      </c>
      <c r="CB16" s="1701"/>
      <c r="CC16" s="1701"/>
      <c r="CD16" s="1701"/>
      <c r="CE16" s="1701"/>
      <c r="CF16" s="1701"/>
      <c r="CG16" s="1701"/>
      <c r="CH16" s="1701"/>
      <c r="CI16" s="1701"/>
      <c r="CJ16" s="1703" t="s">
        <v>89</v>
      </c>
      <c r="CK16" s="1701"/>
      <c r="CL16" s="1701"/>
      <c r="CM16" s="1701"/>
      <c r="CN16" s="1701"/>
      <c r="CO16" s="1701"/>
      <c r="CP16" s="1701"/>
      <c r="CQ16" s="1703" t="s">
        <v>89</v>
      </c>
      <c r="CR16" s="1701"/>
      <c r="CS16" s="1701"/>
      <c r="CT16" s="1701"/>
      <c r="CU16" s="1701"/>
      <c r="CV16" s="1701"/>
      <c r="CW16" s="1701"/>
      <c r="CX16" s="1701"/>
      <c r="CY16" s="1701"/>
      <c r="CZ16" s="1701"/>
      <c r="DA16" s="1701"/>
      <c r="DB16" s="1701" t="s">
        <v>1326</v>
      </c>
      <c r="DC16" s="1701"/>
      <c r="DD16" s="1701"/>
      <c r="DE16" s="1703" t="s">
        <v>89</v>
      </c>
      <c r="DF16" s="1703" t="s">
        <v>89</v>
      </c>
      <c r="DG16" s="1701"/>
      <c r="DH16" s="1701"/>
      <c r="DI16" s="1701"/>
      <c r="DJ16" s="1701"/>
      <c r="DK16" s="1701"/>
      <c r="DL16" s="1701"/>
      <c r="DM16" s="1701"/>
      <c r="DN16" s="1701"/>
      <c r="DO16" s="1701" t="s">
        <v>89</v>
      </c>
      <c r="DP16" s="1701" t="s">
        <v>89</v>
      </c>
      <c r="DQ16" s="1701"/>
      <c r="DR16" s="1701" t="s">
        <v>89</v>
      </c>
      <c r="DS16" s="1701"/>
      <c r="DT16" s="1701"/>
      <c r="DU16" s="1701"/>
      <c r="DV16" s="1701"/>
      <c r="DW16" s="1701"/>
      <c r="DX16" s="1701"/>
      <c r="DY16" s="1701"/>
      <c r="DZ16" s="1701"/>
      <c r="EA16" s="1701"/>
      <c r="EB16" s="1701"/>
      <c r="EC16" s="1701"/>
      <c r="ED16" s="1701"/>
      <c r="EE16" s="1701"/>
      <c r="EF16" s="1701"/>
      <c r="EG16" s="1701"/>
      <c r="EH16" s="1701"/>
      <c r="EI16" s="1701"/>
      <c r="EJ16" s="1701" t="s">
        <v>1326</v>
      </c>
      <c r="EK16" s="1701" t="s">
        <v>89</v>
      </c>
      <c r="EL16" s="1701"/>
      <c r="EM16" s="1701"/>
      <c r="EN16" s="1701" t="s">
        <v>89</v>
      </c>
      <c r="EO16" s="1701"/>
      <c r="EP16" s="1701"/>
      <c r="EQ16" s="1701"/>
      <c r="ER16" s="1701"/>
      <c r="ES16" s="1701"/>
      <c r="ET16" s="1701"/>
      <c r="EU16" s="1701"/>
      <c r="EV16" s="1701"/>
      <c r="EW16" s="1701"/>
      <c r="EX16" s="1701"/>
      <c r="EY16" s="1701"/>
      <c r="EZ16" s="1701"/>
      <c r="FA16" s="1701"/>
      <c r="FB16" s="1701" t="s">
        <v>89</v>
      </c>
      <c r="FC16" s="1701"/>
      <c r="FD16" s="1701"/>
      <c r="FE16" s="1701"/>
      <c r="FF16" s="1701"/>
      <c r="FG16" s="1701"/>
      <c r="FH16" s="1701"/>
      <c r="FI16" s="1701" t="s">
        <v>89</v>
      </c>
      <c r="FJ16" s="1701"/>
      <c r="FK16" s="1701"/>
      <c r="FL16" s="1701"/>
      <c r="FM16" s="1701"/>
      <c r="FN16" s="1701"/>
      <c r="FO16" s="1701"/>
      <c r="FP16" s="1701"/>
      <c r="FQ16" s="1701"/>
      <c r="FR16" s="1701"/>
      <c r="FS16" s="1701"/>
      <c r="FT16" s="1701"/>
      <c r="FU16" s="1701" t="s">
        <v>89</v>
      </c>
      <c r="FV16" s="1701"/>
      <c r="FW16" s="1701"/>
      <c r="FX16" s="1701" t="s">
        <v>89</v>
      </c>
      <c r="FY16" s="1701"/>
      <c r="FZ16" s="1701"/>
      <c r="GA16" s="1701"/>
      <c r="GB16" s="1701"/>
      <c r="GC16" s="1701" t="s">
        <v>1326</v>
      </c>
      <c r="GD16" s="1701" t="s">
        <v>1326</v>
      </c>
      <c r="GE16" s="1701" t="s">
        <v>1326</v>
      </c>
      <c r="GF16" s="1701"/>
      <c r="GG16" s="1701"/>
      <c r="GH16" s="1701"/>
      <c r="GI16" s="1701"/>
      <c r="GJ16" s="1701" t="s">
        <v>89</v>
      </c>
      <c r="GK16" s="1701"/>
      <c r="GL16" s="1701"/>
      <c r="GM16" s="1701"/>
      <c r="GN16" s="1701"/>
      <c r="GO16" s="1701"/>
      <c r="GP16" s="1701"/>
      <c r="GQ16" s="1701"/>
      <c r="GR16" s="1701" t="s">
        <v>89</v>
      </c>
      <c r="GS16" s="1701"/>
      <c r="GT16" s="1701"/>
      <c r="GU16" s="1701" t="s">
        <v>1326</v>
      </c>
      <c r="GV16" s="1701"/>
      <c r="GW16" s="1701"/>
      <c r="GX16" s="1701"/>
      <c r="GY16" s="1701"/>
      <c r="GZ16" s="1701"/>
      <c r="HA16" s="1701"/>
      <c r="HB16" s="1701"/>
      <c r="HC16" s="1701"/>
      <c r="HD16" s="1701"/>
      <c r="HE16" s="1701"/>
      <c r="HF16" s="1701"/>
      <c r="HG16" s="1701"/>
      <c r="HH16" s="1701"/>
      <c r="HI16" s="1703"/>
      <c r="HJ16" s="1701"/>
      <c r="HK16" s="1701" t="s">
        <v>1326</v>
      </c>
      <c r="HL16" s="1701" t="s">
        <v>89</v>
      </c>
      <c r="HM16" s="1701"/>
      <c r="HN16" s="1701"/>
      <c r="HO16" s="1701" t="s">
        <v>1329</v>
      </c>
      <c r="HP16" s="1701"/>
      <c r="HQ16" s="1701"/>
      <c r="HR16" s="1701"/>
      <c r="HS16" s="1701"/>
      <c r="HT16" s="1701"/>
      <c r="HU16" s="1701"/>
      <c r="HV16" s="1701"/>
      <c r="HW16" s="1701"/>
      <c r="HX16" s="1701"/>
      <c r="HY16" s="1688"/>
      <c r="HZ16" s="1688"/>
      <c r="IA16" s="1688"/>
      <c r="IB16" s="1688"/>
      <c r="IC16" s="1688"/>
      <c r="ID16" s="1688"/>
      <c r="IE16" s="1688"/>
      <c r="IF16" s="1688"/>
      <c r="IG16" s="1688"/>
      <c r="IH16" s="1688"/>
      <c r="II16" s="1688"/>
      <c r="IJ16" s="1688"/>
      <c r="IK16" s="1688"/>
      <c r="IL16" s="1688"/>
      <c r="IM16" s="1688"/>
      <c r="IN16" s="1688"/>
      <c r="IO16" s="1688"/>
      <c r="IP16" s="1688"/>
      <c r="IQ16" s="1688"/>
      <c r="IR16" s="1688"/>
      <c r="IS16" s="1688"/>
      <c r="IT16" s="1688"/>
      <c r="IU16" s="1688"/>
      <c r="IV16" s="1688"/>
    </row>
    <row r="17" spans="8:8" ht="20.0" customHeight="1">
      <c r="A17" s="1723" t="s">
        <v>82</v>
      </c>
      <c r="B17" s="1701"/>
      <c r="C17" s="1701" t="str">
        <f>IF(ISTEXT(_xlfn.IFERROR(VLOOKUP(A17,职业列表!I3:J10,1,FALSE),0)),"★","")</f>
        <v/>
      </c>
      <c r="D17" s="1703"/>
      <c r="E17" s="1701"/>
      <c r="F17" s="1701"/>
      <c r="G17" s="1701"/>
      <c r="H17" s="1701"/>
      <c r="I17" s="1701"/>
      <c r="J17" s="1701"/>
      <c r="K17" s="1701"/>
      <c r="L17" s="1701"/>
      <c r="M17" s="1701"/>
      <c r="N17" s="1701" t="s">
        <v>1326</v>
      </c>
      <c r="O17" s="1701"/>
      <c r="P17" s="1701"/>
      <c r="Q17" s="1701"/>
      <c r="R17" s="1701"/>
      <c r="S17" s="1701"/>
      <c r="T17" s="1701"/>
      <c r="U17" s="1701"/>
      <c r="V17" s="1701"/>
      <c r="W17" s="1701"/>
      <c r="X17" s="1701"/>
      <c r="Y17" s="1701"/>
      <c r="Z17" s="1703" t="s">
        <v>89</v>
      </c>
      <c r="AA17" s="1703" t="s">
        <v>89</v>
      </c>
      <c r="AB17" s="1701"/>
      <c r="AC17" s="1701"/>
      <c r="AD17" s="1701"/>
      <c r="AE17" s="1701"/>
      <c r="AF17" s="1701"/>
      <c r="AG17" s="1701"/>
      <c r="AH17" s="1701"/>
      <c r="AI17" s="1701"/>
      <c r="AJ17" s="1701"/>
      <c r="AK17" s="1701"/>
      <c r="AL17" s="1701"/>
      <c r="AM17" s="1701"/>
      <c r="AN17" s="1701"/>
      <c r="AO17" s="1701"/>
      <c r="AP17" s="1701"/>
      <c r="AQ17" s="1701" t="s">
        <v>1326</v>
      </c>
      <c r="AR17" s="1701"/>
      <c r="AS17" s="1701"/>
      <c r="AT17" s="1701"/>
      <c r="AU17" s="1701"/>
      <c r="AV17" s="1701"/>
      <c r="AW17" s="1701"/>
      <c r="AX17" s="1701"/>
      <c r="AY17" s="1701"/>
      <c r="AZ17" s="1701"/>
      <c r="BA17" s="1701"/>
      <c r="BB17" s="1701"/>
      <c r="BC17" s="1701"/>
      <c r="BD17" s="1701"/>
      <c r="BE17" s="1701"/>
      <c r="BF17" s="1701"/>
      <c r="BG17" s="1701"/>
      <c r="BH17" s="1701"/>
      <c r="BI17" s="1701"/>
      <c r="BJ17" s="1701"/>
      <c r="BK17" s="1701"/>
      <c r="BL17" s="1701"/>
      <c r="BM17" s="1701"/>
      <c r="BN17" s="1701"/>
      <c r="BO17" s="1701"/>
      <c r="BP17" s="1701"/>
      <c r="BQ17" s="1701"/>
      <c r="BR17" s="1701" t="s">
        <v>1326</v>
      </c>
      <c r="BS17" s="1701"/>
      <c r="BT17" s="1701"/>
      <c r="BU17" s="1701"/>
      <c r="BV17" s="1701"/>
      <c r="BW17" s="1701"/>
      <c r="BX17" s="1701"/>
      <c r="BY17" s="1701"/>
      <c r="BZ17" s="1701"/>
      <c r="CA17" s="1701"/>
      <c r="CB17" s="1701"/>
      <c r="CC17" s="1701"/>
      <c r="CD17" s="1701"/>
      <c r="CE17" s="1701"/>
      <c r="CF17" s="1701"/>
      <c r="CG17" s="1701"/>
      <c r="CH17" s="1701"/>
      <c r="CI17" s="1701"/>
      <c r="CJ17" s="1701"/>
      <c r="CK17" s="1701"/>
      <c r="CL17" s="1701"/>
      <c r="CM17" s="1701"/>
      <c r="CN17" s="1701"/>
      <c r="CO17" s="1701"/>
      <c r="CP17" s="1701"/>
      <c r="CQ17" s="1701"/>
      <c r="CR17" s="1701"/>
      <c r="CS17" s="1701"/>
      <c r="CT17" s="1701"/>
      <c r="CU17" s="1701"/>
      <c r="CV17" s="1701"/>
      <c r="CW17" s="1701"/>
      <c r="CX17" s="1701"/>
      <c r="CY17" s="1701" t="s">
        <v>1326</v>
      </c>
      <c r="CZ17" s="1702" t="s">
        <v>1327</v>
      </c>
      <c r="DA17" s="1701"/>
      <c r="DB17" s="1701"/>
      <c r="DC17" s="1701"/>
      <c r="DD17" s="1701"/>
      <c r="DE17" s="1701"/>
      <c r="DF17" s="1701"/>
      <c r="DG17" s="1701"/>
      <c r="DH17" s="1701"/>
      <c r="DI17" s="1701"/>
      <c r="DJ17" s="1701" t="s">
        <v>1326</v>
      </c>
      <c r="DK17" s="1701"/>
      <c r="DL17" s="1701"/>
      <c r="DM17" s="1701"/>
      <c r="DN17" s="1701"/>
      <c r="DO17" s="1701"/>
      <c r="DP17" s="1701"/>
      <c r="DQ17" s="1701"/>
      <c r="DR17" s="1701"/>
      <c r="DS17" s="1701"/>
      <c r="DT17" s="1701"/>
      <c r="DU17" s="1701"/>
      <c r="DV17" s="1701"/>
      <c r="DW17" s="1701"/>
      <c r="DX17" s="1701"/>
      <c r="DY17" s="1701"/>
      <c r="DZ17" s="1701"/>
      <c r="EA17" s="1701"/>
      <c r="EB17" s="1701"/>
      <c r="EC17" s="1701"/>
      <c r="ED17" s="1701"/>
      <c r="EE17" s="1701"/>
      <c r="EF17" s="1701"/>
      <c r="EG17" s="1701"/>
      <c r="EH17" s="1701"/>
      <c r="EI17" s="1701"/>
      <c r="EJ17" s="1701"/>
      <c r="EK17" s="1701"/>
      <c r="EL17" s="1701"/>
      <c r="EM17" s="1701"/>
      <c r="EN17" s="1701"/>
      <c r="EO17" s="1701"/>
      <c r="EP17" s="1701"/>
      <c r="EQ17" s="1701"/>
      <c r="ER17" s="1701"/>
      <c r="ES17" s="1701"/>
      <c r="ET17" s="1701"/>
      <c r="EU17" s="1701"/>
      <c r="EV17" s="1701"/>
      <c r="EW17" s="1701"/>
      <c r="EX17" s="1701"/>
      <c r="EY17" s="1701"/>
      <c r="EZ17" s="1701"/>
      <c r="FA17" s="1701"/>
      <c r="FB17" s="1701"/>
      <c r="FC17" s="1701"/>
      <c r="FD17" s="1701"/>
      <c r="FE17" s="1701"/>
      <c r="FF17" s="1701"/>
      <c r="FG17" s="1701"/>
      <c r="FH17" s="1701"/>
      <c r="FI17" s="1701"/>
      <c r="FJ17" s="1702"/>
      <c r="FK17" s="1701"/>
      <c r="FL17" s="1701"/>
      <c r="FM17" s="1701"/>
      <c r="FN17" s="1701"/>
      <c r="FO17" s="1701"/>
      <c r="FP17" s="1701"/>
      <c r="FQ17" s="1701"/>
      <c r="FR17" s="1701"/>
      <c r="FS17" s="1701"/>
      <c r="FT17" s="1701"/>
      <c r="FU17" s="1701"/>
      <c r="FV17" s="1701"/>
      <c r="FW17" s="1701"/>
      <c r="FX17" s="1701"/>
      <c r="FY17" s="1701"/>
      <c r="FZ17" s="1701" t="s">
        <v>1326</v>
      </c>
      <c r="GA17" s="1701"/>
      <c r="GB17" s="1701"/>
      <c r="GC17" s="1701"/>
      <c r="GD17" s="1701"/>
      <c r="GE17" s="1701"/>
      <c r="GF17" s="1701"/>
      <c r="GG17" s="1701"/>
      <c r="GH17" s="1701"/>
      <c r="GI17" s="1701"/>
      <c r="GJ17" s="1701"/>
      <c r="GK17" s="1701"/>
      <c r="GL17" s="1701"/>
      <c r="GM17" s="1701"/>
      <c r="GN17" s="1701" t="s">
        <v>89</v>
      </c>
      <c r="GO17" s="1701"/>
      <c r="GP17" s="1701"/>
      <c r="GQ17" s="1701"/>
      <c r="GR17" s="1701"/>
      <c r="GS17" s="1701"/>
      <c r="GT17" s="1701" t="s">
        <v>89</v>
      </c>
      <c r="GU17" s="1701"/>
      <c r="GV17" s="1701" t="s">
        <v>89</v>
      </c>
      <c r="GW17" s="1701"/>
      <c r="GX17" s="1701" t="s">
        <v>89</v>
      </c>
      <c r="GY17" s="1701" t="s">
        <v>206</v>
      </c>
      <c r="GZ17" s="1701"/>
      <c r="HA17" s="1701"/>
      <c r="HB17" s="1701"/>
      <c r="HC17" s="1701"/>
      <c r="HD17" s="1701"/>
      <c r="HE17" s="1701"/>
      <c r="HF17" s="1701"/>
      <c r="HG17" s="1701"/>
      <c r="HH17" s="1701"/>
      <c r="HI17" s="1701"/>
      <c r="HJ17" s="1701"/>
      <c r="HK17" s="1701"/>
      <c r="HL17" s="1701"/>
      <c r="HM17" s="1701"/>
      <c r="HN17" s="1701"/>
      <c r="HO17" s="1701"/>
      <c r="HP17" s="1701"/>
      <c r="HQ17" s="1701"/>
      <c r="HR17" s="1703"/>
      <c r="HS17" s="1703"/>
      <c r="HT17" s="1701"/>
      <c r="HU17" s="1701"/>
      <c r="HV17" s="1701"/>
      <c r="HW17" s="1701"/>
      <c r="HX17" s="1701"/>
      <c r="HY17" s="1688"/>
      <c r="HZ17" s="1688"/>
      <c r="IA17" s="1688"/>
      <c r="IB17" s="1688"/>
      <c r="IC17" s="1688"/>
      <c r="ID17" s="1688"/>
      <c r="IE17" s="1688"/>
      <c r="IF17" s="1688"/>
      <c r="IG17" s="1688"/>
      <c r="IH17" s="1688"/>
      <c r="II17" s="1688"/>
      <c r="IJ17" s="1688"/>
      <c r="IK17" s="1688"/>
      <c r="IL17" s="1688"/>
      <c r="IM17" s="1688"/>
      <c r="IN17" s="1688"/>
      <c r="IO17" s="1688"/>
      <c r="IP17" s="1688"/>
      <c r="IQ17" s="1688"/>
      <c r="IR17" s="1688"/>
      <c r="IS17" s="1688"/>
      <c r="IT17" s="1688"/>
      <c r="IU17" s="1688"/>
      <c r="IV17" s="1688"/>
    </row>
    <row r="18" spans="8:8" ht="20.0" customHeight="1">
      <c r="A18" s="1723" t="s">
        <v>92</v>
      </c>
      <c r="B18" s="1701"/>
      <c r="C18" s="1701" t="str">
        <f>IF(ISTEXT(_xlfn.IFERROR(VLOOKUP(A18,职业列表!I3:J10,1,FALSE),0)),"★","")</f>
        <v/>
      </c>
      <c r="D18" s="1703"/>
      <c r="E18" s="1701"/>
      <c r="F18" s="1701"/>
      <c r="G18" s="1701"/>
      <c r="H18" s="1701"/>
      <c r="I18" s="1701"/>
      <c r="J18" s="1701"/>
      <c r="K18" s="1701"/>
      <c r="L18" s="1701"/>
      <c r="M18" s="1701"/>
      <c r="N18" s="1701"/>
      <c r="O18" s="1701"/>
      <c r="P18" s="1701"/>
      <c r="Q18" s="1701"/>
      <c r="R18" s="1701"/>
      <c r="S18" s="1701"/>
      <c r="T18" s="1701"/>
      <c r="U18" s="1701"/>
      <c r="V18" s="1701"/>
      <c r="W18" s="1701"/>
      <c r="X18" s="1701"/>
      <c r="Y18" s="1701"/>
      <c r="Z18" s="1701"/>
      <c r="AA18" s="1701"/>
      <c r="AB18" s="1701"/>
      <c r="AC18" s="1701"/>
      <c r="AD18" s="1701"/>
      <c r="AE18" s="1701"/>
      <c r="AF18" s="1701"/>
      <c r="AG18" s="1701"/>
      <c r="AH18" s="1701"/>
      <c r="AI18" s="1701"/>
      <c r="AJ18" s="1701"/>
      <c r="AK18" s="1701"/>
      <c r="AL18" s="1701"/>
      <c r="AM18" s="1701"/>
      <c r="AN18" s="1701"/>
      <c r="AO18" s="1701"/>
      <c r="AP18" s="1701"/>
      <c r="AQ18" s="1701"/>
      <c r="AR18" s="1701"/>
      <c r="AS18" s="1701"/>
      <c r="AT18" s="1701"/>
      <c r="AU18" s="1701"/>
      <c r="AV18" s="1701"/>
      <c r="AW18" s="1701"/>
      <c r="AX18" s="1701"/>
      <c r="AY18" s="1701"/>
      <c r="AZ18" s="1701"/>
      <c r="BA18" s="1701"/>
      <c r="BB18" s="1701"/>
      <c r="BC18" s="1701"/>
      <c r="BD18" s="1701"/>
      <c r="BE18" s="1701"/>
      <c r="BF18" s="1701"/>
      <c r="BG18" s="1701"/>
      <c r="BH18" s="1701"/>
      <c r="BI18" s="1701"/>
      <c r="BJ18" s="1701"/>
      <c r="BK18" s="1701"/>
      <c r="BL18" s="1701"/>
      <c r="BM18" s="1701"/>
      <c r="BN18" s="1701"/>
      <c r="BO18" s="1701"/>
      <c r="BP18" s="1701"/>
      <c r="BQ18" s="1701"/>
      <c r="BR18" s="1701"/>
      <c r="BS18" s="1701"/>
      <c r="BT18" s="1701"/>
      <c r="BU18" s="1701"/>
      <c r="BV18" s="1701"/>
      <c r="BW18" s="1701"/>
      <c r="BX18" s="1701"/>
      <c r="BY18" s="1701"/>
      <c r="BZ18" s="1701"/>
      <c r="CA18" s="1701"/>
      <c r="CB18" s="1701"/>
      <c r="CC18" s="1701"/>
      <c r="CD18" s="1701"/>
      <c r="CE18" s="1701"/>
      <c r="CF18" s="1701"/>
      <c r="CG18" s="1701"/>
      <c r="CH18" s="1701"/>
      <c r="CI18" s="1701"/>
      <c r="CJ18" s="1701"/>
      <c r="CK18" s="1701"/>
      <c r="CL18" s="1701"/>
      <c r="CM18" s="1701"/>
      <c r="CN18" s="1701"/>
      <c r="CO18" s="1701"/>
      <c r="CP18" s="1701"/>
      <c r="CQ18" s="1701"/>
      <c r="CR18" s="1701"/>
      <c r="CS18" s="1701"/>
      <c r="CT18" s="1701"/>
      <c r="CU18" s="1701"/>
      <c r="CV18" s="1701"/>
      <c r="CW18" s="1701"/>
      <c r="CX18" s="1701"/>
      <c r="CY18" s="1701"/>
      <c r="CZ18" s="1701"/>
      <c r="DA18" s="1701"/>
      <c r="DB18" s="1701"/>
      <c r="DC18" s="1701"/>
      <c r="DD18" s="1701"/>
      <c r="DE18" s="1701"/>
      <c r="DF18" s="1701"/>
      <c r="DG18" s="1701"/>
      <c r="DH18" s="1701"/>
      <c r="DI18" s="1701"/>
      <c r="DJ18" s="1701"/>
      <c r="DK18" s="1701"/>
      <c r="DL18" s="1701"/>
      <c r="DM18" s="1701"/>
      <c r="DN18" s="1701"/>
      <c r="DO18" s="1701"/>
      <c r="DP18" s="1701"/>
      <c r="DQ18" s="1701"/>
      <c r="DR18" s="1701"/>
      <c r="DS18" s="1701"/>
      <c r="DT18" s="1701"/>
      <c r="DU18" s="1701"/>
      <c r="DV18" s="1701"/>
      <c r="DW18" s="1701"/>
      <c r="DX18" s="1701"/>
      <c r="DY18" s="1701"/>
      <c r="DZ18" s="1701"/>
      <c r="EA18" s="1701"/>
      <c r="EB18" s="1701"/>
      <c r="EC18" s="1701"/>
      <c r="ED18" s="1701"/>
      <c r="EE18" s="1701"/>
      <c r="EF18" s="1701"/>
      <c r="EG18" s="1701"/>
      <c r="EH18" s="1701"/>
      <c r="EI18" s="1701"/>
      <c r="EJ18" s="1701"/>
      <c r="EK18" s="1701"/>
      <c r="EL18" s="1701"/>
      <c r="EM18" s="1701"/>
      <c r="EN18" s="1701"/>
      <c r="EO18" s="1701"/>
      <c r="EP18" s="1701"/>
      <c r="EQ18" s="1701"/>
      <c r="ER18" s="1701"/>
      <c r="ES18" s="1701"/>
      <c r="ET18" s="1701"/>
      <c r="EU18" s="1701"/>
      <c r="EV18" s="1701"/>
      <c r="EW18" s="1701"/>
      <c r="EX18" s="1701"/>
      <c r="EY18" s="1701"/>
      <c r="EZ18" s="1701"/>
      <c r="FA18" s="1701"/>
      <c r="FB18" s="1701"/>
      <c r="FC18" s="1701"/>
      <c r="FD18" s="1701"/>
      <c r="FE18" s="1701"/>
      <c r="FF18" s="1701"/>
      <c r="FG18" s="1701"/>
      <c r="FH18" s="1701"/>
      <c r="FI18" s="1701"/>
      <c r="FJ18" s="1701"/>
      <c r="FK18" s="1701"/>
      <c r="FL18" s="1701"/>
      <c r="FM18" s="1701"/>
      <c r="FN18" s="1701"/>
      <c r="FO18" s="1701"/>
      <c r="FP18" s="1701"/>
      <c r="FQ18" s="1701"/>
      <c r="FR18" s="1701"/>
      <c r="FS18" s="1701"/>
      <c r="FT18" s="1701"/>
      <c r="FU18" s="1701"/>
      <c r="FV18" s="1701"/>
      <c r="FW18" s="1701"/>
      <c r="FX18" s="1701"/>
      <c r="FY18" s="1701"/>
      <c r="FZ18" s="1701"/>
      <c r="GA18" s="1701"/>
      <c r="GB18" s="1701"/>
      <c r="GC18" s="1701"/>
      <c r="GD18" s="1701"/>
      <c r="GE18" s="1701"/>
      <c r="GF18" s="1701"/>
      <c r="GG18" s="1701"/>
      <c r="GH18" s="1701"/>
      <c r="GI18" s="1701"/>
      <c r="GJ18" s="1701"/>
      <c r="GK18" s="1701"/>
      <c r="GL18" s="1701"/>
      <c r="GM18" s="1701"/>
      <c r="GN18" s="1701"/>
      <c r="GO18" s="1701"/>
      <c r="GP18" s="1701"/>
      <c r="GQ18" s="1701"/>
      <c r="GR18" s="1701"/>
      <c r="GS18" s="1701"/>
      <c r="GT18" s="1701"/>
      <c r="GU18" s="1701"/>
      <c r="GV18" s="1701"/>
      <c r="GW18" s="1701"/>
      <c r="GX18" s="1701"/>
      <c r="GY18" s="1701"/>
      <c r="GZ18" s="1701"/>
      <c r="HA18" s="1701"/>
      <c r="HB18" s="1701"/>
      <c r="HC18" s="1701"/>
      <c r="HD18" s="1701"/>
      <c r="HE18" s="1701"/>
      <c r="HF18" s="1701"/>
      <c r="HG18" s="1701"/>
      <c r="HH18" s="1701"/>
      <c r="HI18" s="1701"/>
      <c r="HJ18" s="1701"/>
      <c r="HK18" s="1701"/>
      <c r="HL18" s="1701"/>
      <c r="HM18" s="1701"/>
      <c r="HN18" s="1701"/>
      <c r="HO18" s="1701"/>
      <c r="HP18" s="1701"/>
      <c r="HQ18" s="1701"/>
      <c r="HR18" s="1701"/>
      <c r="HS18" s="1701"/>
      <c r="HT18" s="1701"/>
      <c r="HU18" s="1701"/>
      <c r="HV18" s="1701"/>
      <c r="HW18" s="1701"/>
      <c r="HX18" s="1701"/>
      <c r="HY18" s="1688"/>
      <c r="HZ18" s="1688"/>
      <c r="IA18" s="1688"/>
      <c r="IB18" s="1688"/>
      <c r="IC18" s="1688"/>
      <c r="ID18" s="1688"/>
      <c r="IE18" s="1688"/>
      <c r="IF18" s="1688"/>
      <c r="IG18" s="1688"/>
      <c r="IH18" s="1688"/>
      <c r="II18" s="1688"/>
      <c r="IJ18" s="1688"/>
      <c r="IK18" s="1688"/>
      <c r="IL18" s="1688"/>
      <c r="IM18" s="1688"/>
      <c r="IN18" s="1688"/>
      <c r="IO18" s="1688"/>
      <c r="IP18" s="1688"/>
      <c r="IQ18" s="1688"/>
      <c r="IR18" s="1688"/>
      <c r="IS18" s="1688"/>
      <c r="IT18" s="1688"/>
      <c r="IU18" s="1688"/>
      <c r="IV18" s="1688"/>
    </row>
    <row r="19" spans="8:8" ht="20.0" customHeight="1">
      <c r="A19" s="1700" t="s">
        <v>99</v>
      </c>
      <c r="B19" s="1701"/>
      <c r="C19" s="1701" t="str">
        <f>IF(ISTEXT(_xlfn.IFERROR(VLOOKUP(A19,职业列表!I3:J10,1,FALSE),0)),"★","")</f>
        <v/>
      </c>
      <c r="D19" s="1703"/>
      <c r="E19" s="1701"/>
      <c r="F19" s="1703" t="s">
        <v>89</v>
      </c>
      <c r="G19" s="1703" t="s">
        <v>89</v>
      </c>
      <c r="H19" s="1701"/>
      <c r="I19" s="1701"/>
      <c r="J19" s="1701"/>
      <c r="K19" s="1701"/>
      <c r="L19" s="1701"/>
      <c r="M19" s="1701"/>
      <c r="N19" s="1701"/>
      <c r="O19" s="1701"/>
      <c r="P19" s="1701"/>
      <c r="Q19" s="1701"/>
      <c r="R19" s="1701"/>
      <c r="S19" s="1701"/>
      <c r="T19" s="1701"/>
      <c r="U19" s="1701"/>
      <c r="V19" s="1701"/>
      <c r="W19" s="1701"/>
      <c r="X19" s="1701"/>
      <c r="Y19" s="1701"/>
      <c r="Z19" s="1701"/>
      <c r="AA19" s="1701"/>
      <c r="AB19" s="1701"/>
      <c r="AC19" s="1701"/>
      <c r="AD19" s="1703" t="s">
        <v>89</v>
      </c>
      <c r="AE19" s="1701"/>
      <c r="AF19" s="1701"/>
      <c r="AG19" s="1701"/>
      <c r="AH19" s="1701"/>
      <c r="AI19" s="1701" t="s">
        <v>1326</v>
      </c>
      <c r="AJ19" s="1701"/>
      <c r="AK19" s="1701"/>
      <c r="AL19" s="1701"/>
      <c r="AM19" s="1701"/>
      <c r="AN19" s="1701"/>
      <c r="AO19" s="1701"/>
      <c r="AP19" s="1701"/>
      <c r="AQ19" s="1701"/>
      <c r="AR19" s="1701"/>
      <c r="AS19" s="1701"/>
      <c r="AT19" s="1701"/>
      <c r="AU19" s="1701"/>
      <c r="AV19" s="1701"/>
      <c r="AW19" s="1701"/>
      <c r="AX19" s="1701"/>
      <c r="AY19" s="1701"/>
      <c r="AZ19" s="1701"/>
      <c r="BA19" s="1701"/>
      <c r="BB19" s="1703" t="s">
        <v>89</v>
      </c>
      <c r="BC19" s="1701"/>
      <c r="BD19" s="1701"/>
      <c r="BE19" s="1701"/>
      <c r="BF19" s="1701"/>
      <c r="BG19" s="1701"/>
      <c r="BH19" s="1701"/>
      <c r="BI19" s="1701"/>
      <c r="BJ19" s="1701"/>
      <c r="BK19" s="1701"/>
      <c r="BL19" s="1701"/>
      <c r="BM19" s="1701"/>
      <c r="BN19" s="1701"/>
      <c r="BO19" s="1701"/>
      <c r="BP19" s="1701"/>
      <c r="BQ19" s="1701"/>
      <c r="BR19" s="1701"/>
      <c r="BS19" s="1701"/>
      <c r="BT19" s="1701"/>
      <c r="BU19" s="1701"/>
      <c r="BV19" s="1701"/>
      <c r="BW19" s="1701"/>
      <c r="BX19" s="1701"/>
      <c r="BY19" s="1701"/>
      <c r="BZ19" s="1701"/>
      <c r="CA19" s="1701"/>
      <c r="CB19" s="1701"/>
      <c r="CC19" s="1701"/>
      <c r="CD19" s="1701"/>
      <c r="CE19" s="1701"/>
      <c r="CF19" s="1701"/>
      <c r="CG19" s="1701"/>
      <c r="CH19" s="1701"/>
      <c r="CI19" s="1701"/>
      <c r="CJ19" s="1701"/>
      <c r="CK19" s="1701"/>
      <c r="CL19" s="1701"/>
      <c r="CM19" s="1703" t="s">
        <v>1326</v>
      </c>
      <c r="CN19" s="1701"/>
      <c r="CO19" s="1703" t="s">
        <v>89</v>
      </c>
      <c r="CP19" s="1701"/>
      <c r="CQ19" s="1701"/>
      <c r="CR19" s="1701"/>
      <c r="CS19" s="1701"/>
      <c r="CT19" s="1701"/>
      <c r="CU19" s="1701"/>
      <c r="CV19" s="1701"/>
      <c r="CW19" s="1701"/>
      <c r="CX19" s="1701"/>
      <c r="CY19" s="1701"/>
      <c r="CZ19" s="1701"/>
      <c r="DA19" s="1701"/>
      <c r="DB19" s="1701"/>
      <c r="DC19" s="1701" t="s">
        <v>1326</v>
      </c>
      <c r="DD19" s="1701"/>
      <c r="DE19" s="1701"/>
      <c r="DF19" s="1701"/>
      <c r="DG19" s="1701"/>
      <c r="DH19" s="1701"/>
      <c r="DI19" s="1701"/>
      <c r="DJ19" s="1701"/>
      <c r="DK19" s="1701"/>
      <c r="DL19" s="1701"/>
      <c r="DM19" s="1701"/>
      <c r="DN19" s="1701"/>
      <c r="DO19" s="1701"/>
      <c r="DP19" s="1701"/>
      <c r="DQ19" s="1701"/>
      <c r="DR19" s="1701"/>
      <c r="DS19" s="1701" t="s">
        <v>89</v>
      </c>
      <c r="DT19" s="1701"/>
      <c r="DU19" s="1701"/>
      <c r="DV19" s="1701"/>
      <c r="DW19" s="1701"/>
      <c r="DX19" s="1701" t="s">
        <v>89</v>
      </c>
      <c r="DY19" s="1701"/>
      <c r="DZ19" s="1701"/>
      <c r="EA19" s="1701"/>
      <c r="EB19" s="1701"/>
      <c r="EC19" s="1701" t="s">
        <v>89</v>
      </c>
      <c r="ED19" s="1701"/>
      <c r="EE19" s="1701"/>
      <c r="EF19" s="1701"/>
      <c r="EG19" s="1701"/>
      <c r="EH19" s="1701"/>
      <c r="EI19" s="1701"/>
      <c r="EJ19" s="1701"/>
      <c r="EK19" s="1701"/>
      <c r="EL19" s="1701"/>
      <c r="EM19" s="1701"/>
      <c r="EN19" s="1701"/>
      <c r="EO19" s="1701"/>
      <c r="EP19" s="1701"/>
      <c r="EQ19" s="1701"/>
      <c r="ER19" s="1701"/>
      <c r="ES19" s="1701"/>
      <c r="ET19" s="1701"/>
      <c r="EU19" s="1701" t="s">
        <v>89</v>
      </c>
      <c r="EV19" s="1701"/>
      <c r="EW19" s="1701"/>
      <c r="EX19" s="1701"/>
      <c r="EY19" s="1701"/>
      <c r="EZ19" s="1701"/>
      <c r="FA19" s="1701"/>
      <c r="FB19" s="1701"/>
      <c r="FC19" s="1701"/>
      <c r="FD19" s="1701"/>
      <c r="FE19" s="1701"/>
      <c r="FF19" s="1701"/>
      <c r="FG19" s="1701"/>
      <c r="FH19" s="1701"/>
      <c r="FI19" s="1701"/>
      <c r="FJ19" s="1701"/>
      <c r="FK19" s="1701"/>
      <c r="FL19" s="1701"/>
      <c r="FM19" s="1701"/>
      <c r="FN19" s="1701" t="s">
        <v>89</v>
      </c>
      <c r="FO19" s="1701"/>
      <c r="FP19" s="1701"/>
      <c r="FQ19" s="1701"/>
      <c r="FR19" s="1701"/>
      <c r="FS19" s="1701"/>
      <c r="FT19" s="1701"/>
      <c r="FU19" s="1701"/>
      <c r="FV19" s="1701"/>
      <c r="FW19" s="1701"/>
      <c r="FX19" s="1701"/>
      <c r="FY19" s="1701" t="s">
        <v>89</v>
      </c>
      <c r="FZ19" s="1701" t="s">
        <v>89</v>
      </c>
      <c r="GA19" s="1701"/>
      <c r="GB19" s="1701"/>
      <c r="GC19" s="1701"/>
      <c r="GD19" s="1701"/>
      <c r="GE19" s="1701"/>
      <c r="GF19" s="1701" t="s">
        <v>89</v>
      </c>
      <c r="GG19" s="1701" t="s">
        <v>89</v>
      </c>
      <c r="GH19" s="1701" t="s">
        <v>89</v>
      </c>
      <c r="GI19" s="1701" t="s">
        <v>89</v>
      </c>
      <c r="GJ19" s="1701"/>
      <c r="GK19" s="1701"/>
      <c r="GL19" s="1701"/>
      <c r="GM19" s="1701"/>
      <c r="GN19" s="1701" t="s">
        <v>89</v>
      </c>
      <c r="GO19" s="1701"/>
      <c r="GP19" s="1701"/>
      <c r="GQ19" s="1701"/>
      <c r="GR19" s="1701"/>
      <c r="GS19" s="1701"/>
      <c r="GT19" s="1701"/>
      <c r="GU19" s="1701"/>
      <c r="GV19" s="1701"/>
      <c r="GW19" s="1701"/>
      <c r="GX19" s="1701"/>
      <c r="GY19" s="1703" t="s">
        <v>1326</v>
      </c>
      <c r="GZ19" s="1702"/>
      <c r="HA19" s="1701"/>
      <c r="HB19" s="1701"/>
      <c r="HC19" s="1701"/>
      <c r="HD19" s="1701"/>
      <c r="HE19" s="1701"/>
      <c r="HF19" s="1701"/>
      <c r="HG19" s="1701"/>
      <c r="HH19" s="1701" t="s">
        <v>89</v>
      </c>
      <c r="HI19" s="1701"/>
      <c r="HJ19" s="1701" t="s">
        <v>89</v>
      </c>
      <c r="HK19" s="1701"/>
      <c r="HL19" s="1701"/>
      <c r="HM19" s="1701"/>
      <c r="HN19" s="1701"/>
      <c r="HO19" s="1701"/>
      <c r="HP19" s="1701"/>
      <c r="HQ19" s="1701"/>
      <c r="HR19" s="1701"/>
      <c r="HS19" s="1701"/>
      <c r="HT19" s="1701"/>
      <c r="HU19" s="1701"/>
      <c r="HV19" s="1703"/>
      <c r="HW19" s="1701"/>
      <c r="HX19" s="1701" t="s">
        <v>89</v>
      </c>
      <c r="HY19" s="1688"/>
      <c r="HZ19" s="1688"/>
      <c r="IA19" s="1688"/>
      <c r="IB19" s="1688"/>
      <c r="IC19" s="1688"/>
      <c r="ID19" s="1688"/>
      <c r="IE19" s="1688"/>
      <c r="IF19" s="1688"/>
      <c r="IG19" s="1688"/>
      <c r="IH19" s="1688"/>
      <c r="II19" s="1688"/>
      <c r="IJ19" s="1688"/>
      <c r="IK19" s="1688"/>
      <c r="IL19" s="1688"/>
      <c r="IM19" s="1688"/>
      <c r="IN19" s="1688"/>
      <c r="IO19" s="1688"/>
      <c r="IP19" s="1688"/>
      <c r="IQ19" s="1688"/>
      <c r="IR19" s="1688"/>
      <c r="IS19" s="1688"/>
      <c r="IT19" s="1688"/>
      <c r="IU19" s="1688"/>
      <c r="IV19" s="1688"/>
    </row>
    <row r="20" spans="8:8" s="1724" ht="20.0" customFormat="1" customHeight="1">
      <c r="A20" s="1725" t="s">
        <v>101</v>
      </c>
      <c r="B20" s="1726"/>
      <c r="C20" s="1701" t="str">
        <f>IF(ISTEXT(_xlfn.IFERROR(VLOOKUP(A20,职业列表!I3:J10,1,FALSE),0)),"★","")</f>
        <v/>
      </c>
      <c r="D20" s="1727"/>
      <c r="E20" s="1727" t="s">
        <v>89</v>
      </c>
      <c r="F20" s="1726"/>
      <c r="G20" s="1726"/>
      <c r="H20" s="1726"/>
      <c r="I20" s="1726"/>
      <c r="J20" s="1726"/>
      <c r="K20" s="1726"/>
      <c r="L20" s="1726"/>
      <c r="M20" s="1726"/>
      <c r="N20" s="1726"/>
      <c r="O20" s="1726"/>
      <c r="P20" s="1727" t="s">
        <v>89</v>
      </c>
      <c r="Q20" s="1726"/>
      <c r="R20" s="1726"/>
      <c r="S20" s="1726"/>
      <c r="T20" s="1726"/>
      <c r="U20" s="1726"/>
      <c r="V20" s="1726"/>
      <c r="W20" s="1727" t="s">
        <v>89</v>
      </c>
      <c r="X20" s="1726"/>
      <c r="Y20" s="1726"/>
      <c r="Z20" s="1726"/>
      <c r="AA20" s="1726"/>
      <c r="AB20" s="1727" t="s">
        <v>89</v>
      </c>
      <c r="AC20" s="1726"/>
      <c r="AD20" s="1726"/>
      <c r="AE20" s="1726"/>
      <c r="AF20" s="1726"/>
      <c r="AG20" s="1726"/>
      <c r="AH20" s="1726"/>
      <c r="AI20" s="1726"/>
      <c r="AJ20" s="1726"/>
      <c r="AK20" s="1726"/>
      <c r="AL20" s="1726"/>
      <c r="AM20" s="1726"/>
      <c r="AN20" s="1726"/>
      <c r="AO20" s="1726"/>
      <c r="AP20" s="1726"/>
      <c r="AQ20" s="1726"/>
      <c r="AR20" s="1726"/>
      <c r="AS20" s="1726"/>
      <c r="AT20" s="1726"/>
      <c r="AU20" s="1726"/>
      <c r="AV20" s="1726"/>
      <c r="AW20" s="1726"/>
      <c r="AX20" s="1726"/>
      <c r="AY20" s="1726"/>
      <c r="AZ20" s="1726"/>
      <c r="BA20" s="1726"/>
      <c r="BB20" s="1726"/>
      <c r="BC20" s="1726"/>
      <c r="BD20" s="1726"/>
      <c r="BE20" s="1726"/>
      <c r="BF20" s="1727" t="s">
        <v>89</v>
      </c>
      <c r="BG20" s="1726"/>
      <c r="BH20" s="1726"/>
      <c r="BI20" s="1726"/>
      <c r="BJ20" s="1726"/>
      <c r="BK20" s="1726"/>
      <c r="BL20" s="1726"/>
      <c r="BM20" s="1726"/>
      <c r="BN20" s="1726"/>
      <c r="BO20" s="1726"/>
      <c r="BP20" s="1726"/>
      <c r="BQ20" s="1726"/>
      <c r="BR20" s="1726"/>
      <c r="BS20" s="1726"/>
      <c r="BT20" s="1727" t="s">
        <v>89</v>
      </c>
      <c r="BU20" s="1726"/>
      <c r="BV20" s="1726"/>
      <c r="BW20" s="1726"/>
      <c r="BX20" s="1726"/>
      <c r="BY20" s="1726"/>
      <c r="BZ20" s="1726"/>
      <c r="CA20" s="1726"/>
      <c r="CB20" s="1726"/>
      <c r="CC20" s="1726"/>
      <c r="CD20" s="1726"/>
      <c r="CE20" s="1726"/>
      <c r="CF20" s="1726"/>
      <c r="CG20" s="1726"/>
      <c r="CH20" s="1726"/>
      <c r="CI20" s="1726"/>
      <c r="CJ20" s="1726"/>
      <c r="CK20" s="1726"/>
      <c r="CL20" s="1726"/>
      <c r="CM20" s="1726"/>
      <c r="CN20" s="1726"/>
      <c r="CO20" s="1726"/>
      <c r="CP20" s="1726"/>
      <c r="CQ20" s="1726"/>
      <c r="CR20" s="1727" t="s">
        <v>89</v>
      </c>
      <c r="CS20" s="1726"/>
      <c r="CT20" s="1726"/>
      <c r="CU20" s="1726"/>
      <c r="CV20" s="1726"/>
      <c r="CW20" s="1726"/>
      <c r="CX20" s="1726"/>
      <c r="CY20" s="1726"/>
      <c r="CZ20" s="1726"/>
      <c r="DA20" s="1726"/>
      <c r="DB20" s="1727" t="s">
        <v>89</v>
      </c>
      <c r="DC20" s="1726"/>
      <c r="DD20" s="1726"/>
      <c r="DE20" s="1727" t="s">
        <v>89</v>
      </c>
      <c r="DF20" s="1726"/>
      <c r="DG20" s="1726"/>
      <c r="DH20" s="1726"/>
      <c r="DI20" s="1727" t="s">
        <v>89</v>
      </c>
      <c r="DJ20" s="1726"/>
      <c r="DK20" s="1726"/>
      <c r="DL20" s="1726"/>
      <c r="DM20" s="1727" t="s">
        <v>89</v>
      </c>
      <c r="DN20" s="1726"/>
      <c r="DO20" s="1726"/>
      <c r="DP20" s="1726"/>
      <c r="DQ20" s="1726" t="s">
        <v>89</v>
      </c>
      <c r="DR20" s="1726" t="s">
        <v>89</v>
      </c>
      <c r="DS20" s="1726" t="s">
        <v>89</v>
      </c>
      <c r="DT20" s="1726"/>
      <c r="DU20" s="1726"/>
      <c r="DV20" s="1726"/>
      <c r="DW20" s="1726"/>
      <c r="DX20" s="1726"/>
      <c r="DY20" s="1726"/>
      <c r="DZ20" s="1726"/>
      <c r="EA20" s="1726"/>
      <c r="EB20" s="1726"/>
      <c r="EC20" s="1726"/>
      <c r="ED20" s="1726"/>
      <c r="EE20" s="1726"/>
      <c r="EF20" s="1726"/>
      <c r="EG20" s="1726"/>
      <c r="EH20" s="1726"/>
      <c r="EI20" s="1726"/>
      <c r="EJ20" s="1726"/>
      <c r="EK20" s="1726"/>
      <c r="EL20" s="1726"/>
      <c r="EM20" s="1726" t="s">
        <v>89</v>
      </c>
      <c r="EN20" s="1726"/>
      <c r="EO20" s="1726"/>
      <c r="EP20" s="1726"/>
      <c r="EQ20" s="1726"/>
      <c r="ER20" s="1726"/>
      <c r="ES20" s="1726"/>
      <c r="ET20" s="1726"/>
      <c r="EU20" s="1726"/>
      <c r="EV20" s="1726"/>
      <c r="EW20" s="1726"/>
      <c r="EX20" s="1726"/>
      <c r="EY20" s="1726"/>
      <c r="EZ20" s="1726"/>
      <c r="FA20" s="1726"/>
      <c r="FB20" s="1726"/>
      <c r="FC20" s="1726"/>
      <c r="FD20" s="1726"/>
      <c r="FE20" s="1726"/>
      <c r="FF20" s="1726"/>
      <c r="FG20" s="1726"/>
      <c r="FH20" s="1726"/>
      <c r="FI20" s="1726"/>
      <c r="FJ20" s="1726"/>
      <c r="FK20" s="1726"/>
      <c r="FL20" s="1726"/>
      <c r="FM20" s="1726"/>
      <c r="FN20" s="1726"/>
      <c r="FO20" s="1726" t="s">
        <v>89</v>
      </c>
      <c r="FP20" s="1726"/>
      <c r="FQ20" s="1726"/>
      <c r="FR20" s="1726"/>
      <c r="FS20" s="1726"/>
      <c r="FT20" s="1726"/>
      <c r="FU20" s="1726"/>
      <c r="FV20" s="1726"/>
      <c r="FW20" s="1726"/>
      <c r="FX20" s="1726"/>
      <c r="FY20" s="1726"/>
      <c r="FZ20" s="1726"/>
      <c r="GA20" s="1726"/>
      <c r="GB20" s="1726"/>
      <c r="GC20" s="1726" t="s">
        <v>89</v>
      </c>
      <c r="GD20" s="1726" t="s">
        <v>89</v>
      </c>
      <c r="GE20" s="1726"/>
      <c r="GF20" s="1726"/>
      <c r="GG20" s="1726"/>
      <c r="GH20" s="1726"/>
      <c r="GI20" s="1726"/>
      <c r="GJ20" s="1726" t="s">
        <v>89</v>
      </c>
      <c r="GK20" s="1726"/>
      <c r="GL20" s="1726"/>
      <c r="GM20" s="1726"/>
      <c r="GN20" s="1726"/>
      <c r="GO20" s="1726"/>
      <c r="GP20" s="1726"/>
      <c r="GQ20" s="1726"/>
      <c r="GR20" s="1726"/>
      <c r="GS20" s="1726"/>
      <c r="GT20" s="1726"/>
      <c r="GU20" s="1726" t="s">
        <v>89</v>
      </c>
      <c r="GV20" s="1726"/>
      <c r="GW20" s="1726"/>
      <c r="GX20" s="1726"/>
      <c r="GY20" s="1726"/>
      <c r="GZ20" s="1726"/>
      <c r="HA20" s="1726"/>
      <c r="HB20" s="1726"/>
      <c r="HC20" s="1726"/>
      <c r="HD20" s="1726" t="s">
        <v>89</v>
      </c>
      <c r="HE20" s="1726"/>
      <c r="HF20" s="1726"/>
      <c r="HG20" s="1726"/>
      <c r="HH20" s="1727"/>
      <c r="HI20" s="1726"/>
      <c r="HJ20" s="1728" t="s">
        <v>89</v>
      </c>
      <c r="HK20" s="1726"/>
      <c r="HL20" s="1726"/>
      <c r="HM20" s="1726"/>
      <c r="HN20" s="1726" t="s">
        <v>89</v>
      </c>
      <c r="HO20" s="1727" t="s">
        <v>89</v>
      </c>
      <c r="HP20" s="1726"/>
      <c r="HQ20" s="1726"/>
      <c r="HR20" s="1726" t="s">
        <v>89</v>
      </c>
      <c r="HS20" s="1726"/>
      <c r="HT20" s="1727"/>
      <c r="HU20" s="1726" t="s">
        <v>89</v>
      </c>
      <c r="HV20" s="1726"/>
      <c r="HW20" s="1728" t="s">
        <v>89</v>
      </c>
      <c r="HX20" s="1726"/>
      <c r="HY20" s="1729"/>
      <c r="HZ20" s="1729"/>
      <c r="IA20" s="1729"/>
      <c r="IB20" s="1729"/>
      <c r="IC20" s="1729"/>
      <c r="ID20" s="1729"/>
      <c r="IE20" s="1729"/>
      <c r="IF20" s="1729"/>
      <c r="IG20" s="1729"/>
      <c r="IH20" s="1729"/>
      <c r="II20" s="1729"/>
      <c r="IJ20" s="1729"/>
      <c r="IK20" s="1729"/>
      <c r="IL20" s="1729"/>
      <c r="IM20" s="1729"/>
      <c r="IN20" s="1729"/>
      <c r="IO20" s="1729"/>
      <c r="IP20" s="1729"/>
      <c r="IQ20" s="1729"/>
      <c r="IR20" s="1729"/>
      <c r="IS20" s="1729"/>
      <c r="IT20" s="1729"/>
      <c r="IU20" s="1729"/>
      <c r="IV20" s="1729"/>
    </row>
    <row r="21" spans="8:8" ht="20.0" customHeight="1">
      <c r="A21" s="1700" t="s">
        <v>105</v>
      </c>
      <c r="B21" s="1701"/>
      <c r="C21" s="1701" t="str">
        <f>IF(ISTEXT(_xlfn.IFERROR(VLOOKUP(A21,职业列表!I3:J10,1,FALSE),0)),"★","")</f>
        <v/>
      </c>
      <c r="D21" s="1703"/>
      <c r="E21" s="1701"/>
      <c r="F21" s="1701"/>
      <c r="G21" s="1703" t="s">
        <v>89</v>
      </c>
      <c r="H21" s="1701"/>
      <c r="I21" s="1701"/>
      <c r="J21" s="1701"/>
      <c r="K21" s="1701"/>
      <c r="L21" s="1703" t="s">
        <v>89</v>
      </c>
      <c r="M21" s="1701"/>
      <c r="N21" s="1701"/>
      <c r="O21" s="1701"/>
      <c r="P21" s="1701"/>
      <c r="Q21" s="1701"/>
      <c r="R21" s="1701"/>
      <c r="S21" s="1701"/>
      <c r="T21" s="1701"/>
      <c r="U21" s="1703" t="s">
        <v>89</v>
      </c>
      <c r="V21" s="1703" t="s">
        <v>89</v>
      </c>
      <c r="W21" s="1701"/>
      <c r="X21" s="1701"/>
      <c r="Y21" s="1701"/>
      <c r="Z21" s="1701"/>
      <c r="AA21" s="1701"/>
      <c r="AB21" s="1701"/>
      <c r="AC21" s="1701"/>
      <c r="AD21" s="1701"/>
      <c r="AE21" s="1703" t="s">
        <v>89</v>
      </c>
      <c r="AF21" s="1703" t="s">
        <v>89</v>
      </c>
      <c r="AG21" s="1701"/>
      <c r="AH21" s="1701"/>
      <c r="AI21" s="1701"/>
      <c r="AJ21" s="1703" t="s">
        <v>89</v>
      </c>
      <c r="AK21" s="1701"/>
      <c r="AL21" s="1701"/>
      <c r="AM21" s="1701" t="s">
        <v>1326</v>
      </c>
      <c r="AN21" s="1701"/>
      <c r="AO21" s="1701"/>
      <c r="AP21" s="1703" t="s">
        <v>89</v>
      </c>
      <c r="AQ21" s="1701"/>
      <c r="AR21" s="1701"/>
      <c r="AS21" s="1701"/>
      <c r="AT21" s="1701"/>
      <c r="AU21" s="1701"/>
      <c r="AV21" s="1703" t="s">
        <v>89</v>
      </c>
      <c r="AW21" s="1703" t="s">
        <v>89</v>
      </c>
      <c r="AX21" s="1703" t="s">
        <v>89</v>
      </c>
      <c r="AY21" s="1701"/>
      <c r="AZ21" s="1701"/>
      <c r="BA21" s="1701"/>
      <c r="BB21" s="1701"/>
      <c r="BC21" s="1701"/>
      <c r="BD21" s="1703" t="s">
        <v>89</v>
      </c>
      <c r="BE21" s="1703" t="s">
        <v>89</v>
      </c>
      <c r="BF21" s="1703" t="s">
        <v>89</v>
      </c>
      <c r="BG21" s="1701"/>
      <c r="BH21" s="1701"/>
      <c r="BI21" s="1701"/>
      <c r="BJ21" s="1701"/>
      <c r="BK21" s="1703" t="s">
        <v>89</v>
      </c>
      <c r="BL21" s="1701"/>
      <c r="BM21" s="1701"/>
      <c r="BN21" s="1701"/>
      <c r="BO21" s="1701"/>
      <c r="BP21" s="1701"/>
      <c r="BQ21" s="1701"/>
      <c r="BR21" s="1701"/>
      <c r="BS21" s="1703" t="s">
        <v>89</v>
      </c>
      <c r="BT21" s="1701"/>
      <c r="BU21" s="1701"/>
      <c r="BV21" s="1701"/>
      <c r="BW21" s="1701"/>
      <c r="BX21" s="1703" t="s">
        <v>89</v>
      </c>
      <c r="BY21" s="1701"/>
      <c r="BZ21" s="1701"/>
      <c r="CA21" s="1701"/>
      <c r="CB21" s="1701"/>
      <c r="CC21" s="1701"/>
      <c r="CD21" s="1701"/>
      <c r="CE21" s="1701"/>
      <c r="CF21" s="1701"/>
      <c r="CG21" s="1701"/>
      <c r="CH21" s="1701"/>
      <c r="CI21" s="1701"/>
      <c r="CJ21" s="1701"/>
      <c r="CK21" s="1701"/>
      <c r="CL21" s="1701"/>
      <c r="CM21" s="1701"/>
      <c r="CN21" s="1702" t="s">
        <v>1326</v>
      </c>
      <c r="CO21" s="1701"/>
      <c r="CP21" s="1701"/>
      <c r="CQ21" s="1701"/>
      <c r="CR21" s="1701"/>
      <c r="CS21" s="1701"/>
      <c r="CT21" s="1701"/>
      <c r="CU21" s="1701"/>
      <c r="CV21" s="1701"/>
      <c r="CW21" s="1701"/>
      <c r="CX21" s="1703" t="s">
        <v>89</v>
      </c>
      <c r="CY21" s="1701"/>
      <c r="CZ21" s="1701"/>
      <c r="DA21" s="1701"/>
      <c r="DB21" s="1701"/>
      <c r="DC21" s="1701"/>
      <c r="DD21" s="1701"/>
      <c r="DE21" s="1701" t="s">
        <v>1329</v>
      </c>
      <c r="DF21" s="1701"/>
      <c r="DG21" s="1703" t="s">
        <v>89</v>
      </c>
      <c r="DH21" s="1701"/>
      <c r="DI21" s="1701"/>
      <c r="DJ21" s="1701"/>
      <c r="DK21" s="1701"/>
      <c r="DL21" s="1701"/>
      <c r="DM21" s="1701"/>
      <c r="DN21" s="1701"/>
      <c r="DO21" s="1701"/>
      <c r="DP21" s="1701"/>
      <c r="DQ21" s="1701"/>
      <c r="DR21" s="1701"/>
      <c r="DS21" s="1701"/>
      <c r="DT21" s="1701"/>
      <c r="DU21" s="1701"/>
      <c r="DV21" s="1701"/>
      <c r="DW21" s="1701"/>
      <c r="DX21" s="1701"/>
      <c r="DY21" s="1701"/>
      <c r="DZ21" s="1701"/>
      <c r="EA21" s="1701"/>
      <c r="EB21" s="1701"/>
      <c r="EC21" s="1701"/>
      <c r="ED21" s="1701"/>
      <c r="EE21" s="1701"/>
      <c r="EF21" s="1701"/>
      <c r="EG21" s="1701"/>
      <c r="EH21" s="1701"/>
      <c r="EI21" s="1701" t="s">
        <v>89</v>
      </c>
      <c r="EJ21" s="1701"/>
      <c r="EK21" s="1701" t="s">
        <v>89</v>
      </c>
      <c r="EL21" s="1701"/>
      <c r="EM21" s="1701"/>
      <c r="EN21" s="1701"/>
      <c r="EO21" s="1701"/>
      <c r="EP21" s="1701" t="s">
        <v>89</v>
      </c>
      <c r="EQ21" s="1701"/>
      <c r="ER21" s="1701" t="s">
        <v>89</v>
      </c>
      <c r="ES21" s="1701" t="s">
        <v>89</v>
      </c>
      <c r="ET21" s="1701"/>
      <c r="EU21" s="1701"/>
      <c r="EV21" s="1701"/>
      <c r="EW21" s="1701"/>
      <c r="EX21" s="1701"/>
      <c r="EY21" s="1701"/>
      <c r="EZ21" s="1701"/>
      <c r="FA21" s="1701"/>
      <c r="FB21" s="1701" t="s">
        <v>89</v>
      </c>
      <c r="FC21" s="1701" t="s">
        <v>89</v>
      </c>
      <c r="FD21" s="1701" t="s">
        <v>89</v>
      </c>
      <c r="FE21" s="1701"/>
      <c r="FF21" s="1701"/>
      <c r="FG21" s="1701"/>
      <c r="FH21" s="1701"/>
      <c r="FI21" s="1701"/>
      <c r="FJ21" s="1701"/>
      <c r="FK21" s="1701"/>
      <c r="FL21" s="1701"/>
      <c r="FM21" s="1701"/>
      <c r="FN21" s="1701"/>
      <c r="FO21" s="1701"/>
      <c r="FP21" s="1701"/>
      <c r="FQ21" s="1701"/>
      <c r="FR21" s="1701"/>
      <c r="FS21" s="1701"/>
      <c r="FT21" s="1701"/>
      <c r="FU21" s="1701"/>
      <c r="FV21" s="1701"/>
      <c r="FW21" s="1701"/>
      <c r="FX21" s="1701"/>
      <c r="FY21" s="1701"/>
      <c r="FZ21" s="1701"/>
      <c r="GA21" s="1701"/>
      <c r="GB21" s="1701"/>
      <c r="GC21" s="1701"/>
      <c r="GD21" s="1701"/>
      <c r="GE21" s="1701"/>
      <c r="GF21" s="1701"/>
      <c r="GG21" s="1701"/>
      <c r="GH21" s="1701"/>
      <c r="GI21" s="1701"/>
      <c r="GJ21" s="1701"/>
      <c r="GK21" s="1701"/>
      <c r="GL21" s="1701"/>
      <c r="GM21" s="1701"/>
      <c r="GN21" s="1701"/>
      <c r="GO21" s="1701" t="s">
        <v>89</v>
      </c>
      <c r="GP21" s="1701"/>
      <c r="GQ21" s="1701"/>
      <c r="GR21" s="1701" t="s">
        <v>89</v>
      </c>
      <c r="GS21" s="1701"/>
      <c r="GT21" s="1701"/>
      <c r="GU21" s="1701"/>
      <c r="GV21" s="1701"/>
      <c r="GW21" s="1701" t="s">
        <v>1326</v>
      </c>
      <c r="GX21" s="1701"/>
      <c r="GY21" s="1703"/>
      <c r="GZ21" s="1701"/>
      <c r="HA21" s="1701"/>
      <c r="HB21" s="1701"/>
      <c r="HC21" s="1701"/>
      <c r="HD21" s="1704" t="s">
        <v>89</v>
      </c>
      <c r="HE21" s="1701"/>
      <c r="HF21" s="1701"/>
      <c r="HG21" s="1701"/>
      <c r="HH21" s="1701"/>
      <c r="HI21" s="1701"/>
      <c r="HJ21" s="1701"/>
      <c r="HK21" s="1701"/>
      <c r="HL21" s="1701"/>
      <c r="HM21" s="1703"/>
      <c r="HN21" s="1703"/>
      <c r="HO21" s="1702" t="s">
        <v>1329</v>
      </c>
      <c r="HP21" s="1701"/>
      <c r="HQ21" s="1701"/>
      <c r="HR21" s="1701"/>
      <c r="HS21" s="1701"/>
      <c r="HT21" s="1701"/>
      <c r="HU21" s="1701" t="s">
        <v>1329</v>
      </c>
      <c r="HV21" s="1701"/>
      <c r="HW21" s="1703"/>
      <c r="HX21" s="1703"/>
      <c r="HY21" s="1688"/>
      <c r="HZ21" s="1688"/>
      <c r="IA21" s="1688"/>
      <c r="IB21" s="1688"/>
      <c r="IC21" s="1688"/>
      <c r="ID21" s="1688"/>
      <c r="IE21" s="1688"/>
      <c r="IF21" s="1688"/>
      <c r="IG21" s="1688"/>
      <c r="IH21" s="1688"/>
      <c r="II21" s="1688"/>
      <c r="IJ21" s="1688"/>
      <c r="IK21" s="1688"/>
      <c r="IL21" s="1688"/>
      <c r="IM21" s="1688"/>
      <c r="IN21" s="1688"/>
      <c r="IO21" s="1688"/>
      <c r="IP21" s="1688"/>
      <c r="IQ21" s="1688"/>
      <c r="IR21" s="1688"/>
      <c r="IS21" s="1688"/>
      <c r="IT21" s="1688"/>
      <c r="IU21" s="1688"/>
      <c r="IV21" s="1688"/>
    </row>
    <row r="22" spans="8:8" ht="20.0" customHeight="1">
      <c r="A22" s="1700" t="s">
        <v>107</v>
      </c>
      <c r="B22" s="1701"/>
      <c r="C22" s="1701" t="str">
        <f>IF(ISTEXT(_xlfn.IFERROR(VLOOKUP(A22,职业列表!I3:J10,1,FALSE),0)),"★","")</f>
        <v/>
      </c>
      <c r="D22" s="1703"/>
      <c r="E22" s="1701"/>
      <c r="F22" s="1701"/>
      <c r="G22" s="1701"/>
      <c r="H22" s="1701"/>
      <c r="I22" s="1701"/>
      <c r="J22" s="1701"/>
      <c r="K22" s="1701"/>
      <c r="L22" s="1701"/>
      <c r="M22" s="1701"/>
      <c r="N22" s="1701"/>
      <c r="O22" s="1701"/>
      <c r="P22" s="1701"/>
      <c r="Q22" s="1701"/>
      <c r="R22" s="1701"/>
      <c r="S22" s="1701"/>
      <c r="T22" s="1701"/>
      <c r="U22" s="1701"/>
      <c r="V22" s="1701" t="s">
        <v>1326</v>
      </c>
      <c r="W22" s="1701"/>
      <c r="X22" s="1701"/>
      <c r="Y22" s="1701"/>
      <c r="Z22" s="1703" t="s">
        <v>89</v>
      </c>
      <c r="AA22" s="1703" t="s">
        <v>89</v>
      </c>
      <c r="AB22" s="1701"/>
      <c r="AC22" s="1701"/>
      <c r="AD22" s="1703" t="s">
        <v>89</v>
      </c>
      <c r="AE22" s="1701" t="s">
        <v>1326</v>
      </c>
      <c r="AF22" s="1701"/>
      <c r="AG22" s="1701" t="s">
        <v>1326</v>
      </c>
      <c r="AH22" s="1701"/>
      <c r="AI22" s="1701"/>
      <c r="AJ22" s="1701"/>
      <c r="AK22" s="1701"/>
      <c r="AL22" s="1701"/>
      <c r="AM22" s="1701"/>
      <c r="AN22" s="1701"/>
      <c r="AO22" s="1701"/>
      <c r="AP22" s="1701"/>
      <c r="AQ22" s="1701"/>
      <c r="AR22" s="1701"/>
      <c r="AS22" s="1701"/>
      <c r="AT22" s="1701"/>
      <c r="AU22" s="1701"/>
      <c r="AV22" s="1701"/>
      <c r="AW22" s="1701"/>
      <c r="AX22" s="1703" t="s">
        <v>89</v>
      </c>
      <c r="AY22" s="1701"/>
      <c r="AZ22" s="1701"/>
      <c r="BA22" s="1703" t="s">
        <v>89</v>
      </c>
      <c r="BB22" s="1701"/>
      <c r="BC22" s="1701"/>
      <c r="BD22" s="1701"/>
      <c r="BE22" s="1701"/>
      <c r="BF22" s="1701"/>
      <c r="BG22" s="1701"/>
      <c r="BH22" s="1701"/>
      <c r="BI22" s="1701"/>
      <c r="BJ22" s="1701"/>
      <c r="BK22" s="1701"/>
      <c r="BL22" s="1701"/>
      <c r="BM22" s="1701"/>
      <c r="BN22" s="1703" t="s">
        <v>89</v>
      </c>
      <c r="BO22" s="1701"/>
      <c r="BP22" s="1701"/>
      <c r="BQ22" s="1701"/>
      <c r="BR22" s="1703" t="s">
        <v>89</v>
      </c>
      <c r="BS22" s="1703" t="s">
        <v>89</v>
      </c>
      <c r="BT22" s="1701"/>
      <c r="BU22" s="1701"/>
      <c r="BV22" s="1701"/>
      <c r="BW22" s="1701"/>
      <c r="BX22" s="1703" t="s">
        <v>89</v>
      </c>
      <c r="BY22" s="1701"/>
      <c r="BZ22" s="1701"/>
      <c r="CA22" s="1701"/>
      <c r="CB22" s="1701"/>
      <c r="CC22" s="1701"/>
      <c r="CD22" s="1701"/>
      <c r="CE22" s="1701"/>
      <c r="CF22" s="1701"/>
      <c r="CG22" s="1701"/>
      <c r="CH22" s="1701"/>
      <c r="CI22" s="1701"/>
      <c r="CJ22" s="1701"/>
      <c r="CK22" s="1703" t="s">
        <v>89</v>
      </c>
      <c r="CL22" s="1703" t="s">
        <v>89</v>
      </c>
      <c r="CM22" s="1701"/>
      <c r="CN22" s="1701"/>
      <c r="CO22" s="1701"/>
      <c r="CP22" s="1701"/>
      <c r="CQ22" s="1701"/>
      <c r="CR22" s="1701"/>
      <c r="CS22" s="1701"/>
      <c r="CT22" s="1701"/>
      <c r="CU22" s="1701"/>
      <c r="CV22" s="1701" t="s">
        <v>1326</v>
      </c>
      <c r="CW22" s="1701"/>
      <c r="CX22" s="1701"/>
      <c r="CY22" s="1701"/>
      <c r="CZ22" s="1701"/>
      <c r="DA22" s="1703" t="s">
        <v>89</v>
      </c>
      <c r="DB22" s="1701"/>
      <c r="DC22" s="1701"/>
      <c r="DD22" s="1701"/>
      <c r="DE22" s="1701" t="s">
        <v>1326</v>
      </c>
      <c r="DF22" s="1701"/>
      <c r="DG22" s="1701"/>
      <c r="DH22" s="1701"/>
      <c r="DI22" s="1701"/>
      <c r="DJ22" s="1701"/>
      <c r="DK22" s="1701"/>
      <c r="DL22" s="1701"/>
      <c r="DM22" s="1701"/>
      <c r="DN22" s="1701"/>
      <c r="DO22" s="1701"/>
      <c r="DP22" s="1701"/>
      <c r="DQ22" s="1701"/>
      <c r="DR22" s="1701"/>
      <c r="DS22" s="1701"/>
      <c r="DT22" s="1701"/>
      <c r="DU22" s="1701"/>
      <c r="DV22" s="1701"/>
      <c r="DW22" s="1701"/>
      <c r="DX22" s="1701"/>
      <c r="DY22" s="1701"/>
      <c r="DZ22" s="1701"/>
      <c r="EA22" s="1701"/>
      <c r="EB22" s="1701"/>
      <c r="EC22" s="1701"/>
      <c r="ED22" s="1701"/>
      <c r="EE22" s="1701"/>
      <c r="EF22" s="1701"/>
      <c r="EG22" s="1701"/>
      <c r="EH22" s="1701"/>
      <c r="EI22" s="1701" t="s">
        <v>89</v>
      </c>
      <c r="EJ22" s="1701"/>
      <c r="EK22" s="1701" t="s">
        <v>89</v>
      </c>
      <c r="EL22" s="1701"/>
      <c r="EM22" s="1701"/>
      <c r="EN22" s="1701" t="s">
        <v>1326</v>
      </c>
      <c r="EO22" s="1701"/>
      <c r="EP22" s="1701" t="s">
        <v>89</v>
      </c>
      <c r="EQ22" s="1701"/>
      <c r="ER22" s="1701"/>
      <c r="ES22" s="1701"/>
      <c r="ET22" s="1701"/>
      <c r="EU22" s="1701"/>
      <c r="EV22" s="1701"/>
      <c r="EW22" s="1701"/>
      <c r="EX22" s="1701"/>
      <c r="EY22" s="1701"/>
      <c r="EZ22" s="1701" t="s">
        <v>89</v>
      </c>
      <c r="FA22" s="1701"/>
      <c r="FB22" s="1701" t="s">
        <v>1326</v>
      </c>
      <c r="FC22" s="1701"/>
      <c r="FD22" s="1701"/>
      <c r="FE22" s="1701"/>
      <c r="FF22" s="1701"/>
      <c r="FG22" s="1701"/>
      <c r="FH22" s="1701"/>
      <c r="FI22" s="1701"/>
      <c r="FJ22" s="1701"/>
      <c r="FK22" s="1701"/>
      <c r="FL22" s="1701"/>
      <c r="FM22" s="1701"/>
      <c r="FN22" s="1701"/>
      <c r="FO22" s="1701"/>
      <c r="FP22" s="1701"/>
      <c r="FQ22" s="1701"/>
      <c r="FR22" s="1701"/>
      <c r="FS22" s="1701"/>
      <c r="FT22" s="1701"/>
      <c r="FU22" s="1701" t="s">
        <v>89</v>
      </c>
      <c r="FV22" s="1701"/>
      <c r="FW22" s="1701"/>
      <c r="FX22" s="1701"/>
      <c r="FY22" s="1701"/>
      <c r="FZ22" s="1701"/>
      <c r="GA22" s="1701" t="s">
        <v>89</v>
      </c>
      <c r="GB22" s="1701"/>
      <c r="GC22" s="1701"/>
      <c r="GD22" s="1701"/>
      <c r="GE22" s="1701"/>
      <c r="GF22" s="1701"/>
      <c r="GG22" s="1701"/>
      <c r="GH22" s="1701"/>
      <c r="GI22" s="1701"/>
      <c r="GJ22" s="1701"/>
      <c r="GK22" s="1701"/>
      <c r="GL22" s="1701"/>
      <c r="GM22" s="1701"/>
      <c r="GN22" s="1701" t="s">
        <v>89</v>
      </c>
      <c r="GO22" s="1701"/>
      <c r="GP22" s="1701" t="s">
        <v>89</v>
      </c>
      <c r="GQ22" s="1701"/>
      <c r="GR22" s="1701" t="s">
        <v>89</v>
      </c>
      <c r="GS22" s="1701"/>
      <c r="GT22" s="1701" t="s">
        <v>89</v>
      </c>
      <c r="GU22" s="1701"/>
      <c r="GV22" s="1701"/>
      <c r="GW22" s="1701"/>
      <c r="GX22" s="1701" t="s">
        <v>89</v>
      </c>
      <c r="GY22" s="1701"/>
      <c r="GZ22" s="1701"/>
      <c r="HA22" s="1701"/>
      <c r="HB22" s="1701"/>
      <c r="HC22" s="1701"/>
      <c r="HD22" s="1701"/>
      <c r="HE22" s="1701"/>
      <c r="HF22" s="1701"/>
      <c r="HG22" s="1701"/>
      <c r="HH22" s="1701"/>
      <c r="HI22" s="1701"/>
      <c r="HJ22" s="1701"/>
      <c r="HK22" s="1701"/>
      <c r="HL22" s="1701"/>
      <c r="HM22" s="1701"/>
      <c r="HN22" s="1701"/>
      <c r="HO22" s="1701"/>
      <c r="HP22" s="1701"/>
      <c r="HQ22" s="1701"/>
      <c r="HR22" s="1703"/>
      <c r="HS22" s="1703"/>
      <c r="HT22" s="1701"/>
      <c r="HU22" s="1701"/>
      <c r="HV22" s="1703"/>
      <c r="HW22" s="1701"/>
      <c r="HX22" s="1701"/>
      <c r="HY22" s="1688"/>
      <c r="HZ22" s="1688"/>
      <c r="IA22" s="1688"/>
      <c r="IB22" s="1688"/>
      <c r="IC22" s="1688"/>
      <c r="ID22" s="1688"/>
      <c r="IE22" s="1688"/>
      <c r="IF22" s="1688"/>
      <c r="IG22" s="1688"/>
      <c r="IH22" s="1688"/>
      <c r="II22" s="1688"/>
      <c r="IJ22" s="1688"/>
      <c r="IK22" s="1688"/>
      <c r="IL22" s="1688"/>
      <c r="IM22" s="1688"/>
      <c r="IN22" s="1688"/>
      <c r="IO22" s="1688"/>
      <c r="IP22" s="1688"/>
      <c r="IQ22" s="1688"/>
      <c r="IR22" s="1688"/>
      <c r="IS22" s="1688"/>
      <c r="IT22" s="1688"/>
      <c r="IU22" s="1688"/>
      <c r="IV22" s="1688"/>
    </row>
    <row r="23" spans="8:8" ht="20.0" customHeight="1">
      <c r="A23" s="1723" t="s">
        <v>110</v>
      </c>
      <c r="B23" s="1701"/>
      <c r="C23" s="1702" t="str">
        <f>IF(ISTEXT(_xlfn.IFERROR(VLOOKUP(A23,职业列表!I3:J10,1,FALSE),0)),"★","")</f>
        <v/>
      </c>
      <c r="D23" s="1703"/>
      <c r="E23" s="1701"/>
      <c r="F23" s="1701"/>
      <c r="G23" s="1701"/>
      <c r="H23" s="1701"/>
      <c r="I23" s="1701"/>
      <c r="J23" s="1701"/>
      <c r="K23" s="1701"/>
      <c r="L23" s="1701"/>
      <c r="M23" s="1701"/>
      <c r="N23" s="1701"/>
      <c r="O23" s="1701"/>
      <c r="P23" s="1701"/>
      <c r="Q23" s="1701"/>
      <c r="R23" s="1701"/>
      <c r="S23" s="1701"/>
      <c r="T23" s="1701"/>
      <c r="U23" s="1701"/>
      <c r="V23" s="1701" t="s">
        <v>1326</v>
      </c>
      <c r="W23" s="1701"/>
      <c r="X23" s="1701"/>
      <c r="Y23" s="1701"/>
      <c r="Z23" s="1703" t="s">
        <v>89</v>
      </c>
      <c r="AA23" s="1703" t="s">
        <v>89</v>
      </c>
      <c r="AB23" s="1701"/>
      <c r="AC23" s="1701"/>
      <c r="AD23" s="1701"/>
      <c r="AE23" s="1701"/>
      <c r="AF23" s="1701"/>
      <c r="AG23" s="1701"/>
      <c r="AH23" s="1701"/>
      <c r="AI23" s="1701"/>
      <c r="AJ23" s="1701"/>
      <c r="AK23" s="1701"/>
      <c r="AL23" s="1701"/>
      <c r="AM23" s="1701"/>
      <c r="AN23" s="1701"/>
      <c r="AO23" s="1701"/>
      <c r="AP23" s="1701"/>
      <c r="AQ23" s="1701"/>
      <c r="AR23" s="1701"/>
      <c r="AS23" s="1701"/>
      <c r="AT23" s="1701"/>
      <c r="AU23" s="1701"/>
      <c r="AV23" s="1701"/>
      <c r="AW23" s="1701"/>
      <c r="AX23" s="1701"/>
      <c r="AY23" s="1701"/>
      <c r="AZ23" s="1701"/>
      <c r="BA23" s="1701"/>
      <c r="BB23" s="1701"/>
      <c r="BC23" s="1701"/>
      <c r="BD23" s="1701"/>
      <c r="BE23" s="1701"/>
      <c r="BF23" s="1701"/>
      <c r="BG23" s="1701"/>
      <c r="BH23" s="1701"/>
      <c r="BI23" s="1701"/>
      <c r="BJ23" s="1701"/>
      <c r="BK23" s="1701"/>
      <c r="BL23" s="1701"/>
      <c r="BM23" s="1701"/>
      <c r="BN23" s="1701"/>
      <c r="BO23" s="1701"/>
      <c r="BP23" s="1701"/>
      <c r="BQ23" s="1701"/>
      <c r="BR23" s="1701"/>
      <c r="BS23" s="1701"/>
      <c r="BT23" s="1701"/>
      <c r="BU23" s="1701"/>
      <c r="BV23" s="1701"/>
      <c r="BW23" s="1701"/>
      <c r="BX23" s="1701"/>
      <c r="BY23" s="1701"/>
      <c r="BZ23" s="1701"/>
      <c r="CA23" s="1701"/>
      <c r="CB23" s="1701"/>
      <c r="CC23" s="1701"/>
      <c r="CD23" s="1701"/>
      <c r="CE23" s="1701"/>
      <c r="CF23" s="1701"/>
      <c r="CG23" s="1701"/>
      <c r="CH23" s="1701"/>
      <c r="CI23" s="1701"/>
      <c r="CJ23" s="1701"/>
      <c r="CK23" s="1701"/>
      <c r="CL23" s="1701"/>
      <c r="CM23" s="1701"/>
      <c r="CN23" s="1701"/>
      <c r="CO23" s="1701"/>
      <c r="CP23" s="1701"/>
      <c r="CQ23" s="1701"/>
      <c r="CR23" s="1701"/>
      <c r="CS23" s="1701"/>
      <c r="CT23" s="1701"/>
      <c r="CU23" s="1701"/>
      <c r="CV23" s="1701"/>
      <c r="CW23" s="1701"/>
      <c r="CX23" s="1701"/>
      <c r="CY23" s="1701"/>
      <c r="CZ23" s="1701"/>
      <c r="DA23" s="1701"/>
      <c r="DB23" s="1701"/>
      <c r="DC23" s="1701"/>
      <c r="DD23" s="1701"/>
      <c r="DE23" s="1701"/>
      <c r="DF23" s="1701"/>
      <c r="DG23" s="1701"/>
      <c r="DH23" s="1701"/>
      <c r="DI23" s="1701"/>
      <c r="DJ23" s="1701"/>
      <c r="DK23" s="1701"/>
      <c r="DL23" s="1701"/>
      <c r="DM23" s="1701"/>
      <c r="DN23" s="1701"/>
      <c r="DO23" s="1701"/>
      <c r="DP23" s="1701"/>
      <c r="DQ23" s="1701"/>
      <c r="DR23" s="1701"/>
      <c r="DS23" s="1701"/>
      <c r="DT23" s="1701"/>
      <c r="DU23" s="1701"/>
      <c r="DV23" s="1701"/>
      <c r="DW23" s="1701"/>
      <c r="DX23" s="1701"/>
      <c r="DY23" s="1701"/>
      <c r="DZ23" s="1701"/>
      <c r="EA23" s="1701"/>
      <c r="EB23" s="1701"/>
      <c r="EC23" s="1701"/>
      <c r="ED23" s="1701"/>
      <c r="EE23" s="1701"/>
      <c r="EF23" s="1701"/>
      <c r="EG23" s="1701"/>
      <c r="EH23" s="1701"/>
      <c r="EI23" s="1701"/>
      <c r="EJ23" s="1701"/>
      <c r="EK23" s="1701"/>
      <c r="EL23" s="1701"/>
      <c r="EM23" s="1701"/>
      <c r="EN23" s="1701"/>
      <c r="EO23" s="1701"/>
      <c r="EP23" s="1701"/>
      <c r="EQ23" s="1701"/>
      <c r="ER23" s="1701"/>
      <c r="ES23" s="1701"/>
      <c r="ET23" s="1701"/>
      <c r="EU23" s="1701"/>
      <c r="EV23" s="1701"/>
      <c r="EW23" s="1701"/>
      <c r="EX23" s="1701"/>
      <c r="EY23" s="1701"/>
      <c r="EZ23" s="1701"/>
      <c r="FA23" s="1701"/>
      <c r="FB23" s="1701"/>
      <c r="FC23" s="1701"/>
      <c r="FD23" s="1701"/>
      <c r="FE23" s="1701"/>
      <c r="FF23" s="1701"/>
      <c r="FG23" s="1701"/>
      <c r="FH23" s="1701"/>
      <c r="FI23" s="1701"/>
      <c r="FJ23" s="1701"/>
      <c r="FK23" s="1701"/>
      <c r="FL23" s="1701"/>
      <c r="FM23" s="1701"/>
      <c r="FN23" s="1701"/>
      <c r="FO23" s="1701"/>
      <c r="FP23" s="1701"/>
      <c r="FQ23" s="1701"/>
      <c r="FR23" s="1701"/>
      <c r="FS23" s="1701"/>
      <c r="FT23" s="1701"/>
      <c r="FU23" s="1701"/>
      <c r="FV23" s="1701"/>
      <c r="FW23" s="1701"/>
      <c r="FX23" s="1701"/>
      <c r="FY23" s="1701"/>
      <c r="FZ23" s="1701"/>
      <c r="GA23" s="1701"/>
      <c r="GB23" s="1701"/>
      <c r="GC23" s="1701"/>
      <c r="GD23" s="1701"/>
      <c r="GE23" s="1701"/>
      <c r="GF23" s="1701"/>
      <c r="GG23" s="1701"/>
      <c r="GH23" s="1701"/>
      <c r="GI23" s="1701"/>
      <c r="GJ23" s="1701"/>
      <c r="GK23" s="1701"/>
      <c r="GL23" s="1701"/>
      <c r="GM23" s="1701"/>
      <c r="GN23" s="1701"/>
      <c r="GO23" s="1701"/>
      <c r="GP23" s="1701"/>
      <c r="GQ23" s="1701"/>
      <c r="GR23" s="1701"/>
      <c r="GS23" s="1701"/>
      <c r="GT23" s="1701" t="s">
        <v>89</v>
      </c>
      <c r="GU23" s="1701"/>
      <c r="GV23" s="1701"/>
      <c r="GW23" s="1701"/>
      <c r="GX23" s="1701" t="s">
        <v>89</v>
      </c>
      <c r="GY23" s="1701"/>
      <c r="GZ23" s="1701"/>
      <c r="HA23" s="1701"/>
      <c r="HB23" s="1701"/>
      <c r="HC23" s="1701"/>
      <c r="HD23" s="1701"/>
      <c r="HE23" s="1701"/>
      <c r="HF23" s="1701"/>
      <c r="HG23" s="1701"/>
      <c r="HH23" s="1701"/>
      <c r="HI23" s="1701"/>
      <c r="HJ23" s="1701"/>
      <c r="HK23" s="1701"/>
      <c r="HL23" s="1701"/>
      <c r="HM23" s="1701"/>
      <c r="HN23" s="1701"/>
      <c r="HO23" s="1701"/>
      <c r="HP23" s="1701"/>
      <c r="HQ23" s="1701"/>
      <c r="HR23" s="1703"/>
      <c r="HS23" s="1703"/>
      <c r="HT23" s="1701"/>
      <c r="HU23" s="1701"/>
      <c r="HV23" s="1701"/>
      <c r="HW23" s="1701"/>
      <c r="HX23" s="1701"/>
      <c r="HY23" s="1688"/>
      <c r="HZ23" s="1688"/>
      <c r="IA23" s="1688"/>
      <c r="IB23" s="1688"/>
      <c r="IC23" s="1688"/>
      <c r="ID23" s="1688"/>
      <c r="IE23" s="1688"/>
      <c r="IF23" s="1688"/>
      <c r="IG23" s="1688"/>
      <c r="IH23" s="1688"/>
      <c r="II23" s="1688"/>
      <c r="IJ23" s="1688"/>
      <c r="IK23" s="1688"/>
      <c r="IL23" s="1688"/>
      <c r="IM23" s="1688"/>
      <c r="IN23" s="1688"/>
      <c r="IO23" s="1688"/>
      <c r="IP23" s="1688"/>
      <c r="IQ23" s="1688"/>
      <c r="IR23" s="1688"/>
      <c r="IS23" s="1688"/>
      <c r="IT23" s="1688"/>
      <c r="IU23" s="1688"/>
      <c r="IV23" s="1688"/>
    </row>
    <row r="24" spans="8:8" s="1716" ht="20.0" customFormat="1" customHeight="1">
      <c r="A24" s="1717" t="s">
        <v>112</v>
      </c>
      <c r="B24" s="1718"/>
      <c r="C24" s="1701" t="str">
        <f>IF(ISTEXT(_xlfn.IFERROR(VLOOKUP(A24,职业列表!I3:J10,1,FALSE),0)),"★","")</f>
        <v/>
      </c>
      <c r="D24" s="1719"/>
      <c r="E24" s="1718"/>
      <c r="F24" s="1718" t="s">
        <v>1328</v>
      </c>
      <c r="G24" s="1718" t="s">
        <v>1328</v>
      </c>
      <c r="H24" s="1718" t="s">
        <v>1328</v>
      </c>
      <c r="I24" s="1718"/>
      <c r="J24" s="1718"/>
      <c r="K24" s="1718" t="s">
        <v>1328</v>
      </c>
      <c r="L24" s="1718" t="s">
        <v>1328</v>
      </c>
      <c r="M24" s="1718"/>
      <c r="N24" s="1718"/>
      <c r="O24" s="1718" t="s">
        <v>1328</v>
      </c>
      <c r="P24" s="1718" t="s">
        <v>1328</v>
      </c>
      <c r="Q24" s="1718" t="s">
        <v>1328</v>
      </c>
      <c r="R24" s="1718"/>
      <c r="S24" s="1718" t="s">
        <v>1328</v>
      </c>
      <c r="T24" s="1718"/>
      <c r="U24" s="1718" t="s">
        <v>1328</v>
      </c>
      <c r="V24" s="1718" t="s">
        <v>1328</v>
      </c>
      <c r="W24" s="1718"/>
      <c r="X24" s="1718"/>
      <c r="Y24" s="1718" t="s">
        <v>1328</v>
      </c>
      <c r="Z24" s="1718"/>
      <c r="AA24" s="1718" t="s">
        <v>1328</v>
      </c>
      <c r="AB24" s="1718"/>
      <c r="AC24" s="1718"/>
      <c r="AD24" s="1718"/>
      <c r="AE24" s="1718"/>
      <c r="AF24" s="1718" t="s">
        <v>1328</v>
      </c>
      <c r="AG24" s="1718"/>
      <c r="AH24" s="1718" t="s">
        <v>1328</v>
      </c>
      <c r="AI24" s="1718" t="s">
        <v>1328</v>
      </c>
      <c r="AJ24" s="1718" t="s">
        <v>1328</v>
      </c>
      <c r="AK24" s="1718" t="s">
        <v>1328</v>
      </c>
      <c r="AL24" s="1718"/>
      <c r="AM24" s="1718" t="s">
        <v>1328</v>
      </c>
      <c r="AN24" s="1718" t="s">
        <v>1328</v>
      </c>
      <c r="AO24" s="1718" t="s">
        <v>1328</v>
      </c>
      <c r="AP24" s="1718" t="s">
        <v>1328</v>
      </c>
      <c r="AQ24" s="1721"/>
      <c r="AR24" s="1718" t="s">
        <v>1328</v>
      </c>
      <c r="AS24" s="1718"/>
      <c r="AT24" s="1718"/>
      <c r="AU24" s="1718" t="s">
        <v>1328</v>
      </c>
      <c r="AV24" s="1718" t="s">
        <v>1328</v>
      </c>
      <c r="AW24" s="1718" t="s">
        <v>1328</v>
      </c>
      <c r="AX24" s="1719" t="s">
        <v>89</v>
      </c>
      <c r="AY24" s="1718" t="s">
        <v>1328</v>
      </c>
      <c r="AZ24" s="1719" t="s">
        <v>89</v>
      </c>
      <c r="BA24" s="1718"/>
      <c r="BB24" s="1718" t="s">
        <v>1328</v>
      </c>
      <c r="BC24" s="1718"/>
      <c r="BD24" s="1718" t="s">
        <v>1328</v>
      </c>
      <c r="BE24" s="1718"/>
      <c r="BF24" s="1718"/>
      <c r="BG24" s="1718" t="s">
        <v>1328</v>
      </c>
      <c r="BH24" s="1718"/>
      <c r="BI24" s="1718" t="s">
        <v>1328</v>
      </c>
      <c r="BJ24" s="1718" t="s">
        <v>1328</v>
      </c>
      <c r="BK24" s="1718" t="s">
        <v>1328</v>
      </c>
      <c r="BL24" s="1718" t="s">
        <v>1328</v>
      </c>
      <c r="BM24" s="1718"/>
      <c r="BN24" s="1718" t="s">
        <v>1328</v>
      </c>
      <c r="BO24" s="1718" t="s">
        <v>1328</v>
      </c>
      <c r="BP24" s="1718" t="s">
        <v>1328</v>
      </c>
      <c r="BQ24" s="1718"/>
      <c r="BR24" s="1718"/>
      <c r="BS24" s="1718"/>
      <c r="BT24" s="1718"/>
      <c r="BU24" s="1721"/>
      <c r="BV24" s="1718" t="s">
        <v>1328</v>
      </c>
      <c r="BW24" s="1718"/>
      <c r="BX24" s="1718"/>
      <c r="BY24" s="1718" t="s">
        <v>1328</v>
      </c>
      <c r="BZ24" s="1718" t="s">
        <v>1328</v>
      </c>
      <c r="CA24" s="1718"/>
      <c r="CB24" s="1718"/>
      <c r="CC24" s="1718" t="s">
        <v>1328</v>
      </c>
      <c r="CD24" s="1718" t="s">
        <v>1328</v>
      </c>
      <c r="CE24" s="1718" t="s">
        <v>1328</v>
      </c>
      <c r="CF24" s="1718"/>
      <c r="CG24" s="1718"/>
      <c r="CH24" s="1718" t="s">
        <v>1328</v>
      </c>
      <c r="CI24" s="1718" t="s">
        <v>1328</v>
      </c>
      <c r="CJ24" s="1718" t="s">
        <v>1328</v>
      </c>
      <c r="CK24" s="1718"/>
      <c r="CL24" s="1718"/>
      <c r="CM24" s="1718" t="s">
        <v>1328</v>
      </c>
      <c r="CN24" s="1718" t="s">
        <v>1328</v>
      </c>
      <c r="CO24" s="1718" t="s">
        <v>1328</v>
      </c>
      <c r="CP24" s="1718"/>
      <c r="CQ24" s="1718"/>
      <c r="CR24" s="1718" t="s">
        <v>1328</v>
      </c>
      <c r="CS24" s="1718"/>
      <c r="CT24" s="1718"/>
      <c r="CU24" s="1718" t="s">
        <v>1328</v>
      </c>
      <c r="CV24" s="1718"/>
      <c r="CW24" s="1718" t="s">
        <v>1328</v>
      </c>
      <c r="CX24" s="1718" t="s">
        <v>1328</v>
      </c>
      <c r="CY24" s="1718" t="s">
        <v>1328</v>
      </c>
      <c r="CZ24" s="1718" t="s">
        <v>1328</v>
      </c>
      <c r="DA24" s="1718" t="s">
        <v>1328</v>
      </c>
      <c r="DB24" s="1718"/>
      <c r="DC24" s="1718" t="s">
        <v>1328</v>
      </c>
      <c r="DD24" s="1718"/>
      <c r="DE24" s="1718"/>
      <c r="DF24" s="1718"/>
      <c r="DG24" s="1718" t="s">
        <v>1328</v>
      </c>
      <c r="DH24" s="1718" t="s">
        <v>1328</v>
      </c>
      <c r="DI24" s="1718" t="s">
        <v>1328</v>
      </c>
      <c r="DJ24" s="1718" t="s">
        <v>1328</v>
      </c>
      <c r="DK24" s="1718" t="s">
        <v>1328</v>
      </c>
      <c r="DL24" s="1718" t="s">
        <v>1328</v>
      </c>
      <c r="DM24" s="1718"/>
      <c r="DN24" s="1718" t="s">
        <v>89</v>
      </c>
      <c r="DO24" s="1718" t="s">
        <v>1328</v>
      </c>
      <c r="DP24" s="1718" t="s">
        <v>1328</v>
      </c>
      <c r="DQ24" s="1718" t="s">
        <v>1328</v>
      </c>
      <c r="DR24" s="1718" t="s">
        <v>1328</v>
      </c>
      <c r="DS24" s="1718" t="s">
        <v>1328</v>
      </c>
      <c r="DT24" s="1718" t="s">
        <v>1328</v>
      </c>
      <c r="DU24" s="1718" t="s">
        <v>1328</v>
      </c>
      <c r="DV24" s="1718" t="s">
        <v>1328</v>
      </c>
      <c r="DW24" s="1718" t="s">
        <v>1328</v>
      </c>
      <c r="DX24" s="1718" t="s">
        <v>1328</v>
      </c>
      <c r="DY24" s="1718" t="s">
        <v>1328</v>
      </c>
      <c r="DZ24" s="1718" t="s">
        <v>1328</v>
      </c>
      <c r="EA24" s="1718" t="s">
        <v>1328</v>
      </c>
      <c r="EB24" s="1718" t="s">
        <v>1328</v>
      </c>
      <c r="EC24" s="1718" t="s">
        <v>1328</v>
      </c>
      <c r="ED24" s="1718"/>
      <c r="EE24" s="1718" t="s">
        <v>1328</v>
      </c>
      <c r="EF24" s="1718"/>
      <c r="EG24" s="1718"/>
      <c r="EH24" s="1718"/>
      <c r="EI24" s="1718" t="s">
        <v>1328</v>
      </c>
      <c r="EJ24" s="1718" t="s">
        <v>1328</v>
      </c>
      <c r="EK24" s="1718" t="s">
        <v>1328</v>
      </c>
      <c r="EL24" s="1718"/>
      <c r="EM24" s="1718" t="s">
        <v>1328</v>
      </c>
      <c r="EN24" s="1718"/>
      <c r="EO24" s="1718" t="s">
        <v>1328</v>
      </c>
      <c r="EP24" s="1718"/>
      <c r="EQ24" s="1718" t="s">
        <v>89</v>
      </c>
      <c r="ER24" s="1718" t="s">
        <v>1328</v>
      </c>
      <c r="ES24" s="1718" t="s">
        <v>1328</v>
      </c>
      <c r="ET24" s="1718" t="s">
        <v>1328</v>
      </c>
      <c r="EU24" s="1718" t="s">
        <v>1328</v>
      </c>
      <c r="EV24" s="1718" t="s">
        <v>1328</v>
      </c>
      <c r="EW24" s="1718"/>
      <c r="EX24" s="1718" t="s">
        <v>1328</v>
      </c>
      <c r="EY24" s="1718" t="s">
        <v>1328</v>
      </c>
      <c r="EZ24" s="1718"/>
      <c r="FA24" s="1718" t="s">
        <v>1328</v>
      </c>
      <c r="FB24" s="1718" t="s">
        <v>1328</v>
      </c>
      <c r="FC24" s="1718"/>
      <c r="FD24" s="1718" t="s">
        <v>89</v>
      </c>
      <c r="FE24" s="1718" t="s">
        <v>1328</v>
      </c>
      <c r="FF24" s="1718" t="s">
        <v>1328</v>
      </c>
      <c r="FG24" s="1718" t="s">
        <v>1328</v>
      </c>
      <c r="FH24" s="1718"/>
      <c r="FI24" s="1718"/>
      <c r="FJ24" s="1718" t="s">
        <v>1326</v>
      </c>
      <c r="FK24" s="1718"/>
      <c r="FL24" s="1718"/>
      <c r="FM24" s="1718" t="s">
        <v>1328</v>
      </c>
      <c r="FN24" s="1718" t="s">
        <v>89</v>
      </c>
      <c r="FO24" s="1718"/>
      <c r="FP24" s="1718"/>
      <c r="FQ24" s="1718" t="s">
        <v>1328</v>
      </c>
      <c r="FR24" s="1718" t="s">
        <v>1328</v>
      </c>
      <c r="FS24" s="1718"/>
      <c r="FT24" s="1718"/>
      <c r="FU24" s="1718"/>
      <c r="FV24" s="1718" t="s">
        <v>1328</v>
      </c>
      <c r="FW24" s="1718"/>
      <c r="FX24" s="1718"/>
      <c r="FY24" s="1718" t="s">
        <v>1328</v>
      </c>
      <c r="FZ24" s="1718"/>
      <c r="GA24" s="1718"/>
      <c r="GB24" s="1718" t="s">
        <v>1328</v>
      </c>
      <c r="GC24" s="1718"/>
      <c r="GD24" s="1718"/>
      <c r="GE24" s="1718"/>
      <c r="GF24" s="1718" t="s">
        <v>1328</v>
      </c>
      <c r="GG24" s="1718" t="s">
        <v>1328</v>
      </c>
      <c r="GH24" s="1718" t="s">
        <v>1328</v>
      </c>
      <c r="GI24" s="1718" t="s">
        <v>1328</v>
      </c>
      <c r="GJ24" s="1718"/>
      <c r="GK24" s="1718" t="s">
        <v>89</v>
      </c>
      <c r="GL24" s="1718" t="s">
        <v>89</v>
      </c>
      <c r="GM24" s="1718" t="s">
        <v>89</v>
      </c>
      <c r="GN24" s="1718" t="s">
        <v>1328</v>
      </c>
      <c r="GO24" s="1718" t="s">
        <v>1328</v>
      </c>
      <c r="GP24" s="1718" t="s">
        <v>1328</v>
      </c>
      <c r="GQ24" s="1718" t="s">
        <v>1328</v>
      </c>
      <c r="GR24" s="1718"/>
      <c r="GS24" s="1718"/>
      <c r="GT24" s="1718" t="s">
        <v>1328</v>
      </c>
      <c r="GU24" s="1718"/>
      <c r="GV24" s="1718"/>
      <c r="GW24" s="1718" t="s">
        <v>1328</v>
      </c>
      <c r="GX24" s="1718" t="s">
        <v>1328</v>
      </c>
      <c r="GY24" s="1718" t="s">
        <v>1328</v>
      </c>
      <c r="GZ24" s="1718" t="s">
        <v>1328</v>
      </c>
      <c r="HA24" s="1718" t="s">
        <v>1328</v>
      </c>
      <c r="HB24" s="1718"/>
      <c r="HC24" s="1718" t="s">
        <v>1328</v>
      </c>
      <c r="HD24" s="1718"/>
      <c r="HE24" s="1718" t="s">
        <v>1328</v>
      </c>
      <c r="HF24" s="1718"/>
      <c r="HG24" s="1718" t="s">
        <v>1328</v>
      </c>
      <c r="HH24" s="1720" t="s">
        <v>1328</v>
      </c>
      <c r="HI24" s="1718"/>
      <c r="HJ24" s="1720" t="s">
        <v>1328</v>
      </c>
      <c r="HK24" s="1718" t="s">
        <v>1328</v>
      </c>
      <c r="HL24" s="1718"/>
      <c r="HM24" s="1720" t="s">
        <v>1328</v>
      </c>
      <c r="HN24" s="1718" t="s">
        <v>1328</v>
      </c>
      <c r="HO24" s="1718" t="s">
        <v>1328</v>
      </c>
      <c r="HP24" s="1718" t="s">
        <v>1328</v>
      </c>
      <c r="HQ24" s="1718"/>
      <c r="HR24" s="1720" t="s">
        <v>1328</v>
      </c>
      <c r="HS24" s="1720" t="s">
        <v>1328</v>
      </c>
      <c r="HT24" s="1720" t="s">
        <v>1328</v>
      </c>
      <c r="HU24" s="1718"/>
      <c r="HV24" s="1718" t="s">
        <v>1328</v>
      </c>
      <c r="HW24" s="1718"/>
      <c r="HX24" s="1718" t="s">
        <v>1328</v>
      </c>
      <c r="HY24" s="1722"/>
      <c r="HZ24" s="1722"/>
      <c r="IA24" s="1722"/>
      <c r="IB24" s="1722"/>
      <c r="IC24" s="1722"/>
      <c r="ID24" s="1722"/>
      <c r="IE24" s="1722"/>
      <c r="IF24" s="1722"/>
      <c r="IG24" s="1722"/>
      <c r="IH24" s="1722"/>
      <c r="II24" s="1722"/>
      <c r="IJ24" s="1722"/>
      <c r="IK24" s="1722"/>
      <c r="IL24" s="1722"/>
      <c r="IM24" s="1722"/>
      <c r="IN24" s="1722"/>
      <c r="IO24" s="1722"/>
      <c r="IP24" s="1722"/>
      <c r="IQ24" s="1722"/>
      <c r="IR24" s="1722"/>
      <c r="IS24" s="1722"/>
      <c r="IT24" s="1722"/>
      <c r="IU24" s="1722"/>
      <c r="IV24" s="1722"/>
    </row>
    <row r="25" spans="8:8" s="1730" ht="20.0" customFormat="1" customHeight="1">
      <c r="A25" s="1731" t="s">
        <v>115</v>
      </c>
      <c r="B25" s="1732"/>
      <c r="C25" s="1701" t="str">
        <f>IF(ISTEXT(_xlfn.IFERROR(VLOOKUP(A25,职业列表!I3:J10,1,FALSE),0)),"★","")</f>
        <v/>
      </c>
      <c r="D25" s="1733"/>
      <c r="E25" s="1732"/>
      <c r="F25" s="1733" t="s">
        <v>89</v>
      </c>
      <c r="G25" s="1732"/>
      <c r="H25" s="1732" t="s">
        <v>89</v>
      </c>
      <c r="I25" s="1732"/>
      <c r="J25" s="1732"/>
      <c r="K25" s="1732"/>
      <c r="L25" s="1732"/>
      <c r="M25" s="1732"/>
      <c r="N25" s="1732"/>
      <c r="O25" s="1732"/>
      <c r="P25" s="1732" t="s">
        <v>89</v>
      </c>
      <c r="Q25" s="1732" t="s">
        <v>89</v>
      </c>
      <c r="R25" s="1732"/>
      <c r="S25" s="1732" t="s">
        <v>89</v>
      </c>
      <c r="T25" s="1732"/>
      <c r="U25" s="1732"/>
      <c r="V25" s="1734" t="s">
        <v>1327</v>
      </c>
      <c r="W25" s="1732" t="s">
        <v>89</v>
      </c>
      <c r="X25" s="1732"/>
      <c r="Y25" s="1732"/>
      <c r="Z25" s="1732"/>
      <c r="AA25" s="1732"/>
      <c r="AB25" s="1732" t="s">
        <v>1327</v>
      </c>
      <c r="AC25" s="1732"/>
      <c r="AD25" s="1733" t="s">
        <v>89</v>
      </c>
      <c r="AE25" s="1733" t="s">
        <v>89</v>
      </c>
      <c r="AF25" s="1733" t="s">
        <v>89</v>
      </c>
      <c r="AG25" s="1732"/>
      <c r="AH25" s="1732"/>
      <c r="AI25" s="1732" t="s">
        <v>1327</v>
      </c>
      <c r="AJ25" s="1732" t="s">
        <v>1326</v>
      </c>
      <c r="AK25" s="1732"/>
      <c r="AL25" s="1732"/>
      <c r="AM25" s="1732"/>
      <c r="AN25" s="1733" t="s">
        <v>89</v>
      </c>
      <c r="AO25" s="1732"/>
      <c r="AP25" s="1732" t="s">
        <v>1326</v>
      </c>
      <c r="AQ25" s="1732"/>
      <c r="AR25" s="1732"/>
      <c r="AS25" s="1732"/>
      <c r="AT25" s="1732"/>
      <c r="AU25" s="1732"/>
      <c r="AV25" s="1732"/>
      <c r="AW25" s="1732"/>
      <c r="AX25" s="1732"/>
      <c r="AY25" s="1732"/>
      <c r="AZ25" s="1732"/>
      <c r="BA25" s="1732"/>
      <c r="BB25" s="1732"/>
      <c r="BC25" s="1732"/>
      <c r="BD25" s="1732"/>
      <c r="BE25" s="1732" t="s">
        <v>89</v>
      </c>
      <c r="BF25" s="1732"/>
      <c r="BG25" s="1732"/>
      <c r="BH25" s="1732"/>
      <c r="BI25" s="1732"/>
      <c r="BJ25" s="1733" t="s">
        <v>89</v>
      </c>
      <c r="BK25" s="1733" t="s">
        <v>89</v>
      </c>
      <c r="BL25" s="1732"/>
      <c r="BM25" s="1732"/>
      <c r="BN25" s="1732" t="s">
        <v>89</v>
      </c>
      <c r="BO25" s="1732"/>
      <c r="BP25" s="1732"/>
      <c r="BQ25" s="1732"/>
      <c r="BR25" s="1732"/>
      <c r="BS25" s="1733" t="s">
        <v>89</v>
      </c>
      <c r="BT25" s="1732"/>
      <c r="BU25" s="1732"/>
      <c r="BV25" s="1732"/>
      <c r="BW25" s="1732"/>
      <c r="BX25" s="1732"/>
      <c r="BY25" s="1732"/>
      <c r="BZ25" s="1732"/>
      <c r="CA25" s="1732"/>
      <c r="CB25" s="1732"/>
      <c r="CC25" s="1732"/>
      <c r="CD25" s="1732"/>
      <c r="CE25" s="1732"/>
      <c r="CF25" s="1732"/>
      <c r="CG25" s="1732"/>
      <c r="CH25" s="1732"/>
      <c r="CI25" s="1732"/>
      <c r="CJ25" s="1732"/>
      <c r="CK25" s="1732"/>
      <c r="CL25" s="1732"/>
      <c r="CM25" s="1732"/>
      <c r="CN25" s="1734" t="s">
        <v>89</v>
      </c>
      <c r="CO25" s="1732"/>
      <c r="CP25" s="1732"/>
      <c r="CQ25" s="1732"/>
      <c r="CR25" s="1732"/>
      <c r="CS25" s="1732"/>
      <c r="CT25" s="1732"/>
      <c r="CU25" s="1732"/>
      <c r="CV25" s="1733" t="s">
        <v>89</v>
      </c>
      <c r="CW25" s="1732"/>
      <c r="CX25" s="1732"/>
      <c r="CY25" s="1732"/>
      <c r="CZ25" s="1732"/>
      <c r="DA25" s="1732"/>
      <c r="DB25" s="1733" t="s">
        <v>89</v>
      </c>
      <c r="DC25" s="1732"/>
      <c r="DD25" s="1732"/>
      <c r="DE25" s="1733" t="s">
        <v>89</v>
      </c>
      <c r="DF25" s="1732" t="s">
        <v>1326</v>
      </c>
      <c r="DG25" s="1732"/>
      <c r="DH25" s="1732" t="s">
        <v>89</v>
      </c>
      <c r="DI25" s="1732"/>
      <c r="DJ25" s="1732"/>
      <c r="DK25" s="1732"/>
      <c r="DL25" s="1732"/>
      <c r="DM25" s="1732"/>
      <c r="DN25" s="1732"/>
      <c r="DO25" s="1732" t="s">
        <v>89</v>
      </c>
      <c r="DP25" s="1732" t="s">
        <v>89</v>
      </c>
      <c r="DQ25" s="1732" t="s">
        <v>89</v>
      </c>
      <c r="DR25" s="1732" t="s">
        <v>89</v>
      </c>
      <c r="DS25" s="1732"/>
      <c r="DT25" s="1732"/>
      <c r="DU25" s="1732"/>
      <c r="DV25" s="1732"/>
      <c r="DW25" s="1732"/>
      <c r="DX25" s="1732"/>
      <c r="DY25" s="1732" t="s">
        <v>89</v>
      </c>
      <c r="DZ25" s="1732"/>
      <c r="EA25" s="1732"/>
      <c r="EB25" s="1732"/>
      <c r="EC25" s="1732"/>
      <c r="ED25" s="1732"/>
      <c r="EE25" s="1732"/>
      <c r="EF25" s="1732"/>
      <c r="EG25" s="1732"/>
      <c r="EH25" s="1732"/>
      <c r="EI25" s="1732"/>
      <c r="EJ25" s="1732"/>
      <c r="EK25" s="1732"/>
      <c r="EL25" s="1732"/>
      <c r="EM25" s="1732" t="s">
        <v>89</v>
      </c>
      <c r="EN25" s="1732"/>
      <c r="EO25" s="1732"/>
      <c r="EP25" s="1732"/>
      <c r="EQ25" s="1732"/>
      <c r="ER25" s="1732"/>
      <c r="ES25" s="1732"/>
      <c r="ET25" s="1732"/>
      <c r="EU25" s="1732"/>
      <c r="EV25" s="1732"/>
      <c r="EW25" s="1732"/>
      <c r="EX25" s="1732"/>
      <c r="EY25" s="1732"/>
      <c r="EZ25" s="1732"/>
      <c r="FA25" s="1732"/>
      <c r="FB25" s="1732"/>
      <c r="FC25" s="1732" t="s">
        <v>89</v>
      </c>
      <c r="FD25" s="1732" t="s">
        <v>89</v>
      </c>
      <c r="FE25" s="1732"/>
      <c r="FF25" s="1732"/>
      <c r="FG25" s="1732"/>
      <c r="FH25" s="1732" t="s">
        <v>89</v>
      </c>
      <c r="FI25" s="1732" t="s">
        <v>89</v>
      </c>
      <c r="FJ25" s="1732"/>
      <c r="FK25" s="1732"/>
      <c r="FL25" s="1732"/>
      <c r="FM25" s="1732"/>
      <c r="FN25" s="1732"/>
      <c r="FO25" s="1732" t="s">
        <v>89</v>
      </c>
      <c r="FP25" s="1732"/>
      <c r="FQ25" s="1732"/>
      <c r="FR25" s="1732"/>
      <c r="FS25" s="1732"/>
      <c r="FT25" s="1732"/>
      <c r="FU25" s="1732"/>
      <c r="FV25" s="1732"/>
      <c r="FW25" s="1732"/>
      <c r="FX25" s="1732"/>
      <c r="FY25" s="1732"/>
      <c r="FZ25" s="1732"/>
      <c r="GA25" s="1732" t="s">
        <v>89</v>
      </c>
      <c r="GB25" s="1732"/>
      <c r="GC25" s="1732" t="s">
        <v>89</v>
      </c>
      <c r="GD25" s="1732" t="s">
        <v>89</v>
      </c>
      <c r="GE25" s="1732"/>
      <c r="GF25" s="1732"/>
      <c r="GG25" s="1732"/>
      <c r="GH25" s="1732"/>
      <c r="GI25" s="1732"/>
      <c r="GJ25" s="1732"/>
      <c r="GK25" s="1732"/>
      <c r="GL25" s="1732"/>
      <c r="GM25" s="1732"/>
      <c r="GN25" s="1732"/>
      <c r="GO25" s="1732"/>
      <c r="GP25" s="1732"/>
      <c r="GQ25" s="1732"/>
      <c r="GR25" s="1732"/>
      <c r="GS25" s="1732" t="s">
        <v>89</v>
      </c>
      <c r="GT25" s="1732"/>
      <c r="GU25" s="1732" t="s">
        <v>89</v>
      </c>
      <c r="GV25" s="1732"/>
      <c r="GW25" s="1732" t="s">
        <v>89</v>
      </c>
      <c r="GX25" s="1732"/>
      <c r="GY25" s="1732"/>
      <c r="GZ25" s="1732"/>
      <c r="HA25" s="1732"/>
      <c r="HB25" s="1732"/>
      <c r="HC25" s="1732"/>
      <c r="HD25" s="1734" t="s">
        <v>1357</v>
      </c>
      <c r="HE25" s="1732"/>
      <c r="HF25" s="1732"/>
      <c r="HG25" s="1732"/>
      <c r="HH25" s="1732" t="s">
        <v>89</v>
      </c>
      <c r="HI25" s="1732"/>
      <c r="HJ25" s="1732"/>
      <c r="HK25" s="1732"/>
      <c r="HL25" s="1732" t="s">
        <v>89</v>
      </c>
      <c r="HM25" s="1732"/>
      <c r="HN25" s="1732"/>
      <c r="HO25" s="1734" t="s">
        <v>1329</v>
      </c>
      <c r="HP25" s="1732"/>
      <c r="HQ25" s="1732"/>
      <c r="HR25" s="1734" t="s">
        <v>89</v>
      </c>
      <c r="HS25" s="1732"/>
      <c r="HT25" s="1732"/>
      <c r="HU25" s="1732"/>
      <c r="HV25" s="1733"/>
      <c r="HW25" s="1733"/>
      <c r="HX25" s="1733" t="s">
        <v>89</v>
      </c>
      <c r="HY25" s="1735"/>
      <c r="HZ25" s="1735"/>
      <c r="IA25" s="1735"/>
      <c r="IB25" s="1735"/>
      <c r="IC25" s="1735"/>
      <c r="ID25" s="1735"/>
      <c r="IE25" s="1735"/>
      <c r="IF25" s="1735"/>
      <c r="IG25" s="1735"/>
      <c r="IH25" s="1735"/>
      <c r="II25" s="1735"/>
      <c r="IJ25" s="1735"/>
      <c r="IK25" s="1735"/>
      <c r="IL25" s="1735"/>
      <c r="IM25" s="1735"/>
      <c r="IN25" s="1735"/>
      <c r="IO25" s="1735"/>
      <c r="IP25" s="1735"/>
      <c r="IQ25" s="1735"/>
      <c r="IR25" s="1735"/>
      <c r="IS25" s="1735"/>
      <c r="IT25" s="1735"/>
      <c r="IU25" s="1735"/>
      <c r="IV25" s="1735"/>
    </row>
    <row r="26" spans="8:8" ht="20.0" customHeight="1">
      <c r="A26" s="1736" t="s">
        <v>118</v>
      </c>
      <c r="B26" s="1701"/>
      <c r="C26" s="1701" t="str">
        <f>IF(ISTEXT(_xlfn.IFERROR(VLOOKUP(A26,职业列表!I3:J10,1,FALSE),0)),"★","")</f>
        <v/>
      </c>
      <c r="D26" s="1703"/>
      <c r="E26" s="1703"/>
      <c r="F26" s="1703" t="s">
        <v>89</v>
      </c>
      <c r="G26" s="1703"/>
      <c r="H26" s="1703"/>
      <c r="I26" s="1703"/>
      <c r="J26" s="1703"/>
      <c r="K26" s="1703"/>
      <c r="L26" s="1703"/>
      <c r="M26" s="1703"/>
      <c r="N26" s="1703"/>
      <c r="O26" s="1703"/>
      <c r="P26" s="1703"/>
      <c r="Q26" s="1703"/>
      <c r="R26" s="1703"/>
      <c r="S26" s="1703"/>
      <c r="T26" s="1703"/>
      <c r="U26" s="1703"/>
      <c r="V26" s="1701" t="s">
        <v>1327</v>
      </c>
      <c r="W26" s="1703"/>
      <c r="X26" s="1703"/>
      <c r="Y26" s="1703"/>
      <c r="Z26" s="1703"/>
      <c r="AA26" s="1703"/>
      <c r="AB26" s="1701" t="s">
        <v>1327</v>
      </c>
      <c r="AC26" s="1703"/>
      <c r="AD26" s="1703" t="s">
        <v>89</v>
      </c>
      <c r="AE26" s="1703" t="s">
        <v>89</v>
      </c>
      <c r="AF26" s="1703" t="s">
        <v>89</v>
      </c>
      <c r="AG26" s="1703"/>
      <c r="AH26" s="1703"/>
      <c r="AI26" s="1701" t="s">
        <v>1327</v>
      </c>
      <c r="AJ26" s="1701"/>
      <c r="AK26" s="1703"/>
      <c r="AL26" s="1703"/>
      <c r="AM26" s="1703"/>
      <c r="AN26" s="1703" t="s">
        <v>89</v>
      </c>
      <c r="AO26" s="1703"/>
      <c r="AP26" s="1701"/>
      <c r="AQ26" s="1703"/>
      <c r="AR26" s="1703"/>
      <c r="AS26" s="1703"/>
      <c r="AT26" s="1703"/>
      <c r="AU26" s="1703"/>
      <c r="AV26" s="1703"/>
      <c r="AW26" s="1703"/>
      <c r="AX26" s="1703"/>
      <c r="AY26" s="1703"/>
      <c r="AZ26" s="1703"/>
      <c r="BA26" s="1703"/>
      <c r="BB26" s="1703"/>
      <c r="BC26" s="1703"/>
      <c r="BD26" s="1703"/>
      <c r="BE26" s="1703"/>
      <c r="BF26" s="1703"/>
      <c r="BG26" s="1703"/>
      <c r="BH26" s="1703"/>
      <c r="BI26" s="1703"/>
      <c r="BJ26" s="1703" t="s">
        <v>89</v>
      </c>
      <c r="BK26" s="1703" t="s">
        <v>89</v>
      </c>
      <c r="BL26" s="1703"/>
      <c r="BM26" s="1703"/>
      <c r="BN26" s="1703"/>
      <c r="BO26" s="1703"/>
      <c r="BP26" s="1703"/>
      <c r="BQ26" s="1703"/>
      <c r="BR26" s="1703"/>
      <c r="BS26" s="1703" t="s">
        <v>89</v>
      </c>
      <c r="BT26" s="1704" t="s">
        <v>1358</v>
      </c>
      <c r="BU26" s="1703"/>
      <c r="BV26" s="1703"/>
      <c r="BW26" s="1703"/>
      <c r="BX26" s="1703"/>
      <c r="BY26" s="1703"/>
      <c r="BZ26" s="1703"/>
      <c r="CA26" s="1703"/>
      <c r="CB26" s="1703"/>
      <c r="CC26" s="1703"/>
      <c r="CD26" s="1703"/>
      <c r="CE26" s="1703"/>
      <c r="CF26" s="1703"/>
      <c r="CG26" s="1703"/>
      <c r="CH26" s="1703"/>
      <c r="CI26" s="1703"/>
      <c r="CJ26" s="1703"/>
      <c r="CK26" s="1703"/>
      <c r="CL26" s="1703"/>
      <c r="CM26" s="1703"/>
      <c r="CN26" s="1703"/>
      <c r="CO26" s="1703"/>
      <c r="CP26" s="1703"/>
      <c r="CQ26" s="1703"/>
      <c r="CR26" s="1703"/>
      <c r="CS26" s="1703"/>
      <c r="CT26" s="1703"/>
      <c r="CU26" s="1703"/>
      <c r="CV26" s="1703" t="s">
        <v>89</v>
      </c>
      <c r="CW26" s="1703"/>
      <c r="CX26" s="1703"/>
      <c r="CY26" s="1703"/>
      <c r="CZ26" s="1703"/>
      <c r="DA26" s="1703"/>
      <c r="DB26" s="1703" t="s">
        <v>89</v>
      </c>
      <c r="DC26" s="1703"/>
      <c r="DD26" s="1703"/>
      <c r="DE26" s="1703" t="s">
        <v>89</v>
      </c>
      <c r="DF26" s="1701" t="s">
        <v>1326</v>
      </c>
      <c r="DG26" s="1703"/>
      <c r="DH26" s="1703"/>
      <c r="DI26" s="1703"/>
      <c r="DJ26" s="1703"/>
      <c r="DK26" s="1703"/>
      <c r="DL26" s="1703"/>
      <c r="DM26" s="1703"/>
      <c r="DN26" s="1701"/>
      <c r="DO26" s="1701"/>
      <c r="DP26" s="1701"/>
      <c r="DQ26" s="1701"/>
      <c r="DR26" s="1701"/>
      <c r="DS26" s="1701"/>
      <c r="DT26" s="1701"/>
      <c r="DU26" s="1701"/>
      <c r="DV26" s="1701"/>
      <c r="DW26" s="1701"/>
      <c r="DX26" s="1701"/>
      <c r="DY26" s="1701"/>
      <c r="DZ26" s="1701"/>
      <c r="EA26" s="1701"/>
      <c r="EB26" s="1701"/>
      <c r="EC26" s="1701"/>
      <c r="ED26" s="1701"/>
      <c r="EE26" s="1701"/>
      <c r="EF26" s="1701"/>
      <c r="EG26" s="1701"/>
      <c r="EH26" s="1701"/>
      <c r="EI26" s="1701"/>
      <c r="EJ26" s="1701"/>
      <c r="EK26" s="1701"/>
      <c r="EL26" s="1701"/>
      <c r="EM26" s="1701"/>
      <c r="EN26" s="1701"/>
      <c r="EO26" s="1701"/>
      <c r="EP26" s="1701"/>
      <c r="EQ26" s="1701"/>
      <c r="ER26" s="1701"/>
      <c r="ES26" s="1701"/>
      <c r="ET26" s="1701"/>
      <c r="EU26" s="1701"/>
      <c r="EV26" s="1701"/>
      <c r="EW26" s="1701"/>
      <c r="EX26" s="1701"/>
      <c r="EY26" s="1701"/>
      <c r="EZ26" s="1701"/>
      <c r="FA26" s="1701"/>
      <c r="FB26" s="1701"/>
      <c r="FC26" s="1701" t="s">
        <v>1357</v>
      </c>
      <c r="FD26" s="1701"/>
      <c r="FE26" s="1701"/>
      <c r="FF26" s="1701"/>
      <c r="FG26" s="1701"/>
      <c r="FH26" s="1701"/>
      <c r="FI26" s="1701"/>
      <c r="FJ26" s="1701"/>
      <c r="FK26" s="1701"/>
      <c r="FL26" s="1701"/>
      <c r="FM26" s="1701"/>
      <c r="FN26" s="1701"/>
      <c r="FO26" s="1701"/>
      <c r="FP26" s="1701"/>
      <c r="FQ26" s="1701"/>
      <c r="FR26" s="1701" t="s">
        <v>1359</v>
      </c>
      <c r="FS26" s="1701"/>
      <c r="FT26" s="1701"/>
      <c r="FU26" s="1701"/>
      <c r="FV26" s="1701"/>
      <c r="FW26" s="1701"/>
      <c r="FX26" s="1701"/>
      <c r="FY26" s="1701"/>
      <c r="FZ26" s="1701"/>
      <c r="GA26" s="1701" t="s">
        <v>89</v>
      </c>
      <c r="GB26" s="1701"/>
      <c r="GC26" s="1701" t="s">
        <v>89</v>
      </c>
      <c r="GD26" s="1701" t="s">
        <v>89</v>
      </c>
      <c r="GE26" s="1701"/>
      <c r="GF26" s="1701"/>
      <c r="GG26" s="1701"/>
      <c r="GH26" s="1701"/>
      <c r="GI26" s="1701"/>
      <c r="GJ26" s="1701"/>
      <c r="GK26" s="1701"/>
      <c r="GL26" s="1701"/>
      <c r="GM26" s="1701"/>
      <c r="GN26" s="1701"/>
      <c r="GO26" s="1701"/>
      <c r="GP26" s="1701"/>
      <c r="GQ26" s="1701"/>
      <c r="GR26" s="1701"/>
      <c r="GS26" s="1701"/>
      <c r="GT26" s="1701"/>
      <c r="GU26" s="1701" t="s">
        <v>89</v>
      </c>
      <c r="GV26" s="1701"/>
      <c r="GW26" s="1701"/>
      <c r="GX26" s="1701"/>
      <c r="GY26" s="1703"/>
      <c r="GZ26" s="1703"/>
      <c r="HA26" s="1703"/>
      <c r="HB26" s="1703"/>
      <c r="HC26" s="1703"/>
      <c r="HD26" s="1703"/>
      <c r="HE26" s="1703"/>
      <c r="HF26" s="1703"/>
      <c r="HG26" s="1703"/>
      <c r="HH26" s="1703" t="s">
        <v>89</v>
      </c>
      <c r="HI26" s="1703"/>
      <c r="HJ26" s="1703"/>
      <c r="HK26" s="1704" t="s">
        <v>1360</v>
      </c>
      <c r="HL26" s="1703"/>
      <c r="HM26" s="1703"/>
      <c r="HN26" s="1701"/>
      <c r="HO26" s="1703"/>
      <c r="HP26" s="1703"/>
      <c r="HQ26" s="1703"/>
      <c r="HR26" s="1703"/>
      <c r="HS26" s="1703"/>
      <c r="HT26" s="1701"/>
      <c r="HU26" s="1703"/>
      <c r="HV26" s="1703"/>
      <c r="HW26" s="1703"/>
      <c r="HX26" s="1703"/>
      <c r="HY26" s="1688"/>
      <c r="HZ26" s="1688"/>
      <c r="IA26" s="1688"/>
      <c r="IB26" s="1688"/>
      <c r="IC26" s="1688"/>
      <c r="ID26" s="1688"/>
      <c r="IE26" s="1688"/>
      <c r="IF26" s="1688"/>
      <c r="IG26" s="1688"/>
      <c r="IH26" s="1688"/>
      <c r="II26" s="1688"/>
      <c r="IJ26" s="1688"/>
      <c r="IK26" s="1688"/>
      <c r="IL26" s="1688"/>
      <c r="IM26" s="1688"/>
      <c r="IN26" s="1688"/>
      <c r="IO26" s="1688"/>
      <c r="IP26" s="1688"/>
      <c r="IQ26" s="1688"/>
      <c r="IR26" s="1688"/>
      <c r="IS26" s="1688"/>
      <c r="IT26" s="1688"/>
      <c r="IU26" s="1688"/>
      <c r="IV26" s="1688"/>
    </row>
    <row r="27" spans="8:8" ht="20.0" customHeight="1">
      <c r="A27" s="1736" t="s">
        <v>122</v>
      </c>
      <c r="B27" s="1701"/>
      <c r="C27" s="1701" t="str">
        <f>IF(ISTEXT(_xlfn.IFERROR(VLOOKUP(A27,职业列表!I3:P12,1,FALSE),0)),"★","")</f>
        <v/>
      </c>
      <c r="D27" s="1703"/>
      <c r="E27" s="1703"/>
      <c r="F27" s="1703" t="s">
        <v>89</v>
      </c>
      <c r="G27" s="1703"/>
      <c r="H27" s="1703"/>
      <c r="I27" s="1703"/>
      <c r="J27" s="1703"/>
      <c r="K27" s="1703"/>
      <c r="L27" s="1703"/>
      <c r="M27" s="1703"/>
      <c r="N27" s="1703"/>
      <c r="O27" s="1703"/>
      <c r="P27" s="1703"/>
      <c r="Q27" s="1703"/>
      <c r="R27" s="1703"/>
      <c r="S27" s="1703"/>
      <c r="T27" s="1703"/>
      <c r="U27" s="1703"/>
      <c r="V27" s="1701" t="s">
        <v>1327</v>
      </c>
      <c r="W27" s="1703"/>
      <c r="X27" s="1703"/>
      <c r="Y27" s="1703"/>
      <c r="Z27" s="1703"/>
      <c r="AA27" s="1703"/>
      <c r="AB27" s="1701" t="s">
        <v>1327</v>
      </c>
      <c r="AC27" s="1703"/>
      <c r="AD27" s="1703" t="s">
        <v>89</v>
      </c>
      <c r="AE27" s="1703" t="s">
        <v>89</v>
      </c>
      <c r="AF27" s="1703" t="s">
        <v>89</v>
      </c>
      <c r="AG27" s="1703"/>
      <c r="AH27" s="1703"/>
      <c r="AI27" s="1701" t="s">
        <v>1327</v>
      </c>
      <c r="AJ27" s="1701"/>
      <c r="AK27" s="1703"/>
      <c r="AL27" s="1703"/>
      <c r="AM27" s="1703"/>
      <c r="AN27" s="1703" t="s">
        <v>89</v>
      </c>
      <c r="AO27" s="1703"/>
      <c r="AP27" s="1701"/>
      <c r="AQ27" s="1703"/>
      <c r="AR27" s="1703"/>
      <c r="AS27" s="1703"/>
      <c r="AT27" s="1703"/>
      <c r="AU27" s="1703"/>
      <c r="AV27" s="1703"/>
      <c r="AW27" s="1703"/>
      <c r="AX27" s="1703"/>
      <c r="AY27" s="1703"/>
      <c r="AZ27" s="1703"/>
      <c r="BA27" s="1703"/>
      <c r="BB27" s="1703"/>
      <c r="BC27" s="1703"/>
      <c r="BD27" s="1703"/>
      <c r="BE27" s="1703"/>
      <c r="BF27" s="1703"/>
      <c r="BG27" s="1703"/>
      <c r="BH27" s="1703"/>
      <c r="BI27" s="1703"/>
      <c r="BJ27" s="1703" t="s">
        <v>89</v>
      </c>
      <c r="BK27" s="1703" t="s">
        <v>89</v>
      </c>
      <c r="BL27" s="1703"/>
      <c r="BM27" s="1703"/>
      <c r="BN27" s="1703"/>
      <c r="BO27" s="1703"/>
      <c r="BP27" s="1703"/>
      <c r="BQ27" s="1703"/>
      <c r="BR27" s="1703"/>
      <c r="BS27" s="1703" t="s">
        <v>89</v>
      </c>
      <c r="BT27" s="1704"/>
      <c r="BU27" s="1703"/>
      <c r="BV27" s="1703"/>
      <c r="BW27" s="1703"/>
      <c r="BX27" s="1703"/>
      <c r="BY27" s="1703"/>
      <c r="BZ27" s="1703"/>
      <c r="CA27" s="1703"/>
      <c r="CB27" s="1703"/>
      <c r="CC27" s="1703"/>
      <c r="CD27" s="1703"/>
      <c r="CE27" s="1703"/>
      <c r="CF27" s="1703"/>
      <c r="CG27" s="1703"/>
      <c r="CH27" s="1703"/>
      <c r="CI27" s="1703"/>
      <c r="CJ27" s="1703"/>
      <c r="CK27" s="1703"/>
      <c r="CL27" s="1703"/>
      <c r="CM27" s="1703"/>
      <c r="CN27" s="1703"/>
      <c r="CO27" s="1703"/>
      <c r="CP27" s="1703"/>
      <c r="CQ27" s="1703"/>
      <c r="CR27" s="1703"/>
      <c r="CS27" s="1703"/>
      <c r="CT27" s="1703"/>
      <c r="CU27" s="1703"/>
      <c r="CV27" s="1703" t="s">
        <v>89</v>
      </c>
      <c r="CW27" s="1703"/>
      <c r="CX27" s="1703"/>
      <c r="CY27" s="1703"/>
      <c r="CZ27" s="1703"/>
      <c r="DA27" s="1703"/>
      <c r="DB27" s="1703" t="s">
        <v>89</v>
      </c>
      <c r="DC27" s="1703"/>
      <c r="DD27" s="1703"/>
      <c r="DE27" s="1703" t="s">
        <v>89</v>
      </c>
      <c r="DF27" s="1701" t="s">
        <v>1326</v>
      </c>
      <c r="DG27" s="1703"/>
      <c r="DH27" s="1703"/>
      <c r="DI27" s="1703"/>
      <c r="DJ27" s="1703"/>
      <c r="DK27" s="1703"/>
      <c r="DL27" s="1703"/>
      <c r="DM27" s="1703"/>
      <c r="DN27" s="1701"/>
      <c r="DO27" s="1701"/>
      <c r="DP27" s="1701"/>
      <c r="DQ27" s="1701"/>
      <c r="DR27" s="1701"/>
      <c r="DS27" s="1701"/>
      <c r="DT27" s="1701"/>
      <c r="DU27" s="1701"/>
      <c r="DV27" s="1701"/>
      <c r="DW27" s="1701"/>
      <c r="DX27" s="1701"/>
      <c r="DY27" s="1701"/>
      <c r="DZ27" s="1701"/>
      <c r="EA27" s="1701"/>
      <c r="EB27" s="1701"/>
      <c r="EC27" s="1701"/>
      <c r="ED27" s="1701"/>
      <c r="EE27" s="1701"/>
      <c r="EF27" s="1701"/>
      <c r="EG27" s="1701"/>
      <c r="EH27" s="1701"/>
      <c r="EI27" s="1701"/>
      <c r="EJ27" s="1701"/>
      <c r="EK27" s="1701"/>
      <c r="EL27" s="1701"/>
      <c r="EM27" s="1701"/>
      <c r="EN27" s="1701"/>
      <c r="EO27" s="1701"/>
      <c r="EP27" s="1701"/>
      <c r="EQ27" s="1701"/>
      <c r="ER27" s="1701"/>
      <c r="ES27" s="1701"/>
      <c r="ET27" s="1701"/>
      <c r="EU27" s="1701"/>
      <c r="EV27" s="1701"/>
      <c r="EW27" s="1701"/>
      <c r="EX27" s="1701"/>
      <c r="EY27" s="1701"/>
      <c r="EZ27" s="1701"/>
      <c r="FA27" s="1701"/>
      <c r="FB27" s="1701"/>
      <c r="FC27" s="1701"/>
      <c r="FD27" s="1701"/>
      <c r="FE27" s="1701"/>
      <c r="FF27" s="1701"/>
      <c r="FG27" s="1701"/>
      <c r="FH27" s="1701"/>
      <c r="FI27" s="1701"/>
      <c r="FJ27" s="1701"/>
      <c r="FK27" s="1701"/>
      <c r="FL27" s="1701"/>
      <c r="FM27" s="1701"/>
      <c r="FN27" s="1701"/>
      <c r="FO27" s="1701"/>
      <c r="FP27" s="1701"/>
      <c r="FQ27" s="1701"/>
      <c r="FR27" s="1701"/>
      <c r="FS27" s="1701"/>
      <c r="FT27" s="1701"/>
      <c r="FU27" s="1701"/>
      <c r="FV27" s="1701"/>
      <c r="FW27" s="1701"/>
      <c r="FX27" s="1701"/>
      <c r="FY27" s="1701"/>
      <c r="FZ27" s="1701"/>
      <c r="GA27" s="1701" t="s">
        <v>89</v>
      </c>
      <c r="GB27" s="1701"/>
      <c r="GC27" s="1701" t="s">
        <v>89</v>
      </c>
      <c r="GD27" s="1701" t="s">
        <v>89</v>
      </c>
      <c r="GE27" s="1701"/>
      <c r="GF27" s="1701"/>
      <c r="GG27" s="1701"/>
      <c r="GH27" s="1701"/>
      <c r="GI27" s="1701"/>
      <c r="GJ27" s="1701"/>
      <c r="GK27" s="1701"/>
      <c r="GL27" s="1701"/>
      <c r="GM27" s="1701"/>
      <c r="GN27" s="1701"/>
      <c r="GO27" s="1701"/>
      <c r="GP27" s="1701"/>
      <c r="GQ27" s="1701"/>
      <c r="GR27" s="1701"/>
      <c r="GS27" s="1701"/>
      <c r="GT27" s="1701"/>
      <c r="GU27" s="1701" t="s">
        <v>89</v>
      </c>
      <c r="GV27" s="1701"/>
      <c r="GW27" s="1701"/>
      <c r="GX27" s="1701"/>
      <c r="GY27" s="1703"/>
      <c r="GZ27" s="1703"/>
      <c r="HA27" s="1703"/>
      <c r="HB27" s="1703"/>
      <c r="HC27" s="1703"/>
      <c r="HD27" s="1703"/>
      <c r="HE27" s="1703"/>
      <c r="HF27" s="1703"/>
      <c r="HG27" s="1703"/>
      <c r="HH27" s="1703" t="s">
        <v>89</v>
      </c>
      <c r="HI27" s="1703"/>
      <c r="HJ27" s="1703"/>
      <c r="HK27" s="1704"/>
      <c r="HL27" s="1703"/>
      <c r="HM27" s="1703"/>
      <c r="HN27" s="1701"/>
      <c r="HO27" s="1703"/>
      <c r="HP27" s="1703"/>
      <c r="HQ27" s="1703"/>
      <c r="HR27" s="1703"/>
      <c r="HS27" s="1703"/>
      <c r="HT27" s="1701"/>
      <c r="HU27" s="1703"/>
      <c r="HV27" s="1703"/>
      <c r="HW27" s="1703"/>
      <c r="HX27" s="1703"/>
      <c r="HY27" s="1688"/>
      <c r="HZ27" s="1688"/>
      <c r="IA27" s="1688"/>
      <c r="IB27" s="1688"/>
      <c r="IC27" s="1688"/>
      <c r="ID27" s="1688"/>
      <c r="IE27" s="1688"/>
      <c r="IF27" s="1688"/>
      <c r="IG27" s="1688"/>
      <c r="IH27" s="1688"/>
      <c r="II27" s="1688"/>
      <c r="IJ27" s="1688"/>
      <c r="IK27" s="1688"/>
      <c r="IL27" s="1688"/>
      <c r="IM27" s="1688"/>
      <c r="IN27" s="1688"/>
      <c r="IO27" s="1688"/>
      <c r="IP27" s="1688"/>
      <c r="IQ27" s="1688"/>
      <c r="IR27" s="1688"/>
      <c r="IS27" s="1688"/>
      <c r="IT27" s="1688"/>
      <c r="IU27" s="1688"/>
      <c r="IV27" s="1688"/>
    </row>
    <row r="28" spans="8:8" ht="20.0" customHeight="1">
      <c r="A28" s="1723" t="s">
        <v>127</v>
      </c>
      <c r="B28" s="1701"/>
      <c r="C28" s="1701" t="str">
        <f>IF(ISTEXT(_xlfn.IFERROR(VLOOKUP(A28,职业列表!I3:J10,1,FALSE),0)),"★","")</f>
        <v/>
      </c>
      <c r="D28" s="1703"/>
      <c r="E28" s="1703"/>
      <c r="F28" s="1703" t="s">
        <v>89</v>
      </c>
      <c r="G28" s="1703"/>
      <c r="H28" s="1703"/>
      <c r="I28" s="1703"/>
      <c r="J28" s="1703"/>
      <c r="K28" s="1703"/>
      <c r="L28" s="1703"/>
      <c r="M28" s="1703"/>
      <c r="N28" s="1703"/>
      <c r="O28" s="1703"/>
      <c r="P28" s="1703"/>
      <c r="Q28" s="1703"/>
      <c r="R28" s="1703"/>
      <c r="S28" s="1703"/>
      <c r="T28" s="1703"/>
      <c r="U28" s="1703"/>
      <c r="V28" s="1701" t="s">
        <v>1327</v>
      </c>
      <c r="W28" s="1703"/>
      <c r="X28" s="1703"/>
      <c r="Y28" s="1703"/>
      <c r="Z28" s="1703"/>
      <c r="AA28" s="1703"/>
      <c r="AB28" s="1701" t="s">
        <v>1327</v>
      </c>
      <c r="AC28" s="1703"/>
      <c r="AD28" s="1703" t="s">
        <v>89</v>
      </c>
      <c r="AE28" s="1703" t="s">
        <v>89</v>
      </c>
      <c r="AF28" s="1703" t="s">
        <v>89</v>
      </c>
      <c r="AG28" s="1703"/>
      <c r="AH28" s="1703"/>
      <c r="AI28" s="1701" t="s">
        <v>1327</v>
      </c>
      <c r="AJ28" s="1701"/>
      <c r="AK28" s="1703"/>
      <c r="AL28" s="1703"/>
      <c r="AM28" s="1703"/>
      <c r="AN28" s="1703" t="s">
        <v>89</v>
      </c>
      <c r="AO28" s="1703"/>
      <c r="AP28" s="1701"/>
      <c r="AQ28" s="1703"/>
      <c r="AR28" s="1703"/>
      <c r="AS28" s="1703"/>
      <c r="AT28" s="1703"/>
      <c r="AU28" s="1703"/>
      <c r="AV28" s="1703"/>
      <c r="AW28" s="1703"/>
      <c r="AX28" s="1703"/>
      <c r="AY28" s="1703"/>
      <c r="AZ28" s="1703"/>
      <c r="BA28" s="1703"/>
      <c r="BB28" s="1703"/>
      <c r="BC28" s="1703"/>
      <c r="BD28" s="1703"/>
      <c r="BE28" s="1703"/>
      <c r="BF28" s="1703"/>
      <c r="BG28" s="1703"/>
      <c r="BH28" s="1703"/>
      <c r="BI28" s="1703"/>
      <c r="BJ28" s="1703" t="s">
        <v>89</v>
      </c>
      <c r="BK28" s="1703" t="s">
        <v>89</v>
      </c>
      <c r="BL28" s="1703"/>
      <c r="BM28" s="1703"/>
      <c r="BN28" s="1703"/>
      <c r="BO28" s="1703"/>
      <c r="BP28" s="1703"/>
      <c r="BQ28" s="1703"/>
      <c r="BR28" s="1703"/>
      <c r="BS28" s="1703" t="s">
        <v>89</v>
      </c>
      <c r="BT28" s="1704"/>
      <c r="BU28" s="1703"/>
      <c r="BV28" s="1703"/>
      <c r="BW28" s="1703"/>
      <c r="BX28" s="1703"/>
      <c r="BY28" s="1703"/>
      <c r="BZ28" s="1703"/>
      <c r="CA28" s="1703"/>
      <c r="CB28" s="1703"/>
      <c r="CC28" s="1703"/>
      <c r="CD28" s="1703"/>
      <c r="CE28" s="1703"/>
      <c r="CF28" s="1703"/>
      <c r="CG28" s="1703"/>
      <c r="CH28" s="1703"/>
      <c r="CI28" s="1703"/>
      <c r="CJ28" s="1703"/>
      <c r="CK28" s="1703"/>
      <c r="CL28" s="1703"/>
      <c r="CM28" s="1703"/>
      <c r="CN28" s="1703"/>
      <c r="CO28" s="1703"/>
      <c r="CP28" s="1703"/>
      <c r="CQ28" s="1703"/>
      <c r="CR28" s="1703"/>
      <c r="CS28" s="1703"/>
      <c r="CT28" s="1703"/>
      <c r="CU28" s="1703"/>
      <c r="CV28" s="1703" t="s">
        <v>89</v>
      </c>
      <c r="CW28" s="1703"/>
      <c r="CX28" s="1703"/>
      <c r="CY28" s="1703"/>
      <c r="CZ28" s="1703"/>
      <c r="DA28" s="1703"/>
      <c r="DB28" s="1703" t="s">
        <v>89</v>
      </c>
      <c r="DC28" s="1703"/>
      <c r="DD28" s="1703"/>
      <c r="DE28" s="1703" t="s">
        <v>89</v>
      </c>
      <c r="DF28" s="1701" t="s">
        <v>1326</v>
      </c>
      <c r="DG28" s="1703"/>
      <c r="DH28" s="1703"/>
      <c r="DI28" s="1703"/>
      <c r="DJ28" s="1703"/>
      <c r="DK28" s="1703"/>
      <c r="DL28" s="1703"/>
      <c r="DM28" s="1703"/>
      <c r="DN28" s="1701"/>
      <c r="DO28" s="1701"/>
      <c r="DP28" s="1701"/>
      <c r="DQ28" s="1701"/>
      <c r="DR28" s="1701"/>
      <c r="DS28" s="1701"/>
      <c r="DT28" s="1701"/>
      <c r="DU28" s="1701"/>
      <c r="DV28" s="1701"/>
      <c r="DW28" s="1701"/>
      <c r="DX28" s="1701"/>
      <c r="DY28" s="1701"/>
      <c r="DZ28" s="1701"/>
      <c r="EA28" s="1701"/>
      <c r="EB28" s="1701"/>
      <c r="EC28" s="1701"/>
      <c r="ED28" s="1701"/>
      <c r="EE28" s="1701"/>
      <c r="EF28" s="1701"/>
      <c r="EG28" s="1701"/>
      <c r="EH28" s="1701"/>
      <c r="EI28" s="1701"/>
      <c r="EJ28" s="1701"/>
      <c r="EK28" s="1701"/>
      <c r="EL28" s="1701"/>
      <c r="EM28" s="1701"/>
      <c r="EN28" s="1701"/>
      <c r="EO28" s="1701"/>
      <c r="EP28" s="1701"/>
      <c r="EQ28" s="1701"/>
      <c r="ER28" s="1701"/>
      <c r="ES28" s="1701"/>
      <c r="ET28" s="1701"/>
      <c r="EU28" s="1701"/>
      <c r="EV28" s="1701"/>
      <c r="EW28" s="1701"/>
      <c r="EX28" s="1701"/>
      <c r="EY28" s="1701"/>
      <c r="EZ28" s="1701"/>
      <c r="FA28" s="1701"/>
      <c r="FB28" s="1701"/>
      <c r="FC28" s="1701"/>
      <c r="FD28" s="1701"/>
      <c r="FE28" s="1701"/>
      <c r="FF28" s="1701"/>
      <c r="FG28" s="1701"/>
      <c r="FH28" s="1701"/>
      <c r="FI28" s="1701"/>
      <c r="FJ28" s="1701"/>
      <c r="FK28" s="1701"/>
      <c r="FL28" s="1701"/>
      <c r="FM28" s="1701"/>
      <c r="FN28" s="1701"/>
      <c r="FO28" s="1701"/>
      <c r="FP28" s="1701"/>
      <c r="FQ28" s="1701"/>
      <c r="FR28" s="1701"/>
      <c r="FS28" s="1701"/>
      <c r="FT28" s="1701"/>
      <c r="FU28" s="1701"/>
      <c r="FV28" s="1701"/>
      <c r="FW28" s="1701"/>
      <c r="FX28" s="1701"/>
      <c r="FY28" s="1701"/>
      <c r="FZ28" s="1701"/>
      <c r="GA28" s="1701" t="s">
        <v>89</v>
      </c>
      <c r="GB28" s="1701"/>
      <c r="GC28" s="1701" t="s">
        <v>89</v>
      </c>
      <c r="GD28" s="1701" t="s">
        <v>89</v>
      </c>
      <c r="GE28" s="1701"/>
      <c r="GF28" s="1701"/>
      <c r="GG28" s="1701"/>
      <c r="GH28" s="1701"/>
      <c r="GI28" s="1701"/>
      <c r="GJ28" s="1701"/>
      <c r="GK28" s="1701"/>
      <c r="GL28" s="1701"/>
      <c r="GM28" s="1701"/>
      <c r="GN28" s="1701"/>
      <c r="GO28" s="1701"/>
      <c r="GP28" s="1701"/>
      <c r="GQ28" s="1701"/>
      <c r="GR28" s="1701"/>
      <c r="GS28" s="1701"/>
      <c r="GT28" s="1701"/>
      <c r="GU28" s="1701" t="s">
        <v>89</v>
      </c>
      <c r="GV28" s="1701"/>
      <c r="GW28" s="1701"/>
      <c r="GX28" s="1701"/>
      <c r="GY28" s="1703"/>
      <c r="GZ28" s="1703"/>
      <c r="HA28" s="1703"/>
      <c r="HB28" s="1703"/>
      <c r="HC28" s="1703"/>
      <c r="HD28" s="1703"/>
      <c r="HE28" s="1703"/>
      <c r="HF28" s="1703"/>
      <c r="HG28" s="1703"/>
      <c r="HH28" s="1703" t="s">
        <v>89</v>
      </c>
      <c r="HI28" s="1703"/>
      <c r="HJ28" s="1703"/>
      <c r="HK28" s="1704"/>
      <c r="HL28" s="1703"/>
      <c r="HM28" s="1703"/>
      <c r="HN28" s="1701"/>
      <c r="HO28" s="1703"/>
      <c r="HP28" s="1703"/>
      <c r="HQ28" s="1703"/>
      <c r="HR28" s="1703"/>
      <c r="HS28" s="1703"/>
      <c r="HT28" s="1701"/>
      <c r="HU28" s="1703"/>
      <c r="HV28" s="1703"/>
      <c r="HW28" s="1703"/>
      <c r="HX28" s="1703"/>
      <c r="HY28" s="1688"/>
      <c r="HZ28" s="1688"/>
      <c r="IA28" s="1688"/>
      <c r="IB28" s="1688"/>
      <c r="IC28" s="1688"/>
      <c r="ID28" s="1688"/>
      <c r="IE28" s="1688"/>
      <c r="IF28" s="1688"/>
      <c r="IG28" s="1688"/>
      <c r="IH28" s="1688"/>
      <c r="II28" s="1688"/>
      <c r="IJ28" s="1688"/>
      <c r="IK28" s="1688"/>
      <c r="IL28" s="1688"/>
      <c r="IM28" s="1688"/>
      <c r="IN28" s="1688"/>
      <c r="IO28" s="1688"/>
      <c r="IP28" s="1688"/>
      <c r="IQ28" s="1688"/>
      <c r="IR28" s="1688"/>
      <c r="IS28" s="1688"/>
      <c r="IT28" s="1688"/>
      <c r="IU28" s="1688"/>
      <c r="IV28" s="1688"/>
    </row>
    <row r="29" spans="8:8" s="1737" ht="20.0" customFormat="1" customHeight="1">
      <c r="A29" s="1738" t="s">
        <v>129</v>
      </c>
      <c r="B29" s="1739"/>
      <c r="C29" s="1701" t="str">
        <f>IF(ISTEXT(_xlfn.IFERROR(VLOOKUP(A29,职业列表!I3:J10,1,FALSE),0)),"★","")</f>
        <v/>
      </c>
      <c r="D29" s="1740"/>
      <c r="E29" s="1739"/>
      <c r="F29" s="1739"/>
      <c r="G29" s="1739"/>
      <c r="H29" s="1740" t="s">
        <v>89</v>
      </c>
      <c r="I29" s="1739"/>
      <c r="J29" s="1739"/>
      <c r="K29" s="1739"/>
      <c r="L29" s="1739"/>
      <c r="M29" s="1739"/>
      <c r="N29" s="1739"/>
      <c r="O29" s="1739"/>
      <c r="P29" s="1739"/>
      <c r="Q29" s="1739"/>
      <c r="R29" s="1739"/>
      <c r="S29" s="1739"/>
      <c r="T29" s="1740" t="s">
        <v>89</v>
      </c>
      <c r="U29" s="1739"/>
      <c r="V29" s="1739" t="s">
        <v>1327</v>
      </c>
      <c r="W29" s="1739"/>
      <c r="X29" s="1739"/>
      <c r="Y29" s="1739"/>
      <c r="Z29" s="1739"/>
      <c r="AA29" s="1739"/>
      <c r="AB29" s="1739" t="s">
        <v>1327</v>
      </c>
      <c r="AC29" s="1739"/>
      <c r="AD29" s="1740" t="s">
        <v>89</v>
      </c>
      <c r="AE29" s="1740" t="s">
        <v>89</v>
      </c>
      <c r="AF29" s="1740" t="s">
        <v>89</v>
      </c>
      <c r="AG29" s="1739"/>
      <c r="AH29" s="1739"/>
      <c r="AI29" s="1739" t="s">
        <v>1327</v>
      </c>
      <c r="AJ29" s="1739" t="s">
        <v>1326</v>
      </c>
      <c r="AK29" s="1739"/>
      <c r="AL29" s="1739"/>
      <c r="AM29" s="1740" t="s">
        <v>89</v>
      </c>
      <c r="AN29" s="1740" t="s">
        <v>89</v>
      </c>
      <c r="AO29" s="1739"/>
      <c r="AP29" s="1739" t="s">
        <v>1326</v>
      </c>
      <c r="AQ29" s="1741"/>
      <c r="AR29" s="1740" t="s">
        <v>89</v>
      </c>
      <c r="AS29" s="1739"/>
      <c r="AT29" s="1739"/>
      <c r="AU29" s="1739"/>
      <c r="AV29" s="1739"/>
      <c r="AW29" s="1739"/>
      <c r="AX29" s="1739"/>
      <c r="AY29" s="1739"/>
      <c r="AZ29" s="1739"/>
      <c r="BA29" s="1739"/>
      <c r="BB29" s="1739"/>
      <c r="BC29" s="1740" t="s">
        <v>89</v>
      </c>
      <c r="BD29" s="1739"/>
      <c r="BE29" s="1740" t="s">
        <v>89</v>
      </c>
      <c r="BF29" s="1739"/>
      <c r="BG29" s="1739"/>
      <c r="BH29" s="1739"/>
      <c r="BI29" s="1739"/>
      <c r="BJ29" s="1740" t="s">
        <v>89</v>
      </c>
      <c r="BK29" s="1740" t="s">
        <v>89</v>
      </c>
      <c r="BL29" s="1742"/>
      <c r="BM29" s="1739"/>
      <c r="BN29" s="1739"/>
      <c r="BO29" s="1739"/>
      <c r="BP29" s="1739"/>
      <c r="BQ29" s="1739"/>
      <c r="BR29" s="1739"/>
      <c r="BS29" s="1739"/>
      <c r="BT29" s="1739"/>
      <c r="BU29" s="1739"/>
      <c r="BV29" s="1739"/>
      <c r="BW29" s="1739"/>
      <c r="BX29" s="1739"/>
      <c r="BY29" s="1740" t="s">
        <v>89</v>
      </c>
      <c r="BZ29" s="1739"/>
      <c r="CA29" s="1739"/>
      <c r="CB29" s="1739"/>
      <c r="CC29" s="1739"/>
      <c r="CD29" s="1739"/>
      <c r="CE29" s="1739"/>
      <c r="CF29" s="1740" t="s">
        <v>89</v>
      </c>
      <c r="CG29" s="1739"/>
      <c r="CH29" s="1739"/>
      <c r="CI29" s="1739"/>
      <c r="CJ29" s="1739"/>
      <c r="CK29" s="1739"/>
      <c r="CL29" s="1739"/>
      <c r="CM29" s="1740" t="s">
        <v>89</v>
      </c>
      <c r="CN29" s="1743" t="s">
        <v>89</v>
      </c>
      <c r="CO29" s="1739"/>
      <c r="CP29" s="1739"/>
      <c r="CQ29" s="1739"/>
      <c r="CR29" s="1739"/>
      <c r="CS29" s="1739"/>
      <c r="CT29" s="1739"/>
      <c r="CU29" s="1739"/>
      <c r="CV29" s="1740" t="s">
        <v>89</v>
      </c>
      <c r="CW29" s="1739"/>
      <c r="CX29" s="1739"/>
      <c r="CY29" s="1739"/>
      <c r="CZ29" s="1739"/>
      <c r="DA29" s="1739"/>
      <c r="DB29" s="1740" t="s">
        <v>89</v>
      </c>
      <c r="DC29" s="1740" t="s">
        <v>89</v>
      </c>
      <c r="DD29" s="1739"/>
      <c r="DE29" s="1739"/>
      <c r="DF29" s="1739"/>
      <c r="DG29" s="1739"/>
      <c r="DH29" s="1739"/>
      <c r="DI29" s="1739"/>
      <c r="DJ29" s="1739"/>
      <c r="DK29" s="1739"/>
      <c r="DL29" s="1739"/>
      <c r="DM29" s="1739"/>
      <c r="DN29" s="1739"/>
      <c r="DO29" s="1739"/>
      <c r="DP29" s="1739"/>
      <c r="DQ29" s="1739"/>
      <c r="DR29" s="1739"/>
      <c r="DS29" s="1739"/>
      <c r="DT29" s="1739"/>
      <c r="DU29" s="1739"/>
      <c r="DV29" s="1739"/>
      <c r="DW29" s="1739"/>
      <c r="DX29" s="1739"/>
      <c r="DY29" s="1739" t="s">
        <v>89</v>
      </c>
      <c r="DZ29" s="1739"/>
      <c r="EA29" s="1739"/>
      <c r="EB29" s="1739"/>
      <c r="EC29" s="1739"/>
      <c r="ED29" s="1739"/>
      <c r="EE29" s="1739"/>
      <c r="EF29" s="1739"/>
      <c r="EG29" s="1739"/>
      <c r="EH29" s="1739"/>
      <c r="EI29" s="1739"/>
      <c r="EJ29" s="1739"/>
      <c r="EK29" s="1739"/>
      <c r="EL29" s="1739"/>
      <c r="EM29" s="1739"/>
      <c r="EN29" s="1739"/>
      <c r="EO29" s="1739"/>
      <c r="EP29" s="1739"/>
      <c r="EQ29" s="1739"/>
      <c r="ER29" s="1739"/>
      <c r="ES29" s="1739"/>
      <c r="ET29" s="1739"/>
      <c r="EU29" s="1739"/>
      <c r="EV29" s="1739"/>
      <c r="EW29" s="1739"/>
      <c r="EX29" s="1739"/>
      <c r="EY29" s="1739"/>
      <c r="EZ29" s="1739"/>
      <c r="FA29" s="1739"/>
      <c r="FB29" s="1739"/>
      <c r="FC29" s="1739" t="s">
        <v>89</v>
      </c>
      <c r="FD29" s="1739"/>
      <c r="FE29" s="1739"/>
      <c r="FF29" s="1739"/>
      <c r="FG29" s="1739"/>
      <c r="FH29" s="1739"/>
      <c r="FI29" s="1739"/>
      <c r="FJ29" s="1739"/>
      <c r="FK29" s="1739"/>
      <c r="FL29" s="1739"/>
      <c r="FM29" s="1739"/>
      <c r="FN29" s="1739"/>
      <c r="FO29" s="1739"/>
      <c r="FP29" s="1739"/>
      <c r="FQ29" s="1739"/>
      <c r="FR29" s="1739"/>
      <c r="FS29" s="1739"/>
      <c r="FT29" s="1739"/>
      <c r="FU29" s="1739"/>
      <c r="FV29" s="1739"/>
      <c r="FW29" s="1739"/>
      <c r="FX29" s="1739"/>
      <c r="FY29" s="1739"/>
      <c r="FZ29" s="1739"/>
      <c r="GA29" s="1739" t="s">
        <v>89</v>
      </c>
      <c r="GB29" s="1739"/>
      <c r="GC29" s="1739" t="s">
        <v>89</v>
      </c>
      <c r="GD29" s="1739" t="s">
        <v>89</v>
      </c>
      <c r="GE29" s="1739" t="s">
        <v>89</v>
      </c>
      <c r="GF29" s="1739"/>
      <c r="GG29" s="1739"/>
      <c r="GH29" s="1739"/>
      <c r="GI29" s="1739"/>
      <c r="GJ29" s="1739"/>
      <c r="GK29" s="1739"/>
      <c r="GL29" s="1739"/>
      <c r="GM29" s="1739"/>
      <c r="GN29" s="1739"/>
      <c r="GO29" s="1739"/>
      <c r="GP29" s="1739"/>
      <c r="GQ29" s="1739"/>
      <c r="GR29" s="1739"/>
      <c r="GS29" s="1739"/>
      <c r="GT29" s="1739"/>
      <c r="GU29" s="1739" t="s">
        <v>89</v>
      </c>
      <c r="GV29" s="1739"/>
      <c r="GW29" s="1739" t="s">
        <v>89</v>
      </c>
      <c r="GX29" s="1739"/>
      <c r="GY29" s="1739"/>
      <c r="GZ29" s="1740"/>
      <c r="HA29" s="1739"/>
      <c r="HB29" s="1739"/>
      <c r="HC29" s="1739"/>
      <c r="HD29" s="1739"/>
      <c r="HE29" s="1739"/>
      <c r="HF29" s="1739"/>
      <c r="HG29" s="1739"/>
      <c r="HH29" s="1739"/>
      <c r="HI29" s="1739"/>
      <c r="HJ29" s="1739"/>
      <c r="HK29" s="1742" t="s">
        <v>89</v>
      </c>
      <c r="HL29" s="1743" t="s">
        <v>89</v>
      </c>
      <c r="HM29" s="1739"/>
      <c r="HN29" s="1739"/>
      <c r="HO29" s="1739"/>
      <c r="HP29" s="1739"/>
      <c r="HQ29" s="1739"/>
      <c r="HR29" s="1739" t="s">
        <v>89</v>
      </c>
      <c r="HS29" s="1739"/>
      <c r="HT29" s="1739"/>
      <c r="HU29" s="1739"/>
      <c r="HV29" s="1740"/>
      <c r="HW29" s="1740"/>
      <c r="HX29" s="1740"/>
      <c r="HY29" s="1744"/>
      <c r="HZ29" s="1744"/>
      <c r="IA29" s="1744"/>
      <c r="IB29" s="1744"/>
      <c r="IC29" s="1744"/>
      <c r="ID29" s="1744"/>
      <c r="IE29" s="1744"/>
      <c r="IF29" s="1744"/>
      <c r="IG29" s="1744"/>
      <c r="IH29" s="1744"/>
      <c r="II29" s="1744"/>
      <c r="IJ29" s="1744"/>
      <c r="IK29" s="1744"/>
      <c r="IL29" s="1744"/>
      <c r="IM29" s="1744"/>
      <c r="IN29" s="1744"/>
      <c r="IO29" s="1744"/>
      <c r="IP29" s="1744"/>
      <c r="IQ29" s="1744"/>
      <c r="IR29" s="1744"/>
      <c r="IS29" s="1744"/>
      <c r="IT29" s="1744"/>
      <c r="IU29" s="1744"/>
      <c r="IV29" s="1744"/>
    </row>
    <row r="30" spans="8:8" ht="20.0" customHeight="1">
      <c r="A30" s="1736" t="s">
        <v>133</v>
      </c>
      <c r="B30" s="1701"/>
      <c r="C30" s="1701" t="str">
        <f>IF(ISTEXT(_xlfn.IFERROR(VLOOKUP(A30,职业列表!I3:J10,1,FALSE),0)),"★","")</f>
        <v/>
      </c>
      <c r="D30" s="1703"/>
      <c r="E30" s="1703"/>
      <c r="F30" s="1703"/>
      <c r="G30" s="1703"/>
      <c r="H30" s="1703" t="s">
        <v>89</v>
      </c>
      <c r="I30" s="1703"/>
      <c r="J30" s="1703"/>
      <c r="K30" s="1703"/>
      <c r="L30" s="1703"/>
      <c r="M30" s="1703"/>
      <c r="N30" s="1703"/>
      <c r="O30" s="1703"/>
      <c r="P30" s="1703"/>
      <c r="Q30" s="1703"/>
      <c r="R30" s="1703"/>
      <c r="S30" s="1703"/>
      <c r="T30" s="1703" t="s">
        <v>89</v>
      </c>
      <c r="U30" s="1703"/>
      <c r="V30" s="1701" t="s">
        <v>1327</v>
      </c>
      <c r="W30" s="1703"/>
      <c r="X30" s="1703"/>
      <c r="Y30" s="1703"/>
      <c r="Z30" s="1703"/>
      <c r="AA30" s="1703"/>
      <c r="AB30" s="1701" t="s">
        <v>1327</v>
      </c>
      <c r="AC30" s="1703"/>
      <c r="AD30" s="1703" t="s">
        <v>89</v>
      </c>
      <c r="AE30" s="1703" t="s">
        <v>89</v>
      </c>
      <c r="AF30" s="1703" t="s">
        <v>89</v>
      </c>
      <c r="AG30" s="1703"/>
      <c r="AH30" s="1703"/>
      <c r="AI30" s="1701" t="s">
        <v>1327</v>
      </c>
      <c r="AJ30" s="1701"/>
      <c r="AK30" s="1703"/>
      <c r="AL30" s="1703"/>
      <c r="AM30" s="1703" t="s">
        <v>89</v>
      </c>
      <c r="AN30" s="1703" t="s">
        <v>89</v>
      </c>
      <c r="AO30" s="1703"/>
      <c r="AP30" s="1703" t="s">
        <v>1326</v>
      </c>
      <c r="AQ30" s="1745"/>
      <c r="AR30" s="1703" t="s">
        <v>89</v>
      </c>
      <c r="AS30" s="1703"/>
      <c r="AT30" s="1703"/>
      <c r="AU30" s="1703"/>
      <c r="AV30" s="1703"/>
      <c r="AW30" s="1703"/>
      <c r="AX30" s="1703"/>
      <c r="AY30" s="1703"/>
      <c r="AZ30" s="1703"/>
      <c r="BA30" s="1703"/>
      <c r="BB30" s="1703"/>
      <c r="BC30" s="1703" t="s">
        <v>89</v>
      </c>
      <c r="BD30" s="1703"/>
      <c r="BE30" s="1703" t="s">
        <v>89</v>
      </c>
      <c r="BF30" s="1703"/>
      <c r="BG30" s="1703"/>
      <c r="BH30" s="1703"/>
      <c r="BI30" s="1703"/>
      <c r="BJ30" s="1703" t="s">
        <v>89</v>
      </c>
      <c r="BK30" s="1703" t="s">
        <v>89</v>
      </c>
      <c r="BL30" s="1703" t="s">
        <v>1361</v>
      </c>
      <c r="BM30" s="1703"/>
      <c r="BN30" s="1703"/>
      <c r="BO30" s="1703"/>
      <c r="BP30" s="1703"/>
      <c r="BQ30" s="1703"/>
      <c r="BR30" s="1703"/>
      <c r="BS30" s="1703"/>
      <c r="BT30" s="1703"/>
      <c r="BU30" s="1703"/>
      <c r="BV30" s="1703"/>
      <c r="BW30" s="1703"/>
      <c r="BX30" s="1703"/>
      <c r="BY30" s="1703" t="s">
        <v>89</v>
      </c>
      <c r="BZ30" s="1703"/>
      <c r="CA30" s="1703"/>
      <c r="CB30" s="1703"/>
      <c r="CC30" s="1703"/>
      <c r="CD30" s="1703"/>
      <c r="CE30" s="1703"/>
      <c r="CF30" s="1703" t="s">
        <v>89</v>
      </c>
      <c r="CG30" s="1703"/>
      <c r="CH30" s="1703"/>
      <c r="CI30" s="1703"/>
      <c r="CJ30" s="1703"/>
      <c r="CK30" s="1703"/>
      <c r="CL30" s="1703"/>
      <c r="CM30" s="1703" t="s">
        <v>89</v>
      </c>
      <c r="CN30" s="1703" t="s">
        <v>89</v>
      </c>
      <c r="CO30" s="1703"/>
      <c r="CP30" s="1703"/>
      <c r="CQ30" s="1703"/>
      <c r="CR30" s="1703"/>
      <c r="CS30" s="1703"/>
      <c r="CT30" s="1703"/>
      <c r="CU30" s="1703"/>
      <c r="CV30" s="1703" t="s">
        <v>89</v>
      </c>
      <c r="CW30" s="1703"/>
      <c r="CX30" s="1703"/>
      <c r="CY30" s="1703"/>
      <c r="CZ30" s="1703"/>
      <c r="DA30" s="1703"/>
      <c r="DB30" s="1703" t="s">
        <v>89</v>
      </c>
      <c r="DC30" s="1703" t="s">
        <v>89</v>
      </c>
      <c r="DD30" s="1703"/>
      <c r="DE30" s="1703"/>
      <c r="DF30" s="1703"/>
      <c r="DG30" s="1703"/>
      <c r="DH30" s="1703"/>
      <c r="DI30" s="1703"/>
      <c r="DJ30" s="1703"/>
      <c r="DK30" s="1703"/>
      <c r="DL30" s="1703"/>
      <c r="DM30" s="1703"/>
      <c r="DN30" s="1701"/>
      <c r="DO30" s="1701"/>
      <c r="DP30" s="1701"/>
      <c r="DQ30" s="1701"/>
      <c r="DR30" s="1701"/>
      <c r="DS30" s="1701"/>
      <c r="DT30" s="1701"/>
      <c r="DU30" s="1701"/>
      <c r="DV30" s="1701"/>
      <c r="DW30" s="1701"/>
      <c r="DX30" s="1701"/>
      <c r="DY30" s="1701"/>
      <c r="DZ30" s="1701"/>
      <c r="EA30" s="1701"/>
      <c r="EB30" s="1701"/>
      <c r="EC30" s="1701"/>
      <c r="ED30" s="1701"/>
      <c r="EE30" s="1701"/>
      <c r="EF30" s="1701"/>
      <c r="EG30" s="1701"/>
      <c r="EH30" s="1701"/>
      <c r="EI30" s="1701"/>
      <c r="EJ30" s="1701"/>
      <c r="EK30" s="1701"/>
      <c r="EL30" s="1701"/>
      <c r="EM30" s="1701"/>
      <c r="EN30" s="1701"/>
      <c r="EO30" s="1701"/>
      <c r="EP30" s="1701"/>
      <c r="EQ30" s="1701"/>
      <c r="ER30" s="1701"/>
      <c r="ES30" s="1701"/>
      <c r="ET30" s="1701"/>
      <c r="EU30" s="1701"/>
      <c r="EV30" s="1701"/>
      <c r="EW30" s="1701"/>
      <c r="EX30" s="1701"/>
      <c r="EY30" s="1701"/>
      <c r="EZ30" s="1701"/>
      <c r="FA30" s="1701"/>
      <c r="FB30" s="1701"/>
      <c r="FC30" s="1701" t="s">
        <v>89</v>
      </c>
      <c r="FD30" s="1701"/>
      <c r="FE30" s="1701"/>
      <c r="FF30" s="1701"/>
      <c r="FG30" s="1701"/>
      <c r="FH30" s="1701"/>
      <c r="FI30" s="1701"/>
      <c r="FJ30" s="1701"/>
      <c r="FK30" s="1701"/>
      <c r="FL30" s="1701"/>
      <c r="FM30" s="1701"/>
      <c r="FN30" s="1701"/>
      <c r="FO30" s="1701"/>
      <c r="FP30" s="1701"/>
      <c r="FQ30" s="1701"/>
      <c r="FR30" s="1701" t="s">
        <v>1362</v>
      </c>
      <c r="FS30" s="1701"/>
      <c r="FT30" s="1701"/>
      <c r="FU30" s="1701"/>
      <c r="FV30" s="1701"/>
      <c r="FW30" s="1701"/>
      <c r="FX30" s="1701"/>
      <c r="FY30" s="1701"/>
      <c r="FZ30" s="1701"/>
      <c r="GA30" s="1701" t="s">
        <v>89</v>
      </c>
      <c r="GB30" s="1701"/>
      <c r="GC30" s="1701" t="s">
        <v>89</v>
      </c>
      <c r="GD30" s="1701" t="s">
        <v>89</v>
      </c>
      <c r="GE30" s="1701" t="s">
        <v>89</v>
      </c>
      <c r="GF30" s="1701"/>
      <c r="GG30" s="1701"/>
      <c r="GH30" s="1701"/>
      <c r="GI30" s="1701"/>
      <c r="GJ30" s="1701"/>
      <c r="GK30" s="1701"/>
      <c r="GL30" s="1701"/>
      <c r="GM30" s="1701"/>
      <c r="GN30" s="1701"/>
      <c r="GO30" s="1701"/>
      <c r="GP30" s="1701"/>
      <c r="GQ30" s="1701"/>
      <c r="GR30" s="1701"/>
      <c r="GS30" s="1701"/>
      <c r="GT30" s="1701"/>
      <c r="GU30" s="1701" t="s">
        <v>89</v>
      </c>
      <c r="GV30" s="1701"/>
      <c r="GW30" s="1701" t="s">
        <v>89</v>
      </c>
      <c r="GX30" s="1701"/>
      <c r="GY30" s="1703"/>
      <c r="GZ30" s="1704"/>
      <c r="HA30" s="1704" t="s">
        <v>1363</v>
      </c>
      <c r="HB30" s="1703"/>
      <c r="HC30" s="1703"/>
      <c r="HD30" s="1703"/>
      <c r="HE30" s="1703"/>
      <c r="HF30" s="1703"/>
      <c r="HG30" s="1703"/>
      <c r="HH30" s="1703"/>
      <c r="HI30" s="1703"/>
      <c r="HJ30" s="1703"/>
      <c r="HK30" s="1704" t="s">
        <v>1364</v>
      </c>
      <c r="HL30" s="1704" t="s">
        <v>1364</v>
      </c>
      <c r="HM30" s="1703"/>
      <c r="HN30" s="1701"/>
      <c r="HO30" s="1703"/>
      <c r="HP30" s="1703"/>
      <c r="HQ30" s="1703"/>
      <c r="HR30" s="1703"/>
      <c r="HS30" s="1703"/>
      <c r="HT30" s="1701"/>
      <c r="HU30" s="1703"/>
      <c r="HV30" s="1703"/>
      <c r="HW30" s="1704" t="s">
        <v>1364</v>
      </c>
      <c r="HX30" s="1703"/>
      <c r="HY30" s="1688"/>
      <c r="HZ30" s="1688"/>
      <c r="IA30" s="1688"/>
      <c r="IB30" s="1688"/>
      <c r="IC30" s="1688"/>
      <c r="ID30" s="1688"/>
      <c r="IE30" s="1688"/>
      <c r="IF30" s="1688"/>
      <c r="IG30" s="1688"/>
      <c r="IH30" s="1688"/>
      <c r="II30" s="1688"/>
      <c r="IJ30" s="1688"/>
      <c r="IK30" s="1688"/>
      <c r="IL30" s="1688"/>
      <c r="IM30" s="1688"/>
      <c r="IN30" s="1688"/>
      <c r="IO30" s="1688"/>
      <c r="IP30" s="1688"/>
      <c r="IQ30" s="1688"/>
      <c r="IR30" s="1688"/>
      <c r="IS30" s="1688"/>
      <c r="IT30" s="1688"/>
      <c r="IU30" s="1688"/>
      <c r="IV30" s="1688"/>
    </row>
    <row r="31" spans="8:8" ht="20.0" customHeight="1">
      <c r="A31" s="1736" t="s">
        <v>135</v>
      </c>
      <c r="B31" s="1701"/>
      <c r="C31" s="1701" t="str">
        <f>IF(ISTEXT(_xlfn.IFERROR(VLOOKUP(A31,职业列表!I3:J10,1,FALSE),0)),"★","")</f>
        <v/>
      </c>
      <c r="D31" s="1703"/>
      <c r="E31" s="1703"/>
      <c r="F31" s="1703"/>
      <c r="G31" s="1703"/>
      <c r="H31" s="1703" t="s">
        <v>89</v>
      </c>
      <c r="I31" s="1703"/>
      <c r="J31" s="1703"/>
      <c r="K31" s="1703"/>
      <c r="L31" s="1703"/>
      <c r="M31" s="1703"/>
      <c r="N31" s="1703"/>
      <c r="O31" s="1703"/>
      <c r="P31" s="1703"/>
      <c r="Q31" s="1703"/>
      <c r="R31" s="1703"/>
      <c r="S31" s="1703"/>
      <c r="T31" s="1703" t="s">
        <v>89</v>
      </c>
      <c r="U31" s="1703"/>
      <c r="V31" s="1701" t="s">
        <v>1327</v>
      </c>
      <c r="W31" s="1703"/>
      <c r="X31" s="1703"/>
      <c r="Y31" s="1703"/>
      <c r="Z31" s="1703"/>
      <c r="AA31" s="1703"/>
      <c r="AB31" s="1701" t="s">
        <v>1327</v>
      </c>
      <c r="AC31" s="1703"/>
      <c r="AD31" s="1703" t="s">
        <v>89</v>
      </c>
      <c r="AE31" s="1703" t="s">
        <v>89</v>
      </c>
      <c r="AF31" s="1703" t="s">
        <v>89</v>
      </c>
      <c r="AG31" s="1703"/>
      <c r="AH31" s="1703"/>
      <c r="AI31" s="1701" t="s">
        <v>1327</v>
      </c>
      <c r="AJ31" s="1701"/>
      <c r="AK31" s="1703"/>
      <c r="AL31" s="1703"/>
      <c r="AM31" s="1703" t="s">
        <v>89</v>
      </c>
      <c r="AN31" s="1703" t="s">
        <v>89</v>
      </c>
      <c r="AO31" s="1703"/>
      <c r="AP31" s="1703" t="s">
        <v>1326</v>
      </c>
      <c r="AQ31" s="1745"/>
      <c r="AR31" s="1703" t="s">
        <v>89</v>
      </c>
      <c r="AS31" s="1703"/>
      <c r="AT31" s="1703"/>
      <c r="AU31" s="1703"/>
      <c r="AV31" s="1703"/>
      <c r="AW31" s="1703"/>
      <c r="AX31" s="1703"/>
      <c r="AY31" s="1703"/>
      <c r="AZ31" s="1703"/>
      <c r="BA31" s="1703"/>
      <c r="BB31" s="1703"/>
      <c r="BC31" s="1703" t="s">
        <v>89</v>
      </c>
      <c r="BD31" s="1703"/>
      <c r="BE31" s="1703" t="s">
        <v>89</v>
      </c>
      <c r="BF31" s="1703"/>
      <c r="BG31" s="1703"/>
      <c r="BH31" s="1703"/>
      <c r="BI31" s="1703"/>
      <c r="BJ31" s="1703" t="s">
        <v>89</v>
      </c>
      <c r="BK31" s="1703" t="s">
        <v>89</v>
      </c>
      <c r="BL31" s="1703"/>
      <c r="BM31" s="1703"/>
      <c r="BN31" s="1703"/>
      <c r="BO31" s="1703"/>
      <c r="BP31" s="1703"/>
      <c r="BQ31" s="1703"/>
      <c r="BR31" s="1703"/>
      <c r="BS31" s="1703"/>
      <c r="BT31" s="1703"/>
      <c r="BU31" s="1703"/>
      <c r="BV31" s="1703"/>
      <c r="BW31" s="1703"/>
      <c r="BX31" s="1703"/>
      <c r="BY31" s="1703" t="s">
        <v>89</v>
      </c>
      <c r="BZ31" s="1703"/>
      <c r="CA31" s="1703"/>
      <c r="CB31" s="1703"/>
      <c r="CC31" s="1703"/>
      <c r="CD31" s="1703"/>
      <c r="CE31" s="1703"/>
      <c r="CF31" s="1703" t="s">
        <v>89</v>
      </c>
      <c r="CG31" s="1703"/>
      <c r="CH31" s="1703"/>
      <c r="CI31" s="1703"/>
      <c r="CJ31" s="1703"/>
      <c r="CK31" s="1703"/>
      <c r="CL31" s="1703"/>
      <c r="CM31" s="1703" t="s">
        <v>89</v>
      </c>
      <c r="CN31" s="1703" t="s">
        <v>89</v>
      </c>
      <c r="CO31" s="1703"/>
      <c r="CP31" s="1703"/>
      <c r="CQ31" s="1703"/>
      <c r="CR31" s="1703"/>
      <c r="CS31" s="1703"/>
      <c r="CT31" s="1703"/>
      <c r="CU31" s="1703"/>
      <c r="CV31" s="1703" t="s">
        <v>89</v>
      </c>
      <c r="CW31" s="1703"/>
      <c r="CX31" s="1703"/>
      <c r="CY31" s="1703"/>
      <c r="CZ31" s="1703"/>
      <c r="DA31" s="1703"/>
      <c r="DB31" s="1703" t="s">
        <v>89</v>
      </c>
      <c r="DC31" s="1703" t="s">
        <v>89</v>
      </c>
      <c r="DD31" s="1703"/>
      <c r="DE31" s="1703"/>
      <c r="DF31" s="1703"/>
      <c r="DG31" s="1703"/>
      <c r="DH31" s="1703"/>
      <c r="DI31" s="1703"/>
      <c r="DJ31" s="1703"/>
      <c r="DK31" s="1703"/>
      <c r="DL31" s="1703"/>
      <c r="DM31" s="1703"/>
      <c r="DN31" s="1701"/>
      <c r="DO31" s="1701"/>
      <c r="DP31" s="1701"/>
      <c r="DQ31" s="1701"/>
      <c r="DR31" s="1701"/>
      <c r="DS31" s="1701"/>
      <c r="DT31" s="1701"/>
      <c r="DU31" s="1701"/>
      <c r="DV31" s="1701"/>
      <c r="DW31" s="1701"/>
      <c r="DX31" s="1701"/>
      <c r="DY31" s="1701"/>
      <c r="DZ31" s="1701"/>
      <c r="EA31" s="1701"/>
      <c r="EB31" s="1701"/>
      <c r="EC31" s="1701"/>
      <c r="ED31" s="1701"/>
      <c r="EE31" s="1701"/>
      <c r="EF31" s="1701"/>
      <c r="EG31" s="1701"/>
      <c r="EH31" s="1701"/>
      <c r="EI31" s="1701"/>
      <c r="EJ31" s="1701"/>
      <c r="EK31" s="1701"/>
      <c r="EL31" s="1701"/>
      <c r="EM31" s="1701"/>
      <c r="EN31" s="1701"/>
      <c r="EO31" s="1701"/>
      <c r="EP31" s="1701"/>
      <c r="EQ31" s="1701"/>
      <c r="ER31" s="1701"/>
      <c r="ES31" s="1701"/>
      <c r="ET31" s="1701"/>
      <c r="EU31" s="1701"/>
      <c r="EV31" s="1701"/>
      <c r="EW31" s="1701"/>
      <c r="EX31" s="1701"/>
      <c r="EY31" s="1701"/>
      <c r="EZ31" s="1701"/>
      <c r="FA31" s="1701"/>
      <c r="FB31" s="1701"/>
      <c r="FC31" s="1701" t="s">
        <v>89</v>
      </c>
      <c r="FD31" s="1701"/>
      <c r="FE31" s="1701"/>
      <c r="FF31" s="1701"/>
      <c r="FG31" s="1701"/>
      <c r="FH31" s="1701"/>
      <c r="FI31" s="1701"/>
      <c r="FJ31" s="1701"/>
      <c r="FK31" s="1701"/>
      <c r="FL31" s="1701"/>
      <c r="FM31" s="1701"/>
      <c r="FN31" s="1701"/>
      <c r="FO31" s="1701"/>
      <c r="FP31" s="1701"/>
      <c r="FQ31" s="1701"/>
      <c r="FR31" s="1701"/>
      <c r="FS31" s="1701"/>
      <c r="FT31" s="1701"/>
      <c r="FU31" s="1701"/>
      <c r="FV31" s="1701"/>
      <c r="FW31" s="1701"/>
      <c r="FX31" s="1701"/>
      <c r="FY31" s="1701"/>
      <c r="FZ31" s="1701"/>
      <c r="GA31" s="1701" t="s">
        <v>89</v>
      </c>
      <c r="GB31" s="1701"/>
      <c r="GC31" s="1701" t="s">
        <v>89</v>
      </c>
      <c r="GD31" s="1701" t="s">
        <v>89</v>
      </c>
      <c r="GE31" s="1701" t="s">
        <v>89</v>
      </c>
      <c r="GF31" s="1701"/>
      <c r="GG31" s="1701"/>
      <c r="GH31" s="1701"/>
      <c r="GI31" s="1701"/>
      <c r="GJ31" s="1701"/>
      <c r="GK31" s="1701"/>
      <c r="GL31" s="1701"/>
      <c r="GM31" s="1701"/>
      <c r="GN31" s="1701"/>
      <c r="GO31" s="1701"/>
      <c r="GP31" s="1701"/>
      <c r="GQ31" s="1701"/>
      <c r="GR31" s="1701"/>
      <c r="GS31" s="1701"/>
      <c r="GT31" s="1701"/>
      <c r="GU31" s="1701" t="s">
        <v>89</v>
      </c>
      <c r="GV31" s="1701"/>
      <c r="GW31" s="1701" t="s">
        <v>89</v>
      </c>
      <c r="GX31" s="1701"/>
      <c r="GY31" s="1703"/>
      <c r="GZ31" s="1704"/>
      <c r="HA31" s="1704"/>
      <c r="HB31" s="1703"/>
      <c r="HC31" s="1703"/>
      <c r="HD31" s="1703"/>
      <c r="HE31" s="1703"/>
      <c r="HF31" s="1703"/>
      <c r="HG31" s="1703"/>
      <c r="HH31" s="1703"/>
      <c r="HI31" s="1703"/>
      <c r="HJ31" s="1703"/>
      <c r="HK31" s="1704"/>
      <c r="HL31" s="1704"/>
      <c r="HM31" s="1703"/>
      <c r="HN31" s="1701"/>
      <c r="HO31" s="1703"/>
      <c r="HP31" s="1703"/>
      <c r="HQ31" s="1703"/>
      <c r="HR31" s="1703"/>
      <c r="HS31" s="1703"/>
      <c r="HT31" s="1701"/>
      <c r="HU31" s="1703"/>
      <c r="HV31" s="1703"/>
      <c r="HW31" s="1704"/>
      <c r="HX31" s="1703"/>
      <c r="HY31" s="1688"/>
      <c r="HZ31" s="1688"/>
      <c r="IA31" s="1688"/>
      <c r="IB31" s="1688"/>
      <c r="IC31" s="1688"/>
      <c r="ID31" s="1688"/>
      <c r="IE31" s="1688"/>
      <c r="IF31" s="1688"/>
      <c r="IG31" s="1688"/>
      <c r="IH31" s="1688"/>
      <c r="II31" s="1688"/>
      <c r="IJ31" s="1688"/>
      <c r="IK31" s="1688"/>
      <c r="IL31" s="1688"/>
      <c r="IM31" s="1688"/>
      <c r="IN31" s="1688"/>
      <c r="IO31" s="1688"/>
      <c r="IP31" s="1688"/>
      <c r="IQ31" s="1688"/>
      <c r="IR31" s="1688"/>
      <c r="IS31" s="1688"/>
      <c r="IT31" s="1688"/>
      <c r="IU31" s="1688"/>
      <c r="IV31" s="1688"/>
    </row>
    <row r="32" spans="8:8" ht="20.0" customHeight="1">
      <c r="A32" s="1746" t="s">
        <v>137</v>
      </c>
      <c r="B32" s="1747"/>
      <c r="C32" s="1747" t="str">
        <f>IF(ISTEXT(_xlfn.IFERROR(VLOOKUP(A32,职业列表!I3:J10,1,FALSE),0)),"★","")</f>
        <v/>
      </c>
      <c r="D32" s="1703"/>
      <c r="E32" s="1703"/>
      <c r="F32" s="1703"/>
      <c r="G32" s="1703"/>
      <c r="H32" s="1703" t="s">
        <v>89</v>
      </c>
      <c r="I32" s="1703"/>
      <c r="J32" s="1703"/>
      <c r="K32" s="1703"/>
      <c r="L32" s="1703"/>
      <c r="M32" s="1703"/>
      <c r="N32" s="1703"/>
      <c r="O32" s="1703"/>
      <c r="P32" s="1703"/>
      <c r="Q32" s="1703"/>
      <c r="R32" s="1703"/>
      <c r="S32" s="1703"/>
      <c r="T32" s="1703" t="s">
        <v>89</v>
      </c>
      <c r="U32" s="1703"/>
      <c r="V32" s="1701" t="s">
        <v>1327</v>
      </c>
      <c r="W32" s="1703"/>
      <c r="X32" s="1703"/>
      <c r="Y32" s="1703"/>
      <c r="Z32" s="1703"/>
      <c r="AA32" s="1703"/>
      <c r="AB32" s="1701" t="s">
        <v>1327</v>
      </c>
      <c r="AC32" s="1703"/>
      <c r="AD32" s="1703" t="s">
        <v>89</v>
      </c>
      <c r="AE32" s="1703" t="s">
        <v>89</v>
      </c>
      <c r="AF32" s="1703" t="s">
        <v>89</v>
      </c>
      <c r="AG32" s="1703"/>
      <c r="AH32" s="1703"/>
      <c r="AI32" s="1701" t="s">
        <v>1327</v>
      </c>
      <c r="AJ32" s="1701"/>
      <c r="AK32" s="1703"/>
      <c r="AL32" s="1703"/>
      <c r="AM32" s="1703" t="s">
        <v>89</v>
      </c>
      <c r="AN32" s="1703" t="s">
        <v>89</v>
      </c>
      <c r="AO32" s="1703"/>
      <c r="AP32" s="1703" t="s">
        <v>1326</v>
      </c>
      <c r="AQ32" s="1745"/>
      <c r="AR32" s="1703" t="s">
        <v>89</v>
      </c>
      <c r="AS32" s="1703"/>
      <c r="AT32" s="1703"/>
      <c r="AU32" s="1703"/>
      <c r="AV32" s="1703"/>
      <c r="AW32" s="1703"/>
      <c r="AX32" s="1703"/>
      <c r="AY32" s="1703"/>
      <c r="AZ32" s="1703"/>
      <c r="BA32" s="1703"/>
      <c r="BB32" s="1703"/>
      <c r="BC32" s="1703" t="s">
        <v>89</v>
      </c>
      <c r="BD32" s="1703"/>
      <c r="BE32" s="1703" t="s">
        <v>89</v>
      </c>
      <c r="BF32" s="1703"/>
      <c r="BG32" s="1703"/>
      <c r="BH32" s="1703"/>
      <c r="BI32" s="1703"/>
      <c r="BJ32" s="1703" t="s">
        <v>89</v>
      </c>
      <c r="BK32" s="1703" t="s">
        <v>89</v>
      </c>
      <c r="BL32" s="1703"/>
      <c r="BM32" s="1703"/>
      <c r="BN32" s="1703"/>
      <c r="BO32" s="1703"/>
      <c r="BP32" s="1703"/>
      <c r="BQ32" s="1703"/>
      <c r="BR32" s="1703"/>
      <c r="BS32" s="1703"/>
      <c r="BT32" s="1703"/>
      <c r="BU32" s="1703"/>
      <c r="BV32" s="1703"/>
      <c r="BW32" s="1703"/>
      <c r="BX32" s="1703"/>
      <c r="BY32" s="1703" t="s">
        <v>89</v>
      </c>
      <c r="BZ32" s="1703"/>
      <c r="CA32" s="1703"/>
      <c r="CB32" s="1703"/>
      <c r="CC32" s="1703"/>
      <c r="CD32" s="1703"/>
      <c r="CE32" s="1703"/>
      <c r="CF32" s="1703" t="s">
        <v>89</v>
      </c>
      <c r="CG32" s="1703"/>
      <c r="CH32" s="1703"/>
      <c r="CI32" s="1703"/>
      <c r="CJ32" s="1703"/>
      <c r="CK32" s="1703"/>
      <c r="CL32" s="1703"/>
      <c r="CM32" s="1703" t="s">
        <v>89</v>
      </c>
      <c r="CN32" s="1703" t="s">
        <v>89</v>
      </c>
      <c r="CO32" s="1703"/>
      <c r="CP32" s="1703"/>
      <c r="CQ32" s="1703"/>
      <c r="CR32" s="1703"/>
      <c r="CS32" s="1703"/>
      <c r="CT32" s="1703"/>
      <c r="CU32" s="1703"/>
      <c r="CV32" s="1703" t="s">
        <v>89</v>
      </c>
      <c r="CW32" s="1703"/>
      <c r="CX32" s="1703"/>
      <c r="CY32" s="1703"/>
      <c r="CZ32" s="1703"/>
      <c r="DA32" s="1703"/>
      <c r="DB32" s="1703" t="s">
        <v>89</v>
      </c>
      <c r="DC32" s="1703" t="s">
        <v>89</v>
      </c>
      <c r="DD32" s="1703"/>
      <c r="DE32" s="1703"/>
      <c r="DF32" s="1703"/>
      <c r="DG32" s="1703"/>
      <c r="DH32" s="1703"/>
      <c r="DI32" s="1703"/>
      <c r="DJ32" s="1703"/>
      <c r="DK32" s="1703"/>
      <c r="DL32" s="1703"/>
      <c r="DM32" s="1703"/>
      <c r="DN32" s="1701"/>
      <c r="DO32" s="1701"/>
      <c r="DP32" s="1701"/>
      <c r="DQ32" s="1701"/>
      <c r="DR32" s="1701"/>
      <c r="DS32" s="1701"/>
      <c r="DT32" s="1701"/>
      <c r="DU32" s="1701"/>
      <c r="DV32" s="1701"/>
      <c r="DW32" s="1701"/>
      <c r="DX32" s="1701"/>
      <c r="DY32" s="1701"/>
      <c r="DZ32" s="1701"/>
      <c r="EA32" s="1701"/>
      <c r="EB32" s="1701"/>
      <c r="EC32" s="1701"/>
      <c r="ED32" s="1701"/>
      <c r="EE32" s="1701"/>
      <c r="EF32" s="1701"/>
      <c r="EG32" s="1701"/>
      <c r="EH32" s="1701"/>
      <c r="EI32" s="1701"/>
      <c r="EJ32" s="1701"/>
      <c r="EK32" s="1701"/>
      <c r="EL32" s="1701"/>
      <c r="EM32" s="1701"/>
      <c r="EN32" s="1701"/>
      <c r="EO32" s="1701"/>
      <c r="EP32" s="1701"/>
      <c r="EQ32" s="1701"/>
      <c r="ER32" s="1701"/>
      <c r="ES32" s="1701"/>
      <c r="ET32" s="1701"/>
      <c r="EU32" s="1701"/>
      <c r="EV32" s="1701"/>
      <c r="EW32" s="1701"/>
      <c r="EX32" s="1701"/>
      <c r="EY32" s="1701"/>
      <c r="EZ32" s="1701"/>
      <c r="FA32" s="1701"/>
      <c r="FB32" s="1701"/>
      <c r="FC32" s="1701" t="s">
        <v>89</v>
      </c>
      <c r="FD32" s="1701"/>
      <c r="FE32" s="1701"/>
      <c r="FF32" s="1701"/>
      <c r="FG32" s="1701"/>
      <c r="FH32" s="1701"/>
      <c r="FI32" s="1701"/>
      <c r="FJ32" s="1701"/>
      <c r="FK32" s="1701"/>
      <c r="FL32" s="1701"/>
      <c r="FM32" s="1701"/>
      <c r="FN32" s="1701"/>
      <c r="FO32" s="1701"/>
      <c r="FP32" s="1701"/>
      <c r="FQ32" s="1701"/>
      <c r="FR32" s="1701"/>
      <c r="FS32" s="1701"/>
      <c r="FT32" s="1701"/>
      <c r="FU32" s="1701"/>
      <c r="FV32" s="1701"/>
      <c r="FW32" s="1701"/>
      <c r="FX32" s="1701"/>
      <c r="FY32" s="1701"/>
      <c r="FZ32" s="1701"/>
      <c r="GA32" s="1701" t="s">
        <v>89</v>
      </c>
      <c r="GB32" s="1701"/>
      <c r="GC32" s="1701" t="s">
        <v>89</v>
      </c>
      <c r="GD32" s="1701" t="s">
        <v>89</v>
      </c>
      <c r="GE32" s="1701" t="s">
        <v>89</v>
      </c>
      <c r="GF32" s="1701"/>
      <c r="GG32" s="1701"/>
      <c r="GH32" s="1701"/>
      <c r="GI32" s="1701"/>
      <c r="GJ32" s="1701"/>
      <c r="GK32" s="1701"/>
      <c r="GL32" s="1701"/>
      <c r="GM32" s="1701"/>
      <c r="GN32" s="1701"/>
      <c r="GO32" s="1701"/>
      <c r="GP32" s="1701"/>
      <c r="GQ32" s="1701"/>
      <c r="GR32" s="1701"/>
      <c r="GS32" s="1701"/>
      <c r="GT32" s="1701"/>
      <c r="GU32" s="1701" t="s">
        <v>89</v>
      </c>
      <c r="GV32" s="1701"/>
      <c r="GW32" s="1701" t="s">
        <v>89</v>
      </c>
      <c r="GX32" s="1701"/>
      <c r="GY32" s="1703"/>
      <c r="GZ32" s="1704"/>
      <c r="HA32" s="1704"/>
      <c r="HB32" s="1703"/>
      <c r="HC32" s="1703"/>
      <c r="HD32" s="1703"/>
      <c r="HE32" s="1703"/>
      <c r="HF32" s="1703"/>
      <c r="HG32" s="1703"/>
      <c r="HH32" s="1703"/>
      <c r="HI32" s="1703"/>
      <c r="HJ32" s="1703"/>
      <c r="HK32" s="1704"/>
      <c r="HL32" s="1704"/>
      <c r="HM32" s="1703"/>
      <c r="HN32" s="1701"/>
      <c r="HO32" s="1703"/>
      <c r="HP32" s="1703"/>
      <c r="HQ32" s="1703"/>
      <c r="HR32" s="1703"/>
      <c r="HS32" s="1703"/>
      <c r="HT32" s="1701"/>
      <c r="HU32" s="1703"/>
      <c r="HV32" s="1703"/>
      <c r="HW32" s="1704"/>
      <c r="HX32" s="1703"/>
      <c r="HY32" s="1688"/>
      <c r="HZ32" s="1688"/>
      <c r="IA32" s="1688"/>
      <c r="IB32" s="1688"/>
      <c r="IC32" s="1688"/>
      <c r="ID32" s="1688"/>
      <c r="IE32" s="1688"/>
      <c r="IF32" s="1688"/>
      <c r="IG32" s="1688"/>
      <c r="IH32" s="1688"/>
      <c r="II32" s="1688"/>
    </row>
    <row r="33" spans="8:8" ht="20.0" customHeight="1">
      <c r="A33" s="1700" t="s">
        <v>139</v>
      </c>
      <c r="B33" s="1701"/>
      <c r="C33" s="1701" t="str">
        <f>IF(ISTEXT(_xlfn.IFERROR(VLOOKUP(A33,职业列表!I3:J10,1,FALSE),0)),"★","")</f>
        <v/>
      </c>
      <c r="D33" s="1703"/>
      <c r="E33" s="1701"/>
      <c r="F33" s="1701"/>
      <c r="G33" s="1701"/>
      <c r="H33" s="1701"/>
      <c r="I33" s="1701"/>
      <c r="J33" s="1701"/>
      <c r="K33" s="1701"/>
      <c r="L33" s="1701"/>
      <c r="M33" s="1701"/>
      <c r="N33" s="1701"/>
      <c r="O33" s="1701"/>
      <c r="P33" s="1703" t="s">
        <v>89</v>
      </c>
      <c r="Q33" s="1701"/>
      <c r="R33" s="1701"/>
      <c r="S33" s="1701"/>
      <c r="T33" s="1701"/>
      <c r="U33" s="1701"/>
      <c r="V33" s="1701"/>
      <c r="W33" s="1701"/>
      <c r="X33" s="1703" t="s">
        <v>89</v>
      </c>
      <c r="Y33" s="1701"/>
      <c r="Z33" s="1701"/>
      <c r="AA33" s="1701"/>
      <c r="AB33" s="1701" t="s">
        <v>1326</v>
      </c>
      <c r="AC33" s="1701"/>
      <c r="AD33" s="1701"/>
      <c r="AE33" s="1701"/>
      <c r="AF33" s="1701"/>
      <c r="AG33" s="1701"/>
      <c r="AH33" s="1701"/>
      <c r="AI33" s="1701"/>
      <c r="AJ33" s="1701"/>
      <c r="AK33" s="1701"/>
      <c r="AL33" s="1701"/>
      <c r="AM33" s="1701"/>
      <c r="AN33" s="1701"/>
      <c r="AO33" s="1701"/>
      <c r="AP33" s="1701"/>
      <c r="AQ33" s="1701"/>
      <c r="AR33" s="1701"/>
      <c r="AS33" s="1703" t="s">
        <v>89</v>
      </c>
      <c r="AT33" s="1703" t="s">
        <v>89</v>
      </c>
      <c r="AU33" s="1701"/>
      <c r="AV33" s="1701"/>
      <c r="AW33" s="1701"/>
      <c r="AX33" s="1701"/>
      <c r="AY33" s="1701"/>
      <c r="AZ33" s="1701"/>
      <c r="BA33" s="1701"/>
      <c r="BB33" s="1701"/>
      <c r="BC33" s="1701"/>
      <c r="BD33" s="1701"/>
      <c r="BE33" s="1701"/>
      <c r="BF33" s="1703" t="s">
        <v>89</v>
      </c>
      <c r="BG33" s="1701"/>
      <c r="BH33" s="1701"/>
      <c r="BI33" s="1701"/>
      <c r="BJ33" s="1701"/>
      <c r="BK33" s="1701"/>
      <c r="BL33" s="1701"/>
      <c r="BM33" s="1701"/>
      <c r="BN33" s="1703" t="s">
        <v>89</v>
      </c>
      <c r="BO33" s="1701"/>
      <c r="BP33" s="1701"/>
      <c r="BQ33" s="1701"/>
      <c r="BR33" s="1701"/>
      <c r="BS33" s="1703" t="s">
        <v>89</v>
      </c>
      <c r="BT33" s="1703" t="s">
        <v>89</v>
      </c>
      <c r="BU33" s="1701"/>
      <c r="BV33" s="1701"/>
      <c r="BW33" s="1701"/>
      <c r="BX33" s="1701"/>
      <c r="BY33" s="1703" t="s">
        <v>89</v>
      </c>
      <c r="BZ33" s="1703" t="s">
        <v>89</v>
      </c>
      <c r="CA33" s="1703" t="s">
        <v>89</v>
      </c>
      <c r="CB33" s="1701"/>
      <c r="CC33" s="1701"/>
      <c r="CD33" s="1703" t="s">
        <v>89</v>
      </c>
      <c r="CE33" s="1701"/>
      <c r="CF33" s="1703" t="s">
        <v>89</v>
      </c>
      <c r="CG33" s="1701"/>
      <c r="CH33" s="1703" t="s">
        <v>89</v>
      </c>
      <c r="CI33" s="1701"/>
      <c r="CJ33" s="1701"/>
      <c r="CK33" s="1701"/>
      <c r="CL33" s="1701"/>
      <c r="CM33" s="1701"/>
      <c r="CN33" s="1703" t="s">
        <v>89</v>
      </c>
      <c r="CO33" s="1701"/>
      <c r="CP33" s="1701"/>
      <c r="CQ33" s="1703" t="s">
        <v>89</v>
      </c>
      <c r="CR33" s="1701"/>
      <c r="CS33" s="1701"/>
      <c r="CT33" s="1701"/>
      <c r="CU33" s="1701"/>
      <c r="CV33" s="1703" t="s">
        <v>89</v>
      </c>
      <c r="CW33" s="1703" t="s">
        <v>89</v>
      </c>
      <c r="CX33" s="1701"/>
      <c r="CY33" s="1701"/>
      <c r="CZ33" s="1701"/>
      <c r="DA33" s="1701"/>
      <c r="DB33" s="1702" t="s">
        <v>1329</v>
      </c>
      <c r="DC33" s="1701"/>
      <c r="DD33" s="1701"/>
      <c r="DE33" s="1703" t="s">
        <v>89</v>
      </c>
      <c r="DF33" s="1701"/>
      <c r="DG33" s="1701"/>
      <c r="DH33" s="1701"/>
      <c r="DI33" s="1701"/>
      <c r="DJ33" s="1701"/>
      <c r="DK33" s="1701"/>
      <c r="DL33" s="1701"/>
      <c r="DM33" s="1703" t="s">
        <v>89</v>
      </c>
      <c r="DN33" s="1701"/>
      <c r="DO33" s="1701"/>
      <c r="DP33" s="1701"/>
      <c r="DQ33" s="1701"/>
      <c r="DR33" s="1701"/>
      <c r="DS33" s="1701"/>
      <c r="DT33" s="1701"/>
      <c r="DU33" s="1701"/>
      <c r="DV33" s="1701"/>
      <c r="DW33" s="1701"/>
      <c r="DX33" s="1701"/>
      <c r="DY33" s="1701"/>
      <c r="DZ33" s="1701"/>
      <c r="EA33" s="1701"/>
      <c r="EB33" s="1701"/>
      <c r="EC33" s="1701"/>
      <c r="ED33" s="1701"/>
      <c r="EE33" s="1701"/>
      <c r="EF33" s="1701" t="s">
        <v>89</v>
      </c>
      <c r="EG33" s="1701" t="s">
        <v>89</v>
      </c>
      <c r="EH33" s="1701" t="s">
        <v>89</v>
      </c>
      <c r="EI33" s="1701"/>
      <c r="EJ33" s="1701" t="s">
        <v>89</v>
      </c>
      <c r="EK33" s="1701"/>
      <c r="EL33" s="1701"/>
      <c r="EM33" s="1701" t="s">
        <v>89</v>
      </c>
      <c r="EN33" s="1701"/>
      <c r="EO33" s="1701"/>
      <c r="EP33" s="1701"/>
      <c r="EQ33" s="1701"/>
      <c r="ER33" s="1701"/>
      <c r="ES33" s="1701"/>
      <c r="ET33" s="1701"/>
      <c r="EU33" s="1701"/>
      <c r="EV33" s="1701"/>
      <c r="EW33" s="1701"/>
      <c r="EX33" s="1701"/>
      <c r="EY33" s="1701"/>
      <c r="EZ33" s="1701"/>
      <c r="FA33" s="1701" t="s">
        <v>89</v>
      </c>
      <c r="FB33" s="1701"/>
      <c r="FC33" s="1701"/>
      <c r="FD33" s="1701"/>
      <c r="FE33" s="1701"/>
      <c r="FF33" s="1701"/>
      <c r="FG33" s="1701"/>
      <c r="FH33" s="1701"/>
      <c r="FI33" s="1701"/>
      <c r="FJ33" s="1701"/>
      <c r="FK33" s="1701"/>
      <c r="FL33" s="1701" t="s">
        <v>1326</v>
      </c>
      <c r="FM33" s="1701"/>
      <c r="FN33" s="1701"/>
      <c r="FO33" s="1701"/>
      <c r="FP33" s="1701"/>
      <c r="FQ33" s="1701"/>
      <c r="FR33" s="1701" t="s">
        <v>89</v>
      </c>
      <c r="FS33" s="1701" t="s">
        <v>89</v>
      </c>
      <c r="FT33" s="1701"/>
      <c r="FU33" s="1701" t="s">
        <v>89</v>
      </c>
      <c r="FV33" s="1701" t="s">
        <v>89</v>
      </c>
      <c r="FW33" s="1701"/>
      <c r="FX33" s="1701" t="s">
        <v>89</v>
      </c>
      <c r="FY33" s="1701"/>
      <c r="FZ33" s="1701"/>
      <c r="GA33" s="1701" t="s">
        <v>89</v>
      </c>
      <c r="GB33" s="1701" t="s">
        <v>89</v>
      </c>
      <c r="GC33" s="1701" t="s">
        <v>1329</v>
      </c>
      <c r="GD33" s="1701" t="s">
        <v>1329</v>
      </c>
      <c r="GE33" s="1701"/>
      <c r="GF33" s="1701"/>
      <c r="GG33" s="1701"/>
      <c r="GH33" s="1701"/>
      <c r="GI33" s="1701"/>
      <c r="GJ33" s="1701"/>
      <c r="GK33" s="1701"/>
      <c r="GL33" s="1701"/>
      <c r="GM33" s="1701"/>
      <c r="GN33" s="1701"/>
      <c r="GO33" s="1701"/>
      <c r="GP33" s="1701"/>
      <c r="GQ33" s="1701"/>
      <c r="GR33" s="1701"/>
      <c r="GS33" s="1701"/>
      <c r="GT33" s="1701"/>
      <c r="GU33" s="1701" t="s">
        <v>1329</v>
      </c>
      <c r="GV33" s="1701"/>
      <c r="GW33" s="1701" t="s">
        <v>89</v>
      </c>
      <c r="GX33" s="1701"/>
      <c r="GY33" s="1701" t="s">
        <v>89</v>
      </c>
      <c r="GZ33" s="1701"/>
      <c r="HA33" s="1701"/>
      <c r="HB33" s="1701"/>
      <c r="HC33" s="1701"/>
      <c r="HD33" s="1701"/>
      <c r="HE33" s="1701"/>
      <c r="HF33" s="1701" t="s">
        <v>89</v>
      </c>
      <c r="HG33" s="1701"/>
      <c r="HH33" s="1703"/>
      <c r="HI33" s="1701"/>
      <c r="HJ33" s="1701"/>
      <c r="HK33" s="1702" t="s">
        <v>89</v>
      </c>
      <c r="HL33" s="1701" t="s">
        <v>89</v>
      </c>
      <c r="HM33" s="1701"/>
      <c r="HN33" s="1701"/>
      <c r="HO33" s="1702" t="s">
        <v>89</v>
      </c>
      <c r="HP33" s="1703"/>
      <c r="HQ33" s="1702" t="s">
        <v>89</v>
      </c>
      <c r="HR33" s="1701" t="s">
        <v>89</v>
      </c>
      <c r="HS33" s="1701"/>
      <c r="HT33" s="1701"/>
      <c r="HU33" s="1701" t="s">
        <v>1329</v>
      </c>
      <c r="HV33" s="1701"/>
      <c r="HW33" s="1701" t="s">
        <v>89</v>
      </c>
      <c r="HX33" s="1701"/>
      <c r="HY33" s="1688"/>
      <c r="HZ33" s="1688"/>
      <c r="IA33" s="1688"/>
      <c r="IB33" s="1688"/>
      <c r="IC33" s="1688"/>
      <c r="ID33" s="1688"/>
      <c r="IE33" s="1688"/>
      <c r="IF33" s="1688"/>
      <c r="IG33" s="1688"/>
      <c r="IH33" s="1688"/>
      <c r="II33" s="1688"/>
      <c r="IJ33" s="1688"/>
      <c r="IK33" s="1688"/>
      <c r="IL33" s="1688"/>
      <c r="IM33" s="1688"/>
      <c r="IN33" s="1688"/>
      <c r="IO33" s="1688"/>
      <c r="IP33" s="1688"/>
      <c r="IQ33" s="1688"/>
      <c r="IR33" s="1688"/>
      <c r="IS33" s="1688"/>
      <c r="IT33" s="1688"/>
      <c r="IU33" s="1688"/>
      <c r="IV33" s="1688"/>
    </row>
    <row r="34" spans="8:8" ht="20.0" customHeight="1">
      <c r="A34" s="1700" t="s">
        <v>141</v>
      </c>
      <c r="B34" s="1701"/>
      <c r="C34" s="1702" t="str">
        <f>IF(ISTEXT(_xlfn.IFERROR(VLOOKUP(A34,职业列表!I3:J10,1,FALSE),0)),"★","")</f>
        <v/>
      </c>
      <c r="D34" s="1703"/>
      <c r="E34" s="1701"/>
      <c r="F34" s="1703" t="s">
        <v>89</v>
      </c>
      <c r="G34" s="1701"/>
      <c r="H34" s="1701"/>
      <c r="I34" s="1701"/>
      <c r="J34" s="1701"/>
      <c r="K34" s="1703" t="s">
        <v>89</v>
      </c>
      <c r="L34" s="1703" t="s">
        <v>89</v>
      </c>
      <c r="M34" s="1703" t="s">
        <v>89</v>
      </c>
      <c r="N34" s="1701"/>
      <c r="O34" s="1701" t="s">
        <v>1326</v>
      </c>
      <c r="P34" s="1701"/>
      <c r="Q34" s="1701"/>
      <c r="R34" s="1703" t="s">
        <v>89</v>
      </c>
      <c r="S34" s="1701"/>
      <c r="T34" s="1701"/>
      <c r="U34" s="1703" t="s">
        <v>89</v>
      </c>
      <c r="V34" s="1701"/>
      <c r="W34" s="1701"/>
      <c r="X34" s="1701"/>
      <c r="Y34" s="1703" t="s">
        <v>89</v>
      </c>
      <c r="Z34" s="1701"/>
      <c r="AA34" s="1701"/>
      <c r="AB34" s="1701"/>
      <c r="AC34" s="1701"/>
      <c r="AD34" s="1701"/>
      <c r="AE34" s="1701"/>
      <c r="AF34" s="1701"/>
      <c r="AG34" s="1701"/>
      <c r="AH34" s="1701"/>
      <c r="AI34" s="1701"/>
      <c r="AJ34" s="1701"/>
      <c r="AK34" s="1703" t="s">
        <v>89</v>
      </c>
      <c r="AL34" s="1703" t="s">
        <v>89</v>
      </c>
      <c r="AM34" s="1701"/>
      <c r="AN34" s="1701"/>
      <c r="AO34" s="1701"/>
      <c r="AP34" s="1703" t="s">
        <v>89</v>
      </c>
      <c r="AQ34" s="1701"/>
      <c r="AR34" s="1701"/>
      <c r="AS34" s="1701"/>
      <c r="AT34" s="1701"/>
      <c r="AU34" s="1701"/>
      <c r="AV34" s="1701"/>
      <c r="AW34" s="1701"/>
      <c r="AX34" s="1701"/>
      <c r="AY34" s="1703" t="s">
        <v>89</v>
      </c>
      <c r="AZ34" s="1703" t="s">
        <v>89</v>
      </c>
      <c r="BA34" s="1701"/>
      <c r="BB34" s="1701"/>
      <c r="BC34" s="1703" t="s">
        <v>89</v>
      </c>
      <c r="BD34" s="1701"/>
      <c r="BE34" s="1701"/>
      <c r="BF34" s="1701"/>
      <c r="BG34" s="1703" t="s">
        <v>89</v>
      </c>
      <c r="BH34" s="1701"/>
      <c r="BI34" s="1701"/>
      <c r="BJ34" s="1701"/>
      <c r="BK34" s="1701"/>
      <c r="BL34" s="1703" t="s">
        <v>89</v>
      </c>
      <c r="BM34" s="1701"/>
      <c r="BN34" s="1701"/>
      <c r="BO34" s="1703" t="s">
        <v>89</v>
      </c>
      <c r="BP34" s="1703" t="s">
        <v>89</v>
      </c>
      <c r="BQ34" s="1703" t="s">
        <v>89</v>
      </c>
      <c r="BR34" s="1701"/>
      <c r="BS34" s="1701"/>
      <c r="BT34" s="1701"/>
      <c r="BU34" s="1701"/>
      <c r="BV34" s="1701"/>
      <c r="BW34" s="1701"/>
      <c r="BX34" s="1701"/>
      <c r="BY34" s="1701"/>
      <c r="BZ34" s="1701"/>
      <c r="CA34" s="1701"/>
      <c r="CB34" s="1703" t="s">
        <v>89</v>
      </c>
      <c r="CC34" s="1701"/>
      <c r="CD34" s="1701"/>
      <c r="CE34" s="1703" t="s">
        <v>89</v>
      </c>
      <c r="CF34" s="1701"/>
      <c r="CG34" s="1703" t="s">
        <v>89</v>
      </c>
      <c r="CH34" s="1701"/>
      <c r="CI34" s="1701"/>
      <c r="CJ34" s="1701"/>
      <c r="CK34" s="1701"/>
      <c r="CL34" s="1701"/>
      <c r="CM34" s="1701"/>
      <c r="CN34" s="1701"/>
      <c r="CO34" s="1701"/>
      <c r="CP34" s="1701"/>
      <c r="CQ34" s="1703" t="s">
        <v>89</v>
      </c>
      <c r="CR34" s="1701"/>
      <c r="CS34" s="1701"/>
      <c r="CT34" s="1701"/>
      <c r="CU34" s="1703" t="s">
        <v>89</v>
      </c>
      <c r="CV34" s="1701"/>
      <c r="CW34" s="1701"/>
      <c r="CX34" s="1701"/>
      <c r="CY34" s="1701"/>
      <c r="CZ34" s="1701"/>
      <c r="DA34" s="1701"/>
      <c r="DB34" s="1701"/>
      <c r="DC34" s="1701"/>
      <c r="DD34" s="1701"/>
      <c r="DE34" s="1701"/>
      <c r="DF34" s="1701"/>
      <c r="DG34" s="1703" t="s">
        <v>89</v>
      </c>
      <c r="DH34" s="1701"/>
      <c r="DI34" s="1701"/>
      <c r="DJ34" s="1701"/>
      <c r="DK34" s="1701"/>
      <c r="DL34" s="1703" t="s">
        <v>89</v>
      </c>
      <c r="DM34" s="1701"/>
      <c r="DN34" s="1701" t="s">
        <v>89</v>
      </c>
      <c r="DO34" s="1701"/>
      <c r="DP34" s="1701"/>
      <c r="DQ34" s="1701"/>
      <c r="DR34" s="1701"/>
      <c r="DS34" s="1701"/>
      <c r="DT34" s="1701"/>
      <c r="DU34" s="1701"/>
      <c r="DV34" s="1701" t="s">
        <v>89</v>
      </c>
      <c r="DW34" s="1701" t="s">
        <v>89</v>
      </c>
      <c r="DX34" s="1701" t="s">
        <v>89</v>
      </c>
      <c r="DY34" s="1701"/>
      <c r="DZ34" s="1701" t="s">
        <v>89</v>
      </c>
      <c r="EA34" s="1701"/>
      <c r="EB34" s="1701"/>
      <c r="EC34" s="1701"/>
      <c r="ED34" s="1701"/>
      <c r="EE34" s="1701"/>
      <c r="EF34" s="1701"/>
      <c r="EG34" s="1701"/>
      <c r="EH34" s="1701"/>
      <c r="EI34" s="1701"/>
      <c r="EJ34" s="1701"/>
      <c r="EK34" s="1701"/>
      <c r="EL34" s="1701"/>
      <c r="EM34" s="1701"/>
      <c r="EN34" s="1701"/>
      <c r="EO34" s="1701"/>
      <c r="EP34" s="1701"/>
      <c r="EQ34" s="1701"/>
      <c r="ER34" s="1701"/>
      <c r="ES34" s="1701"/>
      <c r="ET34" s="1701"/>
      <c r="EU34" s="1701"/>
      <c r="EV34" s="1701"/>
      <c r="EW34" s="1701"/>
      <c r="EX34" s="1701"/>
      <c r="EY34" s="1701"/>
      <c r="EZ34" s="1701"/>
      <c r="FA34" s="1701"/>
      <c r="FB34" s="1701" t="s">
        <v>89</v>
      </c>
      <c r="FC34" s="1701"/>
      <c r="FD34" s="1701"/>
      <c r="FE34" s="1701" t="s">
        <v>1326</v>
      </c>
      <c r="FF34" s="1701"/>
      <c r="FG34" s="1701"/>
      <c r="FH34" s="1701"/>
      <c r="FI34" s="1701" t="s">
        <v>1326</v>
      </c>
      <c r="FJ34" s="1701" t="s">
        <v>89</v>
      </c>
      <c r="FK34" s="1701" t="s">
        <v>1326</v>
      </c>
      <c r="FL34" s="1701"/>
      <c r="FM34" s="1701" t="s">
        <v>89</v>
      </c>
      <c r="FN34" s="1701"/>
      <c r="FO34" s="1701"/>
      <c r="FP34" s="1701"/>
      <c r="FQ34" s="1701"/>
      <c r="FR34" s="1701"/>
      <c r="FS34" s="1701"/>
      <c r="FT34" s="1701"/>
      <c r="FU34" s="1701"/>
      <c r="FV34" s="1701"/>
      <c r="FW34" s="1701"/>
      <c r="FX34" s="1701"/>
      <c r="FY34" s="1701"/>
      <c r="FZ34" s="1701"/>
      <c r="GA34" s="1701"/>
      <c r="GB34" s="1701"/>
      <c r="GC34" s="1701"/>
      <c r="GD34" s="1701"/>
      <c r="GE34" s="1701" t="s">
        <v>89</v>
      </c>
      <c r="GF34" s="1701" t="s">
        <v>1326</v>
      </c>
      <c r="GG34" s="1701"/>
      <c r="GH34" s="1701"/>
      <c r="GI34" s="1701"/>
      <c r="GJ34" s="1701"/>
      <c r="GK34" s="1701"/>
      <c r="GL34" s="1701"/>
      <c r="GM34" s="1701"/>
      <c r="GN34" s="1701"/>
      <c r="GO34" s="1701"/>
      <c r="GP34" s="1701"/>
      <c r="GQ34" s="1701" t="s">
        <v>89</v>
      </c>
      <c r="GR34" s="1701"/>
      <c r="GS34" s="1701"/>
      <c r="GT34" s="1701"/>
      <c r="GU34" s="1701"/>
      <c r="GV34" s="1701"/>
      <c r="GW34" s="1701"/>
      <c r="GX34" s="1701"/>
      <c r="GY34" s="1701"/>
      <c r="GZ34" s="1702" t="s">
        <v>89</v>
      </c>
      <c r="HA34" s="1701"/>
      <c r="HB34" s="1702" t="s">
        <v>89</v>
      </c>
      <c r="HC34" s="1704" t="s">
        <v>89</v>
      </c>
      <c r="HD34" s="1703"/>
      <c r="HE34" s="1704" t="s">
        <v>89</v>
      </c>
      <c r="HF34" s="1701" t="s">
        <v>89</v>
      </c>
      <c r="HG34" s="1701"/>
      <c r="HH34" s="1701"/>
      <c r="HI34" s="1701"/>
      <c r="HJ34" s="1703"/>
      <c r="HK34" s="1701"/>
      <c r="HL34" s="1701"/>
      <c r="HM34" s="1703"/>
      <c r="HN34" s="1701"/>
      <c r="HO34" s="1701"/>
      <c r="HP34" s="1702" t="s">
        <v>89</v>
      </c>
      <c r="HQ34" s="1703"/>
      <c r="HR34" s="1701"/>
      <c r="HS34" s="1701"/>
      <c r="HT34" s="1701" t="s">
        <v>89</v>
      </c>
      <c r="HU34" s="1701"/>
      <c r="HV34" s="1701"/>
      <c r="HW34" s="1701"/>
      <c r="HX34" s="1701" t="s">
        <v>89</v>
      </c>
      <c r="HY34" s="1688"/>
      <c r="HZ34" s="1688"/>
      <c r="IA34" s="1688"/>
      <c r="IB34" s="1688"/>
      <c r="IC34" s="1688"/>
      <c r="ID34" s="1688"/>
      <c r="IE34" s="1688"/>
      <c r="IF34" s="1688"/>
      <c r="IG34" s="1688"/>
      <c r="IH34" s="1688"/>
      <c r="II34" s="1688"/>
      <c r="IJ34" s="1688"/>
      <c r="IK34" s="1688"/>
      <c r="IL34" s="1688"/>
      <c r="IM34" s="1688"/>
      <c r="IN34" s="1688"/>
      <c r="IO34" s="1688"/>
      <c r="IP34" s="1688"/>
      <c r="IQ34" s="1688"/>
      <c r="IR34" s="1688"/>
      <c r="IS34" s="1688"/>
      <c r="IT34" s="1688"/>
      <c r="IU34" s="1688"/>
      <c r="IV34" s="1688"/>
    </row>
    <row r="35" spans="8:8" s="1716" ht="20.0" customFormat="1" customHeight="1">
      <c r="A35" s="1717" t="s">
        <v>144</v>
      </c>
      <c r="B35" s="1718"/>
      <c r="C35" s="1702" t="str">
        <f>IF(ISTEXT(_xlfn.IFERROR(VLOOKUP(A35,职业列表!I3:J10,1,FALSE),0)),"★","")</f>
        <v/>
      </c>
      <c r="D35" s="1719"/>
      <c r="E35" s="1718"/>
      <c r="F35" s="1720" t="s">
        <v>1328</v>
      </c>
      <c r="G35" s="1718" t="s">
        <v>1328</v>
      </c>
      <c r="H35" s="1718" t="s">
        <v>1328</v>
      </c>
      <c r="I35" s="1718"/>
      <c r="J35" s="1718"/>
      <c r="K35" s="1718" t="s">
        <v>1328</v>
      </c>
      <c r="L35" s="1718" t="s">
        <v>1328</v>
      </c>
      <c r="M35" s="1718"/>
      <c r="N35" s="1718"/>
      <c r="O35" s="1718" t="s">
        <v>1328</v>
      </c>
      <c r="P35" s="1718" t="s">
        <v>1328</v>
      </c>
      <c r="Q35" s="1718" t="s">
        <v>1328</v>
      </c>
      <c r="R35" s="1718"/>
      <c r="S35" s="1718" t="s">
        <v>1328</v>
      </c>
      <c r="T35" s="1718"/>
      <c r="U35" s="1718" t="s">
        <v>1328</v>
      </c>
      <c r="V35" s="1718" t="s">
        <v>1328</v>
      </c>
      <c r="W35" s="1719" t="s">
        <v>89</v>
      </c>
      <c r="X35" s="1718"/>
      <c r="Y35" s="1718" t="s">
        <v>1328</v>
      </c>
      <c r="Z35" s="1718"/>
      <c r="AA35" s="1718" t="s">
        <v>1328</v>
      </c>
      <c r="AB35" s="1718"/>
      <c r="AC35" s="1718"/>
      <c r="AD35" s="1718"/>
      <c r="AE35" s="1719" t="s">
        <v>89</v>
      </c>
      <c r="AF35" s="1718" t="s">
        <v>1328</v>
      </c>
      <c r="AG35" s="1718"/>
      <c r="AH35" s="1718" t="s">
        <v>1328</v>
      </c>
      <c r="AI35" s="1718" t="s">
        <v>1328</v>
      </c>
      <c r="AJ35" s="1718" t="s">
        <v>1328</v>
      </c>
      <c r="AK35" s="1718" t="s">
        <v>1328</v>
      </c>
      <c r="AL35" s="1718"/>
      <c r="AM35" s="1718" t="s">
        <v>1328</v>
      </c>
      <c r="AN35" s="1718" t="s">
        <v>1328</v>
      </c>
      <c r="AO35" s="1718" t="s">
        <v>1328</v>
      </c>
      <c r="AP35" s="1718" t="s">
        <v>1328</v>
      </c>
      <c r="AQ35" s="1721"/>
      <c r="AR35" s="1718" t="s">
        <v>1328</v>
      </c>
      <c r="AS35" s="1718"/>
      <c r="AT35" s="1718"/>
      <c r="AU35" s="1718" t="s">
        <v>1328</v>
      </c>
      <c r="AV35" s="1718" t="s">
        <v>1328</v>
      </c>
      <c r="AW35" s="1718" t="s">
        <v>1328</v>
      </c>
      <c r="AX35" s="1718"/>
      <c r="AY35" s="1718" t="s">
        <v>1328</v>
      </c>
      <c r="AZ35" s="1719" t="s">
        <v>89</v>
      </c>
      <c r="BA35" s="1718"/>
      <c r="BB35" s="1718" t="s">
        <v>1328</v>
      </c>
      <c r="BC35" s="1718"/>
      <c r="BD35" s="1718" t="s">
        <v>1328</v>
      </c>
      <c r="BE35" s="1718"/>
      <c r="BF35" s="1718"/>
      <c r="BG35" s="1718" t="s">
        <v>1328</v>
      </c>
      <c r="BH35" s="1718"/>
      <c r="BI35" s="1718" t="s">
        <v>1328</v>
      </c>
      <c r="BJ35" s="1718" t="s">
        <v>1328</v>
      </c>
      <c r="BK35" s="1718" t="s">
        <v>1328</v>
      </c>
      <c r="BL35" s="1718" t="s">
        <v>1328</v>
      </c>
      <c r="BM35" s="1718"/>
      <c r="BN35" s="1718" t="s">
        <v>1328</v>
      </c>
      <c r="BO35" s="1718" t="s">
        <v>1328</v>
      </c>
      <c r="BP35" s="1718" t="s">
        <v>1328</v>
      </c>
      <c r="BQ35" s="1719" t="s">
        <v>89</v>
      </c>
      <c r="BR35" s="1718"/>
      <c r="BS35" s="1718"/>
      <c r="BT35" s="1718"/>
      <c r="BU35" s="1721"/>
      <c r="BV35" s="1718" t="s">
        <v>1328</v>
      </c>
      <c r="BW35" s="1718"/>
      <c r="BX35" s="1718"/>
      <c r="BY35" s="1718" t="s">
        <v>1328</v>
      </c>
      <c r="BZ35" s="1718" t="s">
        <v>1328</v>
      </c>
      <c r="CA35" s="1718"/>
      <c r="CB35" s="1718"/>
      <c r="CC35" s="1718" t="s">
        <v>1328</v>
      </c>
      <c r="CD35" s="1718" t="s">
        <v>1328</v>
      </c>
      <c r="CE35" s="1718" t="s">
        <v>1328</v>
      </c>
      <c r="CF35" s="1718"/>
      <c r="CG35" s="1718"/>
      <c r="CH35" s="1718" t="s">
        <v>1328</v>
      </c>
      <c r="CI35" s="1718" t="s">
        <v>1328</v>
      </c>
      <c r="CJ35" s="1718" t="s">
        <v>1328</v>
      </c>
      <c r="CK35" s="1718"/>
      <c r="CL35" s="1718"/>
      <c r="CM35" s="1718" t="s">
        <v>1328</v>
      </c>
      <c r="CN35" s="1718" t="s">
        <v>1328</v>
      </c>
      <c r="CO35" s="1718" t="s">
        <v>1328</v>
      </c>
      <c r="CP35" s="1718"/>
      <c r="CQ35" s="1718"/>
      <c r="CR35" s="1718" t="s">
        <v>1328</v>
      </c>
      <c r="CS35" s="1718"/>
      <c r="CT35" s="1718"/>
      <c r="CU35" s="1718" t="s">
        <v>1328</v>
      </c>
      <c r="CV35" s="1718"/>
      <c r="CW35" s="1718" t="s">
        <v>1328</v>
      </c>
      <c r="CX35" s="1718" t="s">
        <v>1328</v>
      </c>
      <c r="CY35" s="1718" t="s">
        <v>1328</v>
      </c>
      <c r="CZ35" s="1718" t="s">
        <v>1328</v>
      </c>
      <c r="DA35" s="1718" t="s">
        <v>1328</v>
      </c>
      <c r="DB35" s="1718"/>
      <c r="DC35" s="1718" t="s">
        <v>1328</v>
      </c>
      <c r="DD35" s="1718"/>
      <c r="DE35" s="1718"/>
      <c r="DF35" s="1718"/>
      <c r="DG35" s="1718" t="s">
        <v>1328</v>
      </c>
      <c r="DH35" s="1718" t="s">
        <v>1328</v>
      </c>
      <c r="DI35" s="1718" t="s">
        <v>1328</v>
      </c>
      <c r="DJ35" s="1718" t="s">
        <v>1328</v>
      </c>
      <c r="DK35" s="1718" t="s">
        <v>1328</v>
      </c>
      <c r="DL35" s="1718" t="s">
        <v>1328</v>
      </c>
      <c r="DM35" s="1718"/>
      <c r="DN35" s="1718" t="s">
        <v>89</v>
      </c>
      <c r="DO35" s="1718" t="s">
        <v>1328</v>
      </c>
      <c r="DP35" s="1718" t="s">
        <v>1328</v>
      </c>
      <c r="DQ35" s="1718" t="s">
        <v>1328</v>
      </c>
      <c r="DR35" s="1718" t="s">
        <v>1328</v>
      </c>
      <c r="DS35" s="1718" t="s">
        <v>1328</v>
      </c>
      <c r="DT35" s="1718" t="s">
        <v>1328</v>
      </c>
      <c r="DU35" s="1718" t="s">
        <v>1328</v>
      </c>
      <c r="DV35" s="1718" t="s">
        <v>1328</v>
      </c>
      <c r="DW35" s="1718" t="s">
        <v>1328</v>
      </c>
      <c r="DX35" s="1718" t="s">
        <v>1328</v>
      </c>
      <c r="DY35" s="1718" t="s">
        <v>1328</v>
      </c>
      <c r="DZ35" s="1718" t="s">
        <v>1328</v>
      </c>
      <c r="EA35" s="1718" t="s">
        <v>1328</v>
      </c>
      <c r="EB35" s="1718" t="s">
        <v>1328</v>
      </c>
      <c r="EC35" s="1718" t="s">
        <v>1328</v>
      </c>
      <c r="ED35" s="1718"/>
      <c r="EE35" s="1718" t="s">
        <v>1328</v>
      </c>
      <c r="EF35" s="1718"/>
      <c r="EG35" s="1718"/>
      <c r="EH35" s="1718"/>
      <c r="EI35" s="1718" t="s">
        <v>1328</v>
      </c>
      <c r="EJ35" s="1718" t="s">
        <v>1328</v>
      </c>
      <c r="EK35" s="1718" t="s">
        <v>1328</v>
      </c>
      <c r="EL35" s="1718"/>
      <c r="EM35" s="1718" t="s">
        <v>1328</v>
      </c>
      <c r="EN35" s="1718"/>
      <c r="EO35" s="1718" t="s">
        <v>1328</v>
      </c>
      <c r="EP35" s="1718"/>
      <c r="EQ35" s="1718"/>
      <c r="ER35" s="1718" t="s">
        <v>1328</v>
      </c>
      <c r="ES35" s="1718" t="s">
        <v>1328</v>
      </c>
      <c r="ET35" s="1718" t="s">
        <v>1328</v>
      </c>
      <c r="EU35" s="1718" t="s">
        <v>1328</v>
      </c>
      <c r="EV35" s="1718" t="s">
        <v>1328</v>
      </c>
      <c r="EW35" s="1718"/>
      <c r="EX35" s="1718" t="s">
        <v>1328</v>
      </c>
      <c r="EY35" s="1718" t="s">
        <v>1328</v>
      </c>
      <c r="EZ35" s="1718"/>
      <c r="FA35" s="1718" t="s">
        <v>1328</v>
      </c>
      <c r="FB35" s="1718" t="s">
        <v>1328</v>
      </c>
      <c r="FC35" s="1718"/>
      <c r="FD35" s="1718" t="s">
        <v>89</v>
      </c>
      <c r="FE35" s="1718" t="s">
        <v>1328</v>
      </c>
      <c r="FF35" s="1718" t="s">
        <v>1328</v>
      </c>
      <c r="FG35" s="1718" t="s">
        <v>1328</v>
      </c>
      <c r="FH35" s="1718"/>
      <c r="FI35" s="1718"/>
      <c r="FJ35" s="1718"/>
      <c r="FK35" s="1718"/>
      <c r="FL35" s="1718"/>
      <c r="FM35" s="1718" t="s">
        <v>1328</v>
      </c>
      <c r="FN35" s="1718"/>
      <c r="FO35" s="1718" t="s">
        <v>89</v>
      </c>
      <c r="FP35" s="1718"/>
      <c r="FQ35" s="1718" t="s">
        <v>1328</v>
      </c>
      <c r="FR35" s="1718" t="s">
        <v>1328</v>
      </c>
      <c r="FS35" s="1718"/>
      <c r="FT35" s="1718"/>
      <c r="FU35" s="1718"/>
      <c r="FV35" s="1718" t="s">
        <v>1328</v>
      </c>
      <c r="FW35" s="1718"/>
      <c r="FX35" s="1718"/>
      <c r="FY35" s="1718" t="s">
        <v>1328</v>
      </c>
      <c r="FZ35" s="1718"/>
      <c r="GA35" s="1718"/>
      <c r="GB35" s="1718" t="s">
        <v>1328</v>
      </c>
      <c r="GC35" s="1718"/>
      <c r="GD35" s="1718"/>
      <c r="GE35" s="1718"/>
      <c r="GF35" s="1718" t="s">
        <v>1328</v>
      </c>
      <c r="GG35" s="1718" t="s">
        <v>1328</v>
      </c>
      <c r="GH35" s="1718" t="s">
        <v>1328</v>
      </c>
      <c r="GI35" s="1718" t="s">
        <v>1328</v>
      </c>
      <c r="GJ35" s="1718"/>
      <c r="GK35" s="1718"/>
      <c r="GL35" s="1718"/>
      <c r="GM35" s="1718"/>
      <c r="GN35" s="1718" t="s">
        <v>1328</v>
      </c>
      <c r="GO35" s="1718" t="s">
        <v>1328</v>
      </c>
      <c r="GP35" s="1718" t="s">
        <v>1328</v>
      </c>
      <c r="GQ35" s="1718" t="s">
        <v>1328</v>
      </c>
      <c r="GR35" s="1718"/>
      <c r="GS35" s="1718"/>
      <c r="GT35" s="1718" t="s">
        <v>1328</v>
      </c>
      <c r="GU35" s="1718"/>
      <c r="GV35" s="1718"/>
      <c r="GW35" s="1718" t="s">
        <v>1328</v>
      </c>
      <c r="GX35" s="1718" t="s">
        <v>1328</v>
      </c>
      <c r="GY35" s="1718" t="s">
        <v>1328</v>
      </c>
      <c r="GZ35" s="1720" t="s">
        <v>1328</v>
      </c>
      <c r="HA35" s="1720" t="s">
        <v>1328</v>
      </c>
      <c r="HB35" s="1718"/>
      <c r="HC35" s="1720" t="s">
        <v>1328</v>
      </c>
      <c r="HD35" s="1718"/>
      <c r="HE35" s="1720" t="s">
        <v>1328</v>
      </c>
      <c r="HF35" s="1718"/>
      <c r="HG35" s="1718" t="s">
        <v>1328</v>
      </c>
      <c r="HH35" s="1718" t="s">
        <v>1328</v>
      </c>
      <c r="HI35" s="1718"/>
      <c r="HJ35" s="1718" t="s">
        <v>1328</v>
      </c>
      <c r="HK35" s="1718" t="s">
        <v>1328</v>
      </c>
      <c r="HL35" s="1718"/>
      <c r="HM35" s="1718" t="s">
        <v>1328</v>
      </c>
      <c r="HN35" s="1718" t="s">
        <v>1328</v>
      </c>
      <c r="HO35" s="1719" t="s">
        <v>1328</v>
      </c>
      <c r="HP35" s="1718" t="s">
        <v>1328</v>
      </c>
      <c r="HQ35" s="1718"/>
      <c r="HR35" s="1720" t="s">
        <v>1328</v>
      </c>
      <c r="HS35" s="1718" t="s">
        <v>1328</v>
      </c>
      <c r="HT35" s="1718" t="s">
        <v>1328</v>
      </c>
      <c r="HU35" s="1718"/>
      <c r="HV35" s="1718" t="s">
        <v>1328</v>
      </c>
      <c r="HW35" s="1719"/>
      <c r="HX35" s="1718" t="s">
        <v>1328</v>
      </c>
      <c r="HY35" s="1722"/>
      <c r="HZ35" s="1722"/>
      <c r="IA35" s="1722"/>
      <c r="IB35" s="1722"/>
      <c r="IC35" s="1722"/>
      <c r="ID35" s="1722"/>
      <c r="IE35" s="1722"/>
      <c r="IF35" s="1722"/>
      <c r="IG35" s="1722"/>
      <c r="IH35" s="1722"/>
      <c r="II35" s="1722"/>
      <c r="IJ35" s="1722"/>
      <c r="IK35" s="1722"/>
      <c r="IL35" s="1722"/>
      <c r="IM35" s="1722"/>
      <c r="IN35" s="1722"/>
      <c r="IO35" s="1722"/>
      <c r="IP35" s="1722"/>
      <c r="IQ35" s="1722"/>
      <c r="IR35" s="1722"/>
      <c r="IS35" s="1722"/>
      <c r="IT35" s="1722"/>
      <c r="IU35" s="1722"/>
      <c r="IV35" s="1722"/>
    </row>
    <row r="36" spans="8:8" ht="20.0" customHeight="1">
      <c r="A36" s="1700" t="s">
        <v>146</v>
      </c>
      <c r="B36" s="1701"/>
      <c r="C36" s="1702" t="str">
        <f>IF(ISTEXT(_xlfn.IFERROR(VLOOKUP(A36,职业列表!I3:J10,1,FALSE),0)),"★","")</f>
        <v/>
      </c>
      <c r="D36" s="1703"/>
      <c r="E36" s="1703" t="s">
        <v>89</v>
      </c>
      <c r="F36" s="1701"/>
      <c r="G36" s="1701"/>
      <c r="H36" s="1701"/>
      <c r="I36" s="1701"/>
      <c r="J36" s="1703" t="s">
        <v>89</v>
      </c>
      <c r="K36" s="1701"/>
      <c r="L36" s="1701"/>
      <c r="M36" s="1701"/>
      <c r="N36" s="1701"/>
      <c r="O36" s="1701"/>
      <c r="P36" s="1701"/>
      <c r="Q36" s="1703" t="s">
        <v>89</v>
      </c>
      <c r="R36" s="1701"/>
      <c r="S36" s="1701"/>
      <c r="T36" s="1701"/>
      <c r="U36" s="1701"/>
      <c r="V36" s="1701"/>
      <c r="W36" s="1703" t="s">
        <v>89</v>
      </c>
      <c r="X36" s="1701"/>
      <c r="Y36" s="1701"/>
      <c r="Z36" s="1701"/>
      <c r="AA36" s="1701"/>
      <c r="AB36" s="1703" t="s">
        <v>89</v>
      </c>
      <c r="AC36" s="1701"/>
      <c r="AD36" s="1701"/>
      <c r="AE36" s="1701"/>
      <c r="AF36" s="1701"/>
      <c r="AG36" s="1701"/>
      <c r="AH36" s="1701"/>
      <c r="AI36" s="1701"/>
      <c r="AJ36" s="1701"/>
      <c r="AK36" s="1701"/>
      <c r="AL36" s="1701"/>
      <c r="AM36" s="1701"/>
      <c r="AN36" s="1703" t="s">
        <v>89</v>
      </c>
      <c r="AO36" s="1701"/>
      <c r="AP36" s="1701"/>
      <c r="AQ36" s="1701"/>
      <c r="AR36" s="1701"/>
      <c r="AS36" s="1701"/>
      <c r="AT36" s="1701"/>
      <c r="AU36" s="1703" t="s">
        <v>89</v>
      </c>
      <c r="AV36" s="1701"/>
      <c r="AW36" s="1701"/>
      <c r="AX36" s="1701"/>
      <c r="AY36" s="1701"/>
      <c r="AZ36" s="1701"/>
      <c r="BA36" s="1701"/>
      <c r="BB36" s="1701"/>
      <c r="BC36" s="1703" t="s">
        <v>89</v>
      </c>
      <c r="BD36" s="1714"/>
      <c r="BE36" s="1701"/>
      <c r="BF36" s="1703" t="s">
        <v>89</v>
      </c>
      <c r="BG36" s="1701"/>
      <c r="BH36" s="1701"/>
      <c r="BI36" s="1701"/>
      <c r="BJ36" s="1701"/>
      <c r="BK36" s="1701"/>
      <c r="BL36" s="1701"/>
      <c r="BM36" s="1703" t="s">
        <v>89</v>
      </c>
      <c r="BN36" s="1701"/>
      <c r="BO36" s="1701"/>
      <c r="BP36" s="1701"/>
      <c r="BQ36" s="1701"/>
      <c r="BR36" s="1701"/>
      <c r="BS36" s="1701"/>
      <c r="BT36" s="1703" t="s">
        <v>89</v>
      </c>
      <c r="BU36" s="1703" t="s">
        <v>89</v>
      </c>
      <c r="BV36" s="1701"/>
      <c r="BW36" s="1701"/>
      <c r="BX36" s="1701"/>
      <c r="BY36" s="1701"/>
      <c r="BZ36" s="1701"/>
      <c r="CA36" s="1703" t="s">
        <v>89</v>
      </c>
      <c r="CB36" s="1701"/>
      <c r="CC36" s="1701"/>
      <c r="CD36" s="1701"/>
      <c r="CE36" s="1701"/>
      <c r="CF36" s="1701"/>
      <c r="CG36" s="1701"/>
      <c r="CH36" s="1701"/>
      <c r="CI36" s="1701"/>
      <c r="CJ36" s="1701"/>
      <c r="CK36" s="1701"/>
      <c r="CL36" s="1701"/>
      <c r="CM36" s="1701"/>
      <c r="CN36" s="1701"/>
      <c r="CO36" s="1701"/>
      <c r="CP36" s="1701"/>
      <c r="CQ36" s="1701"/>
      <c r="CR36" s="1701"/>
      <c r="CS36" s="1701"/>
      <c r="CT36" s="1701"/>
      <c r="CU36" s="1701"/>
      <c r="CV36" s="1701"/>
      <c r="CW36" s="1701"/>
      <c r="CX36" s="1701"/>
      <c r="CY36" s="1701"/>
      <c r="CZ36" s="1701"/>
      <c r="DA36" s="1701"/>
      <c r="DB36" s="1701"/>
      <c r="DC36" s="1701"/>
      <c r="DD36" s="1701"/>
      <c r="DE36" s="1703" t="s">
        <v>89</v>
      </c>
      <c r="DF36" s="1701"/>
      <c r="DG36" s="1701"/>
      <c r="DH36" s="1701"/>
      <c r="DI36" s="1701"/>
      <c r="DJ36" s="1701"/>
      <c r="DK36" s="1701"/>
      <c r="DL36" s="1701"/>
      <c r="DM36" s="1701"/>
      <c r="DN36" s="1701"/>
      <c r="DO36" s="1701" t="s">
        <v>89</v>
      </c>
      <c r="DP36" s="1701" t="s">
        <v>89</v>
      </c>
      <c r="DQ36" s="1701" t="s">
        <v>89</v>
      </c>
      <c r="DR36" s="1701" t="s">
        <v>89</v>
      </c>
      <c r="DS36" s="1701"/>
      <c r="DT36" s="1701"/>
      <c r="DU36" s="1701"/>
      <c r="DV36" s="1701"/>
      <c r="DW36" s="1701"/>
      <c r="DX36" s="1701"/>
      <c r="DY36" s="1701"/>
      <c r="DZ36" s="1701"/>
      <c r="EA36" s="1701"/>
      <c r="EB36" s="1701"/>
      <c r="EC36" s="1701"/>
      <c r="ED36" s="1701"/>
      <c r="EE36" s="1701"/>
      <c r="EF36" s="1701"/>
      <c r="EG36" s="1701"/>
      <c r="EH36" s="1701"/>
      <c r="EI36" s="1701"/>
      <c r="EJ36" s="1701" t="s">
        <v>1326</v>
      </c>
      <c r="EK36" s="1701"/>
      <c r="EL36" s="1701"/>
      <c r="EM36" s="1701"/>
      <c r="EN36" s="1701" t="s">
        <v>89</v>
      </c>
      <c r="EO36" s="1701"/>
      <c r="EP36" s="1701"/>
      <c r="EQ36" s="1701"/>
      <c r="ER36" s="1701"/>
      <c r="ES36" s="1701"/>
      <c r="ET36" s="1701"/>
      <c r="EU36" s="1701"/>
      <c r="EV36" s="1701"/>
      <c r="EW36" s="1701"/>
      <c r="EX36" s="1701"/>
      <c r="EY36" s="1701"/>
      <c r="EZ36" s="1701"/>
      <c r="FA36" s="1701"/>
      <c r="FB36" s="1701" t="s">
        <v>89</v>
      </c>
      <c r="FC36" s="1701"/>
      <c r="FD36" s="1701"/>
      <c r="FE36" s="1701"/>
      <c r="FF36" s="1701"/>
      <c r="FG36" s="1701"/>
      <c r="FH36" s="1701"/>
      <c r="FI36" s="1701" t="s">
        <v>89</v>
      </c>
      <c r="FJ36" s="1701"/>
      <c r="FK36" s="1701"/>
      <c r="FL36" s="1701"/>
      <c r="FM36" s="1701"/>
      <c r="FN36" s="1701"/>
      <c r="FO36" s="1701" t="s">
        <v>89</v>
      </c>
      <c r="FP36" s="1701"/>
      <c r="FQ36" s="1701"/>
      <c r="FR36" s="1701"/>
      <c r="FS36" s="1701"/>
      <c r="FT36" s="1701" t="s">
        <v>89</v>
      </c>
      <c r="FU36" s="1701" t="s">
        <v>89</v>
      </c>
      <c r="FV36" s="1701"/>
      <c r="FW36" s="1701"/>
      <c r="FX36" s="1701" t="s">
        <v>89</v>
      </c>
      <c r="FY36" s="1701"/>
      <c r="FZ36" s="1701"/>
      <c r="GA36" s="1701"/>
      <c r="GB36" s="1701"/>
      <c r="GC36" s="1701"/>
      <c r="GD36" s="1701"/>
      <c r="GE36" s="1701" t="s">
        <v>89</v>
      </c>
      <c r="GF36" s="1701"/>
      <c r="GG36" s="1701"/>
      <c r="GH36" s="1701"/>
      <c r="GI36" s="1701"/>
      <c r="GJ36" s="1701" t="s">
        <v>89</v>
      </c>
      <c r="GK36" s="1701"/>
      <c r="GL36" s="1701"/>
      <c r="GM36" s="1701"/>
      <c r="GN36" s="1701"/>
      <c r="GO36" s="1701"/>
      <c r="GP36" s="1701"/>
      <c r="GQ36" s="1701"/>
      <c r="GR36" s="1701"/>
      <c r="GS36" s="1701"/>
      <c r="GT36" s="1701"/>
      <c r="GU36" s="1701"/>
      <c r="GV36" s="1701"/>
      <c r="GW36" s="1701"/>
      <c r="GX36" s="1701"/>
      <c r="GY36" s="1701"/>
      <c r="GZ36" s="1701"/>
      <c r="HA36" s="1701"/>
      <c r="HB36" s="1703"/>
      <c r="HC36" s="1701"/>
      <c r="HD36" s="1701" t="s">
        <v>89</v>
      </c>
      <c r="HE36" s="1701"/>
      <c r="HF36" s="1701"/>
      <c r="HG36" s="1701"/>
      <c r="HH36" s="1701"/>
      <c r="HI36" s="1703"/>
      <c r="HJ36" s="1701"/>
      <c r="HK36" s="1701"/>
      <c r="HL36" s="1701"/>
      <c r="HM36" s="1701"/>
      <c r="HN36" s="1701"/>
      <c r="HO36" s="1703"/>
      <c r="HP36" s="1701"/>
      <c r="HQ36" s="1701"/>
      <c r="HR36" s="1701"/>
      <c r="HS36" s="1701"/>
      <c r="HT36" s="1703"/>
      <c r="HU36" s="1701"/>
      <c r="HV36" s="1701"/>
      <c r="HW36" s="1701"/>
      <c r="HX36" s="1701"/>
      <c r="HY36" s="1688"/>
      <c r="HZ36" s="1688"/>
      <c r="IA36" s="1688"/>
      <c r="IB36" s="1688"/>
      <c r="IC36" s="1688"/>
      <c r="ID36" s="1688"/>
      <c r="IE36" s="1688"/>
      <c r="IF36" s="1688"/>
      <c r="IG36" s="1688"/>
      <c r="IH36" s="1688"/>
      <c r="II36" s="1688"/>
      <c r="IJ36" s="1688"/>
      <c r="IK36" s="1688"/>
      <c r="IL36" s="1688"/>
      <c r="IM36" s="1688"/>
      <c r="IN36" s="1688"/>
      <c r="IO36" s="1688"/>
      <c r="IP36" s="1688"/>
      <c r="IQ36" s="1688"/>
      <c r="IR36" s="1688"/>
      <c r="IS36" s="1688"/>
      <c r="IT36" s="1688"/>
      <c r="IU36" s="1688"/>
      <c r="IV36" s="1688"/>
    </row>
    <row r="37" spans="8:8" s="1748" ht="20.0" customFormat="1" customHeight="1">
      <c r="A37" s="1749" t="s">
        <v>148</v>
      </c>
      <c r="B37" s="1750"/>
      <c r="C37" s="1702" t="str">
        <f>IF(ISTEXT(_xlfn.IFERROR(VLOOKUP(A37,职业列表!I3:J10,1,FALSE),0)),"★","")</f>
        <v/>
      </c>
      <c r="D37" s="1751"/>
      <c r="E37" s="1750"/>
      <c r="F37" s="1750"/>
      <c r="G37" s="1750"/>
      <c r="H37" s="1750"/>
      <c r="I37" s="1751" t="s">
        <v>89</v>
      </c>
      <c r="J37" s="1750"/>
      <c r="K37" s="1751" t="s">
        <v>89</v>
      </c>
      <c r="L37" s="1750"/>
      <c r="M37" s="1751" t="s">
        <v>89</v>
      </c>
      <c r="N37" s="1750"/>
      <c r="O37" s="1751" t="s">
        <v>89</v>
      </c>
      <c r="P37" s="1750"/>
      <c r="Q37" s="1750"/>
      <c r="R37" s="1751" t="s">
        <v>89</v>
      </c>
      <c r="S37" s="1750"/>
      <c r="T37" s="1750" t="s">
        <v>1327</v>
      </c>
      <c r="U37" s="1751" t="s">
        <v>89</v>
      </c>
      <c r="V37" s="1750"/>
      <c r="W37" s="1750"/>
      <c r="X37" s="1751" t="s">
        <v>89</v>
      </c>
      <c r="Y37" s="1751" t="s">
        <v>89</v>
      </c>
      <c r="Z37" s="1750"/>
      <c r="AA37" s="1750"/>
      <c r="AB37" s="1750"/>
      <c r="AC37" s="1750"/>
      <c r="AD37" s="1750"/>
      <c r="AE37" s="1750"/>
      <c r="AF37" s="1750"/>
      <c r="AG37" s="1750"/>
      <c r="AH37" s="1750" t="s">
        <v>1326</v>
      </c>
      <c r="AI37" s="1750"/>
      <c r="AJ37" s="1750"/>
      <c r="AK37" s="1750"/>
      <c r="AL37" s="1750"/>
      <c r="AM37" s="1750"/>
      <c r="AN37" s="1750"/>
      <c r="AO37" s="1750"/>
      <c r="AP37" s="1750"/>
      <c r="AQ37" s="1752"/>
      <c r="AR37" s="1751" t="s">
        <v>89</v>
      </c>
      <c r="AS37" s="1752"/>
      <c r="AT37" s="1750" t="s">
        <v>1365</v>
      </c>
      <c r="AU37" s="1750"/>
      <c r="AV37" s="1750"/>
      <c r="AW37" s="1750"/>
      <c r="AX37" s="1750"/>
      <c r="AY37" s="1750"/>
      <c r="AZ37" s="1750"/>
      <c r="BA37" s="1750"/>
      <c r="BB37" s="1750"/>
      <c r="BC37" s="1751" t="s">
        <v>89</v>
      </c>
      <c r="BD37" s="1752"/>
      <c r="BE37" s="1750"/>
      <c r="BF37" s="1750"/>
      <c r="BG37" s="1751" t="s">
        <v>89</v>
      </c>
      <c r="BH37" s="1750" t="s">
        <v>1365</v>
      </c>
      <c r="BI37" s="1750"/>
      <c r="BJ37" s="1750"/>
      <c r="BK37" s="1750"/>
      <c r="BL37" s="1751" t="s">
        <v>89</v>
      </c>
      <c r="BM37" s="1750"/>
      <c r="BN37" s="1750"/>
      <c r="BO37" s="1750"/>
      <c r="BP37" s="1750"/>
      <c r="BQ37" s="1750"/>
      <c r="BR37" s="1751" t="s">
        <v>89</v>
      </c>
      <c r="BS37" s="1750"/>
      <c r="BT37" s="1750"/>
      <c r="BU37" s="1750"/>
      <c r="BV37" s="1750"/>
      <c r="BW37" s="1751" t="s">
        <v>89</v>
      </c>
      <c r="BX37" s="1750"/>
      <c r="BY37" s="1750"/>
      <c r="BZ37" s="1750"/>
      <c r="CA37" s="1751" t="s">
        <v>89</v>
      </c>
      <c r="CB37" s="1751" t="s">
        <v>89</v>
      </c>
      <c r="CC37" s="1750"/>
      <c r="CD37" s="1750"/>
      <c r="CE37" s="1751" t="s">
        <v>89</v>
      </c>
      <c r="CF37" s="1750"/>
      <c r="CG37" s="1751" t="s">
        <v>89</v>
      </c>
      <c r="CH37" s="1750" t="s">
        <v>1365</v>
      </c>
      <c r="CI37" s="1752"/>
      <c r="CJ37" s="1751" t="s">
        <v>89</v>
      </c>
      <c r="CK37" s="1750"/>
      <c r="CL37" s="1750"/>
      <c r="CM37" s="1750"/>
      <c r="CN37" s="1750"/>
      <c r="CO37" s="1750"/>
      <c r="CP37" s="1751" t="s">
        <v>89</v>
      </c>
      <c r="CQ37" s="1750"/>
      <c r="CR37" s="1750"/>
      <c r="CS37" s="1751" t="s">
        <v>89</v>
      </c>
      <c r="CT37" s="1750"/>
      <c r="CU37" s="1751" t="s">
        <v>89</v>
      </c>
      <c r="CV37" s="1750"/>
      <c r="CW37" s="1750"/>
      <c r="CX37" s="1750"/>
      <c r="CY37" s="1751" t="s">
        <v>89</v>
      </c>
      <c r="CZ37" s="1750"/>
      <c r="DA37" s="1750"/>
      <c r="DB37" s="1753" t="s">
        <v>1329</v>
      </c>
      <c r="DC37" s="1751" t="s">
        <v>89</v>
      </c>
      <c r="DD37" s="1750" t="s">
        <v>1326</v>
      </c>
      <c r="DE37" s="1750"/>
      <c r="DF37" s="1750"/>
      <c r="DG37" s="1750"/>
      <c r="DH37" s="1750"/>
      <c r="DI37" s="1750"/>
      <c r="DJ37" s="1751" t="s">
        <v>89</v>
      </c>
      <c r="DK37" s="1751" t="s">
        <v>89</v>
      </c>
      <c r="DL37" s="1750"/>
      <c r="DM37" s="1750"/>
      <c r="DN37" s="1750" t="s">
        <v>1366</v>
      </c>
      <c r="DO37" s="1750" t="s">
        <v>89</v>
      </c>
      <c r="DP37" s="1750"/>
      <c r="DQ37" s="1750"/>
      <c r="DR37" s="1750" t="s">
        <v>89</v>
      </c>
      <c r="DS37" s="1750" t="s">
        <v>89</v>
      </c>
      <c r="DT37" s="1750"/>
      <c r="DU37" s="1750" t="s">
        <v>1365</v>
      </c>
      <c r="DV37" s="1750"/>
      <c r="DW37" s="1750" t="s">
        <v>1367</v>
      </c>
      <c r="DX37" s="1750" t="s">
        <v>89</v>
      </c>
      <c r="DY37" s="1750" t="s">
        <v>89</v>
      </c>
      <c r="DZ37" s="1750"/>
      <c r="EA37" s="1750"/>
      <c r="EB37" s="1750"/>
      <c r="EC37" s="1750"/>
      <c r="ED37" s="1750"/>
      <c r="EE37" s="1750"/>
      <c r="EF37" s="1750" t="s">
        <v>1365</v>
      </c>
      <c r="EG37" s="1750" t="s">
        <v>1365</v>
      </c>
      <c r="EH37" s="1750" t="s">
        <v>1365</v>
      </c>
      <c r="EI37" s="1750"/>
      <c r="EJ37" s="1750" t="s">
        <v>89</v>
      </c>
      <c r="EK37" s="1750"/>
      <c r="EL37" s="1750"/>
      <c r="EM37" s="1750"/>
      <c r="EN37" s="1750" t="s">
        <v>89</v>
      </c>
      <c r="EO37" s="1750"/>
      <c r="EP37" s="1750"/>
      <c r="EQ37" s="1750"/>
      <c r="ER37" s="1750"/>
      <c r="ES37" s="1750"/>
      <c r="ET37" s="1750"/>
      <c r="EU37" s="1750"/>
      <c r="EV37" s="1750"/>
      <c r="EW37" s="1750"/>
      <c r="EX37" s="1750" t="s">
        <v>89</v>
      </c>
      <c r="EY37" s="1750"/>
      <c r="EZ37" s="1750"/>
      <c r="FA37" s="1750"/>
      <c r="FB37" s="1750"/>
      <c r="FC37" s="1750"/>
      <c r="FD37" s="1750"/>
      <c r="FE37" s="1750" t="s">
        <v>1368</v>
      </c>
      <c r="FF37" s="1750"/>
      <c r="FG37" s="1750"/>
      <c r="FH37" s="1750"/>
      <c r="FI37" s="1750" t="s">
        <v>89</v>
      </c>
      <c r="FJ37" s="1750"/>
      <c r="FK37" s="1750"/>
      <c r="FL37" s="1750" t="s">
        <v>1368</v>
      </c>
      <c r="FM37" s="1750"/>
      <c r="FN37" s="1750"/>
      <c r="FO37" s="1750"/>
      <c r="FP37" s="1750"/>
      <c r="FQ37" s="1750" t="s">
        <v>89</v>
      </c>
      <c r="FR37" s="1750" t="s">
        <v>89</v>
      </c>
      <c r="FS37" s="1750" t="s">
        <v>89</v>
      </c>
      <c r="FT37" s="1750"/>
      <c r="FU37" s="1750"/>
      <c r="FV37" s="1750" t="s">
        <v>89</v>
      </c>
      <c r="FW37" s="1750"/>
      <c r="FX37" s="1750" t="s">
        <v>89</v>
      </c>
      <c r="FY37" s="1750"/>
      <c r="FZ37" s="1750"/>
      <c r="GA37" s="1750"/>
      <c r="GB37" s="1750"/>
      <c r="GC37" s="1750" t="s">
        <v>1329</v>
      </c>
      <c r="GD37" s="1750" t="s">
        <v>1329</v>
      </c>
      <c r="GE37" s="1750" t="s">
        <v>89</v>
      </c>
      <c r="GF37" s="1750" t="s">
        <v>89</v>
      </c>
      <c r="GG37" s="1750"/>
      <c r="GH37" s="1750"/>
      <c r="GI37" s="1750"/>
      <c r="GJ37" s="1750"/>
      <c r="GK37" s="1750"/>
      <c r="GL37" s="1750"/>
      <c r="GM37" s="1750"/>
      <c r="GN37" s="1750"/>
      <c r="GO37" s="1750"/>
      <c r="GP37" s="1750"/>
      <c r="GQ37" s="1750"/>
      <c r="GR37" s="1750"/>
      <c r="GS37" s="1750" t="s">
        <v>89</v>
      </c>
      <c r="GT37" s="1750"/>
      <c r="GU37" s="1750" t="s">
        <v>1329</v>
      </c>
      <c r="GV37" s="1750"/>
      <c r="GW37" s="1750"/>
      <c r="GX37" s="1750"/>
      <c r="GY37" s="1750" t="s">
        <v>89</v>
      </c>
      <c r="GZ37" s="1753" t="s">
        <v>1369</v>
      </c>
      <c r="HA37" s="1754" t="s">
        <v>1369</v>
      </c>
      <c r="HB37" s="1753" t="s">
        <v>1369</v>
      </c>
      <c r="HC37" s="1753" t="s">
        <v>1369</v>
      </c>
      <c r="HD37" s="1750"/>
      <c r="HE37" s="1754" t="s">
        <v>1365</v>
      </c>
      <c r="HF37" s="1750" t="s">
        <v>89</v>
      </c>
      <c r="HG37" s="1751"/>
      <c r="HH37" s="1750"/>
      <c r="HI37" s="1750"/>
      <c r="HJ37" s="1751"/>
      <c r="HK37" s="1750" t="s">
        <v>89</v>
      </c>
      <c r="HL37" s="1750" t="s">
        <v>89</v>
      </c>
      <c r="HM37" s="1751"/>
      <c r="HN37" s="1750" t="s">
        <v>1369</v>
      </c>
      <c r="HO37" s="1750"/>
      <c r="HP37" s="1754" t="s">
        <v>1365</v>
      </c>
      <c r="HQ37" s="1751" t="s">
        <v>1365</v>
      </c>
      <c r="HR37" s="1750"/>
      <c r="HS37" s="1753" t="s">
        <v>1369</v>
      </c>
      <c r="HT37" s="1750"/>
      <c r="HU37" s="1753" t="s">
        <v>1329</v>
      </c>
      <c r="HV37" s="1750"/>
      <c r="HW37" s="1750"/>
      <c r="HX37" s="1750" t="s">
        <v>1369</v>
      </c>
      <c r="HY37" s="1755"/>
      <c r="HZ37" s="1755"/>
      <c r="IA37" s="1755"/>
      <c r="IB37" s="1755"/>
      <c r="IC37" s="1755"/>
      <c r="ID37" s="1755"/>
      <c r="IE37" s="1755"/>
      <c r="IF37" s="1755"/>
      <c r="IG37" s="1755"/>
      <c r="IH37" s="1755"/>
      <c r="II37" s="1755"/>
      <c r="IJ37" s="1755"/>
      <c r="IK37" s="1755"/>
      <c r="IL37" s="1755"/>
      <c r="IM37" s="1755"/>
      <c r="IN37" s="1755"/>
      <c r="IO37" s="1755"/>
      <c r="IP37" s="1755"/>
      <c r="IQ37" s="1755"/>
      <c r="IR37" s="1755"/>
      <c r="IS37" s="1755"/>
      <c r="IT37" s="1755"/>
      <c r="IU37" s="1755"/>
      <c r="IV37" s="1755"/>
    </row>
    <row r="38" spans="8:8" ht="20.0" customHeight="1">
      <c r="A38" s="1713" t="s">
        <v>150</v>
      </c>
      <c r="B38" s="1701"/>
      <c r="C38" s="1702" t="str">
        <f>IF(ISTEXT(_xlfn.IFERROR(VLOOKUP(A38,职业列表!I3:J10,1,FALSE),0)),"★","")</f>
        <v/>
      </c>
      <c r="D38" s="1714"/>
      <c r="E38" s="1714"/>
      <c r="F38" s="1714"/>
      <c r="G38" s="1714"/>
      <c r="H38" s="1714"/>
      <c r="I38" s="1703" t="s">
        <v>89</v>
      </c>
      <c r="J38" s="1714"/>
      <c r="K38" s="1703" t="s">
        <v>89</v>
      </c>
      <c r="L38" s="1714"/>
      <c r="M38" s="1703" t="s">
        <v>89</v>
      </c>
      <c r="N38" s="1714"/>
      <c r="O38" s="1703" t="s">
        <v>89</v>
      </c>
      <c r="P38" s="1714"/>
      <c r="Q38" s="1714"/>
      <c r="R38" s="1703" t="s">
        <v>89</v>
      </c>
      <c r="S38" s="1714"/>
      <c r="T38" s="1701" t="s">
        <v>1327</v>
      </c>
      <c r="U38" s="1703" t="s">
        <v>89</v>
      </c>
      <c r="V38" s="1714"/>
      <c r="W38" s="1714"/>
      <c r="X38" s="1703" t="s">
        <v>89</v>
      </c>
      <c r="Y38" s="1703" t="s">
        <v>89</v>
      </c>
      <c r="Z38" s="1714"/>
      <c r="AA38" s="1714"/>
      <c r="AB38" s="1714"/>
      <c r="AC38" s="1714"/>
      <c r="AD38" s="1714"/>
      <c r="AE38" s="1714"/>
      <c r="AF38" s="1714"/>
      <c r="AG38" s="1714"/>
      <c r="AH38" s="1701" t="s">
        <v>1326</v>
      </c>
      <c r="AI38" s="1714"/>
      <c r="AJ38" s="1714"/>
      <c r="AK38" s="1714"/>
      <c r="AL38" s="1714"/>
      <c r="AM38" s="1714"/>
      <c r="AN38" s="1714"/>
      <c r="AO38" s="1714"/>
      <c r="AP38" s="1714"/>
      <c r="AQ38" s="1714"/>
      <c r="AR38" s="1703" t="s">
        <v>89</v>
      </c>
      <c r="AS38" s="1714"/>
      <c r="AT38" s="1714"/>
      <c r="AU38" s="1714"/>
      <c r="AV38" s="1714"/>
      <c r="AW38" s="1714"/>
      <c r="AX38" s="1714"/>
      <c r="AY38" s="1714"/>
      <c r="AZ38" s="1714"/>
      <c r="BA38" s="1714"/>
      <c r="BB38" s="1714"/>
      <c r="BC38" s="1703" t="s">
        <v>89</v>
      </c>
      <c r="BD38" s="1714"/>
      <c r="BE38" s="1714"/>
      <c r="BF38" s="1714"/>
      <c r="BG38" s="1703" t="s">
        <v>89</v>
      </c>
      <c r="BH38" s="1714"/>
      <c r="BI38" s="1714"/>
      <c r="BJ38" s="1714"/>
      <c r="BK38" s="1714"/>
      <c r="BL38" s="1714"/>
      <c r="BM38" s="1714"/>
      <c r="BN38" s="1714"/>
      <c r="BO38" s="1714"/>
      <c r="BP38" s="1714"/>
      <c r="BQ38" s="1714"/>
      <c r="BR38" s="1703"/>
      <c r="BS38" s="1714"/>
      <c r="BT38" s="1714"/>
      <c r="BU38" s="1714"/>
      <c r="BV38" s="1714"/>
      <c r="BW38" s="1703" t="s">
        <v>89</v>
      </c>
      <c r="BX38" s="1714"/>
      <c r="BY38" s="1714"/>
      <c r="BZ38" s="1714"/>
      <c r="CA38" s="1703" t="s">
        <v>89</v>
      </c>
      <c r="CB38" s="1703" t="s">
        <v>89</v>
      </c>
      <c r="CC38" s="1714"/>
      <c r="CD38" s="1714"/>
      <c r="CE38" s="1703" t="s">
        <v>89</v>
      </c>
      <c r="CF38" s="1714"/>
      <c r="CG38" s="1703" t="s">
        <v>89</v>
      </c>
      <c r="CH38" s="1714"/>
      <c r="CI38" s="1714"/>
      <c r="CJ38" s="1703" t="s">
        <v>89</v>
      </c>
      <c r="CK38" s="1714"/>
      <c r="CL38" s="1714"/>
      <c r="CM38" s="1714"/>
      <c r="CN38" s="1714"/>
      <c r="CO38" s="1714"/>
      <c r="CP38" s="1703" t="s">
        <v>89</v>
      </c>
      <c r="CQ38" s="1714"/>
      <c r="CR38" s="1714"/>
      <c r="CS38" s="1703" t="s">
        <v>89</v>
      </c>
      <c r="CT38" s="1714"/>
      <c r="CU38" s="1703" t="s">
        <v>89</v>
      </c>
      <c r="CV38" s="1714"/>
      <c r="CW38" s="1714"/>
      <c r="CX38" s="1714"/>
      <c r="CY38" s="1703" t="s">
        <v>89</v>
      </c>
      <c r="CZ38" s="1714"/>
      <c r="DA38" s="1714"/>
      <c r="DB38" s="1702"/>
      <c r="DC38" s="1703" t="s">
        <v>89</v>
      </c>
      <c r="DD38" s="1701" t="s">
        <v>1326</v>
      </c>
      <c r="DE38" s="1714"/>
      <c r="DF38" s="1714"/>
      <c r="DG38" s="1714"/>
      <c r="DH38" s="1714"/>
      <c r="DI38" s="1714"/>
      <c r="DJ38" s="1703" t="s">
        <v>89</v>
      </c>
      <c r="DK38" s="1703" t="s">
        <v>89</v>
      </c>
      <c r="DL38" s="1714"/>
      <c r="DM38" s="1714"/>
      <c r="DN38" s="1701" t="s">
        <v>1366</v>
      </c>
      <c r="DO38" s="1701"/>
      <c r="DP38" s="1701"/>
      <c r="DQ38" s="1701"/>
      <c r="DR38" s="1701"/>
      <c r="DS38" s="1701" t="s">
        <v>89</v>
      </c>
      <c r="DT38" s="1701"/>
      <c r="DU38" s="1701"/>
      <c r="DV38" s="1701"/>
      <c r="DW38" s="1701"/>
      <c r="DX38" s="1701" t="s">
        <v>89</v>
      </c>
      <c r="DY38" s="1701" t="s">
        <v>89</v>
      </c>
      <c r="DZ38" s="1701"/>
      <c r="EA38" s="1701"/>
      <c r="EB38" s="1701"/>
      <c r="EC38" s="1701"/>
      <c r="ED38" s="1701"/>
      <c r="EE38" s="1701"/>
      <c r="EF38" s="1701"/>
      <c r="EG38" s="1701"/>
      <c r="EH38" s="1701"/>
      <c r="EI38" s="1701"/>
      <c r="EJ38" s="1701" t="s">
        <v>89</v>
      </c>
      <c r="EK38" s="1701"/>
      <c r="EL38" s="1701"/>
      <c r="EM38" s="1701"/>
      <c r="EN38" s="1701" t="s">
        <v>89</v>
      </c>
      <c r="EO38" s="1701"/>
      <c r="EP38" s="1701"/>
      <c r="EQ38" s="1701"/>
      <c r="ER38" s="1701"/>
      <c r="ES38" s="1701"/>
      <c r="ET38" s="1701"/>
      <c r="EU38" s="1701"/>
      <c r="EV38" s="1701"/>
      <c r="EW38" s="1701"/>
      <c r="EX38" s="1701" t="s">
        <v>89</v>
      </c>
      <c r="EY38" s="1701"/>
      <c r="EZ38" s="1701"/>
      <c r="FA38" s="1701"/>
      <c r="FB38" s="1701"/>
      <c r="FC38" s="1701"/>
      <c r="FD38" s="1701"/>
      <c r="FE38" s="1701" t="s">
        <v>1370</v>
      </c>
      <c r="FF38" s="1701"/>
      <c r="FG38" s="1701"/>
      <c r="FH38" s="1701"/>
      <c r="FI38" s="1701"/>
      <c r="FJ38" s="1701"/>
      <c r="FK38" s="1701"/>
      <c r="FL38" s="1701"/>
      <c r="FM38" s="1701"/>
      <c r="FN38" s="1701"/>
      <c r="FO38" s="1701"/>
      <c r="FP38" s="1701"/>
      <c r="FQ38" s="1701" t="s">
        <v>89</v>
      </c>
      <c r="FR38" s="1701" t="s">
        <v>89</v>
      </c>
      <c r="FS38" s="1701"/>
      <c r="FT38" s="1701"/>
      <c r="FU38" s="1701"/>
      <c r="FV38" s="1701" t="s">
        <v>89</v>
      </c>
      <c r="FW38" s="1701"/>
      <c r="FX38" s="1701" t="s">
        <v>89</v>
      </c>
      <c r="FY38" s="1701"/>
      <c r="FZ38" s="1701"/>
      <c r="GA38" s="1701"/>
      <c r="GB38" s="1701"/>
      <c r="GC38" s="1701"/>
      <c r="GD38" s="1701"/>
      <c r="GE38" s="1701" t="s">
        <v>89</v>
      </c>
      <c r="GF38" s="1701" t="s">
        <v>89</v>
      </c>
      <c r="GG38" s="1701"/>
      <c r="GH38" s="1701"/>
      <c r="GI38" s="1701"/>
      <c r="GJ38" s="1701"/>
      <c r="GK38" s="1701"/>
      <c r="GL38" s="1701"/>
      <c r="GM38" s="1701"/>
      <c r="GN38" s="1701"/>
      <c r="GO38" s="1701"/>
      <c r="GP38" s="1701"/>
      <c r="GQ38" s="1701"/>
      <c r="GR38" s="1701"/>
      <c r="GS38" s="1701" t="s">
        <v>89</v>
      </c>
      <c r="GT38" s="1701"/>
      <c r="GU38" s="1701"/>
      <c r="GV38" s="1701"/>
      <c r="GW38" s="1701"/>
      <c r="GX38" s="1701"/>
      <c r="GY38" s="1714"/>
      <c r="GZ38" s="1714"/>
      <c r="HA38" s="1704" t="s">
        <v>1365</v>
      </c>
      <c r="HB38" s="1714"/>
      <c r="HC38" s="1703"/>
      <c r="HD38" s="1714"/>
      <c r="HE38" s="1703"/>
      <c r="HF38" s="1714"/>
      <c r="HG38" s="1703"/>
      <c r="HH38" s="1714"/>
      <c r="HI38" s="1714"/>
      <c r="HJ38" s="1703"/>
      <c r="HK38" s="1714"/>
      <c r="HL38" s="1701"/>
      <c r="HM38" s="1703"/>
      <c r="HN38" s="1714"/>
      <c r="HO38" s="1714"/>
      <c r="HP38" s="1703"/>
      <c r="HQ38" s="1703"/>
      <c r="HR38" s="1714"/>
      <c r="HS38" s="1714"/>
      <c r="HT38" s="1714"/>
      <c r="HU38" s="1714"/>
      <c r="HV38" s="1714"/>
      <c r="HW38" s="1714"/>
      <c r="HX38" s="1714"/>
      <c r="HY38" s="1688"/>
      <c r="HZ38" s="1688"/>
      <c r="IA38" s="1688"/>
      <c r="IB38" s="1688"/>
      <c r="IC38" s="1688"/>
      <c r="ID38" s="1688"/>
      <c r="IE38" s="1688"/>
      <c r="IF38" s="1688"/>
      <c r="IG38" s="1688"/>
      <c r="IH38" s="1688"/>
      <c r="II38" s="1688"/>
      <c r="IJ38" s="1688"/>
      <c r="IK38" s="1688"/>
      <c r="IL38" s="1688"/>
      <c r="IM38" s="1688"/>
      <c r="IN38" s="1688"/>
      <c r="IO38" s="1688"/>
      <c r="IP38" s="1688"/>
      <c r="IQ38" s="1688"/>
      <c r="IR38" s="1688"/>
      <c r="IS38" s="1688"/>
      <c r="IT38" s="1688"/>
      <c r="IU38" s="1688"/>
      <c r="IV38" s="1688"/>
    </row>
    <row r="39" spans="8:8" ht="20.0" customHeight="1">
      <c r="A39" s="1713" t="s">
        <v>152</v>
      </c>
      <c r="B39" s="1701"/>
      <c r="C39" s="1701" t="str">
        <f>IF(ISTEXT(_xlfn.IFERROR(VLOOKUP(A39,职业列表!I3:J10,1,FALSE),0)),"★","")</f>
        <v/>
      </c>
      <c r="D39" s="1714"/>
      <c r="E39" s="1714"/>
      <c r="F39" s="1714"/>
      <c r="G39" s="1714"/>
      <c r="H39" s="1714"/>
      <c r="I39" s="1703" t="s">
        <v>89</v>
      </c>
      <c r="J39" s="1714"/>
      <c r="K39" s="1703" t="s">
        <v>89</v>
      </c>
      <c r="L39" s="1714"/>
      <c r="M39" s="1703" t="s">
        <v>89</v>
      </c>
      <c r="N39" s="1714"/>
      <c r="O39" s="1703" t="s">
        <v>89</v>
      </c>
      <c r="P39" s="1714"/>
      <c r="Q39" s="1714"/>
      <c r="R39" s="1703" t="s">
        <v>89</v>
      </c>
      <c r="S39" s="1714"/>
      <c r="T39" s="1701" t="s">
        <v>1327</v>
      </c>
      <c r="U39" s="1703" t="s">
        <v>89</v>
      </c>
      <c r="V39" s="1714"/>
      <c r="W39" s="1714"/>
      <c r="X39" s="1703" t="s">
        <v>89</v>
      </c>
      <c r="Y39" s="1703" t="s">
        <v>89</v>
      </c>
      <c r="Z39" s="1714"/>
      <c r="AA39" s="1714"/>
      <c r="AB39" s="1714"/>
      <c r="AC39" s="1714"/>
      <c r="AD39" s="1714"/>
      <c r="AE39" s="1714"/>
      <c r="AF39" s="1714"/>
      <c r="AG39" s="1714"/>
      <c r="AH39" s="1701" t="s">
        <v>1326</v>
      </c>
      <c r="AI39" s="1714"/>
      <c r="AJ39" s="1714"/>
      <c r="AK39" s="1714"/>
      <c r="AL39" s="1714"/>
      <c r="AM39" s="1714"/>
      <c r="AN39" s="1714"/>
      <c r="AO39" s="1714"/>
      <c r="AP39" s="1714"/>
      <c r="AQ39" s="1714"/>
      <c r="AR39" s="1703" t="s">
        <v>89</v>
      </c>
      <c r="AS39" s="1714"/>
      <c r="AT39" s="1714"/>
      <c r="AU39" s="1714"/>
      <c r="AV39" s="1714"/>
      <c r="AW39" s="1714"/>
      <c r="AX39" s="1714"/>
      <c r="AY39" s="1714"/>
      <c r="AZ39" s="1714"/>
      <c r="BA39" s="1714"/>
      <c r="BB39" s="1714"/>
      <c r="BC39" s="1703" t="s">
        <v>89</v>
      </c>
      <c r="BD39" s="1714"/>
      <c r="BE39" s="1714"/>
      <c r="BF39" s="1714"/>
      <c r="BG39" s="1703" t="s">
        <v>89</v>
      </c>
      <c r="BH39" s="1714"/>
      <c r="BI39" s="1714"/>
      <c r="BJ39" s="1714"/>
      <c r="BK39" s="1714"/>
      <c r="BL39" s="1714"/>
      <c r="BM39" s="1714"/>
      <c r="BN39" s="1714"/>
      <c r="BO39" s="1714"/>
      <c r="BP39" s="1714"/>
      <c r="BQ39" s="1714"/>
      <c r="BR39" s="1703"/>
      <c r="BS39" s="1714"/>
      <c r="BT39" s="1714"/>
      <c r="BU39" s="1714"/>
      <c r="BV39" s="1714"/>
      <c r="BW39" s="1703" t="s">
        <v>89</v>
      </c>
      <c r="BX39" s="1714"/>
      <c r="BY39" s="1714"/>
      <c r="BZ39" s="1714"/>
      <c r="CA39" s="1703" t="s">
        <v>89</v>
      </c>
      <c r="CB39" s="1703" t="s">
        <v>89</v>
      </c>
      <c r="CC39" s="1714"/>
      <c r="CD39" s="1714"/>
      <c r="CE39" s="1703" t="s">
        <v>89</v>
      </c>
      <c r="CF39" s="1714"/>
      <c r="CG39" s="1703" t="s">
        <v>89</v>
      </c>
      <c r="CH39" s="1714"/>
      <c r="CI39" s="1714"/>
      <c r="CJ39" s="1703" t="s">
        <v>89</v>
      </c>
      <c r="CK39" s="1714"/>
      <c r="CL39" s="1714"/>
      <c r="CM39" s="1714"/>
      <c r="CN39" s="1714"/>
      <c r="CO39" s="1714"/>
      <c r="CP39" s="1703" t="s">
        <v>89</v>
      </c>
      <c r="CQ39" s="1714"/>
      <c r="CR39" s="1714"/>
      <c r="CS39" s="1703" t="s">
        <v>89</v>
      </c>
      <c r="CT39" s="1714"/>
      <c r="CU39" s="1703" t="s">
        <v>89</v>
      </c>
      <c r="CV39" s="1714"/>
      <c r="CW39" s="1714"/>
      <c r="CX39" s="1714"/>
      <c r="CY39" s="1703" t="s">
        <v>89</v>
      </c>
      <c r="CZ39" s="1714"/>
      <c r="DA39" s="1714"/>
      <c r="DB39" s="1702"/>
      <c r="DC39" s="1703" t="s">
        <v>89</v>
      </c>
      <c r="DD39" s="1701" t="s">
        <v>1326</v>
      </c>
      <c r="DE39" s="1714"/>
      <c r="DF39" s="1714"/>
      <c r="DG39" s="1714"/>
      <c r="DH39" s="1714"/>
      <c r="DI39" s="1714"/>
      <c r="DJ39" s="1703" t="s">
        <v>89</v>
      </c>
      <c r="DK39" s="1703" t="s">
        <v>89</v>
      </c>
      <c r="DL39" s="1714"/>
      <c r="DM39" s="1714"/>
      <c r="DN39" s="1701"/>
      <c r="DO39" s="1701"/>
      <c r="DP39" s="1701"/>
      <c r="DQ39" s="1701"/>
      <c r="DR39" s="1701"/>
      <c r="DS39" s="1701" t="s">
        <v>89</v>
      </c>
      <c r="DT39" s="1701"/>
      <c r="DU39" s="1701"/>
      <c r="DV39" s="1701"/>
      <c r="DW39" s="1701"/>
      <c r="DX39" s="1701" t="s">
        <v>89</v>
      </c>
      <c r="DY39" s="1701" t="s">
        <v>89</v>
      </c>
      <c r="DZ39" s="1701"/>
      <c r="EA39" s="1701"/>
      <c r="EB39" s="1701"/>
      <c r="EC39" s="1701"/>
      <c r="ED39" s="1701"/>
      <c r="EE39" s="1701"/>
      <c r="EF39" s="1701"/>
      <c r="EG39" s="1701"/>
      <c r="EH39" s="1701"/>
      <c r="EI39" s="1701"/>
      <c r="EJ39" s="1701" t="s">
        <v>89</v>
      </c>
      <c r="EK39" s="1701"/>
      <c r="EL39" s="1701"/>
      <c r="EM39" s="1701"/>
      <c r="EN39" s="1701" t="s">
        <v>89</v>
      </c>
      <c r="EO39" s="1701"/>
      <c r="EP39" s="1701"/>
      <c r="EQ39" s="1701"/>
      <c r="ER39" s="1701"/>
      <c r="ES39" s="1701"/>
      <c r="ET39" s="1701"/>
      <c r="EU39" s="1701"/>
      <c r="EV39" s="1701"/>
      <c r="EW39" s="1701"/>
      <c r="EX39" s="1701" t="s">
        <v>89</v>
      </c>
      <c r="EY39" s="1701"/>
      <c r="EZ39" s="1701"/>
      <c r="FA39" s="1701"/>
      <c r="FB39" s="1701"/>
      <c r="FC39" s="1701"/>
      <c r="FD39" s="1701"/>
      <c r="FE39" s="1701"/>
      <c r="FF39" s="1701"/>
      <c r="FG39" s="1701"/>
      <c r="FH39" s="1701"/>
      <c r="FI39" s="1701"/>
      <c r="FJ39" s="1701"/>
      <c r="FK39" s="1701"/>
      <c r="FL39" s="1701"/>
      <c r="FM39" s="1701"/>
      <c r="FN39" s="1701"/>
      <c r="FO39" s="1701"/>
      <c r="FP39" s="1701"/>
      <c r="FQ39" s="1701" t="s">
        <v>89</v>
      </c>
      <c r="FR39" s="1701" t="s">
        <v>89</v>
      </c>
      <c r="FS39" s="1701"/>
      <c r="FT39" s="1701"/>
      <c r="FU39" s="1701"/>
      <c r="FV39" s="1701" t="s">
        <v>89</v>
      </c>
      <c r="FW39" s="1701"/>
      <c r="FX39" s="1701" t="s">
        <v>89</v>
      </c>
      <c r="FY39" s="1701"/>
      <c r="FZ39" s="1701"/>
      <c r="GA39" s="1701"/>
      <c r="GB39" s="1701"/>
      <c r="GC39" s="1701"/>
      <c r="GD39" s="1701"/>
      <c r="GE39" s="1701" t="s">
        <v>89</v>
      </c>
      <c r="GF39" s="1701" t="s">
        <v>89</v>
      </c>
      <c r="GG39" s="1701"/>
      <c r="GH39" s="1701"/>
      <c r="GI39" s="1701"/>
      <c r="GJ39" s="1701"/>
      <c r="GK39" s="1701"/>
      <c r="GL39" s="1701"/>
      <c r="GM39" s="1701"/>
      <c r="GN39" s="1701"/>
      <c r="GO39" s="1701"/>
      <c r="GP39" s="1701"/>
      <c r="GQ39" s="1701"/>
      <c r="GR39" s="1701"/>
      <c r="GS39" s="1701" t="s">
        <v>89</v>
      </c>
      <c r="GT39" s="1701"/>
      <c r="GU39" s="1701"/>
      <c r="GV39" s="1701"/>
      <c r="GW39" s="1701"/>
      <c r="GX39" s="1701"/>
      <c r="GY39" s="1714"/>
      <c r="GZ39" s="1714"/>
      <c r="HA39" s="1704"/>
      <c r="HB39" s="1714"/>
      <c r="HC39" s="1703"/>
      <c r="HD39" s="1714"/>
      <c r="HE39" s="1703"/>
      <c r="HF39" s="1714"/>
      <c r="HG39" s="1703"/>
      <c r="HH39" s="1714"/>
      <c r="HI39" s="1714"/>
      <c r="HJ39" s="1703"/>
      <c r="HK39" s="1714"/>
      <c r="HL39" s="1701"/>
      <c r="HM39" s="1703"/>
      <c r="HN39" s="1714"/>
      <c r="HO39" s="1714"/>
      <c r="HP39" s="1703"/>
      <c r="HQ39" s="1703"/>
      <c r="HR39" s="1714"/>
      <c r="HS39" s="1714"/>
      <c r="HT39" s="1714"/>
      <c r="HU39" s="1714"/>
      <c r="HV39" s="1714"/>
      <c r="HW39" s="1714"/>
      <c r="HX39" s="1714"/>
      <c r="HY39" s="1688"/>
      <c r="HZ39" s="1688"/>
      <c r="IA39" s="1688"/>
      <c r="IB39" s="1688"/>
      <c r="IC39" s="1688"/>
      <c r="ID39" s="1688"/>
      <c r="IE39" s="1688"/>
      <c r="IF39" s="1688"/>
      <c r="IG39" s="1688"/>
      <c r="IH39" s="1688"/>
      <c r="II39" s="1688"/>
      <c r="IJ39" s="1688"/>
      <c r="IK39" s="1688"/>
      <c r="IL39" s="1688"/>
      <c r="IM39" s="1688"/>
      <c r="IN39" s="1688"/>
      <c r="IO39" s="1688"/>
      <c r="IP39" s="1688"/>
      <c r="IQ39" s="1688"/>
      <c r="IR39" s="1688"/>
      <c r="IS39" s="1688"/>
      <c r="IT39" s="1688"/>
      <c r="IU39" s="1688"/>
      <c r="IV39" s="1688"/>
    </row>
    <row r="40" spans="8:8" s="1748" ht="20.0" customFormat="1" customHeight="1">
      <c r="A40" s="1749" t="s">
        <v>154</v>
      </c>
      <c r="B40" s="1750"/>
      <c r="C40" s="1701" t="str">
        <f>IF(ISTEXT(_xlfn.IFERROR(VLOOKUP(A40,职业列表!I3:J10,1,FALSE),0)),"★","")</f>
        <v/>
      </c>
      <c r="D40" s="1751"/>
      <c r="E40" s="1750"/>
      <c r="F40" s="1750"/>
      <c r="G40" s="1750"/>
      <c r="H40" s="1750"/>
      <c r="I40" s="1750"/>
      <c r="J40" s="1750"/>
      <c r="K40" s="1750"/>
      <c r="L40" s="1750"/>
      <c r="M40" s="1750"/>
      <c r="N40" s="1751" t="s">
        <v>89</v>
      </c>
      <c r="O40" s="1750"/>
      <c r="P40" s="1750"/>
      <c r="Q40" s="1750"/>
      <c r="R40" s="1751" t="s">
        <v>89</v>
      </c>
      <c r="S40" s="1750"/>
      <c r="T40" s="1750"/>
      <c r="U40" s="1751" t="s">
        <v>89</v>
      </c>
      <c r="V40" s="1750"/>
      <c r="W40" s="1750"/>
      <c r="X40" s="1750"/>
      <c r="Y40" s="1750"/>
      <c r="Z40" s="1750"/>
      <c r="AA40" s="1750"/>
      <c r="AB40" s="1750"/>
      <c r="AC40" s="1750"/>
      <c r="AD40" s="1750"/>
      <c r="AE40" s="1750"/>
      <c r="AF40" s="1750"/>
      <c r="AG40" s="1750"/>
      <c r="AH40" s="1750"/>
      <c r="AI40" s="1750"/>
      <c r="AJ40" s="1750"/>
      <c r="AK40" s="1750"/>
      <c r="AL40" s="1750"/>
      <c r="AM40" s="1750"/>
      <c r="AN40" s="1750"/>
      <c r="AO40" s="1750"/>
      <c r="AP40" s="1750"/>
      <c r="AQ40" s="1750"/>
      <c r="AR40" s="1750"/>
      <c r="AS40" s="1750"/>
      <c r="AT40" s="1750"/>
      <c r="AU40" s="1750"/>
      <c r="AV40" s="1750"/>
      <c r="AW40" s="1750"/>
      <c r="AX40" s="1750"/>
      <c r="AY40" s="1751" t="s">
        <v>89</v>
      </c>
      <c r="AZ40" s="1751" t="s">
        <v>89</v>
      </c>
      <c r="BA40" s="1750"/>
      <c r="BB40" s="1750"/>
      <c r="BC40" s="1750"/>
      <c r="BD40" s="1750"/>
      <c r="BE40" s="1750"/>
      <c r="BF40" s="1750"/>
      <c r="BG40" s="1751" t="s">
        <v>89</v>
      </c>
      <c r="BH40" s="1750"/>
      <c r="BI40" s="1750"/>
      <c r="BJ40" s="1750"/>
      <c r="BK40" s="1750"/>
      <c r="BL40" s="1750"/>
      <c r="BM40" s="1750"/>
      <c r="BN40" s="1750"/>
      <c r="BO40" s="1751" t="s">
        <v>89</v>
      </c>
      <c r="BP40" s="1752"/>
      <c r="BQ40" s="1751" t="s">
        <v>89</v>
      </c>
      <c r="BR40" s="1750"/>
      <c r="BS40" s="1750"/>
      <c r="BT40" s="1750"/>
      <c r="BU40" s="1750"/>
      <c r="BV40" s="1750"/>
      <c r="BW40" s="1751" t="s">
        <v>89</v>
      </c>
      <c r="BX40" s="1750"/>
      <c r="BY40" s="1750"/>
      <c r="BZ40" s="1750"/>
      <c r="CA40" s="1750"/>
      <c r="CB40" s="1750"/>
      <c r="CC40" s="1750"/>
      <c r="CD40" s="1750"/>
      <c r="CE40" s="1750"/>
      <c r="CF40" s="1750"/>
      <c r="CG40" s="1750"/>
      <c r="CH40" s="1750"/>
      <c r="CI40" s="1750"/>
      <c r="CJ40" s="1750"/>
      <c r="CK40" s="1750"/>
      <c r="CL40" s="1750"/>
      <c r="CM40" s="1750"/>
      <c r="CN40" s="1750"/>
      <c r="CO40" s="1750"/>
      <c r="CP40" s="1751" t="s">
        <v>89</v>
      </c>
      <c r="CQ40" s="1750"/>
      <c r="CR40" s="1750"/>
      <c r="CS40" s="1750"/>
      <c r="CT40" s="1750"/>
      <c r="CU40" s="1750"/>
      <c r="CV40" s="1750"/>
      <c r="CW40" s="1750"/>
      <c r="CX40" s="1750"/>
      <c r="CY40" s="1751" t="s">
        <v>89</v>
      </c>
      <c r="CZ40" s="1751" t="s">
        <v>89</v>
      </c>
      <c r="DA40" s="1750"/>
      <c r="DB40" s="1750"/>
      <c r="DC40" s="1750"/>
      <c r="DD40" s="1750" t="s">
        <v>1326</v>
      </c>
      <c r="DE40" s="1750"/>
      <c r="DF40" s="1750"/>
      <c r="DG40" s="1750"/>
      <c r="DH40" s="1750"/>
      <c r="DI40" s="1750"/>
      <c r="DJ40" s="1751" t="s">
        <v>89</v>
      </c>
      <c r="DK40" s="1750"/>
      <c r="DL40" s="1750"/>
      <c r="DM40" s="1750"/>
      <c r="DN40" s="1750" t="s">
        <v>89</v>
      </c>
      <c r="DO40" s="1750"/>
      <c r="DP40" s="1750"/>
      <c r="DQ40" s="1750"/>
      <c r="DR40" s="1750"/>
      <c r="DS40" s="1750"/>
      <c r="DT40" s="1750"/>
      <c r="DU40" s="1750" t="s">
        <v>89</v>
      </c>
      <c r="DV40" s="1750"/>
      <c r="DW40" s="1750" t="s">
        <v>89</v>
      </c>
      <c r="DX40" s="1750" t="s">
        <v>89</v>
      </c>
      <c r="DY40" s="1750"/>
      <c r="DZ40" s="1750" t="s">
        <v>89</v>
      </c>
      <c r="EA40" s="1750"/>
      <c r="EB40" s="1750"/>
      <c r="EC40" s="1750"/>
      <c r="ED40" s="1750"/>
      <c r="EE40" s="1750"/>
      <c r="EF40" s="1750"/>
      <c r="EG40" s="1750"/>
      <c r="EH40" s="1750"/>
      <c r="EI40" s="1750"/>
      <c r="EJ40" s="1750"/>
      <c r="EK40" s="1750"/>
      <c r="EL40" s="1750"/>
      <c r="EM40" s="1750"/>
      <c r="EN40" s="1750"/>
      <c r="EO40" s="1750"/>
      <c r="EP40" s="1750"/>
      <c r="EQ40" s="1750" t="s">
        <v>89</v>
      </c>
      <c r="ER40" s="1750"/>
      <c r="ES40" s="1750"/>
      <c r="ET40" s="1750"/>
      <c r="EU40" s="1750" t="s">
        <v>89</v>
      </c>
      <c r="EV40" s="1750" t="s">
        <v>89</v>
      </c>
      <c r="EW40" s="1750"/>
      <c r="EX40" s="1750" t="s">
        <v>89</v>
      </c>
      <c r="EY40" s="1750"/>
      <c r="EZ40" s="1750"/>
      <c r="FA40" s="1750"/>
      <c r="FB40" s="1750"/>
      <c r="FC40" s="1750"/>
      <c r="FD40" s="1750"/>
      <c r="FE40" s="1750"/>
      <c r="FF40" s="1750"/>
      <c r="FG40" s="1750"/>
      <c r="FH40" s="1750"/>
      <c r="FI40" s="1750" t="s">
        <v>89</v>
      </c>
      <c r="FJ40" s="1750"/>
      <c r="FK40" s="1750"/>
      <c r="FL40" s="1750"/>
      <c r="FM40" s="1750" t="s">
        <v>89</v>
      </c>
      <c r="FN40" s="1750"/>
      <c r="FO40" s="1750"/>
      <c r="FP40" s="1750"/>
      <c r="FQ40" s="1750"/>
      <c r="FR40" s="1750"/>
      <c r="FS40" s="1750"/>
      <c r="FT40" s="1750"/>
      <c r="FU40" s="1750"/>
      <c r="FV40" s="1750"/>
      <c r="FW40" s="1750"/>
      <c r="FX40" s="1750"/>
      <c r="FY40" s="1750"/>
      <c r="FZ40" s="1750"/>
      <c r="GA40" s="1750"/>
      <c r="GB40" s="1750"/>
      <c r="GC40" s="1750"/>
      <c r="GD40" s="1750"/>
      <c r="GE40" s="1750"/>
      <c r="GF40" s="1750" t="s">
        <v>89</v>
      </c>
      <c r="GG40" s="1750"/>
      <c r="GH40" s="1750"/>
      <c r="GI40" s="1750"/>
      <c r="GJ40" s="1750"/>
      <c r="GK40" s="1750" t="s">
        <v>89</v>
      </c>
      <c r="GL40" s="1750" t="s">
        <v>89</v>
      </c>
      <c r="GM40" s="1750" t="s">
        <v>89</v>
      </c>
      <c r="GN40" s="1750"/>
      <c r="GO40" s="1750"/>
      <c r="GP40" s="1750"/>
      <c r="GQ40" s="1750"/>
      <c r="GR40" s="1750"/>
      <c r="GS40" s="1750"/>
      <c r="GT40" s="1750"/>
      <c r="GU40" s="1750"/>
      <c r="GV40" s="1750" t="s">
        <v>89</v>
      </c>
      <c r="GW40" s="1750"/>
      <c r="GX40" s="1750"/>
      <c r="GY40" s="1750"/>
      <c r="GZ40" s="1750"/>
      <c r="HA40" s="1750"/>
      <c r="HB40" s="1750"/>
      <c r="HC40" s="1750" t="s">
        <v>89</v>
      </c>
      <c r="HD40" s="1750"/>
      <c r="HE40" s="1750"/>
      <c r="HF40" s="1751"/>
      <c r="HG40" s="1750"/>
      <c r="HH40" s="1750"/>
      <c r="HI40" s="1750"/>
      <c r="HJ40" s="1751" t="s">
        <v>89</v>
      </c>
      <c r="HK40" s="1750"/>
      <c r="HL40" s="1750"/>
      <c r="HM40" s="1751"/>
      <c r="HN40" s="1750" t="s">
        <v>89</v>
      </c>
      <c r="HO40" s="1750"/>
      <c r="HP40" s="1750"/>
      <c r="HQ40" s="1750"/>
      <c r="HR40" s="1750"/>
      <c r="HS40" s="1750"/>
      <c r="HT40" s="1750"/>
      <c r="HU40" s="1750"/>
      <c r="HV40" s="1750"/>
      <c r="HW40" s="1750"/>
      <c r="HX40" s="1750"/>
      <c r="HY40" s="1755"/>
      <c r="HZ40" s="1755"/>
      <c r="IA40" s="1755"/>
      <c r="IB40" s="1755"/>
      <c r="IC40" s="1755"/>
      <c r="ID40" s="1755"/>
      <c r="IE40" s="1755"/>
      <c r="IF40" s="1755"/>
      <c r="IG40" s="1755"/>
      <c r="IH40" s="1755"/>
      <c r="II40" s="1755"/>
      <c r="IJ40" s="1755"/>
      <c r="IK40" s="1755"/>
      <c r="IL40" s="1755"/>
      <c r="IM40" s="1755"/>
      <c r="IN40" s="1755"/>
      <c r="IO40" s="1755"/>
      <c r="IP40" s="1755"/>
      <c r="IQ40" s="1755"/>
      <c r="IR40" s="1755"/>
      <c r="IS40" s="1755"/>
      <c r="IT40" s="1755"/>
      <c r="IU40" s="1755"/>
      <c r="IV40" s="1755"/>
    </row>
    <row r="41" spans="8:8" ht="20.0" customHeight="1">
      <c r="A41" s="1700" t="s">
        <v>58</v>
      </c>
      <c r="B41" s="1701"/>
      <c r="C41" s="1701" t="str">
        <f>IF(ISTEXT(_xlfn.IFERROR(VLOOKUP(A41,职业列表!I3:J10,1,FALSE),0)),"★","")</f>
        <v/>
      </c>
      <c r="D41" s="1703" t="s">
        <v>89</v>
      </c>
      <c r="E41" s="1701"/>
      <c r="F41" s="1701"/>
      <c r="G41" s="1701"/>
      <c r="H41" s="1703" t="s">
        <v>89</v>
      </c>
      <c r="I41" s="1703" t="s">
        <v>89</v>
      </c>
      <c r="J41" s="1701"/>
      <c r="K41" s="1701"/>
      <c r="L41" s="1701"/>
      <c r="M41" s="1701"/>
      <c r="N41" s="1703" t="s">
        <v>89</v>
      </c>
      <c r="O41" s="1701"/>
      <c r="P41" s="1701"/>
      <c r="Q41" s="1701"/>
      <c r="R41" s="1701"/>
      <c r="S41" s="1701"/>
      <c r="T41" s="1701"/>
      <c r="U41" s="1701"/>
      <c r="V41" s="1703" t="s">
        <v>89</v>
      </c>
      <c r="W41" s="1701"/>
      <c r="X41" s="1701"/>
      <c r="Y41" s="1701"/>
      <c r="Z41" s="1701"/>
      <c r="AA41" s="1701"/>
      <c r="AB41" s="1701"/>
      <c r="AC41" s="1701"/>
      <c r="AD41" s="1701"/>
      <c r="AE41" s="1701"/>
      <c r="AF41" s="1701"/>
      <c r="AG41" s="1701"/>
      <c r="AH41" s="1701" t="s">
        <v>1326</v>
      </c>
      <c r="AI41" s="1701"/>
      <c r="AJ41" s="1701"/>
      <c r="AK41" s="1701"/>
      <c r="AL41" s="1701"/>
      <c r="AM41" s="1701"/>
      <c r="AN41" s="1701"/>
      <c r="AO41" s="1701"/>
      <c r="AP41" s="1701"/>
      <c r="AQ41" s="1701"/>
      <c r="AR41" s="1701"/>
      <c r="AS41" s="1701"/>
      <c r="AT41" s="1701"/>
      <c r="AU41" s="1701"/>
      <c r="AV41" s="1701"/>
      <c r="AW41" s="1701"/>
      <c r="AX41" s="1701"/>
      <c r="AY41" s="1701"/>
      <c r="AZ41" s="1701"/>
      <c r="BA41" s="1701"/>
      <c r="BB41" s="1701"/>
      <c r="BC41" s="1701"/>
      <c r="BD41" s="1701"/>
      <c r="BE41" s="1703" t="s">
        <v>89</v>
      </c>
      <c r="BF41" s="1701"/>
      <c r="BG41" s="1701"/>
      <c r="BH41" s="1701"/>
      <c r="BI41" s="1701"/>
      <c r="BJ41" s="1703" t="s">
        <v>89</v>
      </c>
      <c r="BK41" s="1701"/>
      <c r="BL41" s="1701"/>
      <c r="BM41" s="1701"/>
      <c r="BN41" s="1701"/>
      <c r="BO41" s="1701"/>
      <c r="BP41" s="1701"/>
      <c r="BQ41" s="1703" t="s">
        <v>89</v>
      </c>
      <c r="BR41" s="1701"/>
      <c r="BS41" s="1701"/>
      <c r="BT41" s="1701"/>
      <c r="BU41" s="1701"/>
      <c r="BV41" s="1703" t="s">
        <v>89</v>
      </c>
      <c r="BW41" s="1701"/>
      <c r="BX41" s="1701"/>
      <c r="BY41" s="1701"/>
      <c r="BZ41" s="1701"/>
      <c r="CA41" s="1701"/>
      <c r="CB41" s="1701"/>
      <c r="CC41" s="1701"/>
      <c r="CD41" s="1701"/>
      <c r="CE41" s="1701"/>
      <c r="CF41" s="1701"/>
      <c r="CG41" s="1701"/>
      <c r="CH41" s="1701"/>
      <c r="CI41" s="1701"/>
      <c r="CJ41" s="1701"/>
      <c r="CK41" s="1701"/>
      <c r="CL41" s="1701"/>
      <c r="CM41" s="1703" t="s">
        <v>89</v>
      </c>
      <c r="CN41" s="1703" t="s">
        <v>89</v>
      </c>
      <c r="CO41" s="1703" t="s">
        <v>89</v>
      </c>
      <c r="CP41" s="1701"/>
      <c r="CQ41" s="1701"/>
      <c r="CR41" s="1701"/>
      <c r="CS41" s="1701"/>
      <c r="CT41" s="1701"/>
      <c r="CU41" s="1701"/>
      <c r="CV41" s="1701"/>
      <c r="CW41" s="1701"/>
      <c r="CX41" s="1701"/>
      <c r="CY41" s="1701"/>
      <c r="CZ41" s="1701"/>
      <c r="DA41" s="1701"/>
      <c r="DB41" s="1701"/>
      <c r="DC41" s="1701"/>
      <c r="DD41" s="1701"/>
      <c r="DE41" s="1701"/>
      <c r="DF41" s="1701"/>
      <c r="DG41" s="1701"/>
      <c r="DH41" s="1703" t="s">
        <v>89</v>
      </c>
      <c r="DI41" s="1701"/>
      <c r="DJ41" s="1703" t="s">
        <v>89</v>
      </c>
      <c r="DK41" s="1703" t="s">
        <v>89</v>
      </c>
      <c r="DL41" s="1701"/>
      <c r="DM41" s="1701"/>
      <c r="DN41" s="1701"/>
      <c r="DO41" s="1701"/>
      <c r="DP41" s="1701"/>
      <c r="DQ41" s="1701"/>
      <c r="DR41" s="1701"/>
      <c r="DS41" s="1701"/>
      <c r="DT41" s="1701" t="s">
        <v>89</v>
      </c>
      <c r="DU41" s="1701"/>
      <c r="DV41" s="1701"/>
      <c r="DW41" s="1701"/>
      <c r="DX41" s="1701"/>
      <c r="DY41" s="1701"/>
      <c r="DZ41" s="1701"/>
      <c r="EA41" s="1701"/>
      <c r="EB41" s="1701"/>
      <c r="EC41" s="1701"/>
      <c r="ED41" s="1701" t="s">
        <v>89</v>
      </c>
      <c r="EE41" s="1701" t="s">
        <v>89</v>
      </c>
      <c r="EF41" s="1701"/>
      <c r="EG41" s="1701"/>
      <c r="EH41" s="1701"/>
      <c r="EI41" s="1701"/>
      <c r="EJ41" s="1701"/>
      <c r="EK41" s="1701"/>
      <c r="EL41" s="1701" t="s">
        <v>89</v>
      </c>
      <c r="EM41" s="1701"/>
      <c r="EN41" s="1701"/>
      <c r="EO41" s="1701"/>
      <c r="EP41" s="1701"/>
      <c r="EQ41" s="1701"/>
      <c r="ER41" s="1701"/>
      <c r="ES41" s="1701"/>
      <c r="ET41" s="1701"/>
      <c r="EU41" s="1701"/>
      <c r="EV41" s="1701"/>
      <c r="EW41" s="1701"/>
      <c r="EX41" s="1701"/>
      <c r="EY41" s="1701" t="s">
        <v>89</v>
      </c>
      <c r="EZ41" s="1701"/>
      <c r="FA41" s="1701"/>
      <c r="FB41" s="1701"/>
      <c r="FC41" s="1701" t="s">
        <v>89</v>
      </c>
      <c r="FD41" s="1701"/>
      <c r="FE41" s="1701"/>
      <c r="FF41" s="1701"/>
      <c r="FG41" s="1701"/>
      <c r="FH41" s="1701"/>
      <c r="FI41" s="1701"/>
      <c r="FJ41" s="1701"/>
      <c r="FK41" s="1701"/>
      <c r="FL41" s="1701"/>
      <c r="FM41" s="1701"/>
      <c r="FN41" s="1701"/>
      <c r="FO41" s="1701"/>
      <c r="FP41" s="1701"/>
      <c r="FQ41" s="1701" t="s">
        <v>89</v>
      </c>
      <c r="FR41" s="1701"/>
      <c r="FS41" s="1701"/>
      <c r="FT41" s="1701"/>
      <c r="FU41" s="1701"/>
      <c r="FV41" s="1701" t="s">
        <v>89</v>
      </c>
      <c r="FW41" s="1701" t="s">
        <v>89</v>
      </c>
      <c r="FX41" s="1701"/>
      <c r="FY41" s="1701"/>
      <c r="FZ41" s="1701"/>
      <c r="GA41" s="1701"/>
      <c r="GB41" s="1701"/>
      <c r="GC41" s="1701"/>
      <c r="GD41" s="1701"/>
      <c r="GE41" s="1701"/>
      <c r="GF41" s="1701"/>
      <c r="GG41" s="1701"/>
      <c r="GH41" s="1701"/>
      <c r="GI41" s="1701"/>
      <c r="GJ41" s="1701"/>
      <c r="GK41" s="1701"/>
      <c r="GL41" s="1701"/>
      <c r="GM41" s="1701"/>
      <c r="GN41" s="1701"/>
      <c r="GO41" s="1701" t="s">
        <v>89</v>
      </c>
      <c r="GP41" s="1701"/>
      <c r="GQ41" s="1701"/>
      <c r="GR41" s="1701"/>
      <c r="GS41" s="1701"/>
      <c r="GT41" s="1701"/>
      <c r="GU41" s="1701"/>
      <c r="GV41" s="1701"/>
      <c r="GW41" s="1701" t="s">
        <v>89</v>
      </c>
      <c r="GX41" s="1701"/>
      <c r="GY41" s="1701"/>
      <c r="GZ41" s="1703"/>
      <c r="HA41" s="1704" t="s">
        <v>89</v>
      </c>
      <c r="HB41" s="1701"/>
      <c r="HC41" s="1701"/>
      <c r="HD41" s="1701"/>
      <c r="HE41" s="1701"/>
      <c r="HF41" s="1703" t="s">
        <v>89</v>
      </c>
      <c r="HG41" s="1701"/>
      <c r="HH41" s="1701"/>
      <c r="HI41" s="1701"/>
      <c r="HJ41" s="1701"/>
      <c r="HK41" s="1701"/>
      <c r="HL41" s="1701"/>
      <c r="HM41" s="1702" t="s">
        <v>89</v>
      </c>
      <c r="HN41" s="1703"/>
      <c r="HO41" s="1701"/>
      <c r="HP41" s="1701" t="s">
        <v>89</v>
      </c>
      <c r="HQ41" s="1701"/>
      <c r="HR41" s="1701" t="s">
        <v>89</v>
      </c>
      <c r="HS41" s="1701"/>
      <c r="HT41" s="1701"/>
      <c r="HU41" s="1701"/>
      <c r="HV41" s="1701"/>
      <c r="HW41" s="1701"/>
      <c r="HX41" s="1701"/>
      <c r="HY41" s="1688"/>
      <c r="HZ41" s="1688"/>
      <c r="IA41" s="1688"/>
      <c r="IB41" s="1688"/>
      <c r="IC41" s="1688"/>
      <c r="ID41" s="1688"/>
      <c r="IE41" s="1688"/>
      <c r="IF41" s="1688"/>
      <c r="IG41" s="1688"/>
      <c r="IH41" s="1688"/>
      <c r="II41" s="1688"/>
      <c r="IJ41" s="1688"/>
      <c r="IK41" s="1688"/>
      <c r="IL41" s="1688"/>
      <c r="IM41" s="1688"/>
      <c r="IN41" s="1688"/>
      <c r="IO41" s="1688"/>
      <c r="IP41" s="1688"/>
      <c r="IQ41" s="1688"/>
      <c r="IR41" s="1688"/>
      <c r="IS41" s="1688"/>
      <c r="IT41" s="1688"/>
      <c r="IU41" s="1688"/>
      <c r="IV41" s="1688"/>
    </row>
    <row r="42" spans="8:8" s="1756" ht="20.0" customFormat="1" customHeight="1">
      <c r="A42" s="1757" t="s">
        <v>60</v>
      </c>
      <c r="B42" s="1758"/>
      <c r="C42" s="1701" t="str">
        <f>IF(ISTEXT(_xlfn.IFERROR(VLOOKUP(A42,职业列表!I3:J10,1,FALSE),0)),"★","")</f>
        <v/>
      </c>
      <c r="D42" s="1759" t="s">
        <v>89</v>
      </c>
      <c r="E42" s="1758"/>
      <c r="F42" s="1758"/>
      <c r="G42" s="1758"/>
      <c r="H42" s="1759" t="s">
        <v>89</v>
      </c>
      <c r="I42" s="1758"/>
      <c r="J42" s="1758"/>
      <c r="K42" s="1759" t="s">
        <v>89</v>
      </c>
      <c r="L42" s="1759" t="s">
        <v>89</v>
      </c>
      <c r="M42" s="1759" t="s">
        <v>89</v>
      </c>
      <c r="N42" s="1758" t="s">
        <v>1326</v>
      </c>
      <c r="O42" s="1758"/>
      <c r="P42" s="1758"/>
      <c r="Q42" s="1758"/>
      <c r="R42" s="1759" t="s">
        <v>89</v>
      </c>
      <c r="S42" s="1758"/>
      <c r="T42" s="1758"/>
      <c r="U42" s="1759" t="s">
        <v>89</v>
      </c>
      <c r="V42" s="1758"/>
      <c r="W42" s="1758"/>
      <c r="X42" s="1758"/>
      <c r="Y42" s="1759" t="s">
        <v>89</v>
      </c>
      <c r="Z42" s="1759" t="s">
        <v>89</v>
      </c>
      <c r="AA42" s="1759" t="s">
        <v>89</v>
      </c>
      <c r="AB42" s="1758"/>
      <c r="AC42" s="1758"/>
      <c r="AD42" s="1758"/>
      <c r="AE42" s="1758"/>
      <c r="AF42" s="1758"/>
      <c r="AG42" s="1758"/>
      <c r="AH42" s="1758"/>
      <c r="AI42" s="1758"/>
      <c r="AJ42" s="1758"/>
      <c r="AK42" s="1759" t="s">
        <v>89</v>
      </c>
      <c r="AL42" s="1759" t="s">
        <v>89</v>
      </c>
      <c r="AM42" s="1758"/>
      <c r="AN42" s="1758"/>
      <c r="AO42" s="1758"/>
      <c r="AP42" s="1758"/>
      <c r="AQ42" s="1758" t="s">
        <v>1326</v>
      </c>
      <c r="AR42" s="1758"/>
      <c r="AS42" s="1758"/>
      <c r="AT42" s="1758"/>
      <c r="AU42" s="1758"/>
      <c r="AV42" s="1758"/>
      <c r="AW42" s="1758"/>
      <c r="AX42" s="1758"/>
      <c r="AY42" s="1758"/>
      <c r="AZ42" s="1758"/>
      <c r="BA42" s="1759" t="s">
        <v>89</v>
      </c>
      <c r="BB42" s="1758"/>
      <c r="BC42" s="1758"/>
      <c r="BD42" s="1758"/>
      <c r="BE42" s="1758"/>
      <c r="BF42" s="1758"/>
      <c r="BG42" s="1758"/>
      <c r="BH42" s="1759" t="s">
        <v>89</v>
      </c>
      <c r="BI42" s="1758"/>
      <c r="BJ42" s="1758"/>
      <c r="BK42" s="1758"/>
      <c r="BL42" s="1758"/>
      <c r="BM42" s="1758"/>
      <c r="BN42" s="1758"/>
      <c r="BO42" s="1759" t="s">
        <v>89</v>
      </c>
      <c r="BP42" s="1758"/>
      <c r="BQ42" s="1759" t="s">
        <v>89</v>
      </c>
      <c r="BR42" s="1758" t="s">
        <v>1326</v>
      </c>
      <c r="BS42" s="1758"/>
      <c r="BT42" s="1758"/>
      <c r="BU42" s="1758"/>
      <c r="BV42" s="1759" t="s">
        <v>89</v>
      </c>
      <c r="BW42" s="1759" t="s">
        <v>89</v>
      </c>
      <c r="BX42" s="1758"/>
      <c r="BY42" s="1758"/>
      <c r="BZ42" s="1758"/>
      <c r="CA42" s="1758"/>
      <c r="CB42" s="1759" t="s">
        <v>89</v>
      </c>
      <c r="CC42" s="1758"/>
      <c r="CD42" s="1758"/>
      <c r="CE42" s="1759" t="s">
        <v>89</v>
      </c>
      <c r="CF42" s="1758"/>
      <c r="CG42" s="1759" t="s">
        <v>89</v>
      </c>
      <c r="CH42" s="1759" t="s">
        <v>89</v>
      </c>
      <c r="CI42" s="1758"/>
      <c r="CJ42" s="1758"/>
      <c r="CK42" s="1758"/>
      <c r="CL42" s="1758"/>
      <c r="CM42" s="1758"/>
      <c r="CN42" s="1758"/>
      <c r="CO42" s="1759" t="s">
        <v>89</v>
      </c>
      <c r="CP42" s="1759" t="s">
        <v>89</v>
      </c>
      <c r="CQ42" s="1758"/>
      <c r="CR42" s="1758"/>
      <c r="CS42" s="1758"/>
      <c r="CT42" s="1759" t="s">
        <v>89</v>
      </c>
      <c r="CU42" s="1759" t="s">
        <v>89</v>
      </c>
      <c r="CV42" s="1758"/>
      <c r="CW42" s="1758"/>
      <c r="CX42" s="1758"/>
      <c r="CY42" s="1758" t="s">
        <v>1326</v>
      </c>
      <c r="CZ42" s="1758" t="s">
        <v>1327</v>
      </c>
      <c r="DA42" s="1758"/>
      <c r="DB42" s="1758"/>
      <c r="DC42" s="1758"/>
      <c r="DD42" s="1759" t="s">
        <v>89</v>
      </c>
      <c r="DE42" s="1758"/>
      <c r="DF42" s="1758"/>
      <c r="DG42" s="1758"/>
      <c r="DH42" s="1758"/>
      <c r="DI42" s="1758"/>
      <c r="DJ42" s="1758" t="s">
        <v>1326</v>
      </c>
      <c r="DK42" s="1758"/>
      <c r="DL42" s="1758"/>
      <c r="DM42" s="1758"/>
      <c r="DN42" s="1758"/>
      <c r="DO42" s="1758"/>
      <c r="DP42" s="1758"/>
      <c r="DQ42" s="1758"/>
      <c r="DR42" s="1758"/>
      <c r="DS42" s="1758"/>
      <c r="DT42" s="1758" t="s">
        <v>89</v>
      </c>
      <c r="DU42" s="1758" t="s">
        <v>89</v>
      </c>
      <c r="DV42" s="1758" t="s">
        <v>89</v>
      </c>
      <c r="DW42" s="1758" t="s">
        <v>89</v>
      </c>
      <c r="DX42" s="1758" t="s">
        <v>89</v>
      </c>
      <c r="DY42" s="1758"/>
      <c r="DZ42" s="1758" t="s">
        <v>89</v>
      </c>
      <c r="EA42" s="1758"/>
      <c r="EB42" s="1758"/>
      <c r="EC42" s="1758"/>
      <c r="ED42" s="1758" t="s">
        <v>89</v>
      </c>
      <c r="EE42" s="1758" t="s">
        <v>89</v>
      </c>
      <c r="EF42" s="1758"/>
      <c r="EG42" s="1758"/>
      <c r="EH42" s="1758"/>
      <c r="EI42" s="1758"/>
      <c r="EJ42" s="1758" t="s">
        <v>89</v>
      </c>
      <c r="EK42" s="1758"/>
      <c r="EL42" s="1758"/>
      <c r="EM42" s="1758"/>
      <c r="EN42" s="1758"/>
      <c r="EO42" s="1758"/>
      <c r="EP42" s="1758"/>
      <c r="EQ42" s="1758"/>
      <c r="ER42" s="1758"/>
      <c r="ES42" s="1758"/>
      <c r="ET42" s="1758"/>
      <c r="EU42" s="1758"/>
      <c r="EV42" s="1758"/>
      <c r="EW42" s="1758" t="s">
        <v>89</v>
      </c>
      <c r="EX42" s="1758"/>
      <c r="EY42" s="1758"/>
      <c r="EZ42" s="1758" t="s">
        <v>89</v>
      </c>
      <c r="FA42" s="1758"/>
      <c r="FB42" s="1758"/>
      <c r="FC42" s="1758"/>
      <c r="FD42" s="1758"/>
      <c r="FE42" s="1758" t="s">
        <v>1326</v>
      </c>
      <c r="FF42" s="1758" t="s">
        <v>89</v>
      </c>
      <c r="FG42" s="1758" t="s">
        <v>89</v>
      </c>
      <c r="FH42" s="1758"/>
      <c r="FI42" s="1758" t="s">
        <v>89</v>
      </c>
      <c r="FJ42" s="1758"/>
      <c r="FK42" s="1758" t="s">
        <v>1326</v>
      </c>
      <c r="FL42" s="1758" t="s">
        <v>89</v>
      </c>
      <c r="FM42" s="1758"/>
      <c r="FN42" s="1758"/>
      <c r="FO42" s="1758"/>
      <c r="FP42" s="1758"/>
      <c r="FQ42" s="1758"/>
      <c r="FR42" s="1758" t="s">
        <v>89</v>
      </c>
      <c r="FS42" s="1758" t="s">
        <v>89</v>
      </c>
      <c r="FT42" s="1758"/>
      <c r="FU42" s="1758"/>
      <c r="FV42" s="1758"/>
      <c r="FW42" s="1758"/>
      <c r="FX42" s="1758"/>
      <c r="FY42" s="1758"/>
      <c r="FZ42" s="1758" t="s">
        <v>1326</v>
      </c>
      <c r="GA42" s="1758"/>
      <c r="GB42" s="1758"/>
      <c r="GC42" s="1758"/>
      <c r="GD42" s="1758"/>
      <c r="GE42" s="1758"/>
      <c r="GF42" s="1758" t="s">
        <v>1326</v>
      </c>
      <c r="GG42" s="1758"/>
      <c r="GH42" s="1758"/>
      <c r="GI42" s="1758"/>
      <c r="GJ42" s="1758"/>
      <c r="GK42" s="1758"/>
      <c r="GL42" s="1758"/>
      <c r="GM42" s="1758"/>
      <c r="GN42" s="1758"/>
      <c r="GO42" s="1758"/>
      <c r="GP42" s="1758"/>
      <c r="GQ42" s="1758" t="s">
        <v>89</v>
      </c>
      <c r="GR42" s="1758"/>
      <c r="GS42" s="1758"/>
      <c r="GT42" s="1758" t="s">
        <v>89</v>
      </c>
      <c r="GU42" s="1758"/>
      <c r="GV42" s="1758" t="s">
        <v>89</v>
      </c>
      <c r="GW42" s="1758"/>
      <c r="GX42" s="1758"/>
      <c r="GY42" s="1758"/>
      <c r="GZ42" s="1759" t="s">
        <v>89</v>
      </c>
      <c r="HA42" s="1758"/>
      <c r="HB42" s="1760" t="s">
        <v>89</v>
      </c>
      <c r="HC42" s="1759" t="s">
        <v>89</v>
      </c>
      <c r="HD42" s="1759"/>
      <c r="HE42" s="1759" t="s">
        <v>89</v>
      </c>
      <c r="HF42" s="1758" t="s">
        <v>89</v>
      </c>
      <c r="HG42" s="1758"/>
      <c r="HH42" s="1758"/>
      <c r="HI42" s="1758"/>
      <c r="HJ42" s="1759"/>
      <c r="HK42" s="1758"/>
      <c r="HL42" s="1758"/>
      <c r="HM42" s="1759" t="s">
        <v>89</v>
      </c>
      <c r="HN42" s="1758" t="s">
        <v>89</v>
      </c>
      <c r="HO42" s="1758"/>
      <c r="HP42" s="1758" t="s">
        <v>89</v>
      </c>
      <c r="HQ42" s="1759" t="s">
        <v>89</v>
      </c>
      <c r="HR42" s="1759"/>
      <c r="HS42" s="1761" t="s">
        <v>89</v>
      </c>
      <c r="HT42" s="1760" t="s">
        <v>89</v>
      </c>
      <c r="HU42" s="1758"/>
      <c r="HV42" s="1758"/>
      <c r="HW42" s="1758"/>
      <c r="HX42" s="1758" t="s">
        <v>89</v>
      </c>
      <c r="HY42" s="1762"/>
      <c r="HZ42" s="1762"/>
      <c r="IA42" s="1762"/>
      <c r="IB42" s="1762"/>
      <c r="IC42" s="1762"/>
      <c r="ID42" s="1762"/>
      <c r="IE42" s="1762"/>
      <c r="IF42" s="1762"/>
      <c r="IG42" s="1762"/>
      <c r="IH42" s="1762"/>
      <c r="II42" s="1762"/>
      <c r="IJ42" s="1762"/>
      <c r="IK42" s="1762"/>
      <c r="IL42" s="1762"/>
      <c r="IM42" s="1762"/>
      <c r="IN42" s="1762"/>
      <c r="IO42" s="1762"/>
      <c r="IP42" s="1762"/>
      <c r="IQ42" s="1762"/>
      <c r="IR42" s="1762"/>
      <c r="IS42" s="1762"/>
      <c r="IT42" s="1762"/>
      <c r="IU42" s="1762"/>
      <c r="IV42" s="1762"/>
    </row>
    <row r="43" spans="8:8" s="1756" ht="20.0" customFormat="1" customHeight="1">
      <c r="A43" s="1757" t="s">
        <v>64</v>
      </c>
      <c r="B43" s="1758"/>
      <c r="C43" s="1701" t="str">
        <f>IF(ISTEXT(_xlfn.IFERROR(VLOOKUP(A43,职业列表!I3:J10,1,FALSE),0)),"★","")</f>
        <v/>
      </c>
      <c r="D43" s="1759" t="s">
        <v>89</v>
      </c>
      <c r="E43" s="1758"/>
      <c r="F43" s="1758"/>
      <c r="G43" s="1758"/>
      <c r="H43" s="1758"/>
      <c r="I43" s="1759" t="s">
        <v>89</v>
      </c>
      <c r="J43" s="1759" t="s">
        <v>89</v>
      </c>
      <c r="K43" s="1758"/>
      <c r="L43" s="1758"/>
      <c r="M43" s="1758"/>
      <c r="N43" s="1758"/>
      <c r="O43" s="1758"/>
      <c r="P43" s="1759" t="s">
        <v>89</v>
      </c>
      <c r="Q43" s="1758"/>
      <c r="R43" s="1758"/>
      <c r="S43" s="1759" t="s">
        <v>89</v>
      </c>
      <c r="T43" s="1758" t="s">
        <v>1326</v>
      </c>
      <c r="U43" s="1758"/>
      <c r="V43" s="1758"/>
      <c r="W43" s="1758"/>
      <c r="X43" s="1759" t="s">
        <v>89</v>
      </c>
      <c r="Y43" s="1759" t="s">
        <v>89</v>
      </c>
      <c r="Z43" s="1758"/>
      <c r="AA43" s="1758"/>
      <c r="AB43" s="1758"/>
      <c r="AC43" s="1758"/>
      <c r="AD43" s="1758"/>
      <c r="AE43" s="1758"/>
      <c r="AF43" s="1758"/>
      <c r="AG43" s="1759" t="s">
        <v>89</v>
      </c>
      <c r="AH43" s="1759" t="s">
        <v>89</v>
      </c>
      <c r="AI43" s="1758"/>
      <c r="AJ43" s="1759" t="s">
        <v>89</v>
      </c>
      <c r="AK43" s="1758"/>
      <c r="AL43" s="1758"/>
      <c r="AM43" s="1759" t="s">
        <v>89</v>
      </c>
      <c r="AN43" s="1758"/>
      <c r="AO43" s="1758"/>
      <c r="AP43" s="1758"/>
      <c r="AQ43" s="1758"/>
      <c r="AR43" s="1758"/>
      <c r="AS43" s="1758"/>
      <c r="AT43" s="1758"/>
      <c r="AU43" s="1759" t="s">
        <v>89</v>
      </c>
      <c r="AV43" s="1759" t="s">
        <v>89</v>
      </c>
      <c r="AW43" s="1759" t="s">
        <v>89</v>
      </c>
      <c r="AX43" s="1758"/>
      <c r="AY43" s="1758"/>
      <c r="AZ43" s="1759" t="s">
        <v>89</v>
      </c>
      <c r="BA43" s="1758"/>
      <c r="BB43" s="1759" t="s">
        <v>89</v>
      </c>
      <c r="BC43" s="1758"/>
      <c r="BD43" s="1758"/>
      <c r="BE43" s="1758"/>
      <c r="BF43" s="1758"/>
      <c r="BG43" s="1759" t="s">
        <v>89</v>
      </c>
      <c r="BH43" s="1758"/>
      <c r="BI43" s="1759" t="s">
        <v>89</v>
      </c>
      <c r="BJ43" s="1759" t="s">
        <v>89</v>
      </c>
      <c r="BK43" s="1758"/>
      <c r="BL43" s="1758"/>
      <c r="BM43" s="1759" t="s">
        <v>89</v>
      </c>
      <c r="BN43" s="1759" t="s">
        <v>89</v>
      </c>
      <c r="BO43" s="1763"/>
      <c r="BP43" s="1759" t="s">
        <v>89</v>
      </c>
      <c r="BQ43" s="1759" t="s">
        <v>89</v>
      </c>
      <c r="BR43" s="1758"/>
      <c r="BS43" s="1758"/>
      <c r="BT43" s="1758"/>
      <c r="BU43" s="1758"/>
      <c r="BV43" s="1758"/>
      <c r="BW43" s="1758"/>
      <c r="BX43" s="1758"/>
      <c r="BY43" s="1758"/>
      <c r="BZ43" s="1758"/>
      <c r="CA43" s="1759" t="s">
        <v>89</v>
      </c>
      <c r="CB43" s="1758"/>
      <c r="CC43" s="1759" t="s">
        <v>89</v>
      </c>
      <c r="CD43" s="1759" t="s">
        <v>89</v>
      </c>
      <c r="CE43" s="1758"/>
      <c r="CF43" s="1759" t="s">
        <v>89</v>
      </c>
      <c r="CG43" s="1758"/>
      <c r="CH43" s="1758"/>
      <c r="CI43" s="1758"/>
      <c r="CJ43" s="1758"/>
      <c r="CK43" s="1758"/>
      <c r="CL43" s="1759" t="s">
        <v>89</v>
      </c>
      <c r="CM43" s="1759" t="s">
        <v>89</v>
      </c>
      <c r="CN43" s="1758"/>
      <c r="CO43" s="1758"/>
      <c r="CP43" s="1758"/>
      <c r="CQ43" s="1758"/>
      <c r="CR43" s="1758"/>
      <c r="CS43" s="1759" t="s">
        <v>89</v>
      </c>
      <c r="CT43" s="1759" t="s">
        <v>89</v>
      </c>
      <c r="CU43" s="1758"/>
      <c r="CV43" s="1758"/>
      <c r="CW43" s="1758"/>
      <c r="CX43" s="1759" t="s">
        <v>89</v>
      </c>
      <c r="CY43" s="1758"/>
      <c r="CZ43" s="1758"/>
      <c r="DA43" s="1759" t="s">
        <v>89</v>
      </c>
      <c r="DB43" s="1758"/>
      <c r="DC43" s="1759" t="s">
        <v>89</v>
      </c>
      <c r="DD43" s="1759" t="s">
        <v>89</v>
      </c>
      <c r="DE43" s="1758"/>
      <c r="DF43" s="1759" t="s">
        <v>89</v>
      </c>
      <c r="DG43" s="1758"/>
      <c r="DH43" s="1759" t="s">
        <v>89</v>
      </c>
      <c r="DI43" s="1759" t="s">
        <v>89</v>
      </c>
      <c r="DJ43" s="1759" t="s">
        <v>89</v>
      </c>
      <c r="DK43" s="1758"/>
      <c r="DL43" s="1758"/>
      <c r="DM43" s="1758"/>
      <c r="DN43" s="1758" t="s">
        <v>89</v>
      </c>
      <c r="DO43" s="1758"/>
      <c r="DP43" s="1758"/>
      <c r="DQ43" s="1758"/>
      <c r="DR43" s="1758"/>
      <c r="DS43" s="1758"/>
      <c r="DT43" s="1758"/>
      <c r="DU43" s="1758"/>
      <c r="DV43" s="1758" t="s">
        <v>89</v>
      </c>
      <c r="DW43" s="1758"/>
      <c r="DX43" s="1758"/>
      <c r="DY43" s="1758"/>
      <c r="DZ43" s="1758" t="s">
        <v>89</v>
      </c>
      <c r="EA43" s="1758"/>
      <c r="EB43" s="1758"/>
      <c r="EC43" s="1758" t="s">
        <v>89</v>
      </c>
      <c r="ED43" s="1758" t="s">
        <v>89</v>
      </c>
      <c r="EE43" s="1758"/>
      <c r="EF43" s="1758"/>
      <c r="EG43" s="1758"/>
      <c r="EH43" s="1758"/>
      <c r="EI43" s="1758"/>
      <c r="EJ43" s="1758"/>
      <c r="EK43" s="1758"/>
      <c r="EL43" s="1758"/>
      <c r="EM43" s="1758"/>
      <c r="EN43" s="1758"/>
      <c r="EO43" s="1758" t="s">
        <v>89</v>
      </c>
      <c r="EP43" s="1758"/>
      <c r="EQ43" s="1758"/>
      <c r="ER43" s="1758" t="s">
        <v>89</v>
      </c>
      <c r="ES43" s="1758" t="s">
        <v>89</v>
      </c>
      <c r="ET43" s="1758"/>
      <c r="EU43" s="1758"/>
      <c r="EV43" s="1758"/>
      <c r="EW43" s="1758"/>
      <c r="EX43" s="1758" t="s">
        <v>89</v>
      </c>
      <c r="EY43" s="1758"/>
      <c r="EZ43" s="1758"/>
      <c r="FA43" s="1758"/>
      <c r="FB43" s="1758"/>
      <c r="FC43" s="1758"/>
      <c r="FD43" s="1758"/>
      <c r="FE43" s="1758" t="s">
        <v>89</v>
      </c>
      <c r="FF43" s="1758"/>
      <c r="FG43" s="1758"/>
      <c r="FH43" s="1758"/>
      <c r="FI43" s="1758"/>
      <c r="FJ43" s="1758" t="s">
        <v>89</v>
      </c>
      <c r="FK43" s="1758"/>
      <c r="FL43" s="1758"/>
      <c r="FM43" s="1758" t="s">
        <v>89</v>
      </c>
      <c r="FN43" s="1758" t="s">
        <v>89</v>
      </c>
      <c r="FO43" s="1758"/>
      <c r="FP43" s="1758"/>
      <c r="FQ43" s="1758"/>
      <c r="FR43" s="1758" t="s">
        <v>89</v>
      </c>
      <c r="FS43" s="1758"/>
      <c r="FT43" s="1758" t="s">
        <v>89</v>
      </c>
      <c r="FU43" s="1758"/>
      <c r="FV43" s="1758"/>
      <c r="FW43" s="1758"/>
      <c r="FX43" s="1758" t="s">
        <v>89</v>
      </c>
      <c r="FY43" s="1758" t="s">
        <v>89</v>
      </c>
      <c r="FZ43" s="1758"/>
      <c r="GA43" s="1758"/>
      <c r="GB43" s="1758"/>
      <c r="GC43" s="1758"/>
      <c r="GD43" s="1758"/>
      <c r="GE43" s="1758"/>
      <c r="GF43" s="1758"/>
      <c r="GG43" s="1758" t="s">
        <v>89</v>
      </c>
      <c r="GH43" s="1758" t="s">
        <v>89</v>
      </c>
      <c r="GI43" s="1758" t="s">
        <v>89</v>
      </c>
      <c r="GJ43" s="1758"/>
      <c r="GK43" s="1758"/>
      <c r="GL43" s="1758"/>
      <c r="GM43" s="1758"/>
      <c r="GN43" s="1758" t="s">
        <v>89</v>
      </c>
      <c r="GO43" s="1758" t="s">
        <v>89</v>
      </c>
      <c r="GP43" s="1758"/>
      <c r="GQ43" s="1758"/>
      <c r="GR43" s="1758"/>
      <c r="GS43" s="1758"/>
      <c r="GT43" s="1758"/>
      <c r="GU43" s="1758"/>
      <c r="GV43" s="1758" t="s">
        <v>89</v>
      </c>
      <c r="GW43" s="1758"/>
      <c r="GX43" s="1758" t="s">
        <v>89</v>
      </c>
      <c r="GY43" s="1758"/>
      <c r="GZ43" s="1758"/>
      <c r="HA43" s="1759"/>
      <c r="HB43" s="1759"/>
      <c r="HC43" s="1758"/>
      <c r="HD43" s="1760" t="s">
        <v>89</v>
      </c>
      <c r="HE43" s="1758"/>
      <c r="HF43" s="1758" t="s">
        <v>89</v>
      </c>
      <c r="HG43" s="1758"/>
      <c r="HH43" s="1759"/>
      <c r="HI43" s="1758"/>
      <c r="HJ43" s="1758" t="s">
        <v>89</v>
      </c>
      <c r="HK43" s="1759"/>
      <c r="HL43" s="1758"/>
      <c r="HM43" s="1758" t="s">
        <v>89</v>
      </c>
      <c r="HN43" s="1760" t="s">
        <v>89</v>
      </c>
      <c r="HO43" s="1758"/>
      <c r="HP43" s="1759" t="s">
        <v>89</v>
      </c>
      <c r="HQ43" s="1759"/>
      <c r="HR43" s="1758" t="s">
        <v>89</v>
      </c>
      <c r="HS43" s="1758"/>
      <c r="HT43" s="1758"/>
      <c r="HU43" s="1758" t="s">
        <v>89</v>
      </c>
      <c r="HV43" s="1760" t="s">
        <v>89</v>
      </c>
      <c r="HW43" s="1760" t="s">
        <v>89</v>
      </c>
      <c r="HX43" s="1758" t="s">
        <v>89</v>
      </c>
      <c r="HY43" s="1762"/>
      <c r="HZ43" s="1762"/>
      <c r="IA43" s="1762"/>
      <c r="IB43" s="1762"/>
      <c r="IC43" s="1762"/>
      <c r="ID43" s="1762"/>
      <c r="IE43" s="1762"/>
      <c r="IF43" s="1762"/>
      <c r="IG43" s="1762"/>
      <c r="IH43" s="1762"/>
      <c r="II43" s="1762"/>
      <c r="IJ43" s="1762"/>
      <c r="IK43" s="1762"/>
      <c r="IL43" s="1762"/>
      <c r="IM43" s="1762"/>
      <c r="IN43" s="1762"/>
      <c r="IO43" s="1762"/>
      <c r="IP43" s="1762"/>
      <c r="IQ43" s="1762"/>
      <c r="IR43" s="1762"/>
      <c r="IS43" s="1762"/>
      <c r="IT43" s="1762"/>
      <c r="IU43" s="1762"/>
      <c r="IV43" s="1762"/>
    </row>
    <row r="44" spans="8:8" ht="20.0" customHeight="1">
      <c r="A44" s="1700" t="s">
        <v>67</v>
      </c>
      <c r="B44" s="1701"/>
      <c r="C44" s="1701" t="str">
        <f>IF(ISTEXT(_xlfn.IFERROR(VLOOKUP(A44,职业列表!I3:J10,1,FALSE),0)),"★","")</f>
        <v/>
      </c>
      <c r="D44" s="1703"/>
      <c r="E44" s="1701"/>
      <c r="F44" s="1701"/>
      <c r="G44" s="1701"/>
      <c r="H44" s="1701"/>
      <c r="I44" s="1701"/>
      <c r="J44" s="1701"/>
      <c r="K44" s="1701"/>
      <c r="L44" s="1701"/>
      <c r="M44" s="1701"/>
      <c r="N44" s="1701"/>
      <c r="O44" s="1701"/>
      <c r="P44" s="1701"/>
      <c r="Q44" s="1701"/>
      <c r="R44" s="1701"/>
      <c r="S44" s="1701"/>
      <c r="T44" s="1701"/>
      <c r="U44" s="1701"/>
      <c r="V44" s="1701"/>
      <c r="W44" s="1701"/>
      <c r="X44" s="1701"/>
      <c r="Y44" s="1701"/>
      <c r="Z44" s="1701"/>
      <c r="AA44" s="1701"/>
      <c r="AB44" s="1701"/>
      <c r="AC44" s="1701"/>
      <c r="AD44" s="1703" t="s">
        <v>89</v>
      </c>
      <c r="AE44" s="1703" t="s">
        <v>89</v>
      </c>
      <c r="AF44" s="1701"/>
      <c r="AG44" s="1703" t="s">
        <v>89</v>
      </c>
      <c r="AH44" s="1701"/>
      <c r="AI44" s="1701" t="s">
        <v>1329</v>
      </c>
      <c r="AJ44" s="1701"/>
      <c r="AK44" s="1701"/>
      <c r="AL44" s="1701"/>
      <c r="AM44" s="1701"/>
      <c r="AN44" s="1701"/>
      <c r="AO44" s="1701"/>
      <c r="AP44" s="1701"/>
      <c r="AQ44" s="1701"/>
      <c r="AR44" s="1701"/>
      <c r="AS44" s="1701"/>
      <c r="AT44" s="1701"/>
      <c r="AU44" s="1701"/>
      <c r="AV44" s="1701"/>
      <c r="AW44" s="1701"/>
      <c r="AX44" s="1701"/>
      <c r="AY44" s="1701"/>
      <c r="AZ44" s="1701"/>
      <c r="BA44" s="1701"/>
      <c r="BB44" s="1701"/>
      <c r="BC44" s="1701"/>
      <c r="BD44" s="1701"/>
      <c r="BE44" s="1701"/>
      <c r="BF44" s="1701"/>
      <c r="BG44" s="1701"/>
      <c r="BH44" s="1701"/>
      <c r="BI44" s="1701"/>
      <c r="BJ44" s="1701"/>
      <c r="BK44" s="1701"/>
      <c r="BL44" s="1701"/>
      <c r="BM44" s="1701" t="s">
        <v>1326</v>
      </c>
      <c r="BN44" s="1701"/>
      <c r="BO44" s="1701"/>
      <c r="BP44" s="1701"/>
      <c r="BQ44" s="1701"/>
      <c r="BR44" s="1701"/>
      <c r="BS44" s="1701"/>
      <c r="BT44" s="1701"/>
      <c r="BU44" s="1701"/>
      <c r="BV44" s="1701"/>
      <c r="BW44" s="1701"/>
      <c r="BX44" s="1701"/>
      <c r="BY44" s="1701"/>
      <c r="BZ44" s="1701"/>
      <c r="CA44" s="1701"/>
      <c r="CB44" s="1701"/>
      <c r="CC44" s="1701"/>
      <c r="CD44" s="1701"/>
      <c r="CE44" s="1701"/>
      <c r="CF44" s="1701"/>
      <c r="CG44" s="1701"/>
      <c r="CH44" s="1701"/>
      <c r="CI44" s="1701"/>
      <c r="CJ44" s="1701"/>
      <c r="CK44" s="1701"/>
      <c r="CL44" s="1701"/>
      <c r="CM44" s="1701"/>
      <c r="CN44" s="1701"/>
      <c r="CO44" s="1701"/>
      <c r="CP44" s="1701"/>
      <c r="CQ44" s="1701"/>
      <c r="CR44" s="1701"/>
      <c r="CS44" s="1701"/>
      <c r="CT44" s="1701"/>
      <c r="CU44" s="1701"/>
      <c r="CV44" s="1701"/>
      <c r="CW44" s="1701"/>
      <c r="CX44" s="1701"/>
      <c r="CY44" s="1701"/>
      <c r="CZ44" s="1701"/>
      <c r="DA44" s="1701"/>
      <c r="DB44" s="1701"/>
      <c r="DC44" s="1701"/>
      <c r="DD44" s="1701"/>
      <c r="DE44" s="1701"/>
      <c r="DF44" s="1701"/>
      <c r="DG44" s="1701"/>
      <c r="DH44" s="1701"/>
      <c r="DI44" s="1701"/>
      <c r="DJ44" s="1701"/>
      <c r="DK44" s="1701"/>
      <c r="DL44" s="1701"/>
      <c r="DM44" s="1701"/>
      <c r="DN44" s="1701"/>
      <c r="DO44" s="1701"/>
      <c r="DP44" s="1701"/>
      <c r="DQ44" s="1701"/>
      <c r="DR44" s="1701"/>
      <c r="DS44" s="1701"/>
      <c r="DT44" s="1701"/>
      <c r="DU44" s="1701"/>
      <c r="DV44" s="1701"/>
      <c r="DW44" s="1701"/>
      <c r="DX44" s="1701"/>
      <c r="DY44" s="1701"/>
      <c r="DZ44" s="1701"/>
      <c r="EA44" s="1701"/>
      <c r="EB44" s="1701"/>
      <c r="EC44" s="1701"/>
      <c r="ED44" s="1701"/>
      <c r="EE44" s="1701"/>
      <c r="EF44" s="1701"/>
      <c r="EG44" s="1701"/>
      <c r="EH44" s="1701"/>
      <c r="EI44" s="1701"/>
      <c r="EJ44" s="1701"/>
      <c r="EK44" s="1701"/>
      <c r="EL44" s="1701"/>
      <c r="EM44" s="1701"/>
      <c r="EN44" s="1701"/>
      <c r="EO44" s="1701"/>
      <c r="EP44" s="1701"/>
      <c r="EQ44" s="1701"/>
      <c r="ER44" s="1701"/>
      <c r="ES44" s="1701"/>
      <c r="ET44" s="1701"/>
      <c r="EU44" s="1701"/>
      <c r="EV44" s="1701"/>
      <c r="EW44" s="1701"/>
      <c r="EX44" s="1701"/>
      <c r="EY44" s="1701"/>
      <c r="EZ44" s="1701"/>
      <c r="FA44" s="1701"/>
      <c r="FB44" s="1701"/>
      <c r="FC44" s="1701"/>
      <c r="FD44" s="1701"/>
      <c r="FE44" s="1701"/>
      <c r="FF44" s="1701"/>
      <c r="FG44" s="1701"/>
      <c r="FH44" s="1701"/>
      <c r="FI44" s="1701"/>
      <c r="FJ44" s="1701"/>
      <c r="FK44" s="1701"/>
      <c r="FL44" s="1701"/>
      <c r="FM44" s="1701"/>
      <c r="FN44" s="1701"/>
      <c r="FO44" s="1701"/>
      <c r="FP44" s="1701"/>
      <c r="FQ44" s="1701"/>
      <c r="FR44" s="1701"/>
      <c r="FS44" s="1701"/>
      <c r="FT44" s="1701"/>
      <c r="FU44" s="1701" t="s">
        <v>89</v>
      </c>
      <c r="FV44" s="1701"/>
      <c r="FW44" s="1701"/>
      <c r="FX44" s="1701"/>
      <c r="FY44" s="1701"/>
      <c r="FZ44" s="1701"/>
      <c r="GA44" s="1701"/>
      <c r="GB44" s="1701"/>
      <c r="GC44" s="1701"/>
      <c r="GD44" s="1701"/>
      <c r="GE44" s="1701"/>
      <c r="GF44" s="1701"/>
      <c r="GG44" s="1701"/>
      <c r="GH44" s="1701"/>
      <c r="GI44" s="1701"/>
      <c r="GJ44" s="1701"/>
      <c r="GK44" s="1701"/>
      <c r="GL44" s="1701"/>
      <c r="GM44" s="1701"/>
      <c r="GN44" s="1701"/>
      <c r="GO44" s="1701"/>
      <c r="GP44" s="1701"/>
      <c r="GQ44" s="1701"/>
      <c r="GR44" s="1701"/>
      <c r="GS44" s="1701"/>
      <c r="GT44" s="1701"/>
      <c r="GU44" s="1701"/>
      <c r="GV44" s="1701"/>
      <c r="GW44" s="1701"/>
      <c r="GX44" s="1701"/>
      <c r="GY44" s="1701" t="s">
        <v>1326</v>
      </c>
      <c r="GZ44" s="1701"/>
      <c r="HA44" s="1701"/>
      <c r="HB44" s="1701"/>
      <c r="HC44" s="1701"/>
      <c r="HD44" s="1701"/>
      <c r="HE44" s="1701"/>
      <c r="HF44" s="1701"/>
      <c r="HG44" s="1701"/>
      <c r="HH44" s="1701" t="s">
        <v>89</v>
      </c>
      <c r="HI44" s="1701"/>
      <c r="HJ44" s="1701"/>
      <c r="HK44" s="1701"/>
      <c r="HL44" s="1701"/>
      <c r="HM44" s="1702" t="s">
        <v>89</v>
      </c>
      <c r="HN44" s="1701"/>
      <c r="HO44" s="1701"/>
      <c r="HP44" s="1701"/>
      <c r="HQ44" s="1701"/>
      <c r="HR44" s="1701"/>
      <c r="HS44" s="1701"/>
      <c r="HT44" s="1701"/>
      <c r="HU44" s="1701"/>
      <c r="HV44" s="1703"/>
      <c r="HW44" s="1703"/>
      <c r="HX44" s="1701" t="s">
        <v>89</v>
      </c>
      <c r="HY44" s="1688"/>
      <c r="HZ44" s="1688"/>
      <c r="IA44" s="1688"/>
      <c r="IB44" s="1688"/>
      <c r="IC44" s="1688"/>
      <c r="ID44" s="1688"/>
      <c r="IE44" s="1688"/>
      <c r="IF44" s="1688"/>
      <c r="IG44" s="1688"/>
      <c r="IH44" s="1688"/>
      <c r="II44" s="1688"/>
      <c r="IJ44" s="1688"/>
      <c r="IK44" s="1688"/>
      <c r="IL44" s="1688"/>
      <c r="IM44" s="1688"/>
      <c r="IN44" s="1688"/>
      <c r="IO44" s="1688"/>
      <c r="IP44" s="1688"/>
      <c r="IQ44" s="1688"/>
      <c r="IR44" s="1688"/>
      <c r="IS44" s="1688"/>
      <c r="IT44" s="1688"/>
      <c r="IU44" s="1688"/>
      <c r="IV44" s="1688"/>
    </row>
    <row r="45" spans="8:8" ht="20.0" customHeight="1">
      <c r="A45" s="1700" t="s">
        <v>69</v>
      </c>
      <c r="B45" s="1701"/>
      <c r="C45" s="1701" t="str">
        <f>IF(ISTEXT(_xlfn.IFERROR(VLOOKUP(A45,职业列表!I3:J10,1,FALSE),0)),"★","")</f>
        <v/>
      </c>
      <c r="D45" s="1703"/>
      <c r="E45" s="1701"/>
      <c r="F45" s="1701"/>
      <c r="G45" s="1701"/>
      <c r="H45" s="1701"/>
      <c r="I45" s="1701"/>
      <c r="J45" s="1701"/>
      <c r="K45" s="1701"/>
      <c r="L45" s="1701"/>
      <c r="M45" s="1703" t="s">
        <v>89</v>
      </c>
      <c r="N45" s="1701"/>
      <c r="O45" s="1701"/>
      <c r="P45" s="1701"/>
      <c r="Q45" s="1701"/>
      <c r="R45" s="1701"/>
      <c r="S45" s="1701"/>
      <c r="T45" s="1701"/>
      <c r="U45" s="1701"/>
      <c r="V45" s="1701"/>
      <c r="W45" s="1701"/>
      <c r="X45" s="1701"/>
      <c r="Y45" s="1701"/>
      <c r="Z45" s="1701"/>
      <c r="AA45" s="1701"/>
      <c r="AB45" s="1701"/>
      <c r="AC45" s="1703" t="s">
        <v>89</v>
      </c>
      <c r="AD45" s="1703" t="s">
        <v>89</v>
      </c>
      <c r="AE45" s="1701" t="s">
        <v>1326</v>
      </c>
      <c r="AF45" s="1701"/>
      <c r="AG45" s="1701" t="s">
        <v>1326</v>
      </c>
      <c r="AH45" s="1701"/>
      <c r="AI45" s="1702" t="s">
        <v>1329</v>
      </c>
      <c r="AJ45" s="1701"/>
      <c r="AK45" s="1701"/>
      <c r="AL45" s="1701"/>
      <c r="AM45" s="1701"/>
      <c r="AN45" s="1701"/>
      <c r="AO45" s="1701"/>
      <c r="AP45" s="1701"/>
      <c r="AQ45" s="1703" t="s">
        <v>89</v>
      </c>
      <c r="AR45" s="1701"/>
      <c r="AS45" s="1703" t="s">
        <v>89</v>
      </c>
      <c r="AT45" s="1701"/>
      <c r="AU45" s="1701"/>
      <c r="AV45" s="1703" t="s">
        <v>89</v>
      </c>
      <c r="AW45" s="1703" t="s">
        <v>89</v>
      </c>
      <c r="AX45" s="1703" t="s">
        <v>89</v>
      </c>
      <c r="AY45" s="1701"/>
      <c r="AZ45" s="1701"/>
      <c r="BA45" s="1703" t="s">
        <v>89</v>
      </c>
      <c r="BB45" s="1701"/>
      <c r="BC45" s="1701"/>
      <c r="BD45" s="1703" t="s">
        <v>89</v>
      </c>
      <c r="BE45" s="1701"/>
      <c r="BF45" s="1703" t="s">
        <v>89</v>
      </c>
      <c r="BG45" s="1701"/>
      <c r="BH45" s="1701"/>
      <c r="BI45" s="1701"/>
      <c r="BJ45" s="1701"/>
      <c r="BK45" s="1701"/>
      <c r="BL45" s="1701"/>
      <c r="BM45" s="1701"/>
      <c r="BN45" s="1703" t="s">
        <v>89</v>
      </c>
      <c r="BO45" s="1701"/>
      <c r="BP45" s="1701"/>
      <c r="BQ45" s="1701"/>
      <c r="BR45" s="1701"/>
      <c r="BS45" s="1703" t="s">
        <v>89</v>
      </c>
      <c r="BT45" s="1703" t="s">
        <v>89</v>
      </c>
      <c r="BU45" s="1703" t="s">
        <v>89</v>
      </c>
      <c r="BV45" s="1701"/>
      <c r="BW45" s="1701"/>
      <c r="BX45" s="1703" t="s">
        <v>89</v>
      </c>
      <c r="BY45" s="1701"/>
      <c r="BZ45" s="1703" t="s">
        <v>89</v>
      </c>
      <c r="CA45" s="1701"/>
      <c r="CB45" s="1701"/>
      <c r="CC45" s="1701"/>
      <c r="CD45" s="1701"/>
      <c r="CE45" s="1701"/>
      <c r="CF45" s="1701"/>
      <c r="CG45" s="1701"/>
      <c r="CH45" s="1701"/>
      <c r="CI45" s="1701"/>
      <c r="CJ45" s="1701"/>
      <c r="CK45" s="1703" t="s">
        <v>89</v>
      </c>
      <c r="CL45" s="1703" t="s">
        <v>89</v>
      </c>
      <c r="CM45" s="1701"/>
      <c r="CN45" s="1701"/>
      <c r="CO45" s="1701"/>
      <c r="CP45" s="1701"/>
      <c r="CQ45" s="1703" t="s">
        <v>89</v>
      </c>
      <c r="CR45" s="1701"/>
      <c r="CS45" s="1701"/>
      <c r="CT45" s="1701"/>
      <c r="CU45" s="1701"/>
      <c r="CV45" s="1701" t="s">
        <v>1326</v>
      </c>
      <c r="CW45" s="1703" t="s">
        <v>89</v>
      </c>
      <c r="CX45" s="1701"/>
      <c r="CY45" s="1701"/>
      <c r="CZ45" s="1701"/>
      <c r="DA45" s="1703" t="s">
        <v>89</v>
      </c>
      <c r="DB45" s="1702" t="s">
        <v>1329</v>
      </c>
      <c r="DC45" s="1701"/>
      <c r="DD45" s="1701"/>
      <c r="DE45" s="1701" t="s">
        <v>1326</v>
      </c>
      <c r="DF45" s="1701"/>
      <c r="DG45" s="1701"/>
      <c r="DH45" s="1701"/>
      <c r="DI45" s="1701"/>
      <c r="DJ45" s="1701"/>
      <c r="DK45" s="1701"/>
      <c r="DL45" s="1701"/>
      <c r="DM45" s="1701"/>
      <c r="DN45" s="1701"/>
      <c r="DO45" s="1701"/>
      <c r="DP45" s="1701"/>
      <c r="DQ45" s="1701"/>
      <c r="DR45" s="1701"/>
      <c r="DS45" s="1701"/>
      <c r="DT45" s="1701"/>
      <c r="DU45" s="1701"/>
      <c r="DV45" s="1701"/>
      <c r="DW45" s="1701"/>
      <c r="DX45" s="1701"/>
      <c r="DY45" s="1701"/>
      <c r="DZ45" s="1701"/>
      <c r="EA45" s="1701"/>
      <c r="EB45" s="1701"/>
      <c r="EC45" s="1701"/>
      <c r="ED45" s="1701"/>
      <c r="EE45" s="1701"/>
      <c r="EF45" s="1701"/>
      <c r="EG45" s="1701"/>
      <c r="EH45" s="1701"/>
      <c r="EI45" s="1701" t="s">
        <v>89</v>
      </c>
      <c r="EJ45" s="1701"/>
      <c r="EK45" s="1701" t="s">
        <v>89</v>
      </c>
      <c r="EL45" s="1701"/>
      <c r="EM45" s="1701"/>
      <c r="EN45" s="1701" t="s">
        <v>1326</v>
      </c>
      <c r="EO45" s="1701"/>
      <c r="EP45" s="1701" t="s">
        <v>89</v>
      </c>
      <c r="EQ45" s="1701"/>
      <c r="ER45" s="1701"/>
      <c r="ES45" s="1701"/>
      <c r="ET45" s="1701"/>
      <c r="EU45" s="1701"/>
      <c r="EV45" s="1701"/>
      <c r="EW45" s="1701"/>
      <c r="EX45" s="1701"/>
      <c r="EY45" s="1701"/>
      <c r="EZ45" s="1701" t="s">
        <v>89</v>
      </c>
      <c r="FA45" s="1701"/>
      <c r="FB45" s="1701" t="s">
        <v>1326</v>
      </c>
      <c r="FC45" s="1701"/>
      <c r="FD45" s="1701" t="s">
        <v>89</v>
      </c>
      <c r="FE45" s="1701"/>
      <c r="FF45" s="1701"/>
      <c r="FG45" s="1701"/>
      <c r="FH45" s="1701"/>
      <c r="FI45" s="1701"/>
      <c r="FJ45" s="1701"/>
      <c r="FK45" s="1701"/>
      <c r="FL45" s="1701"/>
      <c r="FM45" s="1701"/>
      <c r="FN45" s="1701"/>
      <c r="FO45" s="1701"/>
      <c r="FP45" s="1701" t="s">
        <v>89</v>
      </c>
      <c r="FQ45" s="1701"/>
      <c r="FR45" s="1701"/>
      <c r="FS45" s="1701"/>
      <c r="FT45" s="1701"/>
      <c r="FU45" s="1701" t="s">
        <v>89</v>
      </c>
      <c r="FV45" s="1701"/>
      <c r="FW45" s="1701"/>
      <c r="FX45" s="1701"/>
      <c r="FY45" s="1701"/>
      <c r="FZ45" s="1701"/>
      <c r="GA45" s="1701" t="s">
        <v>89</v>
      </c>
      <c r="GB45" s="1701" t="s">
        <v>89</v>
      </c>
      <c r="GC45" s="1701" t="s">
        <v>1329</v>
      </c>
      <c r="GD45" s="1701" t="s">
        <v>1329</v>
      </c>
      <c r="GE45" s="1701"/>
      <c r="GF45" s="1701"/>
      <c r="GG45" s="1701"/>
      <c r="GH45" s="1701"/>
      <c r="GI45" s="1701"/>
      <c r="GJ45" s="1701"/>
      <c r="GK45" s="1701"/>
      <c r="GL45" s="1701"/>
      <c r="GM45" s="1701"/>
      <c r="GN45" s="1701"/>
      <c r="GO45" s="1701"/>
      <c r="GP45" s="1701" t="s">
        <v>89</v>
      </c>
      <c r="GQ45" s="1701"/>
      <c r="GR45" s="1701" t="s">
        <v>89</v>
      </c>
      <c r="GS45" s="1701"/>
      <c r="GT45" s="1701"/>
      <c r="GU45" s="1701" t="s">
        <v>1329</v>
      </c>
      <c r="GV45" s="1701"/>
      <c r="GW45" s="1701"/>
      <c r="GX45" s="1701"/>
      <c r="GY45" s="1701"/>
      <c r="GZ45" s="1701"/>
      <c r="HA45" s="1701"/>
      <c r="HB45" s="1701"/>
      <c r="HC45" s="1701"/>
      <c r="HD45" s="1701" t="s">
        <v>89</v>
      </c>
      <c r="HE45" s="1703"/>
      <c r="HF45" s="1701"/>
      <c r="HG45" s="1702" t="s">
        <v>89</v>
      </c>
      <c r="HH45" s="1701"/>
      <c r="HI45" s="1701"/>
      <c r="HJ45" s="1701"/>
      <c r="HK45" s="1701"/>
      <c r="HL45" s="1701"/>
      <c r="HM45" s="1701"/>
      <c r="HN45" s="1701"/>
      <c r="HO45" s="1701" t="s">
        <v>89</v>
      </c>
      <c r="HP45" s="1701"/>
      <c r="HQ45" s="1701"/>
      <c r="HR45" s="1701"/>
      <c r="HS45" s="1701"/>
      <c r="HT45" s="1701" t="s">
        <v>89</v>
      </c>
      <c r="HU45" s="1703"/>
      <c r="HV45" s="1701"/>
      <c r="HW45" s="1701" t="s">
        <v>89</v>
      </c>
      <c r="HX45" s="1701"/>
      <c r="HY45" s="1688"/>
      <c r="HZ45" s="1688"/>
      <c r="IA45" s="1688"/>
      <c r="IB45" s="1688"/>
      <c r="IC45" s="1688"/>
      <c r="ID45" s="1688"/>
      <c r="IE45" s="1688"/>
      <c r="IF45" s="1688"/>
      <c r="IG45" s="1688"/>
      <c r="IH45" s="1688"/>
      <c r="II45" s="1688"/>
      <c r="IJ45" s="1688"/>
      <c r="IK45" s="1688"/>
      <c r="IL45" s="1688"/>
      <c r="IM45" s="1688"/>
      <c r="IN45" s="1688"/>
      <c r="IO45" s="1688"/>
      <c r="IP45" s="1688"/>
      <c r="IQ45" s="1688"/>
      <c r="IR45" s="1688"/>
      <c r="IS45" s="1688"/>
      <c r="IT45" s="1688"/>
      <c r="IU45" s="1688"/>
      <c r="IV45" s="1688"/>
    </row>
    <row r="46" spans="8:8" ht="20.0" customHeight="1">
      <c r="A46" s="1700" t="s">
        <v>71</v>
      </c>
      <c r="B46" s="1701"/>
      <c r="C46" s="1701" t="str">
        <f>IF(ISTEXT(_xlfn.IFERROR(VLOOKUP(A46,职业列表!I3:J10,1,FALSE),0)),"★","")</f>
        <v/>
      </c>
      <c r="D46" s="1703"/>
      <c r="E46" s="1701"/>
      <c r="F46" s="1701"/>
      <c r="G46" s="1701"/>
      <c r="H46" s="1701"/>
      <c r="I46" s="1703" t="s">
        <v>89</v>
      </c>
      <c r="J46" s="1701"/>
      <c r="K46" s="1701"/>
      <c r="L46" s="1701"/>
      <c r="M46" s="1701"/>
      <c r="N46" s="1701"/>
      <c r="O46" s="1701"/>
      <c r="P46" s="1701"/>
      <c r="Q46" s="1701"/>
      <c r="R46" s="1701"/>
      <c r="S46" s="1701"/>
      <c r="T46" s="1701"/>
      <c r="U46" s="1701"/>
      <c r="V46" s="1701"/>
      <c r="W46" s="1701"/>
      <c r="X46" s="1701"/>
      <c r="Y46" s="1701"/>
      <c r="Z46" s="1701"/>
      <c r="AA46" s="1701"/>
      <c r="AB46" s="1701"/>
      <c r="AC46" s="1701"/>
      <c r="AD46" s="1701"/>
      <c r="AE46" s="1701"/>
      <c r="AF46" s="1701"/>
      <c r="AG46" s="1701"/>
      <c r="AH46" s="1701"/>
      <c r="AI46" s="1701"/>
      <c r="AJ46" s="1701"/>
      <c r="AK46" s="1701"/>
      <c r="AL46" s="1701"/>
      <c r="AM46" s="1701"/>
      <c r="AN46" s="1701"/>
      <c r="AO46" s="1701"/>
      <c r="AP46" s="1701"/>
      <c r="AQ46" s="1701"/>
      <c r="AR46" s="1701"/>
      <c r="AS46" s="1701"/>
      <c r="AT46" s="1703" t="s">
        <v>89</v>
      </c>
      <c r="AU46" s="1701"/>
      <c r="AV46" s="1701"/>
      <c r="AW46" s="1701"/>
      <c r="AX46" s="1701"/>
      <c r="AY46" s="1701"/>
      <c r="AZ46" s="1701"/>
      <c r="BA46" s="1701"/>
      <c r="BB46" s="1701"/>
      <c r="BC46" s="1701"/>
      <c r="BD46" s="1701"/>
      <c r="BE46" s="1701"/>
      <c r="BF46" s="1701"/>
      <c r="BG46" s="1701"/>
      <c r="BH46" s="1703" t="s">
        <v>89</v>
      </c>
      <c r="BI46" s="1701"/>
      <c r="BJ46" s="1701"/>
      <c r="BK46" s="1701"/>
      <c r="BL46" s="1701"/>
      <c r="BM46" s="1701"/>
      <c r="BN46" s="1701"/>
      <c r="BO46" s="1701"/>
      <c r="BP46" s="1701"/>
      <c r="BQ46" s="1701"/>
      <c r="BR46" s="1701"/>
      <c r="BS46" s="1701"/>
      <c r="BT46" s="1701"/>
      <c r="BU46" s="1701"/>
      <c r="BV46" s="1701"/>
      <c r="BW46" s="1701"/>
      <c r="BX46" s="1701"/>
      <c r="BY46" s="1701"/>
      <c r="BZ46" s="1703" t="s">
        <v>89</v>
      </c>
      <c r="CA46" s="1701"/>
      <c r="CB46" s="1701"/>
      <c r="CC46" s="1701"/>
      <c r="CD46" s="1703" t="s">
        <v>89</v>
      </c>
      <c r="CE46" s="1701"/>
      <c r="CF46" s="1701"/>
      <c r="CG46" s="1701"/>
      <c r="CH46" s="1701"/>
      <c r="CI46" s="1701"/>
      <c r="CJ46" s="1701"/>
      <c r="CK46" s="1701"/>
      <c r="CL46" s="1701"/>
      <c r="CM46" s="1701"/>
      <c r="CN46" s="1701"/>
      <c r="CO46" s="1701"/>
      <c r="CP46" s="1701"/>
      <c r="CQ46" s="1701"/>
      <c r="CR46" s="1701"/>
      <c r="CS46" s="1703" t="s">
        <v>89</v>
      </c>
      <c r="CT46" s="1701"/>
      <c r="CU46" s="1701"/>
      <c r="CV46" s="1701"/>
      <c r="CW46" s="1701"/>
      <c r="CX46" s="1701"/>
      <c r="CY46" s="1701"/>
      <c r="CZ46" s="1701"/>
      <c r="DA46" s="1701"/>
      <c r="DB46" s="1701"/>
      <c r="DC46" s="1701"/>
      <c r="DD46" s="1701"/>
      <c r="DE46" s="1701"/>
      <c r="DF46" s="1701"/>
      <c r="DG46" s="1701"/>
      <c r="DH46" s="1701"/>
      <c r="DI46" s="1701"/>
      <c r="DJ46" s="1701"/>
      <c r="DK46" s="1701"/>
      <c r="DL46" s="1701"/>
      <c r="DM46" s="1703" t="s">
        <v>89</v>
      </c>
      <c r="DN46" s="1701"/>
      <c r="DO46" s="1701"/>
      <c r="DP46" s="1701"/>
      <c r="DQ46" s="1701"/>
      <c r="DR46" s="1701"/>
      <c r="DS46" s="1701"/>
      <c r="DT46" s="1701"/>
      <c r="DU46" s="1701"/>
      <c r="DV46" s="1701"/>
      <c r="DW46" s="1701"/>
      <c r="DX46" s="1701"/>
      <c r="DY46" s="1701"/>
      <c r="DZ46" s="1701"/>
      <c r="EA46" s="1701"/>
      <c r="EB46" s="1701"/>
      <c r="EC46" s="1701"/>
      <c r="ED46" s="1701"/>
      <c r="EE46" s="1701"/>
      <c r="EF46" s="1701" t="s">
        <v>89</v>
      </c>
      <c r="EG46" s="1701" t="s">
        <v>89</v>
      </c>
      <c r="EH46" s="1701" t="s">
        <v>89</v>
      </c>
      <c r="EI46" s="1701"/>
      <c r="EJ46" s="1701"/>
      <c r="EK46" s="1701"/>
      <c r="EL46" s="1701" t="s">
        <v>89</v>
      </c>
      <c r="EM46" s="1701"/>
      <c r="EN46" s="1701"/>
      <c r="EO46" s="1701"/>
      <c r="EP46" s="1701"/>
      <c r="EQ46" s="1701"/>
      <c r="ER46" s="1701"/>
      <c r="ES46" s="1701"/>
      <c r="ET46" s="1701"/>
      <c r="EU46" s="1701"/>
      <c r="EV46" s="1701"/>
      <c r="EW46" s="1701"/>
      <c r="EX46" s="1701"/>
      <c r="EY46" s="1701"/>
      <c r="EZ46" s="1701" t="s">
        <v>89</v>
      </c>
      <c r="FA46" s="1701" t="s">
        <v>89</v>
      </c>
      <c r="FB46" s="1701"/>
      <c r="FC46" s="1701"/>
      <c r="FD46" s="1701"/>
      <c r="FE46" s="1701"/>
      <c r="FF46" s="1701"/>
      <c r="FG46" s="1701"/>
      <c r="FH46" s="1701"/>
      <c r="FI46" s="1701"/>
      <c r="FJ46" s="1701"/>
      <c r="FK46" s="1701"/>
      <c r="FL46" s="1701" t="s">
        <v>89</v>
      </c>
      <c r="FM46" s="1701"/>
      <c r="FN46" s="1701"/>
      <c r="FO46" s="1701"/>
      <c r="FP46" s="1701"/>
      <c r="FQ46" s="1701"/>
      <c r="FR46" s="1701"/>
      <c r="FS46" s="1701"/>
      <c r="FT46" s="1701"/>
      <c r="FU46" s="1701" t="s">
        <v>89</v>
      </c>
      <c r="FV46" s="1701" t="s">
        <v>89</v>
      </c>
      <c r="FW46" s="1701" t="s">
        <v>89</v>
      </c>
      <c r="FX46" s="1701"/>
      <c r="FY46" s="1701"/>
      <c r="FZ46" s="1701"/>
      <c r="GA46" s="1701"/>
      <c r="GB46" s="1701"/>
      <c r="GC46" s="1701"/>
      <c r="GD46" s="1701"/>
      <c r="GE46" s="1701"/>
      <c r="GF46" s="1701"/>
      <c r="GG46" s="1701"/>
      <c r="GH46" s="1701"/>
      <c r="GI46" s="1701"/>
      <c r="GJ46" s="1701"/>
      <c r="GK46" s="1701"/>
      <c r="GL46" s="1701"/>
      <c r="GM46" s="1701"/>
      <c r="GN46" s="1701"/>
      <c r="GO46" s="1701"/>
      <c r="GP46" s="1701"/>
      <c r="GQ46" s="1701"/>
      <c r="GR46" s="1701"/>
      <c r="GS46" s="1701"/>
      <c r="GT46" s="1701"/>
      <c r="GU46" s="1701"/>
      <c r="GV46" s="1701"/>
      <c r="GW46" s="1701"/>
      <c r="GX46" s="1701"/>
      <c r="GY46" s="1701"/>
      <c r="GZ46" s="1701"/>
      <c r="HA46" s="1703"/>
      <c r="HB46" s="1701"/>
      <c r="HC46" s="1701"/>
      <c r="HD46" s="1701"/>
      <c r="HE46" s="1701"/>
      <c r="HF46" s="1701"/>
      <c r="HG46" s="1701"/>
      <c r="HH46" s="1701"/>
      <c r="HI46" s="1701"/>
      <c r="HJ46" s="1701"/>
      <c r="HK46" s="1701"/>
      <c r="HL46" s="1701"/>
      <c r="HM46" s="1701"/>
      <c r="HN46" s="1701"/>
      <c r="HO46" s="1701"/>
      <c r="HP46" s="1701"/>
      <c r="HQ46" s="1701" t="s">
        <v>89</v>
      </c>
      <c r="HR46" s="1701"/>
      <c r="HS46" s="1701"/>
      <c r="HT46" s="1701"/>
      <c r="HU46" s="1701"/>
      <c r="HV46" s="1701"/>
      <c r="HW46" s="1701"/>
      <c r="HX46" s="1701"/>
      <c r="HY46" s="1688"/>
      <c r="HZ46" s="1688"/>
      <c r="IA46" s="1688"/>
      <c r="IB46" s="1688"/>
      <c r="IC46" s="1688"/>
      <c r="ID46" s="1688"/>
      <c r="IE46" s="1688"/>
      <c r="IF46" s="1688"/>
      <c r="IG46" s="1688"/>
      <c r="IH46" s="1688"/>
      <c r="II46" s="1688"/>
      <c r="IJ46" s="1688"/>
      <c r="IK46" s="1688"/>
      <c r="IL46" s="1688"/>
      <c r="IM46" s="1688"/>
      <c r="IN46" s="1688"/>
      <c r="IO46" s="1688"/>
      <c r="IP46" s="1688"/>
      <c r="IQ46" s="1688"/>
      <c r="IR46" s="1688"/>
      <c r="IS46" s="1688"/>
      <c r="IT46" s="1688"/>
      <c r="IU46" s="1688"/>
      <c r="IV46" s="1688"/>
    </row>
    <row r="47" spans="8:8" ht="20.0" customHeight="1">
      <c r="A47" s="1700" t="s">
        <v>73</v>
      </c>
      <c r="B47" s="1701"/>
      <c r="C47" s="1702" t="str">
        <f>IF(ISTEXT(_xlfn.IFERROR(VLOOKUP(A47,职业列表!I3:J10,1,FALSE),0)),"★","")</f>
        <v/>
      </c>
      <c r="D47" s="1703"/>
      <c r="E47" s="1701"/>
      <c r="F47" s="1701"/>
      <c r="G47" s="1701"/>
      <c r="H47" s="1701"/>
      <c r="I47" s="1701"/>
      <c r="J47" s="1703" t="s">
        <v>89</v>
      </c>
      <c r="K47" s="1701"/>
      <c r="L47" s="1701"/>
      <c r="M47" s="1701"/>
      <c r="N47" s="1701"/>
      <c r="O47" s="1701" t="s">
        <v>1326</v>
      </c>
      <c r="P47" s="1701"/>
      <c r="Q47" s="1701"/>
      <c r="R47" s="1701" t="s">
        <v>1326</v>
      </c>
      <c r="S47" s="1701"/>
      <c r="T47" s="1703" t="s">
        <v>89</v>
      </c>
      <c r="U47" s="1701"/>
      <c r="V47" s="1701"/>
      <c r="W47" s="1701"/>
      <c r="X47" s="1701"/>
      <c r="Y47" s="1701"/>
      <c r="Z47" s="1701"/>
      <c r="AA47" s="1701"/>
      <c r="AB47" s="1701" t="s">
        <v>1326</v>
      </c>
      <c r="AC47" s="1703" t="s">
        <v>89</v>
      </c>
      <c r="AD47" s="1701"/>
      <c r="AE47" s="1701"/>
      <c r="AF47" s="1701"/>
      <c r="AG47" s="1701"/>
      <c r="AH47" s="1701"/>
      <c r="AI47" s="1701"/>
      <c r="AJ47" s="1701"/>
      <c r="AK47" s="1701"/>
      <c r="AL47" s="1701"/>
      <c r="AM47" s="1701"/>
      <c r="AN47" s="1701"/>
      <c r="AO47" s="1701"/>
      <c r="AP47" s="1701"/>
      <c r="AQ47" s="1701"/>
      <c r="AR47" s="1701"/>
      <c r="AS47" s="1701"/>
      <c r="AT47" s="1701"/>
      <c r="AU47" s="1701"/>
      <c r="AV47" s="1701"/>
      <c r="AW47" s="1701"/>
      <c r="AX47" s="1701"/>
      <c r="AY47" s="1701"/>
      <c r="AZ47" s="1701"/>
      <c r="BA47" s="1701"/>
      <c r="BB47" s="1701"/>
      <c r="BC47" s="1703" t="s">
        <v>89</v>
      </c>
      <c r="BD47" s="1703" t="s">
        <v>89</v>
      </c>
      <c r="BE47" s="1701"/>
      <c r="BF47" s="1701"/>
      <c r="BG47" s="1701"/>
      <c r="BH47" s="1701"/>
      <c r="BI47" s="1701"/>
      <c r="BJ47" s="1701"/>
      <c r="BK47" s="1701"/>
      <c r="BL47" s="1701"/>
      <c r="BM47" s="1701"/>
      <c r="BN47" s="1701"/>
      <c r="BO47" s="1701"/>
      <c r="BP47" s="1701"/>
      <c r="BQ47" s="1701"/>
      <c r="BR47" s="1701"/>
      <c r="BS47" s="1714"/>
      <c r="BT47" s="1701" t="s">
        <v>1326</v>
      </c>
      <c r="BU47" s="1701"/>
      <c r="BV47" s="1701"/>
      <c r="BW47" s="1701"/>
      <c r="BX47" s="1701"/>
      <c r="BY47" s="1701"/>
      <c r="BZ47" s="1703" t="s">
        <v>89</v>
      </c>
      <c r="CA47" s="1701"/>
      <c r="CB47" s="1701"/>
      <c r="CC47" s="1701"/>
      <c r="CD47" s="1701"/>
      <c r="CE47" s="1701"/>
      <c r="CF47" s="1703" t="s">
        <v>89</v>
      </c>
      <c r="CG47" s="1701"/>
      <c r="CH47" s="1701"/>
      <c r="CI47" s="1701"/>
      <c r="CJ47" s="1701"/>
      <c r="CK47" s="1701"/>
      <c r="CL47" s="1701"/>
      <c r="CM47" s="1701"/>
      <c r="CN47" s="1701"/>
      <c r="CO47" s="1701"/>
      <c r="CP47" s="1701"/>
      <c r="CQ47" s="1701"/>
      <c r="CR47" s="1701"/>
      <c r="CS47" s="1701"/>
      <c r="CT47" s="1701"/>
      <c r="CU47" s="1701"/>
      <c r="CV47" s="1701"/>
      <c r="CW47" s="1703" t="s">
        <v>89</v>
      </c>
      <c r="CX47" s="1701"/>
      <c r="CY47" s="1701"/>
      <c r="CZ47" s="1701"/>
      <c r="DA47" s="1701"/>
      <c r="DB47" s="1701"/>
      <c r="DC47" s="1701"/>
      <c r="DD47" s="1701"/>
      <c r="DE47" s="1701"/>
      <c r="DF47" s="1703" t="s">
        <v>89</v>
      </c>
      <c r="DG47" s="1701"/>
      <c r="DH47" s="1701"/>
      <c r="DI47" s="1701"/>
      <c r="DJ47" s="1701"/>
      <c r="DK47" s="1701"/>
      <c r="DL47" s="1701"/>
      <c r="DM47" s="1703" t="s">
        <v>89</v>
      </c>
      <c r="DN47" s="1701"/>
      <c r="DO47" s="1701"/>
      <c r="DP47" s="1701"/>
      <c r="DQ47" s="1701"/>
      <c r="DR47" s="1701"/>
      <c r="DS47" s="1701"/>
      <c r="DT47" s="1701"/>
      <c r="DU47" s="1701"/>
      <c r="DV47" s="1701"/>
      <c r="DW47" s="1701"/>
      <c r="DX47" s="1701"/>
      <c r="DY47" s="1701"/>
      <c r="DZ47" s="1701"/>
      <c r="EA47" s="1701"/>
      <c r="EB47" s="1701"/>
      <c r="EC47" s="1701"/>
      <c r="ED47" s="1701"/>
      <c r="EE47" s="1701"/>
      <c r="EF47" s="1701"/>
      <c r="EG47" s="1701"/>
      <c r="EH47" s="1701"/>
      <c r="EI47" s="1701"/>
      <c r="EJ47" s="1701"/>
      <c r="EK47" s="1701"/>
      <c r="EL47" s="1701"/>
      <c r="EM47" s="1701"/>
      <c r="EN47" s="1701"/>
      <c r="EO47" s="1701"/>
      <c r="EP47" s="1701"/>
      <c r="EQ47" s="1701"/>
      <c r="ER47" s="1701"/>
      <c r="ES47" s="1701"/>
      <c r="ET47" s="1701"/>
      <c r="EU47" s="1701"/>
      <c r="EV47" s="1701"/>
      <c r="EW47" s="1701" t="s">
        <v>89</v>
      </c>
      <c r="EX47" s="1701"/>
      <c r="EY47" s="1701"/>
      <c r="EZ47" s="1701"/>
      <c r="FA47" s="1701"/>
      <c r="FB47" s="1701"/>
      <c r="FC47" s="1701"/>
      <c r="FD47" s="1701"/>
      <c r="FE47" s="1701"/>
      <c r="FF47" s="1701"/>
      <c r="FG47" s="1701"/>
      <c r="FH47" s="1701" t="s">
        <v>89</v>
      </c>
      <c r="FI47" s="1701"/>
      <c r="FJ47" s="1701"/>
      <c r="FK47" s="1701"/>
      <c r="FL47" s="1701" t="s">
        <v>89</v>
      </c>
      <c r="FM47" s="1701"/>
      <c r="FN47" s="1701"/>
      <c r="FO47" s="1701"/>
      <c r="FP47" s="1701" t="s">
        <v>89</v>
      </c>
      <c r="FQ47" s="1701"/>
      <c r="FR47" s="1701"/>
      <c r="FS47" s="1701"/>
      <c r="FT47" s="1701" t="s">
        <v>89</v>
      </c>
      <c r="FU47" s="1701"/>
      <c r="FV47" s="1701"/>
      <c r="FW47" s="1701"/>
      <c r="FX47" s="1701"/>
      <c r="FY47" s="1701"/>
      <c r="FZ47" s="1701"/>
      <c r="GA47" s="1701"/>
      <c r="GB47" s="1701" t="s">
        <v>89</v>
      </c>
      <c r="GC47" s="1701"/>
      <c r="GD47" s="1701"/>
      <c r="GE47" s="1701" t="s">
        <v>89</v>
      </c>
      <c r="GF47" s="1701"/>
      <c r="GG47" s="1701"/>
      <c r="GH47" s="1701"/>
      <c r="GI47" s="1701"/>
      <c r="GJ47" s="1701"/>
      <c r="GK47" s="1701"/>
      <c r="GL47" s="1701"/>
      <c r="GM47" s="1701"/>
      <c r="GN47" s="1701"/>
      <c r="GO47" s="1701"/>
      <c r="GP47" s="1701"/>
      <c r="GQ47" s="1701"/>
      <c r="GR47" s="1701"/>
      <c r="GS47" s="1701" t="s">
        <v>89</v>
      </c>
      <c r="GT47" s="1701"/>
      <c r="GU47" s="1701"/>
      <c r="GV47" s="1701"/>
      <c r="GW47" s="1701"/>
      <c r="GX47" s="1701"/>
      <c r="GY47" s="1701"/>
      <c r="GZ47" s="1701"/>
      <c r="HA47" s="1701"/>
      <c r="HB47" s="1703"/>
      <c r="HC47" s="1701"/>
      <c r="HD47" s="1701" t="s">
        <v>89</v>
      </c>
      <c r="HE47" s="1701"/>
      <c r="HF47" s="1701"/>
      <c r="HG47" s="1701"/>
      <c r="HH47" s="1701"/>
      <c r="HI47" s="1701"/>
      <c r="HJ47" s="1701"/>
      <c r="HK47" s="1701"/>
      <c r="HL47" s="1703" t="s">
        <v>89</v>
      </c>
      <c r="HM47" s="1701"/>
      <c r="HN47" s="1701"/>
      <c r="HO47" s="1701"/>
      <c r="HP47" s="1701"/>
      <c r="HQ47" s="1701"/>
      <c r="HR47" s="1701"/>
      <c r="HS47" s="1701"/>
      <c r="HT47" s="1701"/>
      <c r="HU47" s="1703"/>
      <c r="HV47" s="1701"/>
      <c r="HW47" s="1701"/>
      <c r="HX47" s="1701"/>
      <c r="HY47" s="1688"/>
      <c r="HZ47" s="1688"/>
      <c r="IA47" s="1688"/>
      <c r="IB47" s="1688"/>
      <c r="IC47" s="1688"/>
      <c r="ID47" s="1688"/>
      <c r="IE47" s="1688"/>
      <c r="IF47" s="1688"/>
      <c r="IG47" s="1688"/>
      <c r="IH47" s="1688"/>
      <c r="II47" s="1688"/>
      <c r="IJ47" s="1688"/>
      <c r="IK47" s="1688"/>
      <c r="IL47" s="1688"/>
      <c r="IM47" s="1688"/>
      <c r="IN47" s="1688"/>
      <c r="IO47" s="1688"/>
      <c r="IP47" s="1688"/>
      <c r="IQ47" s="1688"/>
      <c r="IR47" s="1688"/>
      <c r="IS47" s="1688"/>
      <c r="IT47" s="1688"/>
      <c r="IU47" s="1688"/>
      <c r="IV47" s="1688"/>
    </row>
    <row r="48" spans="8:8" ht="20.0" customHeight="1">
      <c r="A48" s="1700" t="s">
        <v>75</v>
      </c>
      <c r="B48" s="1701"/>
      <c r="C48" s="1701" t="str">
        <f>IF(ISTEXT(_xlfn.IFERROR(VLOOKUP(A48,职业列表!I3:J10,1,FALSE),0)),"★","")</f>
        <v/>
      </c>
      <c r="D48" s="1703"/>
      <c r="E48" s="1701"/>
      <c r="F48" s="1701"/>
      <c r="G48" s="1701"/>
      <c r="H48" s="1701"/>
      <c r="I48" s="1701"/>
      <c r="J48" s="1701"/>
      <c r="K48" s="1701"/>
      <c r="L48" s="1703" t="s">
        <v>89</v>
      </c>
      <c r="M48" s="1701" t="s">
        <v>1326</v>
      </c>
      <c r="N48" s="1701"/>
      <c r="O48" s="1701"/>
      <c r="P48" s="1701"/>
      <c r="Q48" s="1701"/>
      <c r="R48" s="1701"/>
      <c r="S48" s="1701"/>
      <c r="T48" s="1703" t="s">
        <v>89</v>
      </c>
      <c r="U48" s="1701"/>
      <c r="V48" s="1701"/>
      <c r="W48" s="1701"/>
      <c r="X48" s="1701"/>
      <c r="Y48" s="1701"/>
      <c r="Z48" s="1701"/>
      <c r="AA48" s="1701"/>
      <c r="AB48" s="1701"/>
      <c r="AC48" s="1701"/>
      <c r="AD48" s="1701"/>
      <c r="AE48" s="1701"/>
      <c r="AF48" s="1701"/>
      <c r="AG48" s="1701"/>
      <c r="AH48" s="1701"/>
      <c r="AI48" s="1701"/>
      <c r="AJ48" s="1701"/>
      <c r="AK48" s="1701"/>
      <c r="AL48" s="1701"/>
      <c r="AM48" s="1703" t="s">
        <v>89</v>
      </c>
      <c r="AN48" s="1701"/>
      <c r="AO48" s="1701"/>
      <c r="AP48" s="1701"/>
      <c r="AQ48" s="1701"/>
      <c r="AR48" s="1701"/>
      <c r="AS48" s="1701"/>
      <c r="AT48" s="1701"/>
      <c r="AU48" s="1703" t="s">
        <v>89</v>
      </c>
      <c r="AV48" s="1703" t="s">
        <v>89</v>
      </c>
      <c r="AW48" s="1703" t="s">
        <v>89</v>
      </c>
      <c r="AX48" s="1703" t="s">
        <v>89</v>
      </c>
      <c r="AY48" s="1701"/>
      <c r="AZ48" s="1701"/>
      <c r="BA48" s="1701"/>
      <c r="BB48" s="1701"/>
      <c r="BC48" s="1703" t="s">
        <v>89</v>
      </c>
      <c r="BD48" s="1714"/>
      <c r="BE48" s="1701"/>
      <c r="BF48" s="1701"/>
      <c r="BG48" s="1701"/>
      <c r="BH48" s="1701"/>
      <c r="BI48" s="1701"/>
      <c r="BJ48" s="1701"/>
      <c r="BK48" s="1701"/>
      <c r="BL48" s="1703" t="s">
        <v>89</v>
      </c>
      <c r="BM48" s="1703" t="s">
        <v>89</v>
      </c>
      <c r="BN48" s="1701"/>
      <c r="BO48" s="1701"/>
      <c r="BP48" s="1701"/>
      <c r="BQ48" s="1701"/>
      <c r="BR48" s="1701"/>
      <c r="BS48" s="1701"/>
      <c r="BT48" s="1701"/>
      <c r="BU48" s="1701"/>
      <c r="BV48" s="1701"/>
      <c r="BW48" s="1701"/>
      <c r="BX48" s="1701"/>
      <c r="BY48" s="1703" t="s">
        <v>89</v>
      </c>
      <c r="BZ48" s="1701"/>
      <c r="CA48" s="1703" t="s">
        <v>89</v>
      </c>
      <c r="CB48" s="1701"/>
      <c r="CC48" s="1701"/>
      <c r="CD48" s="1701"/>
      <c r="CE48" s="1701"/>
      <c r="CF48" s="1703" t="s">
        <v>89</v>
      </c>
      <c r="CG48" s="1701"/>
      <c r="CH48" s="1701"/>
      <c r="CI48" s="1701"/>
      <c r="CJ48" s="1701"/>
      <c r="CK48" s="1703" t="s">
        <v>89</v>
      </c>
      <c r="CL48" s="1703" t="s">
        <v>89</v>
      </c>
      <c r="CM48" s="1701"/>
      <c r="CN48" s="1701"/>
      <c r="CO48" s="1701"/>
      <c r="CP48" s="1701"/>
      <c r="CQ48" s="1703" t="s">
        <v>89</v>
      </c>
      <c r="CR48" s="1701"/>
      <c r="CS48" s="1701"/>
      <c r="CT48" s="1701"/>
      <c r="CU48" s="1701"/>
      <c r="CV48" s="1703" t="s">
        <v>89</v>
      </c>
      <c r="CW48" s="1703" t="s">
        <v>89</v>
      </c>
      <c r="CX48" s="1701"/>
      <c r="CY48" s="1701"/>
      <c r="CZ48" s="1701"/>
      <c r="DA48" s="1701"/>
      <c r="DB48" s="1701"/>
      <c r="DC48" s="1701"/>
      <c r="DD48" s="1701"/>
      <c r="DE48" s="1701"/>
      <c r="DF48" s="1701"/>
      <c r="DG48" s="1701"/>
      <c r="DH48" s="1701"/>
      <c r="DI48" s="1701"/>
      <c r="DJ48" s="1701"/>
      <c r="DK48" s="1701"/>
      <c r="DL48" s="1701"/>
      <c r="DM48" s="1701"/>
      <c r="DN48" s="1701"/>
      <c r="DO48" s="1701"/>
      <c r="DP48" s="1701"/>
      <c r="DQ48" s="1701"/>
      <c r="DR48" s="1701"/>
      <c r="DS48" s="1701"/>
      <c r="DT48" s="1701"/>
      <c r="DU48" s="1701"/>
      <c r="DV48" s="1701"/>
      <c r="DW48" s="1701"/>
      <c r="DX48" s="1701"/>
      <c r="DY48" s="1701"/>
      <c r="DZ48" s="1701"/>
      <c r="EA48" s="1701"/>
      <c r="EB48" s="1701"/>
      <c r="EC48" s="1701"/>
      <c r="ED48" s="1701"/>
      <c r="EE48" s="1701"/>
      <c r="EF48" s="1701"/>
      <c r="EG48" s="1701"/>
      <c r="EH48" s="1701"/>
      <c r="EI48" s="1701" t="s">
        <v>89</v>
      </c>
      <c r="EJ48" s="1701"/>
      <c r="EK48" s="1701"/>
      <c r="EL48" s="1701"/>
      <c r="EM48" s="1701"/>
      <c r="EN48" s="1701"/>
      <c r="EO48" s="1701"/>
      <c r="EP48" s="1701"/>
      <c r="EQ48" s="1701"/>
      <c r="ER48" s="1701"/>
      <c r="ES48" s="1701" t="s">
        <v>89</v>
      </c>
      <c r="ET48" s="1701"/>
      <c r="EU48" s="1701"/>
      <c r="EV48" s="1701"/>
      <c r="EW48" s="1701" t="s">
        <v>89</v>
      </c>
      <c r="EX48" s="1701"/>
      <c r="EY48" s="1701"/>
      <c r="EZ48" s="1701"/>
      <c r="FA48" s="1701"/>
      <c r="FB48" s="1701"/>
      <c r="FC48" s="1701"/>
      <c r="FD48" s="1701"/>
      <c r="FE48" s="1701"/>
      <c r="FF48" s="1701"/>
      <c r="FG48" s="1701"/>
      <c r="FH48" s="1701"/>
      <c r="FI48" s="1701"/>
      <c r="FJ48" s="1701"/>
      <c r="FK48" s="1701"/>
      <c r="FL48" s="1701"/>
      <c r="FM48" s="1701"/>
      <c r="FN48" s="1701"/>
      <c r="FO48" s="1701"/>
      <c r="FP48" s="1701" t="s">
        <v>89</v>
      </c>
      <c r="FQ48" s="1701"/>
      <c r="FR48" s="1701"/>
      <c r="FS48" s="1701"/>
      <c r="FT48" s="1701"/>
      <c r="FU48" s="1701"/>
      <c r="FV48" s="1701"/>
      <c r="FW48" s="1701"/>
      <c r="FX48" s="1701" t="s">
        <v>89</v>
      </c>
      <c r="FY48" s="1701"/>
      <c r="FZ48" s="1701"/>
      <c r="GA48" s="1701" t="s">
        <v>89</v>
      </c>
      <c r="GB48" s="1701" t="s">
        <v>89</v>
      </c>
      <c r="GC48" s="1701"/>
      <c r="GD48" s="1701"/>
      <c r="GE48" s="1701" t="s">
        <v>89</v>
      </c>
      <c r="GF48" s="1701"/>
      <c r="GG48" s="1701"/>
      <c r="GH48" s="1701"/>
      <c r="GI48" s="1701"/>
      <c r="GJ48" s="1701"/>
      <c r="GK48" s="1701"/>
      <c r="GL48" s="1701"/>
      <c r="GM48" s="1701"/>
      <c r="GN48" s="1701"/>
      <c r="GO48" s="1701"/>
      <c r="GP48" s="1701"/>
      <c r="GQ48" s="1701"/>
      <c r="GR48" s="1701"/>
      <c r="GS48" s="1701"/>
      <c r="GT48" s="1701"/>
      <c r="GU48" s="1701"/>
      <c r="GV48" s="1701"/>
      <c r="GW48" s="1701"/>
      <c r="GX48" s="1701"/>
      <c r="GY48" s="1701"/>
      <c r="GZ48" s="1701"/>
      <c r="HA48" s="1701"/>
      <c r="HB48" s="1701"/>
      <c r="HC48" s="1701"/>
      <c r="HD48" s="1703" t="s">
        <v>89</v>
      </c>
      <c r="HE48" s="1701"/>
      <c r="HF48" s="1701"/>
      <c r="HG48" s="1701"/>
      <c r="HH48" s="1701"/>
      <c r="HI48" s="1701"/>
      <c r="HJ48" s="1701"/>
      <c r="HK48" s="1702" t="s">
        <v>89</v>
      </c>
      <c r="HL48" s="1703" t="s">
        <v>89</v>
      </c>
      <c r="HM48" s="1701"/>
      <c r="HN48" s="1701"/>
      <c r="HO48" s="1701"/>
      <c r="HP48" s="1701"/>
      <c r="HQ48" s="1701"/>
      <c r="HR48" s="1701"/>
      <c r="HS48" s="1701"/>
      <c r="HT48" s="1701"/>
      <c r="HU48" s="1701"/>
      <c r="HV48" s="1701"/>
      <c r="HW48" s="1701"/>
      <c r="HX48" s="1702" t="s">
        <v>89</v>
      </c>
      <c r="HY48" s="1688"/>
      <c r="HZ48" s="1688"/>
      <c r="IA48" s="1688"/>
      <c r="IB48" s="1688"/>
      <c r="IC48" s="1688"/>
      <c r="ID48" s="1688"/>
      <c r="IE48" s="1688"/>
      <c r="IF48" s="1688"/>
      <c r="IG48" s="1688"/>
      <c r="IH48" s="1688"/>
      <c r="II48" s="1688"/>
      <c r="IJ48" s="1688"/>
      <c r="IK48" s="1688"/>
      <c r="IL48" s="1688"/>
      <c r="IM48" s="1688"/>
      <c r="IN48" s="1688"/>
      <c r="IO48" s="1688"/>
      <c r="IP48" s="1688"/>
      <c r="IQ48" s="1688"/>
      <c r="IR48" s="1688"/>
      <c r="IS48" s="1688"/>
      <c r="IT48" s="1688"/>
      <c r="IU48" s="1688"/>
      <c r="IV48" s="1688"/>
    </row>
    <row r="49" spans="8:8" ht="20.0" customHeight="1">
      <c r="A49" s="1700" t="s">
        <v>78</v>
      </c>
      <c r="B49" s="1701"/>
      <c r="C49" s="1701" t="str">
        <f>IF(ISTEXT(_xlfn.IFERROR(VLOOKUP(A49,职业列表!I3:J10,1,FALSE),0)),"★","")</f>
        <v/>
      </c>
      <c r="D49" s="1703"/>
      <c r="E49" s="1701"/>
      <c r="F49" s="1701"/>
      <c r="G49" s="1701"/>
      <c r="H49" s="1701"/>
      <c r="I49" s="1701"/>
      <c r="J49" s="1701"/>
      <c r="K49" s="1701"/>
      <c r="L49" s="1701"/>
      <c r="M49" s="1701"/>
      <c r="N49" s="1701"/>
      <c r="O49" s="1701"/>
      <c r="P49" s="1701"/>
      <c r="Q49" s="1701"/>
      <c r="R49" s="1701" t="s">
        <v>1326</v>
      </c>
      <c r="S49" s="1701"/>
      <c r="T49" s="1701"/>
      <c r="U49" s="1701"/>
      <c r="V49" s="1701"/>
      <c r="W49" s="1701"/>
      <c r="X49" s="1701"/>
      <c r="Y49" s="1701"/>
      <c r="Z49" s="1701"/>
      <c r="AA49" s="1701"/>
      <c r="AB49" s="1701"/>
      <c r="AC49" s="1701"/>
      <c r="AD49" s="1701"/>
      <c r="AE49" s="1701"/>
      <c r="AF49" s="1701"/>
      <c r="AG49" s="1701"/>
      <c r="AH49" s="1701"/>
      <c r="AI49" s="1701"/>
      <c r="AJ49" s="1701"/>
      <c r="AK49" s="1701"/>
      <c r="AL49" s="1701"/>
      <c r="AM49" s="1701"/>
      <c r="AN49" s="1701"/>
      <c r="AO49" s="1703" t="s">
        <v>89</v>
      </c>
      <c r="AP49" s="1703" t="s">
        <v>89</v>
      </c>
      <c r="AQ49" s="1701"/>
      <c r="AR49" s="1701"/>
      <c r="AS49" s="1701"/>
      <c r="AT49" s="1701"/>
      <c r="AU49" s="1701"/>
      <c r="AV49" s="1701"/>
      <c r="AW49" s="1701"/>
      <c r="AX49" s="1701"/>
      <c r="AY49" s="1701"/>
      <c r="AZ49" s="1701"/>
      <c r="BA49" s="1701"/>
      <c r="BB49" s="1701"/>
      <c r="BC49" s="1701"/>
      <c r="BD49" s="1701"/>
      <c r="BE49" s="1701"/>
      <c r="BF49" s="1701"/>
      <c r="BG49" s="1701"/>
      <c r="BH49" s="1701"/>
      <c r="BI49" s="1701"/>
      <c r="BJ49" s="1701"/>
      <c r="BK49" s="1701"/>
      <c r="BL49" s="1701"/>
      <c r="BM49" s="1701"/>
      <c r="BN49" s="1701"/>
      <c r="BO49" s="1701"/>
      <c r="BP49" s="1701"/>
      <c r="BQ49" s="1701"/>
      <c r="BR49" s="1701"/>
      <c r="BS49" s="1701"/>
      <c r="BT49" s="1701"/>
      <c r="BU49" s="1701"/>
      <c r="BV49" s="1701"/>
      <c r="BW49" s="1701"/>
      <c r="BX49" s="1701"/>
      <c r="BY49" s="1701"/>
      <c r="BZ49" s="1701"/>
      <c r="CA49" s="1701"/>
      <c r="CB49" s="1703" t="s">
        <v>89</v>
      </c>
      <c r="CC49" s="1701"/>
      <c r="CD49" s="1701"/>
      <c r="CE49" s="1703" t="s">
        <v>89</v>
      </c>
      <c r="CF49" s="1701"/>
      <c r="CG49" s="1703" t="s">
        <v>89</v>
      </c>
      <c r="CH49" s="1701"/>
      <c r="CI49" s="1701"/>
      <c r="CJ49" s="1701"/>
      <c r="CK49" s="1701"/>
      <c r="CL49" s="1701"/>
      <c r="CM49" s="1701"/>
      <c r="CN49" s="1701"/>
      <c r="CO49" s="1701"/>
      <c r="CP49" s="1701"/>
      <c r="CQ49" s="1701"/>
      <c r="CR49" s="1701"/>
      <c r="CS49" s="1701"/>
      <c r="CT49" s="1701"/>
      <c r="CU49" s="1701"/>
      <c r="CV49" s="1701"/>
      <c r="CW49" s="1701"/>
      <c r="CX49" s="1701"/>
      <c r="CY49" s="1701"/>
      <c r="CZ49" s="1701"/>
      <c r="DA49" s="1701"/>
      <c r="DB49" s="1701"/>
      <c r="DC49" s="1701"/>
      <c r="DD49" s="1701"/>
      <c r="DE49" s="1701"/>
      <c r="DF49" s="1703" t="s">
        <v>89</v>
      </c>
      <c r="DG49" s="1703" t="s">
        <v>89</v>
      </c>
      <c r="DH49" s="1701"/>
      <c r="DI49" s="1701"/>
      <c r="DJ49" s="1701"/>
      <c r="DK49" s="1701"/>
      <c r="DL49" s="1701"/>
      <c r="DM49" s="1701"/>
      <c r="DN49" s="1701"/>
      <c r="DO49" s="1701"/>
      <c r="DP49" s="1701"/>
      <c r="DQ49" s="1701"/>
      <c r="DR49" s="1701"/>
      <c r="DS49" s="1701"/>
      <c r="DT49" s="1701"/>
      <c r="DU49" s="1701" t="s">
        <v>89</v>
      </c>
      <c r="DV49" s="1701"/>
      <c r="DW49" s="1701" t="s">
        <v>89</v>
      </c>
      <c r="DX49" s="1701"/>
      <c r="DY49" s="1701"/>
      <c r="DZ49" s="1701"/>
      <c r="EA49" s="1701"/>
      <c r="EB49" s="1701"/>
      <c r="EC49" s="1701"/>
      <c r="ED49" s="1701"/>
      <c r="EE49" s="1701"/>
      <c r="EF49" s="1701"/>
      <c r="EG49" s="1701"/>
      <c r="EH49" s="1701"/>
      <c r="EI49" s="1701"/>
      <c r="EJ49" s="1701"/>
      <c r="EK49" s="1701"/>
      <c r="EL49" s="1701"/>
      <c r="EM49" s="1701"/>
      <c r="EN49" s="1701"/>
      <c r="EO49" s="1701"/>
      <c r="EP49" s="1701"/>
      <c r="EQ49" s="1701"/>
      <c r="ER49" s="1701"/>
      <c r="ES49" s="1701"/>
      <c r="ET49" s="1701"/>
      <c r="EU49" s="1701"/>
      <c r="EV49" s="1701"/>
      <c r="EW49" s="1701"/>
      <c r="EX49" s="1701"/>
      <c r="EY49" s="1701"/>
      <c r="EZ49" s="1701"/>
      <c r="FA49" s="1701"/>
      <c r="FB49" s="1701"/>
      <c r="FC49" s="1701"/>
      <c r="FD49" s="1701"/>
      <c r="FE49" s="1701"/>
      <c r="FF49" s="1701" t="s">
        <v>89</v>
      </c>
      <c r="FG49" s="1701" t="s">
        <v>89</v>
      </c>
      <c r="FH49" s="1701" t="s">
        <v>89</v>
      </c>
      <c r="FI49" s="1701"/>
      <c r="FJ49" s="1701" t="s">
        <v>89</v>
      </c>
      <c r="FK49" s="1701" t="s">
        <v>89</v>
      </c>
      <c r="FL49" s="1701" t="s">
        <v>89</v>
      </c>
      <c r="FM49" s="1701"/>
      <c r="FN49" s="1701"/>
      <c r="FO49" s="1701"/>
      <c r="FP49" s="1701"/>
      <c r="FQ49" s="1701"/>
      <c r="FR49" s="1701"/>
      <c r="FS49" s="1701"/>
      <c r="FT49" s="1701"/>
      <c r="FU49" s="1701"/>
      <c r="FV49" s="1701"/>
      <c r="FW49" s="1701"/>
      <c r="FX49" s="1701"/>
      <c r="FY49" s="1701"/>
      <c r="FZ49" s="1701"/>
      <c r="GA49" s="1701"/>
      <c r="GB49" s="1701"/>
      <c r="GC49" s="1701"/>
      <c r="GD49" s="1701"/>
      <c r="GE49" s="1701"/>
      <c r="GF49" s="1701"/>
      <c r="GG49" s="1701"/>
      <c r="GH49" s="1701"/>
      <c r="GI49" s="1701"/>
      <c r="GJ49" s="1701"/>
      <c r="GK49" s="1701"/>
      <c r="GL49" s="1701"/>
      <c r="GM49" s="1701"/>
      <c r="GN49" s="1701"/>
      <c r="GO49" s="1701"/>
      <c r="GP49" s="1701" t="s">
        <v>89</v>
      </c>
      <c r="GQ49" s="1701" t="s">
        <v>89</v>
      </c>
      <c r="GR49" s="1701"/>
      <c r="GS49" s="1701"/>
      <c r="GT49" s="1701"/>
      <c r="GU49" s="1701"/>
      <c r="GV49" s="1701"/>
      <c r="GW49" s="1701"/>
      <c r="GX49" s="1701"/>
      <c r="GY49" s="1701"/>
      <c r="GZ49" s="1701"/>
      <c r="HA49" s="1701"/>
      <c r="HB49" s="1701"/>
      <c r="HC49" s="1701"/>
      <c r="HD49" s="1701"/>
      <c r="HE49" s="1701"/>
      <c r="HF49" s="1701"/>
      <c r="HG49" s="1701"/>
      <c r="HH49" s="1701"/>
      <c r="HI49" s="1701"/>
      <c r="HJ49" s="1701"/>
      <c r="HK49" s="1701"/>
      <c r="HL49" s="1701"/>
      <c r="HM49" s="1701"/>
      <c r="HN49" s="1701"/>
      <c r="HO49" s="1701"/>
      <c r="HP49" s="1701"/>
      <c r="HQ49" s="1701"/>
      <c r="HR49" s="1701"/>
      <c r="HS49" s="1701"/>
      <c r="HT49" s="1701"/>
      <c r="HU49" s="1701"/>
      <c r="HV49" s="1701"/>
      <c r="HW49" s="1701"/>
      <c r="HX49" s="1701"/>
      <c r="HY49" s="1688"/>
      <c r="HZ49" s="1688"/>
      <c r="IA49" s="1688"/>
      <c r="IB49" s="1688"/>
      <c r="IC49" s="1688"/>
      <c r="ID49" s="1688"/>
      <c r="IE49" s="1688"/>
      <c r="IF49" s="1688"/>
      <c r="IG49" s="1688"/>
      <c r="IH49" s="1688"/>
      <c r="II49" s="1688"/>
      <c r="IJ49" s="1688"/>
      <c r="IK49" s="1688"/>
      <c r="IL49" s="1688"/>
      <c r="IM49" s="1688"/>
      <c r="IN49" s="1688"/>
      <c r="IO49" s="1688"/>
      <c r="IP49" s="1688"/>
      <c r="IQ49" s="1688"/>
      <c r="IR49" s="1688"/>
      <c r="IS49" s="1688"/>
      <c r="IT49" s="1688"/>
      <c r="IU49" s="1688"/>
      <c r="IV49" s="1688"/>
    </row>
    <row r="50" spans="8:8" ht="20.0" customHeight="1">
      <c r="A50" s="1700" t="s">
        <v>83</v>
      </c>
      <c r="B50" s="1701"/>
      <c r="C50" s="1701" t="str">
        <f>IF(ISTEXT(_xlfn.IFERROR(VLOOKUP(A50,职业列表!I3:J10,1,FALSE),0)),"★","")</f>
        <v/>
      </c>
      <c r="D50" s="1703"/>
      <c r="E50" s="1701"/>
      <c r="F50" s="1701"/>
      <c r="G50" s="1701"/>
      <c r="H50" s="1701"/>
      <c r="I50" s="1701"/>
      <c r="J50" s="1701"/>
      <c r="K50" s="1701"/>
      <c r="L50" s="1701"/>
      <c r="M50" s="1701"/>
      <c r="N50" s="1701"/>
      <c r="O50" s="1701"/>
      <c r="P50" s="1701"/>
      <c r="Q50" s="1701"/>
      <c r="R50" s="1701"/>
      <c r="S50" s="1701"/>
      <c r="T50" s="1701"/>
      <c r="U50" s="1701"/>
      <c r="V50" s="1701"/>
      <c r="W50" s="1701"/>
      <c r="X50" s="1701"/>
      <c r="Y50" s="1701"/>
      <c r="Z50" s="1701"/>
      <c r="AA50" s="1701"/>
      <c r="AB50" s="1701"/>
      <c r="AC50" s="1701"/>
      <c r="AD50" s="1703"/>
      <c r="AE50" s="1703" t="s">
        <v>89</v>
      </c>
      <c r="AF50" s="1701"/>
      <c r="AG50" s="1701"/>
      <c r="AH50" s="1701"/>
      <c r="AI50" s="1701"/>
      <c r="AJ50" s="1701"/>
      <c r="AK50" s="1701"/>
      <c r="AL50" s="1701"/>
      <c r="AM50" s="1701"/>
      <c r="AN50" s="1701"/>
      <c r="AO50" s="1701"/>
      <c r="AP50" s="1701"/>
      <c r="AQ50" s="1701"/>
      <c r="AR50" s="1701"/>
      <c r="AS50" s="1701"/>
      <c r="AT50" s="1701"/>
      <c r="AU50" s="1701"/>
      <c r="AV50" s="1701"/>
      <c r="AW50" s="1701"/>
      <c r="AX50" s="1701"/>
      <c r="AY50" s="1701"/>
      <c r="AZ50" s="1701"/>
      <c r="BA50" s="1703" t="s">
        <v>89</v>
      </c>
      <c r="BB50" s="1701"/>
      <c r="BC50" s="1701"/>
      <c r="BD50" s="1703" t="s">
        <v>89</v>
      </c>
      <c r="BE50" s="1701"/>
      <c r="BF50" s="1703" t="s">
        <v>89</v>
      </c>
      <c r="BG50" s="1701"/>
      <c r="BH50" s="1701"/>
      <c r="BI50" s="1701"/>
      <c r="BJ50" s="1701"/>
      <c r="BK50" s="1701"/>
      <c r="BL50" s="1701"/>
      <c r="BM50" s="1701"/>
      <c r="BN50" s="1701"/>
      <c r="BO50" s="1701"/>
      <c r="BP50" s="1701"/>
      <c r="BQ50" s="1701"/>
      <c r="BR50" s="1701"/>
      <c r="BS50" s="1703" t="s">
        <v>89</v>
      </c>
      <c r="BT50" s="1701"/>
      <c r="BU50" s="1703" t="s">
        <v>89</v>
      </c>
      <c r="BV50" s="1701"/>
      <c r="BW50" s="1701"/>
      <c r="BX50" s="1703" t="s">
        <v>89</v>
      </c>
      <c r="BY50" s="1701"/>
      <c r="BZ50" s="1701"/>
      <c r="CA50" s="1701"/>
      <c r="CB50" s="1701"/>
      <c r="CC50" s="1701"/>
      <c r="CD50" s="1701"/>
      <c r="CE50" s="1701"/>
      <c r="CF50" s="1701"/>
      <c r="CG50" s="1701"/>
      <c r="CH50" s="1701"/>
      <c r="CI50" s="1701"/>
      <c r="CJ50" s="1701"/>
      <c r="CK50" s="1703" t="s">
        <v>89</v>
      </c>
      <c r="CL50" s="1701"/>
      <c r="CM50" s="1701"/>
      <c r="CN50" s="1701"/>
      <c r="CO50" s="1701"/>
      <c r="CP50" s="1701"/>
      <c r="CQ50" s="1701"/>
      <c r="CR50" s="1701"/>
      <c r="CS50" s="1701"/>
      <c r="CT50" s="1701"/>
      <c r="CU50" s="1701"/>
      <c r="CV50" s="1701"/>
      <c r="CW50" s="1701"/>
      <c r="CX50" s="1701"/>
      <c r="CY50" s="1701"/>
      <c r="CZ50" s="1701"/>
      <c r="DA50" s="1701"/>
      <c r="DB50" s="1701"/>
      <c r="DC50" s="1701"/>
      <c r="DD50" s="1701"/>
      <c r="DE50" s="1701"/>
      <c r="DF50" s="1701"/>
      <c r="DG50" s="1701"/>
      <c r="DH50" s="1703" t="s">
        <v>89</v>
      </c>
      <c r="DI50" s="1701"/>
      <c r="DJ50" s="1701"/>
      <c r="DK50" s="1701"/>
      <c r="DL50" s="1701"/>
      <c r="DM50" s="1701"/>
      <c r="DN50" s="1701"/>
      <c r="DO50" s="1701"/>
      <c r="DP50" s="1701"/>
      <c r="DQ50" s="1701"/>
      <c r="DR50" s="1701"/>
      <c r="DS50" s="1701"/>
      <c r="DT50" s="1701"/>
      <c r="DU50" s="1701"/>
      <c r="DV50" s="1701"/>
      <c r="DW50" s="1701"/>
      <c r="DX50" s="1701"/>
      <c r="DY50" s="1701"/>
      <c r="DZ50" s="1701"/>
      <c r="EA50" s="1701"/>
      <c r="EB50" s="1701"/>
      <c r="EC50" s="1701"/>
      <c r="ED50" s="1701"/>
      <c r="EE50" s="1701"/>
      <c r="EF50" s="1701"/>
      <c r="EG50" s="1701"/>
      <c r="EH50" s="1701"/>
      <c r="EI50" s="1701"/>
      <c r="EJ50" s="1701"/>
      <c r="EK50" s="1701"/>
      <c r="EL50" s="1701"/>
      <c r="EM50" s="1701"/>
      <c r="EN50" s="1701" t="s">
        <v>89</v>
      </c>
      <c r="EO50" s="1701"/>
      <c r="EP50" s="1701"/>
      <c r="EQ50" s="1701"/>
      <c r="ER50" s="1701"/>
      <c r="ES50" s="1701"/>
      <c r="ET50" s="1701"/>
      <c r="EU50" s="1701"/>
      <c r="EV50" s="1701"/>
      <c r="EW50" s="1701"/>
      <c r="EX50" s="1701"/>
      <c r="EY50" s="1701"/>
      <c r="EZ50" s="1701"/>
      <c r="FA50" s="1701"/>
      <c r="FB50" s="1701"/>
      <c r="FC50" s="1701"/>
      <c r="FD50" s="1701"/>
      <c r="FE50" s="1701"/>
      <c r="FF50" s="1701"/>
      <c r="FG50" s="1701"/>
      <c r="FH50" s="1701"/>
      <c r="FI50" s="1701"/>
      <c r="FJ50" s="1701"/>
      <c r="FK50" s="1701"/>
      <c r="FL50" s="1701"/>
      <c r="FM50" s="1701"/>
      <c r="FN50" s="1701"/>
      <c r="FO50" s="1701"/>
      <c r="FP50" s="1701" t="s">
        <v>89</v>
      </c>
      <c r="FQ50" s="1701"/>
      <c r="FR50" s="1701"/>
      <c r="FS50" s="1701"/>
      <c r="FT50" s="1701"/>
      <c r="FU50" s="1701"/>
      <c r="FV50" s="1701"/>
      <c r="FW50" s="1701"/>
      <c r="FX50" s="1701"/>
      <c r="FY50" s="1701"/>
      <c r="FZ50" s="1701"/>
      <c r="GA50" s="1701"/>
      <c r="GB50" s="1701"/>
      <c r="GC50" s="1701"/>
      <c r="GD50" s="1701"/>
      <c r="GE50" s="1701"/>
      <c r="GF50" s="1701"/>
      <c r="GG50" s="1701"/>
      <c r="GH50" s="1701"/>
      <c r="GI50" s="1701"/>
      <c r="GJ50" s="1701"/>
      <c r="GK50" s="1701"/>
      <c r="GL50" s="1701"/>
      <c r="GM50" s="1701"/>
      <c r="GN50" s="1701"/>
      <c r="GO50" s="1701"/>
      <c r="GP50" s="1701"/>
      <c r="GQ50" s="1701"/>
      <c r="GR50" s="1701" t="s">
        <v>89</v>
      </c>
      <c r="GS50" s="1701"/>
      <c r="GT50" s="1701"/>
      <c r="GU50" s="1701"/>
      <c r="GV50" s="1701"/>
      <c r="GW50" s="1701"/>
      <c r="GX50" s="1701"/>
      <c r="GY50" s="1701"/>
      <c r="GZ50" s="1701"/>
      <c r="HA50" s="1701"/>
      <c r="HB50" s="1701"/>
      <c r="HC50" s="1701"/>
      <c r="HD50" s="1701"/>
      <c r="HE50" s="1701"/>
      <c r="HF50" s="1701"/>
      <c r="HG50" s="1701"/>
      <c r="HH50" s="1701"/>
      <c r="HI50" s="1701"/>
      <c r="HJ50" s="1701"/>
      <c r="HK50" s="1701"/>
      <c r="HL50" s="1701"/>
      <c r="HM50" s="1701"/>
      <c r="HN50" s="1701"/>
      <c r="HO50" s="1702" t="s">
        <v>89</v>
      </c>
      <c r="HP50" s="1701"/>
      <c r="HQ50" s="1701"/>
      <c r="HR50" s="1701"/>
      <c r="HS50" s="1701"/>
      <c r="HT50" s="1701"/>
      <c r="HU50" s="1701"/>
      <c r="HV50" s="1703"/>
      <c r="HW50" s="1703"/>
      <c r="HX50" s="1701"/>
      <c r="HY50" s="1688"/>
      <c r="HZ50" s="1688"/>
      <c r="IA50" s="1688"/>
      <c r="IB50" s="1688"/>
      <c r="IC50" s="1688"/>
      <c r="ID50" s="1688"/>
      <c r="IE50" s="1688"/>
      <c r="IF50" s="1688"/>
      <c r="IG50" s="1688"/>
      <c r="IH50" s="1688"/>
      <c r="II50" s="1688"/>
      <c r="IJ50" s="1688"/>
      <c r="IK50" s="1688"/>
      <c r="IL50" s="1688"/>
      <c r="IM50" s="1688"/>
      <c r="IN50" s="1688"/>
      <c r="IO50" s="1688"/>
      <c r="IP50" s="1688"/>
      <c r="IQ50" s="1688"/>
      <c r="IR50" s="1688"/>
      <c r="IS50" s="1688"/>
      <c r="IT50" s="1688"/>
      <c r="IU50" s="1688"/>
      <c r="IV50" s="1688"/>
    </row>
    <row r="51" spans="8:8" s="1716" ht="20.0" customFormat="1" customHeight="1">
      <c r="A51" s="1717" t="s">
        <v>91</v>
      </c>
      <c r="B51" s="1718"/>
      <c r="C51" s="1701" t="str">
        <f>IF(ISTEXT(_xlfn.IFERROR(VLOOKUP(A51,职业列表!I3:J10,1,FALSE),0)),"★","")</f>
        <v/>
      </c>
      <c r="D51" s="1719" t="s">
        <v>89</v>
      </c>
      <c r="E51" s="1718"/>
      <c r="F51" s="1718" t="s">
        <v>1328</v>
      </c>
      <c r="G51" s="1718" t="s">
        <v>1328</v>
      </c>
      <c r="H51" s="1718" t="s">
        <v>1328</v>
      </c>
      <c r="I51" s="1718"/>
      <c r="J51" s="1718"/>
      <c r="K51" s="1718" t="s">
        <v>1328</v>
      </c>
      <c r="L51" s="1718" t="s">
        <v>1328</v>
      </c>
      <c r="M51" s="1718"/>
      <c r="N51" s="1719" t="s">
        <v>89</v>
      </c>
      <c r="O51" s="1718" t="s">
        <v>1328</v>
      </c>
      <c r="P51" s="1718" t="s">
        <v>1328</v>
      </c>
      <c r="Q51" s="1718" t="s">
        <v>1328</v>
      </c>
      <c r="R51" s="1718"/>
      <c r="S51" s="1718" t="s">
        <v>1328</v>
      </c>
      <c r="T51" s="1718"/>
      <c r="U51" s="1718" t="s">
        <v>1328</v>
      </c>
      <c r="V51" s="1718" t="s">
        <v>1328</v>
      </c>
      <c r="W51" s="1718"/>
      <c r="X51" s="1718"/>
      <c r="Y51" s="1718" t="s">
        <v>1328</v>
      </c>
      <c r="Z51" s="1718"/>
      <c r="AA51" s="1720" t="s">
        <v>1328</v>
      </c>
      <c r="AB51" s="1718"/>
      <c r="AC51" s="1718"/>
      <c r="AD51" s="1718"/>
      <c r="AE51" s="1718"/>
      <c r="AF51" s="1718" t="s">
        <v>1328</v>
      </c>
      <c r="AG51" s="1718"/>
      <c r="AH51" s="1718" t="s">
        <v>1328</v>
      </c>
      <c r="AI51" s="1718" t="s">
        <v>1328</v>
      </c>
      <c r="AJ51" s="1718" t="s">
        <v>1328</v>
      </c>
      <c r="AK51" s="1718" t="s">
        <v>1328</v>
      </c>
      <c r="AL51" s="1718"/>
      <c r="AM51" s="1718" t="s">
        <v>1328</v>
      </c>
      <c r="AN51" s="1718" t="s">
        <v>1328</v>
      </c>
      <c r="AO51" s="1718" t="s">
        <v>1328</v>
      </c>
      <c r="AP51" s="1718" t="s">
        <v>1328</v>
      </c>
      <c r="AQ51" s="1721"/>
      <c r="AR51" s="1718" t="s">
        <v>1328</v>
      </c>
      <c r="AS51" s="1718"/>
      <c r="AT51" s="1718"/>
      <c r="AU51" s="1718" t="s">
        <v>1328</v>
      </c>
      <c r="AV51" s="1718" t="s">
        <v>1328</v>
      </c>
      <c r="AW51" s="1718" t="s">
        <v>1328</v>
      </c>
      <c r="AX51" s="1718"/>
      <c r="AY51" s="1718" t="s">
        <v>1328</v>
      </c>
      <c r="AZ51" s="1719" t="s">
        <v>89</v>
      </c>
      <c r="BA51" s="1718"/>
      <c r="BB51" s="1718" t="s">
        <v>1328</v>
      </c>
      <c r="BC51" s="1718"/>
      <c r="BD51" s="1718" t="s">
        <v>1328</v>
      </c>
      <c r="BE51" s="1719" t="s">
        <v>89</v>
      </c>
      <c r="BF51" s="1718"/>
      <c r="BG51" s="1718" t="s">
        <v>1328</v>
      </c>
      <c r="BH51" s="1719" t="s">
        <v>89</v>
      </c>
      <c r="BI51" s="1718" t="s">
        <v>1328</v>
      </c>
      <c r="BJ51" s="1718" t="s">
        <v>1328</v>
      </c>
      <c r="BK51" s="1718" t="s">
        <v>1328</v>
      </c>
      <c r="BL51" s="1718" t="s">
        <v>1328</v>
      </c>
      <c r="BM51" s="1718"/>
      <c r="BN51" s="1718" t="s">
        <v>1328</v>
      </c>
      <c r="BO51" s="1718" t="s">
        <v>1328</v>
      </c>
      <c r="BP51" s="1718" t="s">
        <v>1328</v>
      </c>
      <c r="BQ51" s="1719" t="s">
        <v>89</v>
      </c>
      <c r="BR51" s="1718"/>
      <c r="BS51" s="1718"/>
      <c r="BT51" s="1718"/>
      <c r="BU51" s="1721"/>
      <c r="BV51" s="1718" t="s">
        <v>1328</v>
      </c>
      <c r="BW51" s="1718"/>
      <c r="BX51" s="1718"/>
      <c r="BY51" s="1718" t="s">
        <v>1328</v>
      </c>
      <c r="BZ51" s="1718" t="s">
        <v>1328</v>
      </c>
      <c r="CA51" s="1718"/>
      <c r="CB51" s="1718"/>
      <c r="CC51" s="1718" t="s">
        <v>1328</v>
      </c>
      <c r="CD51" s="1718" t="s">
        <v>1328</v>
      </c>
      <c r="CE51" s="1718" t="s">
        <v>1328</v>
      </c>
      <c r="CF51" s="1718"/>
      <c r="CG51" s="1718"/>
      <c r="CH51" s="1718" t="s">
        <v>1328</v>
      </c>
      <c r="CI51" s="1718" t="s">
        <v>1328</v>
      </c>
      <c r="CJ51" s="1718" t="s">
        <v>1328</v>
      </c>
      <c r="CK51" s="1718"/>
      <c r="CL51" s="1718"/>
      <c r="CM51" s="1718" t="s">
        <v>1328</v>
      </c>
      <c r="CN51" s="1718" t="s">
        <v>1328</v>
      </c>
      <c r="CO51" s="1718" t="s">
        <v>1328</v>
      </c>
      <c r="CP51" s="1718"/>
      <c r="CQ51" s="1718"/>
      <c r="CR51" s="1718" t="s">
        <v>1328</v>
      </c>
      <c r="CS51" s="1719" t="s">
        <v>89</v>
      </c>
      <c r="CT51" s="1719" t="s">
        <v>89</v>
      </c>
      <c r="CU51" s="1718" t="s">
        <v>1328</v>
      </c>
      <c r="CV51" s="1718"/>
      <c r="CW51" s="1718" t="s">
        <v>1328</v>
      </c>
      <c r="CX51" s="1718" t="s">
        <v>1328</v>
      </c>
      <c r="CY51" s="1718" t="s">
        <v>1328</v>
      </c>
      <c r="CZ51" s="1718" t="s">
        <v>1328</v>
      </c>
      <c r="DA51" s="1718" t="s">
        <v>1328</v>
      </c>
      <c r="DB51" s="1718"/>
      <c r="DC51" s="1718" t="s">
        <v>1328</v>
      </c>
      <c r="DD51" s="1718"/>
      <c r="DE51" s="1718"/>
      <c r="DF51" s="1718"/>
      <c r="DG51" s="1718" t="s">
        <v>1328</v>
      </c>
      <c r="DH51" s="1718" t="s">
        <v>1328</v>
      </c>
      <c r="DI51" s="1718" t="s">
        <v>1328</v>
      </c>
      <c r="DJ51" s="1718" t="s">
        <v>1328</v>
      </c>
      <c r="DK51" s="1718" t="s">
        <v>1328</v>
      </c>
      <c r="DL51" s="1718" t="s">
        <v>1328</v>
      </c>
      <c r="DM51" s="1718"/>
      <c r="DN51" s="1718" t="s">
        <v>89</v>
      </c>
      <c r="DO51" s="1718" t="s">
        <v>1328</v>
      </c>
      <c r="DP51" s="1718" t="s">
        <v>1328</v>
      </c>
      <c r="DQ51" s="1718" t="s">
        <v>1328</v>
      </c>
      <c r="DR51" s="1718" t="s">
        <v>1328</v>
      </c>
      <c r="DS51" s="1718" t="s">
        <v>1328</v>
      </c>
      <c r="DT51" s="1718" t="s">
        <v>1328</v>
      </c>
      <c r="DU51" s="1718" t="s">
        <v>1328</v>
      </c>
      <c r="DV51" s="1718" t="s">
        <v>1328</v>
      </c>
      <c r="DW51" s="1718" t="s">
        <v>1328</v>
      </c>
      <c r="DX51" s="1718" t="s">
        <v>1328</v>
      </c>
      <c r="DY51" s="1718" t="s">
        <v>1328</v>
      </c>
      <c r="DZ51" s="1718" t="s">
        <v>1328</v>
      </c>
      <c r="EA51" s="1718" t="s">
        <v>1328</v>
      </c>
      <c r="EB51" s="1718" t="s">
        <v>1328</v>
      </c>
      <c r="EC51" s="1718" t="s">
        <v>1328</v>
      </c>
      <c r="ED51" s="1718" t="s">
        <v>89</v>
      </c>
      <c r="EE51" s="1718" t="s">
        <v>1328</v>
      </c>
      <c r="EF51" s="1718"/>
      <c r="EG51" s="1718"/>
      <c r="EH51" s="1718"/>
      <c r="EI51" s="1718" t="s">
        <v>1328</v>
      </c>
      <c r="EJ51" s="1718" t="s">
        <v>1328</v>
      </c>
      <c r="EK51" s="1718" t="s">
        <v>1328</v>
      </c>
      <c r="EL51" s="1718"/>
      <c r="EM51" s="1718" t="s">
        <v>1328</v>
      </c>
      <c r="EN51" s="1718"/>
      <c r="EO51" s="1718" t="s">
        <v>1328</v>
      </c>
      <c r="EP51" s="1718"/>
      <c r="EQ51" s="1718" t="s">
        <v>89</v>
      </c>
      <c r="ER51" s="1718" t="s">
        <v>1328</v>
      </c>
      <c r="ES51" s="1718" t="s">
        <v>1328</v>
      </c>
      <c r="ET51" s="1718" t="s">
        <v>1328</v>
      </c>
      <c r="EU51" s="1718" t="s">
        <v>1328</v>
      </c>
      <c r="EV51" s="1718" t="s">
        <v>1328</v>
      </c>
      <c r="EW51" s="1718"/>
      <c r="EX51" s="1718" t="s">
        <v>1328</v>
      </c>
      <c r="EY51" s="1718" t="s">
        <v>1328</v>
      </c>
      <c r="EZ51" s="1718"/>
      <c r="FA51" s="1718" t="s">
        <v>1328</v>
      </c>
      <c r="FB51" s="1718" t="s">
        <v>1328</v>
      </c>
      <c r="FC51" s="1718" t="s">
        <v>1326</v>
      </c>
      <c r="FD51" s="1718"/>
      <c r="FE51" s="1718" t="s">
        <v>1328</v>
      </c>
      <c r="FF51" s="1718" t="s">
        <v>1328</v>
      </c>
      <c r="FG51" s="1718" t="s">
        <v>1328</v>
      </c>
      <c r="FH51" s="1718"/>
      <c r="FI51" s="1718"/>
      <c r="FJ51" s="1718" t="s">
        <v>1326</v>
      </c>
      <c r="FK51" s="1718"/>
      <c r="FL51" s="1718"/>
      <c r="FM51" s="1718" t="s">
        <v>1328</v>
      </c>
      <c r="FN51" s="1718"/>
      <c r="FO51" s="1718"/>
      <c r="FP51" s="1718"/>
      <c r="FQ51" s="1718" t="s">
        <v>1328</v>
      </c>
      <c r="FR51" s="1718" t="s">
        <v>1328</v>
      </c>
      <c r="FS51" s="1718" t="s">
        <v>89</v>
      </c>
      <c r="FT51" s="1718"/>
      <c r="FU51" s="1718"/>
      <c r="FV51" s="1718" t="s">
        <v>1328</v>
      </c>
      <c r="FW51" s="1718"/>
      <c r="FX51" s="1718"/>
      <c r="FY51" s="1718" t="s">
        <v>1328</v>
      </c>
      <c r="FZ51" s="1718"/>
      <c r="GA51" s="1718"/>
      <c r="GB51" s="1718" t="s">
        <v>1328</v>
      </c>
      <c r="GC51" s="1718"/>
      <c r="GD51" s="1718"/>
      <c r="GE51" s="1718"/>
      <c r="GF51" s="1718" t="s">
        <v>1328</v>
      </c>
      <c r="GG51" s="1718" t="s">
        <v>1328</v>
      </c>
      <c r="GH51" s="1718" t="s">
        <v>1328</v>
      </c>
      <c r="GI51" s="1718" t="s">
        <v>1328</v>
      </c>
      <c r="GJ51" s="1718"/>
      <c r="GK51" s="1718" t="s">
        <v>89</v>
      </c>
      <c r="GL51" s="1718" t="s">
        <v>89</v>
      </c>
      <c r="GM51" s="1718" t="s">
        <v>89</v>
      </c>
      <c r="GN51" s="1718" t="s">
        <v>1328</v>
      </c>
      <c r="GO51" s="1718" t="s">
        <v>1328</v>
      </c>
      <c r="GP51" s="1718" t="s">
        <v>1328</v>
      </c>
      <c r="GQ51" s="1718" t="s">
        <v>1328</v>
      </c>
      <c r="GR51" s="1718"/>
      <c r="GS51" s="1718"/>
      <c r="GT51" s="1718" t="s">
        <v>1328</v>
      </c>
      <c r="GU51" s="1718"/>
      <c r="GV51" s="1718"/>
      <c r="GW51" s="1718" t="s">
        <v>1328</v>
      </c>
      <c r="GX51" s="1718" t="s">
        <v>1328</v>
      </c>
      <c r="GY51" s="1718" t="s">
        <v>1328</v>
      </c>
      <c r="GZ51" s="1718" t="s">
        <v>1328</v>
      </c>
      <c r="HA51" s="1718" t="s">
        <v>1328</v>
      </c>
      <c r="HB51" s="1718"/>
      <c r="HC51" s="1718" t="s">
        <v>1328</v>
      </c>
      <c r="HD51" s="1718"/>
      <c r="HE51" s="1718" t="s">
        <v>1328</v>
      </c>
      <c r="HF51" s="1719"/>
      <c r="HG51" s="1718" t="s">
        <v>1328</v>
      </c>
      <c r="HH51" s="1718" t="s">
        <v>1328</v>
      </c>
      <c r="HI51" s="1718"/>
      <c r="HJ51" s="1720" t="s">
        <v>1328</v>
      </c>
      <c r="HK51" s="1718" t="s">
        <v>1328</v>
      </c>
      <c r="HL51" s="1718"/>
      <c r="HM51" s="1718" t="s">
        <v>1328</v>
      </c>
      <c r="HN51" s="1718" t="s">
        <v>1328</v>
      </c>
      <c r="HO51" s="1718" t="s">
        <v>1328</v>
      </c>
      <c r="HP51" s="1718" t="s">
        <v>1328</v>
      </c>
      <c r="HQ51" s="1718"/>
      <c r="HR51" s="1720" t="s">
        <v>1328</v>
      </c>
      <c r="HS51" s="1718" t="s">
        <v>1328</v>
      </c>
      <c r="HT51" s="1718" t="s">
        <v>1328</v>
      </c>
      <c r="HU51" s="1718" t="s">
        <v>1329</v>
      </c>
      <c r="HV51" s="1718" t="s">
        <v>1328</v>
      </c>
      <c r="HW51" s="1718"/>
      <c r="HX51" s="1718" t="s">
        <v>1328</v>
      </c>
      <c r="HY51" s="1722"/>
      <c r="HZ51" s="1722"/>
      <c r="IA51" s="1722"/>
      <c r="IB51" s="1722"/>
      <c r="IC51" s="1722"/>
      <c r="ID51" s="1722"/>
      <c r="IE51" s="1722"/>
      <c r="IF51" s="1722"/>
      <c r="IG51" s="1722"/>
      <c r="IH51" s="1722"/>
      <c r="II51" s="1722"/>
      <c r="IJ51" s="1722"/>
      <c r="IK51" s="1722"/>
      <c r="IL51" s="1722"/>
      <c r="IM51" s="1722"/>
      <c r="IN51" s="1722"/>
      <c r="IO51" s="1722"/>
      <c r="IP51" s="1722"/>
      <c r="IQ51" s="1722"/>
      <c r="IR51" s="1722"/>
      <c r="IS51" s="1722"/>
      <c r="IT51" s="1722"/>
      <c r="IU51" s="1722"/>
      <c r="IV51" s="1722"/>
    </row>
    <row r="52" spans="8:8" ht="20.0" customHeight="1">
      <c r="A52" s="1764" t="s">
        <v>93</v>
      </c>
      <c r="B52" s="1701"/>
      <c r="C52" s="1701" t="str">
        <f>IF(ISTEXT(_xlfn.IFERROR(VLOOKUP(A52,职业列表!I3:J10,1,FALSE),0)),"★","")</f>
        <v/>
      </c>
      <c r="D52" s="1701"/>
      <c r="E52" s="1701"/>
      <c r="F52" s="1701"/>
      <c r="G52" s="1701"/>
      <c r="H52" s="1701"/>
      <c r="I52" s="1701"/>
      <c r="J52" s="1701"/>
      <c r="K52" s="1701"/>
      <c r="L52" s="1701"/>
      <c r="M52" s="1701"/>
      <c r="N52" s="1701"/>
      <c r="O52" s="1701"/>
      <c r="P52" s="1701"/>
      <c r="Q52" s="1701"/>
      <c r="R52" s="1701"/>
      <c r="S52" s="1701"/>
      <c r="T52" s="1701"/>
      <c r="U52" s="1701"/>
      <c r="V52" s="1701"/>
      <c r="W52" s="1701"/>
      <c r="X52" s="1701"/>
      <c r="Y52" s="1701"/>
      <c r="Z52" s="1701"/>
      <c r="AA52" s="1701"/>
      <c r="AB52" s="1701"/>
      <c r="AC52" s="1701"/>
      <c r="AD52" s="1701"/>
      <c r="AE52" s="1701"/>
      <c r="AF52" s="1701"/>
      <c r="AG52" s="1701"/>
      <c r="AH52" s="1701"/>
      <c r="AI52" s="1701"/>
      <c r="AJ52" s="1701"/>
      <c r="AK52" s="1701"/>
      <c r="AL52" s="1701"/>
      <c r="AM52" s="1701" t="s">
        <v>1326</v>
      </c>
      <c r="AN52" s="1701"/>
      <c r="AO52" s="1701"/>
      <c r="AP52" s="1701"/>
      <c r="AQ52" s="1701"/>
      <c r="AR52" s="1701"/>
      <c r="AS52" s="1701" t="s">
        <v>1371</v>
      </c>
      <c r="AT52" s="1701"/>
      <c r="AU52" s="1701"/>
      <c r="AV52" s="1701"/>
      <c r="AW52" s="1701"/>
      <c r="AX52" s="1701"/>
      <c r="AY52" s="1701"/>
      <c r="AZ52" s="1701"/>
      <c r="BA52" s="1701"/>
      <c r="BB52" s="1701"/>
      <c r="BC52" s="1701"/>
      <c r="BD52" s="1701"/>
      <c r="BE52" s="1701"/>
      <c r="BF52" s="1701"/>
      <c r="BG52" s="1701"/>
      <c r="BH52" s="1701"/>
      <c r="BI52" s="1701"/>
      <c r="BJ52" s="1701"/>
      <c r="BK52" s="1701"/>
      <c r="BL52" s="1701"/>
      <c r="BM52" s="1701"/>
      <c r="BN52" s="1701"/>
      <c r="BO52" s="1701"/>
      <c r="BP52" s="1701"/>
      <c r="BQ52" s="1701"/>
      <c r="BR52" s="1701"/>
      <c r="BS52" s="1701"/>
      <c r="BT52" s="1701"/>
      <c r="BU52" s="1701"/>
      <c r="BV52" s="1701"/>
      <c r="BW52" s="1701"/>
      <c r="BX52" s="1701"/>
      <c r="BY52" s="1701"/>
      <c r="BZ52" s="1701"/>
      <c r="CA52" s="1701"/>
      <c r="CB52" s="1701"/>
      <c r="CC52" s="1701"/>
      <c r="CD52" s="1701"/>
      <c r="CE52" s="1701"/>
      <c r="CF52" s="1701"/>
      <c r="CG52" s="1701"/>
      <c r="CH52" s="1701"/>
      <c r="CI52" s="1701"/>
      <c r="CJ52" s="1701"/>
      <c r="CK52" s="1702" t="s">
        <v>1372</v>
      </c>
      <c r="CL52" s="1702" t="s">
        <v>1372</v>
      </c>
      <c r="CM52" s="1701"/>
      <c r="CN52" s="1701"/>
      <c r="CO52" s="1701"/>
      <c r="CP52" s="1701"/>
      <c r="CQ52" s="1701"/>
      <c r="CR52" s="1701"/>
      <c r="CS52" s="1701"/>
      <c r="CT52" s="1701"/>
      <c r="CU52" s="1701"/>
      <c r="CV52" s="1701" t="s">
        <v>1371</v>
      </c>
      <c r="CW52" s="1701" t="s">
        <v>1371</v>
      </c>
      <c r="CX52" s="1701"/>
      <c r="CY52" s="1701"/>
      <c r="CZ52" s="1701"/>
      <c r="DA52" s="1701"/>
      <c r="DB52" s="1701"/>
      <c r="DC52" s="1701"/>
      <c r="DD52" s="1701"/>
      <c r="DE52" s="1701" t="s">
        <v>1329</v>
      </c>
      <c r="DF52" s="1701"/>
      <c r="DG52" s="1701"/>
      <c r="DH52" s="1701"/>
      <c r="DI52" s="1701"/>
      <c r="DJ52" s="1701"/>
      <c r="DK52" s="1701"/>
      <c r="DL52" s="1701"/>
      <c r="DM52" s="1701"/>
      <c r="DN52" s="1701"/>
      <c r="DO52" s="1701"/>
      <c r="DP52" s="1701"/>
      <c r="DQ52" s="1701"/>
      <c r="DR52" s="1701"/>
      <c r="DS52" s="1701"/>
      <c r="DT52" s="1701"/>
      <c r="DU52" s="1701"/>
      <c r="DV52" s="1701"/>
      <c r="DW52" s="1701"/>
      <c r="DX52" s="1701"/>
      <c r="DY52" s="1701"/>
      <c r="DZ52" s="1701"/>
      <c r="EA52" s="1701"/>
      <c r="EB52" s="1701"/>
      <c r="EC52" s="1701"/>
      <c r="ED52" s="1701"/>
      <c r="EE52" s="1701"/>
      <c r="EF52" s="1701"/>
      <c r="EG52" s="1701"/>
      <c r="EH52" s="1701"/>
      <c r="EI52" s="1701"/>
      <c r="EJ52" s="1701"/>
      <c r="EK52" s="1701"/>
      <c r="EL52" s="1701"/>
      <c r="EM52" s="1701"/>
      <c r="EN52" s="1701"/>
      <c r="EO52" s="1701"/>
      <c r="EP52" s="1701" t="s">
        <v>1371</v>
      </c>
      <c r="EQ52" s="1701"/>
      <c r="ER52" s="1701"/>
      <c r="ES52" s="1701"/>
      <c r="ET52" s="1701"/>
      <c r="EU52" s="1701"/>
      <c r="EV52" s="1701"/>
      <c r="EW52" s="1701"/>
      <c r="EX52" s="1701"/>
      <c r="EY52" s="1701"/>
      <c r="EZ52" s="1701"/>
      <c r="FA52" s="1701"/>
      <c r="FB52" s="1701" t="s">
        <v>89</v>
      </c>
      <c r="FC52" s="1701"/>
      <c r="FD52" s="1701"/>
      <c r="FE52" s="1701"/>
      <c r="FF52" s="1701"/>
      <c r="FG52" s="1701"/>
      <c r="FH52" s="1701"/>
      <c r="FI52" s="1701"/>
      <c r="FJ52" s="1701"/>
      <c r="FK52" s="1701"/>
      <c r="FL52" s="1701"/>
      <c r="FM52" s="1701"/>
      <c r="FN52" s="1701"/>
      <c r="FO52" s="1701"/>
      <c r="FP52" s="1701" t="s">
        <v>1371</v>
      </c>
      <c r="FQ52" s="1701"/>
      <c r="FR52" s="1701"/>
      <c r="FS52" s="1701"/>
      <c r="FT52" s="1701"/>
      <c r="FU52" s="1701"/>
      <c r="FV52" s="1701"/>
      <c r="FW52" s="1701"/>
      <c r="FX52" s="1701"/>
      <c r="FY52" s="1701"/>
      <c r="FZ52" s="1701"/>
      <c r="GA52" s="1701" t="s">
        <v>1371</v>
      </c>
      <c r="GB52" s="1701" t="s">
        <v>1371</v>
      </c>
      <c r="GC52" s="1701"/>
      <c r="GD52" s="1701"/>
      <c r="GE52" s="1701"/>
      <c r="GF52" s="1701"/>
      <c r="GG52" s="1701"/>
      <c r="GH52" s="1701"/>
      <c r="GI52" s="1701"/>
      <c r="GJ52" s="1701"/>
      <c r="GK52" s="1701"/>
      <c r="GL52" s="1701"/>
      <c r="GM52" s="1701"/>
      <c r="GN52" s="1701"/>
      <c r="GO52" s="1701"/>
      <c r="GP52" s="1701"/>
      <c r="GQ52" s="1701"/>
      <c r="GR52" s="1701"/>
      <c r="GS52" s="1701"/>
      <c r="GT52" s="1701"/>
      <c r="GU52" s="1701"/>
      <c r="GV52" s="1701"/>
      <c r="GW52" s="1701"/>
      <c r="GX52" s="1701"/>
      <c r="GY52" s="1701"/>
      <c r="GZ52" s="1701"/>
      <c r="HA52" s="1701"/>
      <c r="HB52" s="1701"/>
      <c r="HC52" s="1701"/>
      <c r="HD52" s="1701"/>
      <c r="HE52" s="1701"/>
      <c r="HF52" s="1701"/>
      <c r="HG52" s="1701"/>
      <c r="HH52" s="1701"/>
      <c r="HI52" s="1701"/>
      <c r="HJ52" s="1701"/>
      <c r="HK52" s="1701"/>
      <c r="HL52" s="1702" t="s">
        <v>1373</v>
      </c>
      <c r="HM52" s="1701"/>
      <c r="HN52" s="1701"/>
      <c r="HO52" s="1702" t="s">
        <v>1329</v>
      </c>
      <c r="HP52" s="1701"/>
      <c r="HQ52" s="1701"/>
      <c r="HR52" s="1701"/>
      <c r="HS52" s="1701"/>
      <c r="HT52" s="1701"/>
      <c r="HU52" s="1701"/>
      <c r="HV52" s="1701"/>
      <c r="HW52" s="1701"/>
      <c r="HX52" s="1701"/>
      <c r="HY52" s="1688"/>
      <c r="HZ52" s="1688"/>
      <c r="IA52" s="1688"/>
      <c r="IB52" s="1688"/>
      <c r="IC52" s="1688"/>
      <c r="ID52" s="1688"/>
      <c r="IE52" s="1688"/>
      <c r="IF52" s="1688"/>
      <c r="IG52" s="1688"/>
      <c r="IH52" s="1688"/>
      <c r="II52" s="1688"/>
      <c r="IJ52" s="1688"/>
      <c r="IK52" s="1688"/>
      <c r="IL52" s="1688"/>
      <c r="IM52" s="1688"/>
      <c r="IN52" s="1688"/>
      <c r="IO52" s="1688"/>
      <c r="IP52" s="1688"/>
      <c r="IQ52" s="1688"/>
      <c r="IR52" s="1688"/>
      <c r="IS52" s="1688"/>
      <c r="IT52" s="1688"/>
      <c r="IU52" s="1688"/>
      <c r="IV52" s="1688"/>
    </row>
    <row r="53" spans="8:8" ht="20.0" customHeight="1">
      <c r="A53" s="1765" t="s">
        <v>100</v>
      </c>
      <c r="B53" s="1701"/>
      <c r="C53" s="1701" t="str">
        <f>IF(ISTEXT(_xlfn.IFERROR(VLOOKUP(A53,职业列表!I3:J10,1,FALSE),0)),"★","")</f>
        <v/>
      </c>
      <c r="D53" s="1701"/>
      <c r="E53" s="1701"/>
      <c r="F53" s="1701"/>
      <c r="G53" s="1701"/>
      <c r="H53" s="1701"/>
      <c r="I53" s="1703" t="s">
        <v>89</v>
      </c>
      <c r="J53" s="1701"/>
      <c r="K53" s="1701"/>
      <c r="L53" s="1701"/>
      <c r="M53" s="1701"/>
      <c r="N53" s="1701"/>
      <c r="O53" s="1701"/>
      <c r="P53" s="1701"/>
      <c r="Q53" s="1701"/>
      <c r="R53" s="1701"/>
      <c r="S53" s="1701"/>
      <c r="T53" s="1701"/>
      <c r="U53" s="1701"/>
      <c r="V53" s="1701"/>
      <c r="W53" s="1701"/>
      <c r="X53" s="1701"/>
      <c r="Y53" s="1701"/>
      <c r="Z53" s="1701"/>
      <c r="AA53" s="1701"/>
      <c r="AB53" s="1701"/>
      <c r="AC53" s="1701"/>
      <c r="AD53" s="1701"/>
      <c r="AE53" s="1701"/>
      <c r="AF53" s="1701"/>
      <c r="AG53" s="1701"/>
      <c r="AH53" s="1701"/>
      <c r="AI53" s="1701"/>
      <c r="AJ53" s="1701"/>
      <c r="AK53" s="1701"/>
      <c r="AL53" s="1701"/>
      <c r="AM53" s="1701"/>
      <c r="AN53" s="1701"/>
      <c r="AO53" s="1701"/>
      <c r="AP53" s="1701"/>
      <c r="AQ53" s="1701"/>
      <c r="AR53" s="1701"/>
      <c r="AS53" s="1701"/>
      <c r="AT53" s="1701"/>
      <c r="AU53" s="1701"/>
      <c r="AV53" s="1701"/>
      <c r="AW53" s="1701"/>
      <c r="AX53" s="1701"/>
      <c r="AY53" s="1701"/>
      <c r="AZ53" s="1701"/>
      <c r="BA53" s="1701"/>
      <c r="BB53" s="1701"/>
      <c r="BC53" s="1701"/>
      <c r="BD53" s="1701"/>
      <c r="BE53" s="1701"/>
      <c r="BF53" s="1701"/>
      <c r="BG53" s="1701"/>
      <c r="BH53" s="1701"/>
      <c r="BI53" s="1701"/>
      <c r="BJ53" s="1701"/>
      <c r="BK53" s="1701"/>
      <c r="BL53" s="1701"/>
      <c r="BM53" s="1701"/>
      <c r="BN53" s="1701"/>
      <c r="BO53" s="1701"/>
      <c r="BP53" s="1701"/>
      <c r="BQ53" s="1701"/>
      <c r="BR53" s="1701"/>
      <c r="BS53" s="1701"/>
      <c r="BT53" s="1701"/>
      <c r="BU53" s="1701"/>
      <c r="BV53" s="1701"/>
      <c r="BW53" s="1701"/>
      <c r="BX53" s="1701"/>
      <c r="BY53" s="1701"/>
      <c r="BZ53" s="1701"/>
      <c r="CA53" s="1701"/>
      <c r="CB53" s="1701"/>
      <c r="CC53" s="1701"/>
      <c r="CD53" s="1701"/>
      <c r="CE53" s="1701"/>
      <c r="CF53" s="1701"/>
      <c r="CG53" s="1701"/>
      <c r="CH53" s="1701"/>
      <c r="CI53" s="1701"/>
      <c r="CJ53" s="1701"/>
      <c r="CK53" s="1701"/>
      <c r="CL53" s="1701"/>
      <c r="CM53" s="1701"/>
      <c r="CN53" s="1701"/>
      <c r="CO53" s="1701"/>
      <c r="CP53" s="1701"/>
      <c r="CQ53" s="1701"/>
      <c r="CR53" s="1701"/>
      <c r="CS53" s="1703" t="s">
        <v>89</v>
      </c>
      <c r="CT53" s="1703" t="s">
        <v>89</v>
      </c>
      <c r="CU53" s="1701"/>
      <c r="CV53" s="1701"/>
      <c r="CW53" s="1701"/>
      <c r="CX53" s="1701"/>
      <c r="CY53" s="1701"/>
      <c r="CZ53" s="1701"/>
      <c r="DA53" s="1701"/>
      <c r="DB53" s="1701"/>
      <c r="DC53" s="1701"/>
      <c r="DD53" s="1701"/>
      <c r="DE53" s="1701"/>
      <c r="DF53" s="1701"/>
      <c r="DG53" s="1701"/>
      <c r="DH53" s="1701"/>
      <c r="DI53" s="1701"/>
      <c r="DJ53" s="1701"/>
      <c r="DK53" s="1701"/>
      <c r="DL53" s="1701"/>
      <c r="DM53" s="1701"/>
      <c r="DN53" s="1701"/>
      <c r="DO53" s="1701"/>
      <c r="DP53" s="1701"/>
      <c r="DQ53" s="1701"/>
      <c r="DR53" s="1701"/>
      <c r="DS53" s="1701"/>
      <c r="DT53" s="1701"/>
      <c r="DU53" s="1701"/>
      <c r="DV53" s="1701"/>
      <c r="DW53" s="1701"/>
      <c r="DX53" s="1701"/>
      <c r="DY53" s="1701"/>
      <c r="DZ53" s="1701"/>
      <c r="EA53" s="1701"/>
      <c r="EB53" s="1701"/>
      <c r="EC53" s="1701"/>
      <c r="ED53" s="1701"/>
      <c r="EE53" s="1701"/>
      <c r="EF53" s="1701"/>
      <c r="EG53" s="1701"/>
      <c r="EH53" s="1701"/>
      <c r="EI53" s="1701"/>
      <c r="EJ53" s="1701"/>
      <c r="EK53" s="1701"/>
      <c r="EL53" s="1701"/>
      <c r="EM53" s="1701"/>
      <c r="EN53" s="1701"/>
      <c r="EO53" s="1701"/>
      <c r="EP53" s="1701"/>
      <c r="EQ53" s="1701"/>
      <c r="ER53" s="1701"/>
      <c r="ES53" s="1701"/>
      <c r="ET53" s="1701"/>
      <c r="EU53" s="1701"/>
      <c r="EV53" s="1701"/>
      <c r="EW53" s="1701"/>
      <c r="EX53" s="1701"/>
      <c r="EY53" s="1701"/>
      <c r="EZ53" s="1701"/>
      <c r="FA53" s="1701"/>
      <c r="FB53" s="1701"/>
      <c r="FC53" s="1701"/>
      <c r="FD53" s="1701"/>
      <c r="FE53" s="1701"/>
      <c r="FF53" s="1701"/>
      <c r="FG53" s="1701"/>
      <c r="FH53" s="1701"/>
      <c r="FI53" s="1701"/>
      <c r="FJ53" s="1701"/>
      <c r="FK53" s="1701"/>
      <c r="FL53" s="1701" t="s">
        <v>1326</v>
      </c>
      <c r="FM53" s="1701"/>
      <c r="FN53" s="1701"/>
      <c r="FO53" s="1701"/>
      <c r="FP53" s="1701"/>
      <c r="FQ53" s="1701" t="s">
        <v>89</v>
      </c>
      <c r="FR53" s="1701"/>
      <c r="FS53" s="1701"/>
      <c r="FT53" s="1701" t="s">
        <v>89</v>
      </c>
      <c r="FU53" s="1701"/>
      <c r="FV53" s="1701"/>
      <c r="FW53" s="1701"/>
      <c r="FX53" s="1701"/>
      <c r="FY53" s="1701"/>
      <c r="FZ53" s="1701"/>
      <c r="GA53" s="1701"/>
      <c r="GB53" s="1701"/>
      <c r="GC53" s="1701"/>
      <c r="GD53" s="1701"/>
      <c r="GE53" s="1701"/>
      <c r="GF53" s="1701"/>
      <c r="GG53" s="1701"/>
      <c r="GH53" s="1701"/>
      <c r="GI53" s="1701"/>
      <c r="GJ53" s="1701"/>
      <c r="GK53" s="1701"/>
      <c r="GL53" s="1701"/>
      <c r="GM53" s="1701"/>
      <c r="GN53" s="1701"/>
      <c r="GO53" s="1701"/>
      <c r="GP53" s="1701"/>
      <c r="GQ53" s="1701"/>
      <c r="GR53" s="1701"/>
      <c r="GS53" s="1701"/>
      <c r="GT53" s="1701"/>
      <c r="GU53" s="1701"/>
      <c r="GV53" s="1701"/>
      <c r="GW53" s="1701"/>
      <c r="GX53" s="1701"/>
      <c r="GY53" s="1701"/>
      <c r="GZ53" s="1701"/>
      <c r="HA53" s="1703"/>
      <c r="HB53" s="1701"/>
      <c r="HC53" s="1701"/>
      <c r="HD53" s="1701"/>
      <c r="HE53" s="1701"/>
      <c r="HF53" s="1701"/>
      <c r="HG53" s="1701"/>
      <c r="HH53" s="1701"/>
      <c r="HI53" s="1701"/>
      <c r="HJ53" s="1701"/>
      <c r="HK53" s="1701"/>
      <c r="HL53" s="1701"/>
      <c r="HM53" s="1701"/>
      <c r="HN53" s="1701"/>
      <c r="HO53" s="1701"/>
      <c r="HP53" s="1701"/>
      <c r="HQ53" s="1701"/>
      <c r="HR53" s="1701"/>
      <c r="HS53" s="1701"/>
      <c r="HT53" s="1701"/>
      <c r="HU53" s="1701"/>
      <c r="HV53" s="1701"/>
      <c r="HW53" s="1701"/>
      <c r="HX53" s="1701"/>
      <c r="HY53" s="1688"/>
      <c r="HZ53" s="1688"/>
      <c r="IA53" s="1688"/>
      <c r="IB53" s="1688"/>
      <c r="IC53" s="1688"/>
      <c r="ID53" s="1688"/>
      <c r="IE53" s="1688"/>
      <c r="IF53" s="1688"/>
      <c r="IG53" s="1688"/>
      <c r="IH53" s="1688"/>
      <c r="II53" s="1688"/>
      <c r="IJ53" s="1688"/>
      <c r="IK53" s="1688"/>
      <c r="IL53" s="1688"/>
      <c r="IM53" s="1688"/>
      <c r="IN53" s="1688"/>
      <c r="IO53" s="1688"/>
      <c r="IP53" s="1688"/>
      <c r="IQ53" s="1688"/>
      <c r="IR53" s="1688"/>
      <c r="IS53" s="1688"/>
      <c r="IT53" s="1688"/>
      <c r="IU53" s="1688"/>
      <c r="IV53" s="1688"/>
    </row>
    <row r="54" spans="8:8" s="1766" ht="20.0" customFormat="1" customHeight="1">
      <c r="A54" s="1767" t="s">
        <v>102</v>
      </c>
      <c r="B54" s="1768"/>
      <c r="C54" s="1701" t="str">
        <f>IF(ISTEXT(_xlfn.IFERROR(VLOOKUP(A54,职业列表!I3:J10,1,FALSE),0)),"★","")</f>
        <v/>
      </c>
      <c r="D54" s="1768"/>
      <c r="E54" s="1768"/>
      <c r="F54" s="1769" t="s">
        <v>89</v>
      </c>
      <c r="G54" s="1769" t="s">
        <v>89</v>
      </c>
      <c r="H54" s="1769" t="s">
        <v>89</v>
      </c>
      <c r="I54" s="1769" t="s">
        <v>89</v>
      </c>
      <c r="J54" s="1769" t="s">
        <v>89</v>
      </c>
      <c r="K54" s="1768"/>
      <c r="L54" s="1768"/>
      <c r="M54" s="1768"/>
      <c r="N54" s="1769" t="s">
        <v>89</v>
      </c>
      <c r="O54" s="1769" t="s">
        <v>89</v>
      </c>
      <c r="P54" s="1769" t="s">
        <v>89</v>
      </c>
      <c r="Q54" s="1768"/>
      <c r="R54" s="1769" t="s">
        <v>89</v>
      </c>
      <c r="S54" s="1769" t="s">
        <v>89</v>
      </c>
      <c r="T54" s="1768"/>
      <c r="U54" s="1768"/>
      <c r="V54" s="1769" t="s">
        <v>89</v>
      </c>
      <c r="W54" s="1769" t="s">
        <v>89</v>
      </c>
      <c r="X54" s="1769" t="s">
        <v>89</v>
      </c>
      <c r="Y54" s="1769" t="s">
        <v>89</v>
      </c>
      <c r="Z54" s="1768"/>
      <c r="AA54" s="1768"/>
      <c r="AB54" s="1768"/>
      <c r="AC54" s="1768"/>
      <c r="AD54" s="1768" t="s">
        <v>89</v>
      </c>
      <c r="AE54" s="1768"/>
      <c r="AF54" s="1769" t="s">
        <v>89</v>
      </c>
      <c r="AG54" s="1768"/>
      <c r="AH54" s="1769" t="s">
        <v>89</v>
      </c>
      <c r="AI54" s="1769" t="s">
        <v>89</v>
      </c>
      <c r="AJ54" s="1768"/>
      <c r="AK54" s="1768"/>
      <c r="AL54" s="1768"/>
      <c r="AM54" s="1769" t="s">
        <v>89</v>
      </c>
      <c r="AN54" s="1768"/>
      <c r="AO54" s="1769" t="s">
        <v>89</v>
      </c>
      <c r="AP54" s="1769" t="s">
        <v>89</v>
      </c>
      <c r="AQ54" s="1769" t="s">
        <v>89</v>
      </c>
      <c r="AR54" s="1768"/>
      <c r="AS54" s="1768"/>
      <c r="AT54" s="1769" t="s">
        <v>89</v>
      </c>
      <c r="AU54" s="1768"/>
      <c r="AV54" s="1768"/>
      <c r="AW54" s="1769" t="s">
        <v>89</v>
      </c>
      <c r="AX54" s="1768"/>
      <c r="AY54" s="1769" t="s">
        <v>89</v>
      </c>
      <c r="AZ54" s="1769" t="s">
        <v>89</v>
      </c>
      <c r="BA54" s="1768"/>
      <c r="BB54" s="1769" t="s">
        <v>89</v>
      </c>
      <c r="BC54" s="1768"/>
      <c r="BD54" s="1768"/>
      <c r="BE54" s="1768"/>
      <c r="BF54" s="1768"/>
      <c r="BG54" s="1769" t="s">
        <v>89</v>
      </c>
      <c r="BH54" s="1768"/>
      <c r="BI54" s="1769" t="s">
        <v>89</v>
      </c>
      <c r="BJ54" s="1769" t="s">
        <v>89</v>
      </c>
      <c r="BK54" s="1769" t="s">
        <v>89</v>
      </c>
      <c r="BL54" s="1768"/>
      <c r="BM54" s="1768"/>
      <c r="BN54" s="1769" t="s">
        <v>89</v>
      </c>
      <c r="BO54" s="1769" t="s">
        <v>89</v>
      </c>
      <c r="BP54" s="1769" t="s">
        <v>89</v>
      </c>
      <c r="BQ54" s="1769" t="s">
        <v>89</v>
      </c>
      <c r="BR54" s="1768"/>
      <c r="BS54" s="1768"/>
      <c r="BT54" s="1768"/>
      <c r="BU54" s="1768"/>
      <c r="BV54" s="1769" t="s">
        <v>89</v>
      </c>
      <c r="BW54" s="1768"/>
      <c r="BX54" s="1768"/>
      <c r="BY54" s="1769" t="s">
        <v>89</v>
      </c>
      <c r="BZ54" s="1768"/>
      <c r="CA54" s="1768"/>
      <c r="CB54" s="1768"/>
      <c r="CC54" s="1769" t="s">
        <v>89</v>
      </c>
      <c r="CD54" s="1769" t="s">
        <v>89</v>
      </c>
      <c r="CE54" s="1768"/>
      <c r="CF54" s="1768"/>
      <c r="CG54" s="1769" t="s">
        <v>89</v>
      </c>
      <c r="CH54" s="1769" t="s">
        <v>89</v>
      </c>
      <c r="CI54" s="1769" t="s">
        <v>89</v>
      </c>
      <c r="CJ54" s="1769" t="s">
        <v>89</v>
      </c>
      <c r="CK54" s="1768"/>
      <c r="CL54" s="1768"/>
      <c r="CM54" s="1769" t="s">
        <v>89</v>
      </c>
      <c r="CN54" s="1769" t="s">
        <v>89</v>
      </c>
      <c r="CO54" s="1769" t="s">
        <v>89</v>
      </c>
      <c r="CP54" s="1769" t="s">
        <v>89</v>
      </c>
      <c r="CQ54" s="1768"/>
      <c r="CR54" s="1769" t="s">
        <v>89</v>
      </c>
      <c r="CS54" s="1769" t="s">
        <v>89</v>
      </c>
      <c r="CT54" s="1769" t="s">
        <v>89</v>
      </c>
      <c r="CU54" s="1768"/>
      <c r="CV54" s="1768"/>
      <c r="CW54" s="1768"/>
      <c r="CX54" s="1769" t="s">
        <v>89</v>
      </c>
      <c r="CY54" s="1768"/>
      <c r="CZ54" s="1769" t="s">
        <v>89</v>
      </c>
      <c r="DA54" s="1769" t="s">
        <v>89</v>
      </c>
      <c r="DB54" s="1768"/>
      <c r="DC54" s="1769" t="s">
        <v>89</v>
      </c>
      <c r="DD54" s="1768"/>
      <c r="DE54" s="1768"/>
      <c r="DF54" s="1768"/>
      <c r="DG54" s="1769" t="s">
        <v>89</v>
      </c>
      <c r="DH54" s="1769" t="s">
        <v>89</v>
      </c>
      <c r="DI54" s="1769" t="s">
        <v>89</v>
      </c>
      <c r="DJ54" s="1768"/>
      <c r="DK54" s="1769" t="s">
        <v>89</v>
      </c>
      <c r="DL54" s="1769" t="s">
        <v>89</v>
      </c>
      <c r="DM54" s="1768"/>
      <c r="DN54" s="1768" t="s">
        <v>89</v>
      </c>
      <c r="DO54" s="1768"/>
      <c r="DP54" s="1768"/>
      <c r="DQ54" s="1768" t="s">
        <v>89</v>
      </c>
      <c r="DR54" s="1768"/>
      <c r="DS54" s="1768" t="s">
        <v>89</v>
      </c>
      <c r="DT54" s="1768" t="s">
        <v>89</v>
      </c>
      <c r="DU54" s="1768" t="s">
        <v>89</v>
      </c>
      <c r="DV54" s="1768" t="s">
        <v>89</v>
      </c>
      <c r="DW54" s="1768" t="s">
        <v>89</v>
      </c>
      <c r="DX54" s="1768" t="s">
        <v>89</v>
      </c>
      <c r="DY54" s="1768" t="s">
        <v>89</v>
      </c>
      <c r="DZ54" s="1768" t="s">
        <v>89</v>
      </c>
      <c r="EA54" s="1768" t="s">
        <v>89</v>
      </c>
      <c r="EB54" s="1768" t="s">
        <v>89</v>
      </c>
      <c r="EC54" s="1768" t="s">
        <v>89</v>
      </c>
      <c r="ED54" s="1768"/>
      <c r="EE54" s="1768" t="s">
        <v>89</v>
      </c>
      <c r="EF54" s="1768" t="s">
        <v>89</v>
      </c>
      <c r="EG54" s="1768" t="s">
        <v>89</v>
      </c>
      <c r="EH54" s="1768" t="s">
        <v>89</v>
      </c>
      <c r="EI54" s="1768" t="s">
        <v>89</v>
      </c>
      <c r="EJ54" s="1768"/>
      <c r="EK54" s="1768"/>
      <c r="EL54" s="1768"/>
      <c r="EM54" s="1768" t="s">
        <v>89</v>
      </c>
      <c r="EN54" s="1768"/>
      <c r="EO54" s="1768" t="s">
        <v>89</v>
      </c>
      <c r="EP54" s="1768" t="s">
        <v>89</v>
      </c>
      <c r="EQ54" s="1768" t="s">
        <v>89</v>
      </c>
      <c r="ER54" s="1768" t="s">
        <v>89</v>
      </c>
      <c r="ES54" s="1768" t="s">
        <v>89</v>
      </c>
      <c r="ET54" s="1768" t="s">
        <v>89</v>
      </c>
      <c r="EU54" s="1768" t="s">
        <v>89</v>
      </c>
      <c r="EV54" s="1768" t="s">
        <v>89</v>
      </c>
      <c r="EW54" s="1768"/>
      <c r="EX54" s="1768" t="s">
        <v>89</v>
      </c>
      <c r="EY54" s="1768" t="s">
        <v>89</v>
      </c>
      <c r="EZ54" s="1768"/>
      <c r="FA54" s="1768" t="s">
        <v>89</v>
      </c>
      <c r="FB54" s="1768"/>
      <c r="FC54" s="1768" t="s">
        <v>1326</v>
      </c>
      <c r="FD54" s="1768"/>
      <c r="FE54" s="1768" t="s">
        <v>89</v>
      </c>
      <c r="FF54" s="1768" t="s">
        <v>89</v>
      </c>
      <c r="FG54" s="1768"/>
      <c r="FH54" s="1768" t="s">
        <v>89</v>
      </c>
      <c r="FI54" s="1768"/>
      <c r="FJ54" s="1768" t="s">
        <v>89</v>
      </c>
      <c r="FK54" s="1768"/>
      <c r="FL54" s="1768"/>
      <c r="FM54" s="1768" t="s">
        <v>89</v>
      </c>
      <c r="FN54" s="1768" t="s">
        <v>89</v>
      </c>
      <c r="FO54" s="1768" t="s">
        <v>89</v>
      </c>
      <c r="FP54" s="1768"/>
      <c r="FQ54" s="1768" t="s">
        <v>89</v>
      </c>
      <c r="FR54" s="1768"/>
      <c r="FS54" s="1768"/>
      <c r="FT54" s="1768" t="s">
        <v>89</v>
      </c>
      <c r="FU54" s="1768"/>
      <c r="FV54" s="1768"/>
      <c r="FW54" s="1768"/>
      <c r="FX54" s="1768"/>
      <c r="FY54" s="1768" t="s">
        <v>89</v>
      </c>
      <c r="FZ54" s="1768" t="s">
        <v>89</v>
      </c>
      <c r="GA54" s="1768"/>
      <c r="GB54" s="1768"/>
      <c r="GC54" s="1768"/>
      <c r="GD54" s="1768"/>
      <c r="GE54" s="1768"/>
      <c r="GF54" s="1768" t="s">
        <v>89</v>
      </c>
      <c r="GG54" s="1768" t="s">
        <v>89</v>
      </c>
      <c r="GH54" s="1768" t="s">
        <v>89</v>
      </c>
      <c r="GI54" s="1768" t="s">
        <v>89</v>
      </c>
      <c r="GJ54" s="1768"/>
      <c r="GK54" s="1768" t="s">
        <v>89</v>
      </c>
      <c r="GL54" s="1768" t="s">
        <v>89</v>
      </c>
      <c r="GM54" s="1768" t="s">
        <v>89</v>
      </c>
      <c r="GN54" s="1768" t="s">
        <v>89</v>
      </c>
      <c r="GO54" s="1768"/>
      <c r="GP54" s="1768"/>
      <c r="GQ54" s="1768" t="s">
        <v>89</v>
      </c>
      <c r="GR54" s="1768"/>
      <c r="GS54" s="1768"/>
      <c r="GT54" s="1768"/>
      <c r="GU54" s="1768"/>
      <c r="GV54" s="1768"/>
      <c r="GW54" s="1768" t="s">
        <v>89</v>
      </c>
      <c r="GX54" s="1768"/>
      <c r="GY54" s="1769" t="s">
        <v>89</v>
      </c>
      <c r="GZ54" s="1769" t="s">
        <v>89</v>
      </c>
      <c r="HA54" s="1769"/>
      <c r="HB54" s="1769"/>
      <c r="HC54" s="1768" t="s">
        <v>89</v>
      </c>
      <c r="HD54" s="1770" t="s">
        <v>89</v>
      </c>
      <c r="HE54" s="1771" t="s">
        <v>89</v>
      </c>
      <c r="HF54" s="1769" t="s">
        <v>89</v>
      </c>
      <c r="HG54" s="1769"/>
      <c r="HH54" s="1769"/>
      <c r="HI54" s="1768"/>
      <c r="HJ54" s="1769" t="s">
        <v>89</v>
      </c>
      <c r="HK54" s="1772" t="s">
        <v>89</v>
      </c>
      <c r="HL54" s="1768"/>
      <c r="HM54" s="1768"/>
      <c r="HN54" s="1772" t="s">
        <v>89</v>
      </c>
      <c r="HO54" s="1769"/>
      <c r="HP54" s="1772" t="s">
        <v>89</v>
      </c>
      <c r="HQ54" s="1769" t="s">
        <v>89</v>
      </c>
      <c r="HR54" s="1768" t="s">
        <v>89</v>
      </c>
      <c r="HS54" s="1768" t="s">
        <v>89</v>
      </c>
      <c r="HT54" s="1768"/>
      <c r="HU54" s="1768"/>
      <c r="HV54" s="1768" t="s">
        <v>89</v>
      </c>
      <c r="HW54" s="1768"/>
      <c r="HX54" s="1769" t="s">
        <v>89</v>
      </c>
      <c r="HY54" s="1773"/>
      <c r="HZ54" s="1773"/>
      <c r="IA54" s="1773"/>
      <c r="IB54" s="1773"/>
      <c r="IC54" s="1773"/>
      <c r="ID54" s="1773"/>
      <c r="IE54" s="1773"/>
      <c r="IF54" s="1773"/>
      <c r="IG54" s="1773"/>
      <c r="IH54" s="1773"/>
      <c r="II54" s="1773"/>
      <c r="IJ54" s="1773"/>
      <c r="IK54" s="1773"/>
      <c r="IL54" s="1773"/>
      <c r="IM54" s="1773"/>
      <c r="IN54" s="1773"/>
      <c r="IO54" s="1773"/>
      <c r="IP54" s="1773"/>
      <c r="IQ54" s="1773"/>
      <c r="IR54" s="1773"/>
      <c r="IS54" s="1773"/>
      <c r="IT54" s="1773"/>
      <c r="IU54" s="1773"/>
      <c r="IV54" s="1773"/>
    </row>
    <row r="55" spans="8:8" ht="20.0" customHeight="1">
      <c r="A55" s="1765" t="s">
        <v>106</v>
      </c>
      <c r="B55" s="1701"/>
      <c r="C55" s="1702" t="str">
        <f>IF(ISTEXT(_xlfn.IFERROR(VLOOKUP(A55,职业列表!I3:J10,1,FALSE),0)),"★","")</f>
        <v/>
      </c>
      <c r="D55" s="1701"/>
      <c r="E55" s="1701"/>
      <c r="F55" s="1701"/>
      <c r="G55" s="1701"/>
      <c r="H55" s="1701"/>
      <c r="I55" s="1701"/>
      <c r="J55" s="1701"/>
      <c r="K55" s="1701"/>
      <c r="L55" s="1701"/>
      <c r="M55" s="1701"/>
      <c r="N55" s="1701"/>
      <c r="O55" s="1701"/>
      <c r="P55" s="1701"/>
      <c r="Q55" s="1703" t="s">
        <v>89</v>
      </c>
      <c r="R55" s="1701"/>
      <c r="S55" s="1701"/>
      <c r="T55" s="1701"/>
      <c r="U55" s="1701"/>
      <c r="V55" s="1701"/>
      <c r="W55" s="1701"/>
      <c r="X55" s="1701"/>
      <c r="Y55" s="1701"/>
      <c r="Z55" s="1701"/>
      <c r="AA55" s="1701"/>
      <c r="AB55" s="1703" t="s">
        <v>89</v>
      </c>
      <c r="AC55" s="1701"/>
      <c r="AD55" s="1701"/>
      <c r="AE55" s="1701"/>
      <c r="AF55" s="1701"/>
      <c r="AG55" s="1701"/>
      <c r="AH55" s="1701"/>
      <c r="AI55" s="1701"/>
      <c r="AJ55" s="1701"/>
      <c r="AK55" s="1701"/>
      <c r="AL55" s="1701"/>
      <c r="AM55" s="1701"/>
      <c r="AN55" s="1701"/>
      <c r="AO55" s="1701"/>
      <c r="AP55" s="1701"/>
      <c r="AQ55" s="1714"/>
      <c r="AR55" s="1703" t="s">
        <v>89</v>
      </c>
      <c r="AS55" s="1701"/>
      <c r="AT55" s="1701"/>
      <c r="AU55" s="1701"/>
      <c r="AV55" s="1701"/>
      <c r="AW55" s="1701"/>
      <c r="AX55" s="1701"/>
      <c r="AY55" s="1701"/>
      <c r="AZ55" s="1701"/>
      <c r="BA55" s="1701"/>
      <c r="BB55" s="1701"/>
      <c r="BC55" s="1701"/>
      <c r="BD55" s="1701"/>
      <c r="BE55" s="1701"/>
      <c r="BF55" s="1701"/>
      <c r="BG55" s="1701"/>
      <c r="BH55" s="1701"/>
      <c r="BI55" s="1701"/>
      <c r="BJ55" s="1701"/>
      <c r="BK55" s="1701"/>
      <c r="BL55" s="1703" t="s">
        <v>89</v>
      </c>
      <c r="BM55" s="1701"/>
      <c r="BN55" s="1701"/>
      <c r="BO55" s="1701"/>
      <c r="BP55" s="1701"/>
      <c r="BQ55" s="1701"/>
      <c r="BR55" s="1701"/>
      <c r="BS55" s="1701"/>
      <c r="BT55" s="1701"/>
      <c r="BU55" s="1701"/>
      <c r="BV55" s="1701"/>
      <c r="BW55" s="1701"/>
      <c r="BX55" s="1701"/>
      <c r="BY55" s="1701"/>
      <c r="BZ55" s="1701"/>
      <c r="CA55" s="1701"/>
      <c r="CB55" s="1701"/>
      <c r="CC55" s="1701"/>
      <c r="CD55" s="1701"/>
      <c r="CE55" s="1701"/>
      <c r="CF55" s="1701"/>
      <c r="CG55" s="1701"/>
      <c r="CH55" s="1701"/>
      <c r="CI55" s="1701"/>
      <c r="CJ55" s="1701"/>
      <c r="CK55" s="1701"/>
      <c r="CL55" s="1701"/>
      <c r="CM55" s="1701"/>
      <c r="CN55" s="1701" t="s">
        <v>1326</v>
      </c>
      <c r="CO55" s="1701"/>
      <c r="CP55" s="1701"/>
      <c r="CQ55" s="1701"/>
      <c r="CR55" s="1701"/>
      <c r="CS55" s="1701"/>
      <c r="CT55" s="1701"/>
      <c r="CU55" s="1701"/>
      <c r="CV55" s="1701"/>
      <c r="CW55" s="1701"/>
      <c r="CX55" s="1701"/>
      <c r="CY55" s="1701"/>
      <c r="CZ55" s="1701"/>
      <c r="DA55" s="1701"/>
      <c r="DB55" s="1701"/>
      <c r="DC55" s="1701"/>
      <c r="DD55" s="1701"/>
      <c r="DE55" s="1701" t="s">
        <v>1329</v>
      </c>
      <c r="DF55" s="1701"/>
      <c r="DG55" s="1701"/>
      <c r="DH55" s="1701"/>
      <c r="DI55" s="1701"/>
      <c r="DJ55" s="1701"/>
      <c r="DK55" s="1701"/>
      <c r="DL55" s="1701"/>
      <c r="DM55" s="1701"/>
      <c r="DN55" s="1701"/>
      <c r="DO55" s="1701"/>
      <c r="DP55" s="1701" t="s">
        <v>89</v>
      </c>
      <c r="DQ55" s="1701"/>
      <c r="DR55" s="1701"/>
      <c r="DS55" s="1701"/>
      <c r="DT55" s="1701"/>
      <c r="DU55" s="1701"/>
      <c r="DV55" s="1701"/>
      <c r="DW55" s="1701"/>
      <c r="DX55" s="1701"/>
      <c r="DY55" s="1701"/>
      <c r="DZ55" s="1701"/>
      <c r="EA55" s="1701"/>
      <c r="EB55" s="1701"/>
      <c r="EC55" s="1701"/>
      <c r="ED55" s="1701"/>
      <c r="EE55" s="1701"/>
      <c r="EF55" s="1701"/>
      <c r="EG55" s="1701"/>
      <c r="EH55" s="1701"/>
      <c r="EI55" s="1701"/>
      <c r="EJ55" s="1701"/>
      <c r="EK55" s="1701"/>
      <c r="EL55" s="1701"/>
      <c r="EM55" s="1701"/>
      <c r="EN55" s="1701"/>
      <c r="EO55" s="1701"/>
      <c r="EP55" s="1701"/>
      <c r="EQ55" s="1701"/>
      <c r="ER55" s="1701"/>
      <c r="ES55" s="1701"/>
      <c r="ET55" s="1701"/>
      <c r="EU55" s="1701"/>
      <c r="EV55" s="1701"/>
      <c r="EW55" s="1701"/>
      <c r="EX55" s="1701"/>
      <c r="EY55" s="1701"/>
      <c r="EZ55" s="1701"/>
      <c r="FA55" s="1701"/>
      <c r="FB55" s="1701"/>
      <c r="FC55" s="1701" t="s">
        <v>89</v>
      </c>
      <c r="FD55" s="1701"/>
      <c r="FE55" s="1701"/>
      <c r="FF55" s="1701"/>
      <c r="FG55" s="1701"/>
      <c r="FH55" s="1701"/>
      <c r="FI55" s="1701"/>
      <c r="FJ55" s="1701"/>
      <c r="FK55" s="1701"/>
      <c r="FL55" s="1701"/>
      <c r="FM55" s="1701"/>
      <c r="FN55" s="1701"/>
      <c r="FO55" s="1701"/>
      <c r="FP55" s="1701"/>
      <c r="FQ55" s="1701"/>
      <c r="FR55" s="1701" t="s">
        <v>89</v>
      </c>
      <c r="FS55" s="1701"/>
      <c r="FT55" s="1701"/>
      <c r="FU55" s="1701"/>
      <c r="FV55" s="1701"/>
      <c r="FW55" s="1701"/>
      <c r="FX55" s="1701"/>
      <c r="FY55" s="1701"/>
      <c r="FZ55" s="1701"/>
      <c r="GA55" s="1701"/>
      <c r="GB55" s="1701"/>
      <c r="GC55" s="1701"/>
      <c r="GD55" s="1701"/>
      <c r="GE55" s="1701"/>
      <c r="GF55" s="1701"/>
      <c r="GG55" s="1701"/>
      <c r="GH55" s="1701"/>
      <c r="GI55" s="1701"/>
      <c r="GJ55" s="1701"/>
      <c r="GK55" s="1701"/>
      <c r="GL55" s="1701"/>
      <c r="GM55" s="1701"/>
      <c r="GN55" s="1701"/>
      <c r="GO55" s="1701"/>
      <c r="GP55" s="1701"/>
      <c r="GQ55" s="1701"/>
      <c r="GR55" s="1701"/>
      <c r="GS55" s="1701"/>
      <c r="GT55" s="1701"/>
      <c r="GU55" s="1701"/>
      <c r="GV55" s="1701"/>
      <c r="GW55" s="1701" t="s">
        <v>1326</v>
      </c>
      <c r="GX55" s="1701"/>
      <c r="GY55" s="1701" t="s">
        <v>89</v>
      </c>
      <c r="GZ55" s="1701"/>
      <c r="HA55" s="1701" t="s">
        <v>89</v>
      </c>
      <c r="HB55" s="1701"/>
      <c r="HC55" s="1701"/>
      <c r="HD55" s="1701"/>
      <c r="HE55" s="1701"/>
      <c r="HF55" s="1701"/>
      <c r="HG55" s="1701"/>
      <c r="HH55" s="1701"/>
      <c r="HI55" s="1703"/>
      <c r="HJ55" s="1701"/>
      <c r="HK55" s="1701" t="s">
        <v>89</v>
      </c>
      <c r="HL55" s="1701" t="s">
        <v>89</v>
      </c>
      <c r="HM55" s="1701"/>
      <c r="HN55" s="1701"/>
      <c r="HO55" s="1701"/>
      <c r="HP55" s="1701"/>
      <c r="HQ55" s="1701"/>
      <c r="HR55" s="1701"/>
      <c r="HS55" s="1701"/>
      <c r="HT55" s="1703"/>
      <c r="HU55" s="1701"/>
      <c r="HV55" s="1701"/>
      <c r="HW55" s="1701"/>
      <c r="HX55" s="1701"/>
      <c r="HY55" s="1688"/>
      <c r="HZ55" s="1688"/>
      <c r="IA55" s="1688"/>
      <c r="IB55" s="1688"/>
      <c r="IC55" s="1688"/>
      <c r="ID55" s="1688"/>
      <c r="IE55" s="1688"/>
      <c r="IF55" s="1688"/>
      <c r="IG55" s="1688"/>
      <c r="IH55" s="1688"/>
      <c r="II55" s="1688"/>
      <c r="IJ55" s="1688"/>
      <c r="IK55" s="1688"/>
      <c r="IL55" s="1688"/>
      <c r="IM55" s="1688"/>
      <c r="IN55" s="1688"/>
      <c r="IO55" s="1688"/>
      <c r="IP55" s="1688"/>
      <c r="IQ55" s="1688"/>
      <c r="IR55" s="1688"/>
      <c r="IS55" s="1688"/>
      <c r="IT55" s="1688"/>
      <c r="IU55" s="1688"/>
      <c r="IV55" s="1688"/>
    </row>
    <row r="56" spans="8:8" s="1774" ht="20.0" customFormat="1" customHeight="1">
      <c r="A56" s="1775" t="s">
        <v>108</v>
      </c>
      <c r="B56" s="1776"/>
      <c r="C56" s="1701" t="str">
        <f>IF(ISTEXT(_xlfn.IFERROR(VLOOKUP(A56,职业列表!I3:J10,1,FALSE),0)),"★","")</f>
        <v/>
      </c>
      <c r="D56" s="1776"/>
      <c r="E56" s="1776"/>
      <c r="F56" s="1776"/>
      <c r="G56" s="1776"/>
      <c r="H56" s="1776"/>
      <c r="I56" s="1776" t="s">
        <v>1374</v>
      </c>
      <c r="J56" s="1776" t="s">
        <v>1375</v>
      </c>
      <c r="K56" s="1776"/>
      <c r="L56" s="1776"/>
      <c r="M56" s="1777" t="s">
        <v>1326</v>
      </c>
      <c r="N56" s="1776" t="s">
        <v>1376</v>
      </c>
      <c r="O56" s="1776"/>
      <c r="P56" s="1776"/>
      <c r="Q56" s="1776"/>
      <c r="R56" s="1776"/>
      <c r="S56" s="1776"/>
      <c r="T56" s="1776" t="s">
        <v>1374</v>
      </c>
      <c r="U56" s="1776"/>
      <c r="V56" s="1776"/>
      <c r="W56" s="1776"/>
      <c r="X56" s="1776"/>
      <c r="Y56" s="1776"/>
      <c r="Z56" s="1776" t="s">
        <v>1376</v>
      </c>
      <c r="AA56" s="1776"/>
      <c r="AB56" s="1776"/>
      <c r="AC56" s="1776"/>
      <c r="AD56" s="1776"/>
      <c r="AE56" s="1776"/>
      <c r="AF56" s="1776"/>
      <c r="AG56" s="1776"/>
      <c r="AH56" s="1776"/>
      <c r="AI56" s="1776"/>
      <c r="AJ56" s="1776"/>
      <c r="AK56" s="1776"/>
      <c r="AL56" s="1776"/>
      <c r="AM56" s="1776"/>
      <c r="AN56" s="1776"/>
      <c r="AO56" s="1776"/>
      <c r="AP56" s="1776"/>
      <c r="AQ56" s="1776"/>
      <c r="AR56" s="1776"/>
      <c r="AS56" s="1776" t="s">
        <v>1374</v>
      </c>
      <c r="AT56" s="1776" t="s">
        <v>1374</v>
      </c>
      <c r="AU56" s="1776"/>
      <c r="AV56" s="1776"/>
      <c r="AW56" s="1776"/>
      <c r="AX56" s="1776"/>
      <c r="AY56" s="1776"/>
      <c r="AZ56" s="1776"/>
      <c r="BA56" s="1776" t="s">
        <v>1377</v>
      </c>
      <c r="BB56" s="1776"/>
      <c r="BC56" s="1776"/>
      <c r="BD56" s="1776"/>
      <c r="BE56" s="1776"/>
      <c r="BF56" s="1776"/>
      <c r="BG56" s="1776"/>
      <c r="BH56" s="1776" t="s">
        <v>1374</v>
      </c>
      <c r="BI56" s="1776"/>
      <c r="BJ56" s="1776"/>
      <c r="BK56" s="1776"/>
      <c r="BL56" s="1776"/>
      <c r="BM56" s="1776"/>
      <c r="BN56" s="1776"/>
      <c r="BO56" s="1776"/>
      <c r="BP56" s="1776"/>
      <c r="BQ56" s="1776"/>
      <c r="BR56" s="1776" t="s">
        <v>1378</v>
      </c>
      <c r="BS56" s="1778"/>
      <c r="BT56" s="1776" t="s">
        <v>1379</v>
      </c>
      <c r="BU56" s="1776" t="s">
        <v>1380</v>
      </c>
      <c r="BV56" s="1776"/>
      <c r="BW56" s="1776"/>
      <c r="BX56" s="1776"/>
      <c r="BY56" s="1776"/>
      <c r="BZ56" s="1776"/>
      <c r="CA56" s="1776"/>
      <c r="CB56" s="1776"/>
      <c r="CC56" s="1776"/>
      <c r="CD56" s="1776" t="s">
        <v>1374</v>
      </c>
      <c r="CE56" s="1777" t="s">
        <v>1381</v>
      </c>
      <c r="CF56" s="1776"/>
      <c r="CG56" s="1776"/>
      <c r="CH56" s="1776" t="s">
        <v>1378</v>
      </c>
      <c r="CI56" s="1776" t="s">
        <v>1378</v>
      </c>
      <c r="CJ56" s="1776" t="s">
        <v>1378</v>
      </c>
      <c r="CK56" s="1776" t="s">
        <v>1382</v>
      </c>
      <c r="CL56" s="1776"/>
      <c r="CM56" s="1776"/>
      <c r="CN56" s="1776"/>
      <c r="CO56" s="1776"/>
      <c r="CP56" s="1776"/>
      <c r="CQ56" s="1776" t="s">
        <v>1380</v>
      </c>
      <c r="CR56" s="1776"/>
      <c r="CS56" s="1776" t="s">
        <v>1374</v>
      </c>
      <c r="CT56" s="1776"/>
      <c r="CU56" s="1776"/>
      <c r="CV56" s="1776"/>
      <c r="CW56" s="1776"/>
      <c r="CX56" s="1776"/>
      <c r="CY56" s="1779" t="s">
        <v>89</v>
      </c>
      <c r="CZ56" s="1776"/>
      <c r="DA56" s="1776"/>
      <c r="DB56" s="1776"/>
      <c r="DC56" s="1776"/>
      <c r="DD56" s="1776"/>
      <c r="DE56" s="1776"/>
      <c r="DF56" s="1776"/>
      <c r="DG56" s="1776" t="s">
        <v>1374</v>
      </c>
      <c r="DH56" s="1776"/>
      <c r="DI56" s="1776"/>
      <c r="DJ56" s="1776"/>
      <c r="DK56" s="1776"/>
      <c r="DL56" s="1776"/>
      <c r="DM56" s="1776" t="s">
        <v>1383</v>
      </c>
      <c r="DN56" s="1776"/>
      <c r="DO56" s="1776"/>
      <c r="DP56" s="1776"/>
      <c r="DQ56" s="1776"/>
      <c r="DR56" s="1776"/>
      <c r="DS56" s="1776"/>
      <c r="DT56" s="1776"/>
      <c r="DU56" s="1776"/>
      <c r="DV56" s="1776"/>
      <c r="DW56" s="1776"/>
      <c r="DX56" s="1776"/>
      <c r="DY56" s="1776"/>
      <c r="DZ56" s="1776"/>
      <c r="EA56" s="1776"/>
      <c r="EB56" s="1776"/>
      <c r="EC56" s="1776"/>
      <c r="ED56" s="1776"/>
      <c r="EE56" s="1776"/>
      <c r="EF56" s="1776" t="s">
        <v>1374</v>
      </c>
      <c r="EG56" s="1776" t="s">
        <v>1374</v>
      </c>
      <c r="EH56" s="1776" t="s">
        <v>1374</v>
      </c>
      <c r="EI56" s="1776"/>
      <c r="EJ56" s="1776"/>
      <c r="EK56" s="1776"/>
      <c r="EL56" s="1776" t="s">
        <v>1378</v>
      </c>
      <c r="EM56" s="1776"/>
      <c r="EN56" s="1776"/>
      <c r="EO56" s="1776"/>
      <c r="EP56" s="1776"/>
      <c r="EQ56" s="1776"/>
      <c r="ER56" s="1776"/>
      <c r="ES56" s="1776"/>
      <c r="ET56" s="1776"/>
      <c r="EU56" s="1776"/>
      <c r="EV56" s="1776"/>
      <c r="EW56" s="1776"/>
      <c r="EX56" s="1776"/>
      <c r="EY56" s="1776"/>
      <c r="EZ56" s="1776" t="s">
        <v>1374</v>
      </c>
      <c r="FA56" s="1776" t="s">
        <v>1383</v>
      </c>
      <c r="FB56" s="1776"/>
      <c r="FC56" s="1776"/>
      <c r="FD56" s="1776"/>
      <c r="FE56" s="1776"/>
      <c r="FF56" s="1776"/>
      <c r="FG56" s="1776" t="s">
        <v>1382</v>
      </c>
      <c r="FH56" s="1776"/>
      <c r="FI56" s="1776" t="s">
        <v>1326</v>
      </c>
      <c r="FJ56" s="1776"/>
      <c r="FK56" s="1776" t="s">
        <v>1382</v>
      </c>
      <c r="FL56" s="1776" t="s">
        <v>1378</v>
      </c>
      <c r="FM56" s="1776"/>
      <c r="FN56" s="1776"/>
      <c r="FO56" s="1776"/>
      <c r="FP56" s="1776" t="s">
        <v>1382</v>
      </c>
      <c r="FQ56" s="1776"/>
      <c r="FR56" s="1776"/>
      <c r="FS56" s="1776"/>
      <c r="FT56" s="1776" t="s">
        <v>1375</v>
      </c>
      <c r="FU56" s="1776" t="s">
        <v>1378</v>
      </c>
      <c r="FV56" s="1776" t="s">
        <v>1383</v>
      </c>
      <c r="FW56" s="1776" t="s">
        <v>1378</v>
      </c>
      <c r="FX56" s="1776"/>
      <c r="FY56" s="1776"/>
      <c r="FZ56" s="1776"/>
      <c r="GA56" s="1776"/>
      <c r="GB56" s="1776"/>
      <c r="GC56" s="1776"/>
      <c r="GD56" s="1776"/>
      <c r="GE56" s="1776"/>
      <c r="GF56" s="1776"/>
      <c r="GG56" s="1776"/>
      <c r="GH56" s="1776"/>
      <c r="GI56" s="1776"/>
      <c r="GJ56" s="1776"/>
      <c r="GK56" s="1776"/>
      <c r="GL56" s="1776"/>
      <c r="GM56" s="1776"/>
      <c r="GN56" s="1776"/>
      <c r="GO56" s="1776"/>
      <c r="GP56" s="1776" t="s">
        <v>1384</v>
      </c>
      <c r="GQ56" s="1776"/>
      <c r="GR56" s="1776"/>
      <c r="GS56" s="1776" t="s">
        <v>1374</v>
      </c>
      <c r="GT56" s="1776"/>
      <c r="GU56" s="1776"/>
      <c r="GV56" s="1776"/>
      <c r="GW56" s="1776"/>
      <c r="GX56" s="1776"/>
      <c r="GY56" s="1776"/>
      <c r="GZ56" s="1776"/>
      <c r="HA56" s="1776"/>
      <c r="HB56" s="1776"/>
      <c r="HC56" s="1776"/>
      <c r="HD56" s="1776"/>
      <c r="HE56" s="1776"/>
      <c r="HF56" s="1777" t="s">
        <v>1378</v>
      </c>
      <c r="HG56" s="1776"/>
      <c r="HH56" s="1776"/>
      <c r="HI56" s="1776"/>
      <c r="HJ56" s="1776"/>
      <c r="HK56" s="1776"/>
      <c r="HL56" s="1776" t="s">
        <v>1374</v>
      </c>
      <c r="HM56" s="1776"/>
      <c r="HN56" s="1776"/>
      <c r="HO56" s="1776"/>
      <c r="HP56" s="1776"/>
      <c r="HQ56" s="1777" t="s">
        <v>1374</v>
      </c>
      <c r="HR56" s="1776"/>
      <c r="HS56" s="1776"/>
      <c r="HT56" s="1776"/>
      <c r="HU56" s="1776"/>
      <c r="HV56" s="1776"/>
      <c r="HW56" s="1776"/>
      <c r="HX56" s="1776"/>
      <c r="HY56" s="1780"/>
      <c r="HZ56" s="1780"/>
      <c r="IA56" s="1780"/>
      <c r="IB56" s="1780"/>
      <c r="IC56" s="1780"/>
      <c r="ID56" s="1780"/>
      <c r="IE56" s="1780"/>
      <c r="IF56" s="1780"/>
      <c r="IG56" s="1780"/>
      <c r="IH56" s="1780"/>
      <c r="II56" s="1780"/>
      <c r="IJ56" s="1780"/>
      <c r="IK56" s="1780"/>
      <c r="IL56" s="1780"/>
      <c r="IM56" s="1780"/>
      <c r="IN56" s="1780"/>
      <c r="IO56" s="1780"/>
      <c r="IP56" s="1780"/>
      <c r="IQ56" s="1780"/>
      <c r="IR56" s="1780"/>
      <c r="IS56" s="1780"/>
      <c r="IT56" s="1780"/>
      <c r="IU56" s="1780"/>
      <c r="IV56" s="1780"/>
    </row>
    <row r="57" spans="8:8" ht="20.0" customHeight="1">
      <c r="A57" s="1713" t="s">
        <v>111</v>
      </c>
      <c r="B57" s="1701"/>
      <c r="C57" s="1701" t="str">
        <f>IF(ISTEXT(_xlfn.IFERROR(VLOOKUP(A57,职业列表!I3:J10,1,FALSE),0)),"★","")</f>
        <v/>
      </c>
      <c r="D57" s="1714"/>
      <c r="E57" s="1714"/>
      <c r="F57" s="1714"/>
      <c r="G57" s="1714"/>
      <c r="H57" s="1714"/>
      <c r="I57" s="1714" t="s">
        <v>1378</v>
      </c>
      <c r="J57" s="1714"/>
      <c r="K57" s="1714"/>
      <c r="L57" s="1714"/>
      <c r="M57" s="1714"/>
      <c r="N57" s="1714"/>
      <c r="O57" s="1714"/>
      <c r="P57" s="1714"/>
      <c r="Q57" s="1714"/>
      <c r="R57" s="1714"/>
      <c r="S57" s="1714"/>
      <c r="T57" s="1714" t="s">
        <v>1385</v>
      </c>
      <c r="U57" s="1714"/>
      <c r="V57" s="1714"/>
      <c r="W57" s="1714"/>
      <c r="X57" s="1714"/>
      <c r="Y57" s="1714"/>
      <c r="Z57" s="1714"/>
      <c r="AA57" s="1714"/>
      <c r="AB57" s="1714"/>
      <c r="AC57" s="1714"/>
      <c r="AD57" s="1714"/>
      <c r="AE57" s="1714"/>
      <c r="AF57" s="1714"/>
      <c r="AG57" s="1714"/>
      <c r="AH57" s="1714"/>
      <c r="AI57" s="1714"/>
      <c r="AJ57" s="1714"/>
      <c r="AK57" s="1714"/>
      <c r="AL57" s="1714"/>
      <c r="AM57" s="1714"/>
      <c r="AN57" s="1714"/>
      <c r="AO57" s="1714"/>
      <c r="AP57" s="1714"/>
      <c r="AQ57" s="1714"/>
      <c r="AR57" s="1714"/>
      <c r="AS57" s="1714"/>
      <c r="AT57" s="1714" t="s">
        <v>1383</v>
      </c>
      <c r="AU57" s="1714"/>
      <c r="AV57" s="1714"/>
      <c r="AW57" s="1714"/>
      <c r="AX57" s="1714"/>
      <c r="AY57" s="1714"/>
      <c r="AZ57" s="1714"/>
      <c r="BA57" s="1714" t="s">
        <v>1384</v>
      </c>
      <c r="BB57" s="1714"/>
      <c r="BC57" s="1714"/>
      <c r="BD57" s="1714"/>
      <c r="BE57" s="1714"/>
      <c r="BF57" s="1714"/>
      <c r="BG57" s="1714"/>
      <c r="BH57" s="1714" t="s">
        <v>1386</v>
      </c>
      <c r="BI57" s="1714"/>
      <c r="BJ57" s="1714"/>
      <c r="BK57" s="1714"/>
      <c r="BL57" s="1714"/>
      <c r="BM57" s="1714"/>
      <c r="BN57" s="1714"/>
      <c r="BO57" s="1714"/>
      <c r="BP57" s="1714"/>
      <c r="BQ57" s="1714"/>
      <c r="BR57" s="1703" t="s">
        <v>89</v>
      </c>
      <c r="BS57" s="1714"/>
      <c r="BT57" s="1715" t="s">
        <v>1387</v>
      </c>
      <c r="BU57" s="1714"/>
      <c r="BV57" s="1714"/>
      <c r="BW57" s="1714"/>
      <c r="BX57" s="1714"/>
      <c r="BY57" s="1714"/>
      <c r="BZ57" s="1714"/>
      <c r="CA57" s="1714"/>
      <c r="CB57" s="1714"/>
      <c r="CC57" s="1714"/>
      <c r="CD57" s="1714" t="s">
        <v>1378</v>
      </c>
      <c r="CE57" s="1714"/>
      <c r="CF57" s="1714"/>
      <c r="CG57" s="1714"/>
      <c r="CH57" s="1714" t="s">
        <v>1388</v>
      </c>
      <c r="CI57" s="1714"/>
      <c r="CJ57" s="1714"/>
      <c r="CK57" s="1714"/>
      <c r="CL57" s="1714"/>
      <c r="CM57" s="1714"/>
      <c r="CN57" s="1714"/>
      <c r="CO57" s="1714"/>
      <c r="CP57" s="1714"/>
      <c r="CQ57" s="1714"/>
      <c r="CR57" s="1714"/>
      <c r="CS57" s="1714" t="s">
        <v>1378</v>
      </c>
      <c r="CT57" s="1714"/>
      <c r="CU57" s="1714"/>
      <c r="CV57" s="1714"/>
      <c r="CW57" s="1714"/>
      <c r="CX57" s="1714"/>
      <c r="CY57" s="1703" t="s">
        <v>89</v>
      </c>
      <c r="CZ57" s="1714"/>
      <c r="DA57" s="1714"/>
      <c r="DB57" s="1714"/>
      <c r="DC57" s="1714"/>
      <c r="DD57" s="1714"/>
      <c r="DE57" s="1714"/>
      <c r="DF57" s="1714"/>
      <c r="DG57" s="1714" t="s">
        <v>1378</v>
      </c>
      <c r="DH57" s="1714"/>
      <c r="DI57" s="1714"/>
      <c r="DJ57" s="1714"/>
      <c r="DK57" s="1714"/>
      <c r="DL57" s="1714"/>
      <c r="DM57" s="1714" t="s">
        <v>1375</v>
      </c>
      <c r="DN57" s="1701"/>
      <c r="DO57" s="1701"/>
      <c r="DP57" s="1701"/>
      <c r="DQ57" s="1701"/>
      <c r="DR57" s="1701"/>
      <c r="DS57" s="1701"/>
      <c r="DT57" s="1701"/>
      <c r="DU57" s="1701"/>
      <c r="DV57" s="1701"/>
      <c r="DW57" s="1701"/>
      <c r="DX57" s="1701"/>
      <c r="DY57" s="1701"/>
      <c r="DZ57" s="1701"/>
      <c r="EA57" s="1701"/>
      <c r="EB57" s="1701"/>
      <c r="EC57" s="1701"/>
      <c r="ED57" s="1701"/>
      <c r="EE57" s="1701"/>
      <c r="EF57" s="1701" t="s">
        <v>1383</v>
      </c>
      <c r="EG57" s="1701" t="s">
        <v>1383</v>
      </c>
      <c r="EH57" s="1701" t="s">
        <v>1383</v>
      </c>
      <c r="EI57" s="1701"/>
      <c r="EJ57" s="1701"/>
      <c r="EK57" s="1701"/>
      <c r="EL57" s="1701" t="s">
        <v>1386</v>
      </c>
      <c r="EM57" s="1701"/>
      <c r="EN57" s="1701"/>
      <c r="EO57" s="1701"/>
      <c r="EP57" s="1701"/>
      <c r="EQ57" s="1701"/>
      <c r="ER57" s="1701"/>
      <c r="ES57" s="1701"/>
      <c r="ET57" s="1701"/>
      <c r="EU57" s="1701"/>
      <c r="EV57" s="1701"/>
      <c r="EW57" s="1701"/>
      <c r="EX57" s="1701"/>
      <c r="EY57" s="1701"/>
      <c r="EZ57" s="1701" t="s">
        <v>1378</v>
      </c>
      <c r="FA57" s="1701"/>
      <c r="FB57" s="1701"/>
      <c r="FC57" s="1701"/>
      <c r="FD57" s="1701"/>
      <c r="FE57" s="1701"/>
      <c r="FF57" s="1701"/>
      <c r="FG57" s="1701" t="s">
        <v>1380</v>
      </c>
      <c r="FH57" s="1701"/>
      <c r="FI57" s="1701"/>
      <c r="FJ57" s="1701"/>
      <c r="FK57" s="1701"/>
      <c r="FL57" s="1701"/>
      <c r="FM57" s="1701"/>
      <c r="FN57" s="1701"/>
      <c r="FO57" s="1701"/>
      <c r="FP57" s="1701"/>
      <c r="FQ57" s="1701"/>
      <c r="FR57" s="1701"/>
      <c r="FS57" s="1701"/>
      <c r="FT57" s="1701"/>
      <c r="FU57" s="1701"/>
      <c r="FV57" s="1701"/>
      <c r="FW57" s="1701" t="s">
        <v>1386</v>
      </c>
      <c r="FX57" s="1701"/>
      <c r="FY57" s="1701"/>
      <c r="FZ57" s="1701"/>
      <c r="GA57" s="1701"/>
      <c r="GB57" s="1701"/>
      <c r="GC57" s="1701"/>
      <c r="GD57" s="1701"/>
      <c r="GE57" s="1701"/>
      <c r="GF57" s="1701"/>
      <c r="GG57" s="1701"/>
      <c r="GH57" s="1701"/>
      <c r="GI57" s="1701"/>
      <c r="GJ57" s="1701"/>
      <c r="GK57" s="1701"/>
      <c r="GL57" s="1701"/>
      <c r="GM57" s="1701"/>
      <c r="GN57" s="1701"/>
      <c r="GO57" s="1701"/>
      <c r="GP57" s="1701" t="s">
        <v>1378</v>
      </c>
      <c r="GQ57" s="1701"/>
      <c r="GR57" s="1701"/>
      <c r="GS57" s="1701" t="s">
        <v>1378</v>
      </c>
      <c r="GT57" s="1701"/>
      <c r="GU57" s="1701"/>
      <c r="GV57" s="1701"/>
      <c r="GW57" s="1701"/>
      <c r="GX57" s="1701"/>
      <c r="GY57" s="1714"/>
      <c r="GZ57" s="1714"/>
      <c r="HA57" s="1714"/>
      <c r="HB57" s="1714"/>
      <c r="HC57" s="1714"/>
      <c r="HD57" s="1714"/>
      <c r="HE57" s="1714"/>
      <c r="HF57" s="1714"/>
      <c r="HG57" s="1714"/>
      <c r="HH57" s="1714"/>
      <c r="HI57" s="1714"/>
      <c r="HJ57" s="1714"/>
      <c r="HK57" s="1714"/>
      <c r="HL57" s="1714"/>
      <c r="HM57" s="1714"/>
      <c r="HN57" s="1714"/>
      <c r="HO57" s="1714"/>
      <c r="HP57" s="1714"/>
      <c r="HQ57" s="1715" t="s">
        <v>1383</v>
      </c>
      <c r="HR57" s="1714"/>
      <c r="HS57" s="1714"/>
      <c r="HT57" s="1714"/>
      <c r="HU57" s="1714"/>
      <c r="HV57" s="1714"/>
      <c r="HW57" s="1714"/>
      <c r="HX57" s="1714"/>
      <c r="HY57" s="1688"/>
      <c r="HZ57" s="1688"/>
      <c r="IA57" s="1688"/>
      <c r="IB57" s="1688"/>
      <c r="IC57" s="1688"/>
      <c r="ID57" s="1688"/>
      <c r="IE57" s="1688"/>
      <c r="IF57" s="1688"/>
      <c r="IG57" s="1688"/>
      <c r="IH57" s="1688"/>
      <c r="II57" s="1688"/>
      <c r="IJ57" s="1688"/>
      <c r="IK57" s="1688"/>
      <c r="IL57" s="1688"/>
      <c r="IM57" s="1688"/>
      <c r="IN57" s="1688"/>
      <c r="IO57" s="1688"/>
      <c r="IP57" s="1688"/>
      <c r="IQ57" s="1688"/>
      <c r="IR57" s="1688"/>
      <c r="IS57" s="1688"/>
      <c r="IT57" s="1688"/>
      <c r="IU57" s="1688"/>
      <c r="IV57" s="1688"/>
    </row>
    <row r="58" spans="8:8" ht="20.0" customHeight="1">
      <c r="A58" s="1713" t="s">
        <v>113</v>
      </c>
      <c r="B58" s="1701"/>
      <c r="C58" s="1701" t="str">
        <f>IF(ISTEXT(_xlfn.IFERROR(VLOOKUP(A58,职业列表!I3:J10,1,FALSE),0)),"★","")</f>
        <v/>
      </c>
      <c r="D58" s="1714"/>
      <c r="E58" s="1714"/>
      <c r="F58" s="1714"/>
      <c r="G58" s="1714"/>
      <c r="H58" s="1714"/>
      <c r="I58" s="1714"/>
      <c r="J58" s="1714"/>
      <c r="K58" s="1714"/>
      <c r="L58" s="1714"/>
      <c r="M58" s="1714"/>
      <c r="N58" s="1714"/>
      <c r="O58" s="1714"/>
      <c r="P58" s="1714"/>
      <c r="Q58" s="1714"/>
      <c r="R58" s="1714"/>
      <c r="S58" s="1714"/>
      <c r="T58" s="1714"/>
      <c r="U58" s="1714"/>
      <c r="V58" s="1714"/>
      <c r="W58" s="1714"/>
      <c r="X58" s="1714"/>
      <c r="Y58" s="1714"/>
      <c r="Z58" s="1714"/>
      <c r="AA58" s="1714"/>
      <c r="AB58" s="1714"/>
      <c r="AC58" s="1714"/>
      <c r="AD58" s="1714"/>
      <c r="AE58" s="1714"/>
      <c r="AF58" s="1714"/>
      <c r="AG58" s="1714"/>
      <c r="AH58" s="1714"/>
      <c r="AI58" s="1714"/>
      <c r="AJ58" s="1714"/>
      <c r="AK58" s="1714"/>
      <c r="AL58" s="1714"/>
      <c r="AM58" s="1714"/>
      <c r="AN58" s="1714"/>
      <c r="AO58" s="1714"/>
      <c r="AP58" s="1714"/>
      <c r="AQ58" s="1714"/>
      <c r="AR58" s="1714"/>
      <c r="AS58" s="1714"/>
      <c r="AT58" s="1714"/>
      <c r="AU58" s="1714"/>
      <c r="AV58" s="1714"/>
      <c r="AW58" s="1714"/>
      <c r="AX58" s="1714"/>
      <c r="AY58" s="1714"/>
      <c r="AZ58" s="1714"/>
      <c r="BA58" s="1714"/>
      <c r="BB58" s="1714"/>
      <c r="BC58" s="1714"/>
      <c r="BD58" s="1714"/>
      <c r="BE58" s="1714"/>
      <c r="BF58" s="1714"/>
      <c r="BG58" s="1714"/>
      <c r="BH58" s="1714" t="s">
        <v>1383</v>
      </c>
      <c r="BI58" s="1714"/>
      <c r="BJ58" s="1714"/>
      <c r="BK58" s="1714"/>
      <c r="BL58" s="1714"/>
      <c r="BM58" s="1714"/>
      <c r="BN58" s="1714"/>
      <c r="BO58" s="1714"/>
      <c r="BP58" s="1714"/>
      <c r="BQ58" s="1714"/>
      <c r="BR58" s="1703" t="s">
        <v>89</v>
      </c>
      <c r="BS58" s="1714"/>
      <c r="BT58" s="1714"/>
      <c r="BU58" s="1714"/>
      <c r="BV58" s="1714"/>
      <c r="BW58" s="1714"/>
      <c r="BX58" s="1714"/>
      <c r="BY58" s="1714"/>
      <c r="BZ58" s="1714"/>
      <c r="CA58" s="1714"/>
      <c r="CB58" s="1714"/>
      <c r="CC58" s="1714"/>
      <c r="CD58" s="1714"/>
      <c r="CE58" s="1714"/>
      <c r="CF58" s="1714"/>
      <c r="CG58" s="1714"/>
      <c r="CH58" s="1714"/>
      <c r="CI58" s="1714"/>
      <c r="CJ58" s="1714"/>
      <c r="CK58" s="1714"/>
      <c r="CL58" s="1714"/>
      <c r="CM58" s="1714"/>
      <c r="CN58" s="1714"/>
      <c r="CO58" s="1714"/>
      <c r="CP58" s="1714"/>
      <c r="CQ58" s="1714"/>
      <c r="CR58" s="1714"/>
      <c r="CS58" s="1714"/>
      <c r="CT58" s="1714"/>
      <c r="CU58" s="1714"/>
      <c r="CV58" s="1714"/>
      <c r="CW58" s="1714"/>
      <c r="CX58" s="1714"/>
      <c r="CY58" s="1703" t="s">
        <v>89</v>
      </c>
      <c r="CZ58" s="1714"/>
      <c r="DA58" s="1714"/>
      <c r="DB58" s="1714"/>
      <c r="DC58" s="1714"/>
      <c r="DD58" s="1714"/>
      <c r="DE58" s="1714"/>
      <c r="DF58" s="1714"/>
      <c r="DG58" s="1714"/>
      <c r="DH58" s="1714"/>
      <c r="DI58" s="1714"/>
      <c r="DJ58" s="1714"/>
      <c r="DK58" s="1714"/>
      <c r="DL58" s="1714"/>
      <c r="DM58" s="1714"/>
      <c r="DN58" s="1701"/>
      <c r="DO58" s="1701"/>
      <c r="DP58" s="1701"/>
      <c r="DQ58" s="1701"/>
      <c r="DR58" s="1701"/>
      <c r="DS58" s="1701"/>
      <c r="DT58" s="1701"/>
      <c r="DU58" s="1701"/>
      <c r="DV58" s="1701"/>
      <c r="DW58" s="1701"/>
      <c r="DX58" s="1701"/>
      <c r="DY58" s="1701"/>
      <c r="DZ58" s="1701"/>
      <c r="EA58" s="1701"/>
      <c r="EB58" s="1701"/>
      <c r="EC58" s="1701"/>
      <c r="ED58" s="1701"/>
      <c r="EE58" s="1701"/>
      <c r="EF58" s="1701"/>
      <c r="EG58" s="1701"/>
      <c r="EH58" s="1701"/>
      <c r="EI58" s="1701"/>
      <c r="EJ58" s="1701"/>
      <c r="EK58" s="1701"/>
      <c r="EL58" s="1701" t="s">
        <v>1383</v>
      </c>
      <c r="EM58" s="1701"/>
      <c r="EN58" s="1701"/>
      <c r="EO58" s="1701"/>
      <c r="EP58" s="1701"/>
      <c r="EQ58" s="1701"/>
      <c r="ER58" s="1701"/>
      <c r="ES58" s="1701"/>
      <c r="ET58" s="1701"/>
      <c r="EU58" s="1701"/>
      <c r="EV58" s="1701"/>
      <c r="EW58" s="1701"/>
      <c r="EX58" s="1701"/>
      <c r="EY58" s="1701"/>
      <c r="EZ58" s="1701" t="s">
        <v>1383</v>
      </c>
      <c r="FA58" s="1701"/>
      <c r="FB58" s="1701"/>
      <c r="FC58" s="1701"/>
      <c r="FD58" s="1701"/>
      <c r="FE58" s="1701"/>
      <c r="FF58" s="1701"/>
      <c r="FG58" s="1701"/>
      <c r="FH58" s="1701"/>
      <c r="FI58" s="1701"/>
      <c r="FJ58" s="1701"/>
      <c r="FK58" s="1701"/>
      <c r="FL58" s="1701"/>
      <c r="FM58" s="1701"/>
      <c r="FN58" s="1701"/>
      <c r="FO58" s="1701"/>
      <c r="FP58" s="1701"/>
      <c r="FQ58" s="1701"/>
      <c r="FR58" s="1701"/>
      <c r="FS58" s="1701"/>
      <c r="FT58" s="1701"/>
      <c r="FU58" s="1701"/>
      <c r="FV58" s="1701"/>
      <c r="FW58" s="1701" t="s">
        <v>1383</v>
      </c>
      <c r="FX58" s="1701"/>
      <c r="FY58" s="1701"/>
      <c r="FZ58" s="1701"/>
      <c r="GA58" s="1701"/>
      <c r="GB58" s="1701"/>
      <c r="GC58" s="1701"/>
      <c r="GD58" s="1701"/>
      <c r="GE58" s="1701"/>
      <c r="GF58" s="1701"/>
      <c r="GG58" s="1701"/>
      <c r="GH58" s="1701"/>
      <c r="GI58" s="1701"/>
      <c r="GJ58" s="1701"/>
      <c r="GK58" s="1701"/>
      <c r="GL58" s="1701"/>
      <c r="GM58" s="1701"/>
      <c r="GN58" s="1701"/>
      <c r="GO58" s="1701"/>
      <c r="GP58" s="1701" t="s">
        <v>1374</v>
      </c>
      <c r="GQ58" s="1701"/>
      <c r="GR58" s="1701"/>
      <c r="GS58" s="1701"/>
      <c r="GT58" s="1701"/>
      <c r="GU58" s="1701"/>
      <c r="GV58" s="1701"/>
      <c r="GW58" s="1701"/>
      <c r="GX58" s="1701"/>
      <c r="GY58" s="1714"/>
      <c r="GZ58" s="1714"/>
      <c r="HA58" s="1714"/>
      <c r="HB58" s="1714"/>
      <c r="HC58" s="1714"/>
      <c r="HD58" s="1714"/>
      <c r="HE58" s="1714"/>
      <c r="HF58" s="1714"/>
      <c r="HG58" s="1714"/>
      <c r="HH58" s="1714"/>
      <c r="HI58" s="1714"/>
      <c r="HJ58" s="1714"/>
      <c r="HK58" s="1714"/>
      <c r="HL58" s="1714"/>
      <c r="HM58" s="1714"/>
      <c r="HN58" s="1714"/>
      <c r="HO58" s="1714"/>
      <c r="HP58" s="1714"/>
      <c r="HQ58" s="1714"/>
      <c r="HR58" s="1714"/>
      <c r="HS58" s="1714"/>
      <c r="HT58" s="1714"/>
      <c r="HU58" s="1714"/>
      <c r="HV58" s="1714"/>
      <c r="HW58" s="1714"/>
      <c r="HX58" s="1714"/>
      <c r="HY58" s="1688"/>
      <c r="HZ58" s="1688"/>
      <c r="IA58" s="1688"/>
      <c r="IB58" s="1688"/>
      <c r="IC58" s="1688"/>
      <c r="ID58" s="1688"/>
      <c r="IE58" s="1688"/>
      <c r="IF58" s="1688"/>
      <c r="IG58" s="1688"/>
      <c r="IH58" s="1688"/>
      <c r="II58" s="1688"/>
      <c r="IJ58" s="1688"/>
      <c r="IK58" s="1688"/>
      <c r="IL58" s="1688"/>
      <c r="IM58" s="1688"/>
      <c r="IN58" s="1688"/>
      <c r="IO58" s="1688"/>
      <c r="IP58" s="1688"/>
      <c r="IQ58" s="1688"/>
      <c r="IR58" s="1688"/>
      <c r="IS58" s="1688"/>
      <c r="IT58" s="1688"/>
      <c r="IU58" s="1688"/>
      <c r="IV58" s="1688"/>
    </row>
    <row r="59" spans="8:8" ht="20.0" customHeight="1">
      <c r="A59" s="1765" t="s">
        <v>117</v>
      </c>
      <c r="B59" s="1701"/>
      <c r="C59" s="1701" t="str">
        <f>IF(ISTEXT(_xlfn.IFERROR(VLOOKUP(A59,职业列表!I3:J10,1,FALSE),0)),"★","")</f>
        <v/>
      </c>
      <c r="D59" s="1701"/>
      <c r="E59" s="1701"/>
      <c r="F59" s="1701"/>
      <c r="G59" s="1701"/>
      <c r="H59" s="1701"/>
      <c r="I59" s="1701"/>
      <c r="J59" s="1701"/>
      <c r="K59" s="1701"/>
      <c r="L59" s="1701"/>
      <c r="M59" s="1701"/>
      <c r="N59" s="1701"/>
      <c r="O59" s="1701"/>
      <c r="P59" s="1701"/>
      <c r="Q59" s="1701"/>
      <c r="R59" s="1701"/>
      <c r="S59" s="1701"/>
      <c r="T59" s="1701"/>
      <c r="U59" s="1701"/>
      <c r="V59" s="1701"/>
      <c r="W59" s="1701"/>
      <c r="X59" s="1701"/>
      <c r="Y59" s="1701"/>
      <c r="Z59" s="1701"/>
      <c r="AA59" s="1701"/>
      <c r="AB59" s="1701"/>
      <c r="AC59" s="1701"/>
      <c r="AD59" s="1701"/>
      <c r="AE59" s="1701"/>
      <c r="AF59" s="1701"/>
      <c r="AG59" s="1703" t="s">
        <v>89</v>
      </c>
      <c r="AH59" s="1703" t="s">
        <v>89</v>
      </c>
      <c r="AI59" s="1701"/>
      <c r="AJ59" s="1701"/>
      <c r="AK59" s="1701"/>
      <c r="AL59" s="1703" t="s">
        <v>89</v>
      </c>
      <c r="AM59" s="1703" t="s">
        <v>89</v>
      </c>
      <c r="AN59" s="1703" t="s">
        <v>89</v>
      </c>
      <c r="AO59" s="1701"/>
      <c r="AP59" s="1701"/>
      <c r="AQ59" s="1701"/>
      <c r="AR59" s="1701"/>
      <c r="AS59" s="1701"/>
      <c r="AT59" s="1701"/>
      <c r="AU59" s="1701"/>
      <c r="AV59" s="1701"/>
      <c r="AW59" s="1701"/>
      <c r="AX59" s="1701"/>
      <c r="AY59" s="1701"/>
      <c r="AZ59" s="1701"/>
      <c r="BA59" s="1701"/>
      <c r="BB59" s="1701"/>
      <c r="BC59" s="1701"/>
      <c r="BD59" s="1701"/>
      <c r="BE59" s="1701"/>
      <c r="BF59" s="1701"/>
      <c r="BG59" s="1701"/>
      <c r="BH59" s="1701"/>
      <c r="BI59" s="1703" t="s">
        <v>89</v>
      </c>
      <c r="BJ59" s="1701"/>
      <c r="BK59" s="1701"/>
      <c r="BL59" s="1701"/>
      <c r="BM59" s="1702" t="s">
        <v>1326</v>
      </c>
      <c r="BN59" s="1701"/>
      <c r="BO59" s="1701"/>
      <c r="BP59" s="1701"/>
      <c r="BQ59" s="1701"/>
      <c r="BR59" s="1701"/>
      <c r="BS59" s="1701"/>
      <c r="BT59" s="1701"/>
      <c r="BU59" s="1701"/>
      <c r="BV59" s="1701"/>
      <c r="BW59" s="1701"/>
      <c r="BX59" s="1701"/>
      <c r="BY59" s="1701"/>
      <c r="BZ59" s="1701"/>
      <c r="CA59" s="1701"/>
      <c r="CB59" s="1701"/>
      <c r="CC59" s="1701"/>
      <c r="CD59" s="1701"/>
      <c r="CE59" s="1701"/>
      <c r="CF59" s="1701"/>
      <c r="CG59" s="1701"/>
      <c r="CH59" s="1701"/>
      <c r="CI59" s="1701"/>
      <c r="CJ59" s="1701"/>
      <c r="CK59" s="1701"/>
      <c r="CL59" s="1701"/>
      <c r="CM59" s="1701"/>
      <c r="CN59" s="1701"/>
      <c r="CO59" s="1701"/>
      <c r="CP59" s="1701"/>
      <c r="CQ59" s="1701"/>
      <c r="CR59" s="1703" t="s">
        <v>89</v>
      </c>
      <c r="CS59" s="1701"/>
      <c r="CT59" s="1701"/>
      <c r="CU59" s="1701"/>
      <c r="CV59" s="1701"/>
      <c r="CW59" s="1701"/>
      <c r="CX59" s="1701" t="s">
        <v>1326</v>
      </c>
      <c r="CY59" s="1701"/>
      <c r="CZ59" s="1701"/>
      <c r="DA59" s="1701"/>
      <c r="DB59" s="1701"/>
      <c r="DC59" s="1703" t="s">
        <v>89</v>
      </c>
      <c r="DD59" s="1701"/>
      <c r="DE59" s="1701"/>
      <c r="DF59" s="1701"/>
      <c r="DG59" s="1701"/>
      <c r="DH59" s="1701"/>
      <c r="DI59" s="1701"/>
      <c r="DJ59" s="1701"/>
      <c r="DK59" s="1701"/>
      <c r="DL59" s="1701"/>
      <c r="DM59" s="1701"/>
      <c r="DN59" s="1701"/>
      <c r="DO59" s="1701"/>
      <c r="DP59" s="1701"/>
      <c r="DQ59" s="1701"/>
      <c r="DR59" s="1701"/>
      <c r="DS59" s="1701"/>
      <c r="DT59" s="1701"/>
      <c r="DU59" s="1701"/>
      <c r="DV59" s="1701"/>
      <c r="DW59" s="1701"/>
      <c r="DX59" s="1701"/>
      <c r="DY59" s="1701"/>
      <c r="DZ59" s="1701"/>
      <c r="EA59" s="1701" t="s">
        <v>89</v>
      </c>
      <c r="EB59" s="1701"/>
      <c r="EC59" s="1701" t="s">
        <v>89</v>
      </c>
      <c r="ED59" s="1701"/>
      <c r="EE59" s="1701"/>
      <c r="EF59" s="1701"/>
      <c r="EG59" s="1701"/>
      <c r="EH59" s="1701"/>
      <c r="EI59" s="1701"/>
      <c r="EJ59" s="1701"/>
      <c r="EK59" s="1701"/>
      <c r="EL59" s="1701"/>
      <c r="EM59" s="1701"/>
      <c r="EN59" s="1701"/>
      <c r="EO59" s="1701"/>
      <c r="EP59" s="1701"/>
      <c r="EQ59" s="1701"/>
      <c r="ER59" s="1701" t="s">
        <v>1326</v>
      </c>
      <c r="ES59" s="1701"/>
      <c r="ET59" s="1701"/>
      <c r="EU59" s="1701"/>
      <c r="EV59" s="1701"/>
      <c r="EW59" s="1701"/>
      <c r="EX59" s="1701"/>
      <c r="EY59" s="1701"/>
      <c r="EZ59" s="1701"/>
      <c r="FA59" s="1701"/>
      <c r="FB59" s="1701"/>
      <c r="FC59" s="1701"/>
      <c r="FD59" s="1701"/>
      <c r="FE59" s="1701"/>
      <c r="FF59" s="1701"/>
      <c r="FG59" s="1701"/>
      <c r="FH59" s="1701"/>
      <c r="FI59" s="1701"/>
      <c r="FJ59" s="1702"/>
      <c r="FK59" s="1701"/>
      <c r="FL59" s="1701"/>
      <c r="FM59" s="1701"/>
      <c r="FN59" s="1701" t="s">
        <v>89</v>
      </c>
      <c r="FO59" s="1701"/>
      <c r="FP59" s="1701"/>
      <c r="FQ59" s="1701"/>
      <c r="FR59" s="1701"/>
      <c r="FS59" s="1701"/>
      <c r="FT59" s="1701"/>
      <c r="FU59" s="1701"/>
      <c r="FV59" s="1701"/>
      <c r="FW59" s="1701"/>
      <c r="FX59" s="1701"/>
      <c r="FY59" s="1701"/>
      <c r="FZ59" s="1701"/>
      <c r="GA59" s="1701"/>
      <c r="GB59" s="1701"/>
      <c r="GC59" s="1701"/>
      <c r="GD59" s="1701"/>
      <c r="GE59" s="1701"/>
      <c r="GF59" s="1701"/>
      <c r="GG59" s="1701"/>
      <c r="GH59" s="1701"/>
      <c r="GI59" s="1701"/>
      <c r="GJ59" s="1701"/>
      <c r="GK59" s="1701"/>
      <c r="GL59" s="1701"/>
      <c r="GM59" s="1701"/>
      <c r="GN59" s="1701"/>
      <c r="GO59" s="1701"/>
      <c r="GP59" s="1701"/>
      <c r="GQ59" s="1701"/>
      <c r="GR59" s="1701"/>
      <c r="GS59" s="1701"/>
      <c r="GT59" s="1701"/>
      <c r="GU59" s="1701"/>
      <c r="GV59" s="1701"/>
      <c r="GW59" s="1701"/>
      <c r="GX59" s="1701"/>
      <c r="GY59" s="1701"/>
      <c r="GZ59" s="1701"/>
      <c r="HA59" s="1701"/>
      <c r="HB59" s="1701"/>
      <c r="HC59" s="1701"/>
      <c r="HD59" s="1701"/>
      <c r="HE59" s="1701"/>
      <c r="HF59" s="1701"/>
      <c r="HG59" s="1701"/>
      <c r="HH59" s="1701"/>
      <c r="HI59" s="1701"/>
      <c r="HJ59" s="1701"/>
      <c r="HK59" s="1701"/>
      <c r="HL59" s="1701"/>
      <c r="HM59" s="1701"/>
      <c r="HN59" s="1701"/>
      <c r="HO59" s="1701"/>
      <c r="HP59" s="1701"/>
      <c r="HQ59" s="1701"/>
      <c r="HR59" s="1701"/>
      <c r="HS59" s="1701"/>
      <c r="HT59" s="1701"/>
      <c r="HU59" s="1701"/>
      <c r="HV59" s="1701"/>
      <c r="HW59" s="1701"/>
      <c r="HX59" s="1701"/>
      <c r="HY59" s="1688"/>
      <c r="HZ59" s="1688"/>
      <c r="IA59" s="1688"/>
      <c r="IB59" s="1688"/>
      <c r="IC59" s="1688"/>
      <c r="ID59" s="1688"/>
      <c r="IE59" s="1688"/>
      <c r="IF59" s="1688"/>
      <c r="IG59" s="1688"/>
      <c r="IH59" s="1688"/>
      <c r="II59" s="1688"/>
      <c r="IJ59" s="1688"/>
      <c r="IK59" s="1688"/>
      <c r="IL59" s="1688"/>
      <c r="IM59" s="1688"/>
      <c r="IN59" s="1688"/>
      <c r="IO59" s="1688"/>
      <c r="IP59" s="1688"/>
      <c r="IQ59" s="1688"/>
      <c r="IR59" s="1688"/>
      <c r="IS59" s="1688"/>
      <c r="IT59" s="1688"/>
      <c r="IU59" s="1688"/>
      <c r="IV59" s="1688"/>
    </row>
    <row r="60" spans="8:8" s="1756" ht="20.0" customFormat="1" customHeight="1">
      <c r="A60" s="1781" t="s">
        <v>119</v>
      </c>
      <c r="B60" s="1758"/>
      <c r="C60" s="1701" t="str">
        <f>IF(ISTEXT(_xlfn.IFERROR(VLOOKUP(A60,职业列表!I3:J10,1,FALSE),0)),"★","")</f>
        <v/>
      </c>
      <c r="D60" s="1759" t="s">
        <v>89</v>
      </c>
      <c r="E60" s="1759" t="s">
        <v>89</v>
      </c>
      <c r="F60" s="1758"/>
      <c r="G60" s="1758"/>
      <c r="H60" s="1758"/>
      <c r="I60" s="1758"/>
      <c r="J60" s="1758"/>
      <c r="K60" s="1759" t="s">
        <v>89</v>
      </c>
      <c r="L60" s="1758"/>
      <c r="M60" s="1759" t="s">
        <v>89</v>
      </c>
      <c r="N60" s="1758"/>
      <c r="O60" s="1759" t="s">
        <v>89</v>
      </c>
      <c r="P60" s="1758"/>
      <c r="Q60" s="1758"/>
      <c r="R60" s="1758"/>
      <c r="S60" s="1759" t="s">
        <v>89</v>
      </c>
      <c r="T60" s="1758" t="s">
        <v>1326</v>
      </c>
      <c r="U60" s="1758"/>
      <c r="V60" s="1758"/>
      <c r="W60" s="1759" t="s">
        <v>89</v>
      </c>
      <c r="X60" s="1759" t="s">
        <v>89</v>
      </c>
      <c r="Y60" s="1758"/>
      <c r="Z60" s="1759" t="s">
        <v>89</v>
      </c>
      <c r="AA60" s="1759" t="s">
        <v>89</v>
      </c>
      <c r="AB60" s="1758"/>
      <c r="AC60" s="1761" t="s">
        <v>89</v>
      </c>
      <c r="AD60" s="1758"/>
      <c r="AE60" s="1758"/>
      <c r="AF60" s="1759" t="s">
        <v>89</v>
      </c>
      <c r="AG60" s="1759" t="s">
        <v>89</v>
      </c>
      <c r="AH60" s="1758"/>
      <c r="AI60" s="1759" t="s">
        <v>89</v>
      </c>
      <c r="AJ60" s="1758"/>
      <c r="AK60" s="1759" t="s">
        <v>89</v>
      </c>
      <c r="AL60" s="1759" t="s">
        <v>89</v>
      </c>
      <c r="AM60" s="1759" t="s">
        <v>89</v>
      </c>
      <c r="AN60" s="1758"/>
      <c r="AO60" s="1759" t="s">
        <v>89</v>
      </c>
      <c r="AP60" s="1758"/>
      <c r="AQ60" s="1759" t="s">
        <v>89</v>
      </c>
      <c r="AR60" s="1758"/>
      <c r="AS60" s="1759" t="s">
        <v>89</v>
      </c>
      <c r="AT60" s="1758"/>
      <c r="AU60" s="1758"/>
      <c r="AV60" s="1759" t="s">
        <v>89</v>
      </c>
      <c r="AW60" s="1758"/>
      <c r="AX60" s="1759" t="s">
        <v>89</v>
      </c>
      <c r="AY60" s="1759" t="s">
        <v>89</v>
      </c>
      <c r="AZ60" s="1758"/>
      <c r="BA60" s="1758"/>
      <c r="BB60" s="1758"/>
      <c r="BC60" s="1758"/>
      <c r="BD60" s="1758"/>
      <c r="BE60" s="1759" t="s">
        <v>89</v>
      </c>
      <c r="BF60" s="1758"/>
      <c r="BG60" s="1758"/>
      <c r="BH60" s="1759" t="s">
        <v>89</v>
      </c>
      <c r="BI60" s="1759" t="s">
        <v>89</v>
      </c>
      <c r="BJ60" s="1759" t="s">
        <v>89</v>
      </c>
      <c r="BK60" s="1758"/>
      <c r="BL60" s="1758"/>
      <c r="BM60" s="1758"/>
      <c r="BN60" s="1758"/>
      <c r="BO60" s="1763"/>
      <c r="BP60" s="1759" t="s">
        <v>89</v>
      </c>
      <c r="BQ60" s="1758"/>
      <c r="BR60" s="1759" t="s">
        <v>89</v>
      </c>
      <c r="BS60" s="1758"/>
      <c r="BT60" s="1758"/>
      <c r="BU60" s="1759" t="s">
        <v>89</v>
      </c>
      <c r="BV60" s="1758"/>
      <c r="BW60" s="1758"/>
      <c r="BX60" s="1758"/>
      <c r="BY60" s="1758"/>
      <c r="BZ60" s="1758"/>
      <c r="CA60" s="1758"/>
      <c r="CB60" s="1759" t="s">
        <v>89</v>
      </c>
      <c r="CC60" s="1758"/>
      <c r="CD60" s="1759" t="s">
        <v>89</v>
      </c>
      <c r="CE60" s="1758"/>
      <c r="CF60" s="1759" t="s">
        <v>89</v>
      </c>
      <c r="CG60" s="1758"/>
      <c r="CH60" s="1758"/>
      <c r="CI60" s="1759" t="s">
        <v>89</v>
      </c>
      <c r="CJ60" s="1758"/>
      <c r="CK60" s="1758"/>
      <c r="CL60" s="1759" t="s">
        <v>89</v>
      </c>
      <c r="CM60" s="1759" t="s">
        <v>89</v>
      </c>
      <c r="CN60" s="1759" t="s">
        <v>89</v>
      </c>
      <c r="CO60" s="1759" t="s">
        <v>89</v>
      </c>
      <c r="CP60" s="1758"/>
      <c r="CQ60" s="1759" t="s">
        <v>89</v>
      </c>
      <c r="CR60" s="1758"/>
      <c r="CS60" s="1758"/>
      <c r="CT60" s="1758"/>
      <c r="CU60" s="1759" t="s">
        <v>89</v>
      </c>
      <c r="CV60" s="1758"/>
      <c r="CW60" s="1759" t="s">
        <v>89</v>
      </c>
      <c r="CX60" s="1758"/>
      <c r="CY60" s="1759" t="s">
        <v>89</v>
      </c>
      <c r="CZ60" s="1758"/>
      <c r="DA60" s="1759" t="s">
        <v>89</v>
      </c>
      <c r="DB60" s="1758"/>
      <c r="DC60" s="1758"/>
      <c r="DD60" s="1758"/>
      <c r="DE60" s="1758"/>
      <c r="DF60" s="1759" t="s">
        <v>89</v>
      </c>
      <c r="DG60" s="1758"/>
      <c r="DH60" s="1758"/>
      <c r="DI60" s="1758"/>
      <c r="DJ60" s="1758"/>
      <c r="DK60" s="1758"/>
      <c r="DL60" s="1758"/>
      <c r="DM60" s="1758"/>
      <c r="DN60" s="1758"/>
      <c r="DO60" s="1758"/>
      <c r="DP60" s="1758"/>
      <c r="DQ60" s="1758" t="s">
        <v>89</v>
      </c>
      <c r="DR60" s="1758"/>
      <c r="DS60" s="1758"/>
      <c r="DT60" s="1758"/>
      <c r="DU60" s="1758"/>
      <c r="DV60" s="1758"/>
      <c r="DW60" s="1758"/>
      <c r="DX60" s="1758"/>
      <c r="DY60" s="1758"/>
      <c r="DZ60" s="1758"/>
      <c r="EA60" s="1758" t="s">
        <v>89</v>
      </c>
      <c r="EB60" s="1758" t="s">
        <v>89</v>
      </c>
      <c r="EC60" s="1758" t="s">
        <v>89</v>
      </c>
      <c r="ED60" s="1758" t="s">
        <v>89</v>
      </c>
      <c r="EE60" s="1758"/>
      <c r="EF60" s="1758"/>
      <c r="EG60" s="1758"/>
      <c r="EH60" s="1758"/>
      <c r="EI60" s="1758"/>
      <c r="EJ60" s="1758"/>
      <c r="EK60" s="1758"/>
      <c r="EL60" s="1758" t="s">
        <v>89</v>
      </c>
      <c r="EM60" s="1758"/>
      <c r="EN60" s="1758"/>
      <c r="EO60" s="1758"/>
      <c r="EP60" s="1758" t="s">
        <v>89</v>
      </c>
      <c r="EQ60" s="1758"/>
      <c r="ER60" s="1758"/>
      <c r="ES60" s="1758"/>
      <c r="ET60" s="1758"/>
      <c r="EU60" s="1758"/>
      <c r="EV60" s="1758"/>
      <c r="EW60" s="1758" t="s">
        <v>89</v>
      </c>
      <c r="EX60" s="1758"/>
      <c r="EY60" s="1758" t="s">
        <v>89</v>
      </c>
      <c r="EZ60" s="1758"/>
      <c r="FA60" s="1758" t="s">
        <v>89</v>
      </c>
      <c r="FB60" s="1758" t="s">
        <v>89</v>
      </c>
      <c r="FC60" s="1758"/>
      <c r="FD60" s="1758"/>
      <c r="FE60" s="1758"/>
      <c r="FF60" s="1758"/>
      <c r="FG60" s="1758"/>
      <c r="FH60" s="1758"/>
      <c r="FI60" s="1758"/>
      <c r="FJ60" s="1758"/>
      <c r="FK60" s="1758"/>
      <c r="FL60" s="1758"/>
      <c r="FM60" s="1758"/>
      <c r="FN60" s="1758" t="s">
        <v>89</v>
      </c>
      <c r="FO60" s="1758" t="s">
        <v>89</v>
      </c>
      <c r="FP60" s="1758" t="s">
        <v>89</v>
      </c>
      <c r="FQ60" s="1758"/>
      <c r="FR60" s="1758"/>
      <c r="FS60" s="1758"/>
      <c r="FT60" s="1758"/>
      <c r="FU60" s="1758"/>
      <c r="FV60" s="1758"/>
      <c r="FW60" s="1758" t="s">
        <v>89</v>
      </c>
      <c r="FX60" s="1758"/>
      <c r="FY60" s="1758"/>
      <c r="FZ60" s="1758" t="s">
        <v>89</v>
      </c>
      <c r="GA60" s="1758"/>
      <c r="GB60" s="1758" t="s">
        <v>89</v>
      </c>
      <c r="GC60" s="1758"/>
      <c r="GD60" s="1758"/>
      <c r="GE60" s="1758"/>
      <c r="GF60" s="1758"/>
      <c r="GG60" s="1758"/>
      <c r="GH60" s="1758"/>
      <c r="GI60" s="1758"/>
      <c r="GJ60" s="1758" t="s">
        <v>89</v>
      </c>
      <c r="GK60" s="1758"/>
      <c r="GL60" s="1758"/>
      <c r="GM60" s="1758"/>
      <c r="GN60" s="1758"/>
      <c r="GO60" s="1758"/>
      <c r="GP60" s="1758"/>
      <c r="GQ60" s="1758"/>
      <c r="GR60" s="1758"/>
      <c r="GS60" s="1758" t="s">
        <v>89</v>
      </c>
      <c r="GT60" s="1758" t="s">
        <v>89</v>
      </c>
      <c r="GU60" s="1758"/>
      <c r="GV60" s="1758"/>
      <c r="GW60" s="1758" t="s">
        <v>89</v>
      </c>
      <c r="GX60" s="1758"/>
      <c r="GY60" s="1758"/>
      <c r="GZ60" s="1758" t="s">
        <v>89</v>
      </c>
      <c r="HA60" s="1758"/>
      <c r="HB60" s="1758" t="s">
        <v>89</v>
      </c>
      <c r="HC60" s="1759"/>
      <c r="HD60" s="1758"/>
      <c r="HE60" s="1759"/>
      <c r="HF60" s="1758" t="s">
        <v>89</v>
      </c>
      <c r="HG60" s="1759" t="s">
        <v>89</v>
      </c>
      <c r="HH60" s="1758"/>
      <c r="HI60" s="1758"/>
      <c r="HJ60" s="1758"/>
      <c r="HK60" s="1759" t="s">
        <v>89</v>
      </c>
      <c r="HL60" s="1758" t="s">
        <v>89</v>
      </c>
      <c r="HM60" s="1758" t="s">
        <v>89</v>
      </c>
      <c r="HN60" s="1758" t="s">
        <v>89</v>
      </c>
      <c r="HO60" s="1759"/>
      <c r="HP60" s="1759"/>
      <c r="HQ60" s="1758"/>
      <c r="HR60" s="1759" t="s">
        <v>89</v>
      </c>
      <c r="HS60" s="1759"/>
      <c r="HT60" s="1758" t="s">
        <v>89</v>
      </c>
      <c r="HU60" s="1759"/>
      <c r="HV60" s="1758" t="s">
        <v>89</v>
      </c>
      <c r="HW60" s="1758" t="s">
        <v>89</v>
      </c>
      <c r="HX60" s="1759" t="s">
        <v>89</v>
      </c>
      <c r="HY60" s="1762"/>
      <c r="HZ60" s="1762"/>
      <c r="IA60" s="1762"/>
      <c r="IB60" s="1762"/>
      <c r="IC60" s="1762"/>
      <c r="ID60" s="1762"/>
      <c r="IE60" s="1762"/>
      <c r="IF60" s="1762"/>
      <c r="IG60" s="1762"/>
      <c r="IH60" s="1762"/>
      <c r="II60" s="1762"/>
      <c r="IJ60" s="1762"/>
      <c r="IK60" s="1762"/>
      <c r="IL60" s="1762"/>
      <c r="IM60" s="1762"/>
      <c r="IN60" s="1762"/>
      <c r="IO60" s="1762"/>
      <c r="IP60" s="1762"/>
      <c r="IQ60" s="1762"/>
      <c r="IR60" s="1762"/>
      <c r="IS60" s="1762"/>
      <c r="IT60" s="1762"/>
      <c r="IU60" s="1762"/>
      <c r="IV60" s="1762"/>
    </row>
    <row r="61" spans="8:8" ht="20.0" customHeight="1">
      <c r="A61" s="1765" t="s">
        <v>123</v>
      </c>
      <c r="B61" s="1701"/>
      <c r="C61" s="1701" t="str">
        <f>IF(ISTEXT(_xlfn.IFERROR(VLOOKUP(A61,职业列表!I3:J10,1,FALSE),0)),"★","")</f>
        <v/>
      </c>
      <c r="D61" s="1703"/>
      <c r="E61" s="1701"/>
      <c r="F61" s="1701"/>
      <c r="G61" s="1701"/>
      <c r="H61" s="1703" t="s">
        <v>89</v>
      </c>
      <c r="I61" s="1701"/>
      <c r="J61" s="1703" t="s">
        <v>89</v>
      </c>
      <c r="K61" s="1701"/>
      <c r="L61" s="1701"/>
      <c r="M61" s="1701"/>
      <c r="N61" s="1701"/>
      <c r="O61" s="1701"/>
      <c r="P61" s="1703" t="s">
        <v>89</v>
      </c>
      <c r="Q61" s="1701"/>
      <c r="R61" s="1701"/>
      <c r="S61" s="1701"/>
      <c r="T61" s="1703" t="s">
        <v>89</v>
      </c>
      <c r="U61" s="1701"/>
      <c r="V61" s="1703" t="s">
        <v>89</v>
      </c>
      <c r="W61" s="1701"/>
      <c r="X61" s="1701"/>
      <c r="Y61" s="1701"/>
      <c r="Z61" s="1701"/>
      <c r="AA61" s="1701"/>
      <c r="AB61" s="1701"/>
      <c r="AC61" s="1701"/>
      <c r="AD61" s="1701" t="s">
        <v>89</v>
      </c>
      <c r="AE61" s="1701"/>
      <c r="AF61" s="1703" t="s">
        <v>89</v>
      </c>
      <c r="AG61" s="1703" t="s">
        <v>89</v>
      </c>
      <c r="AH61" s="1701"/>
      <c r="AI61" s="1703" t="s">
        <v>89</v>
      </c>
      <c r="AJ61" s="1703" t="s">
        <v>89</v>
      </c>
      <c r="AK61" s="1701"/>
      <c r="AL61" s="1701"/>
      <c r="AM61" s="1701"/>
      <c r="AN61" s="1703" t="s">
        <v>89</v>
      </c>
      <c r="AO61" s="1701"/>
      <c r="AP61" s="1703" t="s">
        <v>89</v>
      </c>
      <c r="AQ61" s="1701"/>
      <c r="AR61" s="1701"/>
      <c r="AS61" s="1701"/>
      <c r="AT61" s="1701"/>
      <c r="AU61" s="1703" t="s">
        <v>89</v>
      </c>
      <c r="AV61" s="1701"/>
      <c r="AW61" s="1701"/>
      <c r="AX61" s="1701"/>
      <c r="AY61" s="1701"/>
      <c r="AZ61" s="1701"/>
      <c r="BA61" s="1701"/>
      <c r="BB61" s="1701"/>
      <c r="BC61" s="1701"/>
      <c r="BD61" s="1701"/>
      <c r="BE61" s="1703" t="s">
        <v>89</v>
      </c>
      <c r="BF61" s="1701"/>
      <c r="BG61" s="1701"/>
      <c r="BH61" s="1701"/>
      <c r="BI61" s="1701"/>
      <c r="BJ61" s="1701"/>
      <c r="BK61" s="1701"/>
      <c r="BL61" s="1701"/>
      <c r="BM61" s="1703" t="s">
        <v>89</v>
      </c>
      <c r="BN61" s="1703" t="s">
        <v>89</v>
      </c>
      <c r="BO61" s="1714"/>
      <c r="BP61" s="1703" t="s">
        <v>89</v>
      </c>
      <c r="BQ61" s="1701"/>
      <c r="BR61" s="1701"/>
      <c r="BS61" s="1701"/>
      <c r="BT61" s="1701"/>
      <c r="BU61" s="1703" t="s">
        <v>89</v>
      </c>
      <c r="BV61" s="1701"/>
      <c r="BW61" s="1701"/>
      <c r="BX61" s="1701"/>
      <c r="BY61" s="1701"/>
      <c r="BZ61" s="1701"/>
      <c r="CA61" s="1701"/>
      <c r="CB61" s="1701"/>
      <c r="CC61" s="1701"/>
      <c r="CD61" s="1701"/>
      <c r="CE61" s="1701"/>
      <c r="CF61" s="1701"/>
      <c r="CG61" s="1701"/>
      <c r="CH61" s="1701"/>
      <c r="CI61" s="1703" t="s">
        <v>89</v>
      </c>
      <c r="CJ61" s="1701"/>
      <c r="CK61" s="1701"/>
      <c r="CL61" s="1701"/>
      <c r="CM61" s="1701"/>
      <c r="CN61" s="1701"/>
      <c r="CO61" s="1701"/>
      <c r="CP61" s="1701"/>
      <c r="CQ61" s="1701"/>
      <c r="CR61" s="1703" t="s">
        <v>89</v>
      </c>
      <c r="CS61" s="1701"/>
      <c r="CT61" s="1701"/>
      <c r="CU61" s="1701"/>
      <c r="CV61" s="1701"/>
      <c r="CW61" s="1701"/>
      <c r="CX61" s="1701" t="s">
        <v>1326</v>
      </c>
      <c r="CY61" s="1701"/>
      <c r="CZ61" s="1701"/>
      <c r="DA61" s="1701"/>
      <c r="DB61" s="1703" t="s">
        <v>89</v>
      </c>
      <c r="DC61" s="1703" t="s">
        <v>89</v>
      </c>
      <c r="DD61" s="1701"/>
      <c r="DE61" s="1701"/>
      <c r="DF61" s="1701"/>
      <c r="DG61" s="1701"/>
      <c r="DH61" s="1701"/>
      <c r="DI61" s="1701"/>
      <c r="DJ61" s="1701"/>
      <c r="DK61" s="1701"/>
      <c r="DL61" s="1703" t="s">
        <v>89</v>
      </c>
      <c r="DM61" s="1701"/>
      <c r="DN61" s="1701"/>
      <c r="DO61" s="1701"/>
      <c r="DP61" s="1701"/>
      <c r="DQ61" s="1701"/>
      <c r="DR61" s="1701"/>
      <c r="DS61" s="1701"/>
      <c r="DT61" s="1701"/>
      <c r="DU61" s="1701"/>
      <c r="DV61" s="1701"/>
      <c r="DW61" s="1701"/>
      <c r="DX61" s="1701" t="s">
        <v>89</v>
      </c>
      <c r="DY61" s="1701"/>
      <c r="DZ61" s="1701"/>
      <c r="EA61" s="1701"/>
      <c r="EB61" s="1701"/>
      <c r="EC61" s="1701" t="s">
        <v>89</v>
      </c>
      <c r="ED61" s="1701"/>
      <c r="EE61" s="1701"/>
      <c r="EF61" s="1701"/>
      <c r="EG61" s="1701"/>
      <c r="EH61" s="1701"/>
      <c r="EI61" s="1701"/>
      <c r="EJ61" s="1701"/>
      <c r="EK61" s="1701"/>
      <c r="EL61" s="1701"/>
      <c r="EM61" s="1701"/>
      <c r="EN61" s="1701"/>
      <c r="EO61" s="1701"/>
      <c r="EP61" s="1701"/>
      <c r="EQ61" s="1701"/>
      <c r="ER61" s="1701" t="s">
        <v>1326</v>
      </c>
      <c r="ES61" s="1701"/>
      <c r="ET61" s="1701"/>
      <c r="EU61" s="1701"/>
      <c r="EV61" s="1701"/>
      <c r="EW61" s="1701"/>
      <c r="EX61" s="1701"/>
      <c r="EY61" s="1701"/>
      <c r="EZ61" s="1701"/>
      <c r="FA61" s="1701"/>
      <c r="FB61" s="1701"/>
      <c r="FC61" s="1701"/>
      <c r="FD61" s="1701"/>
      <c r="FE61" s="1701"/>
      <c r="FF61" s="1701"/>
      <c r="FG61" s="1701"/>
      <c r="FH61" s="1701" t="s">
        <v>89</v>
      </c>
      <c r="FI61" s="1701" t="s">
        <v>89</v>
      </c>
      <c r="FJ61" s="1701"/>
      <c r="FK61" s="1701"/>
      <c r="FL61" s="1701"/>
      <c r="FM61" s="1701"/>
      <c r="FN61" s="1701" t="s">
        <v>89</v>
      </c>
      <c r="FO61" s="1701"/>
      <c r="FP61" s="1701"/>
      <c r="FQ61" s="1701"/>
      <c r="FR61" s="1701"/>
      <c r="FS61" s="1701"/>
      <c r="FT61" s="1701"/>
      <c r="FU61" s="1701"/>
      <c r="FV61" s="1701"/>
      <c r="FW61" s="1701"/>
      <c r="FX61" s="1701"/>
      <c r="FY61" s="1701"/>
      <c r="FZ61" s="1701"/>
      <c r="GA61" s="1701"/>
      <c r="GB61" s="1701"/>
      <c r="GC61" s="1701" t="s">
        <v>89</v>
      </c>
      <c r="GD61" s="1701" t="s">
        <v>89</v>
      </c>
      <c r="GE61" s="1701"/>
      <c r="GF61" s="1701" t="s">
        <v>89</v>
      </c>
      <c r="GG61" s="1701"/>
      <c r="GH61" s="1701"/>
      <c r="GI61" s="1701"/>
      <c r="GJ61" s="1701"/>
      <c r="GK61" s="1701"/>
      <c r="GL61" s="1701"/>
      <c r="GM61" s="1701"/>
      <c r="GN61" s="1701"/>
      <c r="GO61" s="1701" t="s">
        <v>89</v>
      </c>
      <c r="GP61" s="1701"/>
      <c r="GQ61" s="1701"/>
      <c r="GR61" s="1701"/>
      <c r="GS61" s="1701"/>
      <c r="GT61" s="1701"/>
      <c r="GU61" s="1701" t="s">
        <v>89</v>
      </c>
      <c r="GV61" s="1701" t="s">
        <v>89</v>
      </c>
      <c r="GW61" s="1701"/>
      <c r="GX61" s="1701"/>
      <c r="GY61" s="1701" t="s">
        <v>89</v>
      </c>
      <c r="GZ61" s="1703"/>
      <c r="HA61" s="1701"/>
      <c r="HB61" s="1703"/>
      <c r="HC61" s="1701"/>
      <c r="HD61" s="1701"/>
      <c r="HE61" s="1701"/>
      <c r="HF61" s="1701"/>
      <c r="HG61" s="1701"/>
      <c r="HH61" s="1703" t="s">
        <v>89</v>
      </c>
      <c r="HI61" s="1701"/>
      <c r="HJ61" s="1701"/>
      <c r="HK61" s="1701" t="s">
        <v>89</v>
      </c>
      <c r="HL61" s="1703" t="s">
        <v>89</v>
      </c>
      <c r="HM61" s="1701"/>
      <c r="HN61" s="1703"/>
      <c r="HO61" s="1701"/>
      <c r="HP61" s="1701"/>
      <c r="HQ61" s="1701"/>
      <c r="HR61" s="1701" t="s">
        <v>89</v>
      </c>
      <c r="HS61" s="1701"/>
      <c r="HT61" s="1701"/>
      <c r="HU61" s="1701" t="s">
        <v>89</v>
      </c>
      <c r="HV61" s="1701"/>
      <c r="HW61" s="1701" t="s">
        <v>89</v>
      </c>
      <c r="HX61" s="1703" t="s">
        <v>89</v>
      </c>
      <c r="HY61" s="1688"/>
      <c r="HZ61" s="1688"/>
      <c r="IA61" s="1688"/>
      <c r="IB61" s="1688"/>
      <c r="IC61" s="1688"/>
      <c r="ID61" s="1688"/>
      <c r="IE61" s="1688"/>
      <c r="IF61" s="1688"/>
      <c r="IG61" s="1688"/>
      <c r="IH61" s="1688"/>
      <c r="II61" s="1688"/>
      <c r="IJ61" s="1688"/>
      <c r="IK61" s="1688"/>
      <c r="IL61" s="1688"/>
      <c r="IM61" s="1688"/>
      <c r="IN61" s="1688"/>
      <c r="IO61" s="1688"/>
      <c r="IP61" s="1688"/>
      <c r="IQ61" s="1688"/>
      <c r="IR61" s="1688"/>
      <c r="IS61" s="1688"/>
      <c r="IT61" s="1688"/>
      <c r="IU61" s="1688"/>
      <c r="IV61" s="1688"/>
    </row>
    <row r="62" spans="8:8" ht="20.0" customHeight="1">
      <c r="A62" s="1764" t="s">
        <v>128</v>
      </c>
      <c r="B62" s="1701"/>
      <c r="C62" s="1701" t="str">
        <f>IF(ISTEXT(_xlfn.IFERROR(VLOOKUP(A62,职业列表!I3:J10,1,FALSE),0)),"★","")</f>
        <v/>
      </c>
      <c r="D62" s="1703"/>
      <c r="E62" s="1701"/>
      <c r="F62" s="1701"/>
      <c r="G62" s="1701"/>
      <c r="H62" s="1701"/>
      <c r="I62" s="1701"/>
      <c r="J62" s="1701"/>
      <c r="K62" s="1701"/>
      <c r="L62" s="1701"/>
      <c r="M62" s="1701"/>
      <c r="N62" s="1701"/>
      <c r="O62" s="1701"/>
      <c r="P62" s="1701"/>
      <c r="Q62" s="1701"/>
      <c r="R62" s="1701"/>
      <c r="S62" s="1701"/>
      <c r="T62" s="1715" t="s">
        <v>1327</v>
      </c>
      <c r="U62" s="1701"/>
      <c r="V62" s="1701"/>
      <c r="W62" s="1701"/>
      <c r="X62" s="1701"/>
      <c r="Y62" s="1701"/>
      <c r="Z62" s="1701"/>
      <c r="AA62" s="1701"/>
      <c r="AB62" s="1715" t="s">
        <v>89</v>
      </c>
      <c r="AC62" s="1701"/>
      <c r="AD62" s="1701"/>
      <c r="AE62" s="1701"/>
      <c r="AF62" s="1701"/>
      <c r="AG62" s="1701"/>
      <c r="AH62" s="1701"/>
      <c r="AI62" s="1701"/>
      <c r="AJ62" s="1701"/>
      <c r="AK62" s="1701"/>
      <c r="AL62" s="1701"/>
      <c r="AM62" s="1701"/>
      <c r="AN62" s="1701"/>
      <c r="AO62" s="1701"/>
      <c r="AP62" s="1701"/>
      <c r="AQ62" s="1701"/>
      <c r="AR62" s="1701"/>
      <c r="AS62" s="1701"/>
      <c r="AT62" s="1701"/>
      <c r="AU62" s="1701"/>
      <c r="AV62" s="1701"/>
      <c r="AW62" s="1701"/>
      <c r="AX62" s="1701"/>
      <c r="AY62" s="1701"/>
      <c r="AZ62" s="1701"/>
      <c r="BA62" s="1701"/>
      <c r="BB62" s="1701"/>
      <c r="BC62" s="1703" t="s">
        <v>89</v>
      </c>
      <c r="BD62" s="1714"/>
      <c r="BE62" s="1701"/>
      <c r="BF62" s="1701"/>
      <c r="BG62" s="1701"/>
      <c r="BH62" s="1701"/>
      <c r="BI62" s="1701"/>
      <c r="BJ62" s="1701"/>
      <c r="BK62" s="1701"/>
      <c r="BL62" s="1701"/>
      <c r="BM62" s="1701"/>
      <c r="BN62" s="1701"/>
      <c r="BO62" s="1701"/>
      <c r="BP62" s="1701"/>
      <c r="BQ62" s="1701"/>
      <c r="BR62" s="1701"/>
      <c r="BS62" s="1701"/>
      <c r="BT62" s="1701"/>
      <c r="BU62" s="1701"/>
      <c r="BV62" s="1701"/>
      <c r="BW62" s="1701"/>
      <c r="BX62" s="1701"/>
      <c r="BY62" s="1701"/>
      <c r="BZ62" s="1701"/>
      <c r="CA62" s="1702" t="s">
        <v>1389</v>
      </c>
      <c r="CB62" s="1701"/>
      <c r="CC62" s="1701"/>
      <c r="CD62" s="1701"/>
      <c r="CE62" s="1701"/>
      <c r="CF62" s="1702" t="s">
        <v>89</v>
      </c>
      <c r="CG62" s="1701"/>
      <c r="CH62" s="1701"/>
      <c r="CI62" s="1701"/>
      <c r="CJ62" s="1701"/>
      <c r="CK62" s="1701"/>
      <c r="CL62" s="1701"/>
      <c r="CM62" s="1701"/>
      <c r="CN62" s="1701"/>
      <c r="CO62" s="1701"/>
      <c r="CP62" s="1701"/>
      <c r="CQ62" s="1701"/>
      <c r="CR62" s="1701"/>
      <c r="CS62" s="1701"/>
      <c r="CT62" s="1701"/>
      <c r="CU62" s="1701"/>
      <c r="CV62" s="1701" t="s">
        <v>1390</v>
      </c>
      <c r="CW62" s="1701"/>
      <c r="CX62" s="1701"/>
      <c r="CY62" s="1701"/>
      <c r="CZ62" s="1701"/>
      <c r="DA62" s="1701"/>
      <c r="DB62" s="1703" t="s">
        <v>89</v>
      </c>
      <c r="DC62" s="1701"/>
      <c r="DD62" s="1701"/>
      <c r="DE62" s="1701"/>
      <c r="DF62" s="1715" t="s">
        <v>89</v>
      </c>
      <c r="DG62" s="1701"/>
      <c r="DH62" s="1701"/>
      <c r="DI62" s="1701"/>
      <c r="DJ62" s="1701"/>
      <c r="DK62" s="1701"/>
      <c r="DL62" s="1701"/>
      <c r="DM62" s="1701"/>
      <c r="DN62" s="1701"/>
      <c r="DO62" s="1701"/>
      <c r="DP62" s="1701"/>
      <c r="DQ62" s="1701"/>
      <c r="DR62" s="1701"/>
      <c r="DS62" s="1701"/>
      <c r="DT62" s="1701"/>
      <c r="DU62" s="1701"/>
      <c r="DV62" s="1701"/>
      <c r="DW62" s="1701"/>
      <c r="DX62" s="1701"/>
      <c r="DY62" s="1701"/>
      <c r="DZ62" s="1701"/>
      <c r="EA62" s="1701"/>
      <c r="EB62" s="1701"/>
      <c r="EC62" s="1701"/>
      <c r="ED62" s="1701"/>
      <c r="EE62" s="1701"/>
      <c r="EF62" s="1701"/>
      <c r="EG62" s="1701"/>
      <c r="EH62" s="1701"/>
      <c r="EI62" s="1701"/>
      <c r="EJ62" s="1701"/>
      <c r="EK62" s="1701"/>
      <c r="EL62" s="1701"/>
      <c r="EM62" s="1701"/>
      <c r="EN62" s="1701" t="s">
        <v>1391</v>
      </c>
      <c r="EO62" s="1701"/>
      <c r="EP62" s="1701"/>
      <c r="EQ62" s="1701"/>
      <c r="ER62" s="1701"/>
      <c r="ES62" s="1701"/>
      <c r="ET62" s="1701"/>
      <c r="EU62" s="1701"/>
      <c r="EV62" s="1701"/>
      <c r="EW62" s="1701" t="s">
        <v>89</v>
      </c>
      <c r="EX62" s="1701"/>
      <c r="EY62" s="1701"/>
      <c r="EZ62" s="1701"/>
      <c r="FA62" s="1701"/>
      <c r="FB62" s="1701"/>
      <c r="FC62" s="1701"/>
      <c r="FD62" s="1701"/>
      <c r="FE62" s="1701"/>
      <c r="FF62" s="1701"/>
      <c r="FG62" s="1701"/>
      <c r="FH62" s="1701"/>
      <c r="FI62" s="1701"/>
      <c r="FJ62" s="1701"/>
      <c r="FK62" s="1701"/>
      <c r="FL62" s="1701"/>
      <c r="FM62" s="1701"/>
      <c r="FN62" s="1701"/>
      <c r="FO62" s="1701"/>
      <c r="FP62" s="1701"/>
      <c r="FQ62" s="1701"/>
      <c r="FR62" s="1701"/>
      <c r="FS62" s="1701"/>
      <c r="FT62" s="1701"/>
      <c r="FU62" s="1701"/>
      <c r="FV62" s="1701"/>
      <c r="FW62" s="1701"/>
      <c r="FX62" s="1701" t="s">
        <v>1389</v>
      </c>
      <c r="FY62" s="1701"/>
      <c r="FZ62" s="1701"/>
      <c r="GA62" s="1701" t="s">
        <v>1392</v>
      </c>
      <c r="GB62" s="1701"/>
      <c r="GC62" s="1701" t="s">
        <v>89</v>
      </c>
      <c r="GD62" s="1701" t="s">
        <v>89</v>
      </c>
      <c r="GE62" s="1701" t="s">
        <v>89</v>
      </c>
      <c r="GF62" s="1701"/>
      <c r="GG62" s="1701"/>
      <c r="GH62" s="1701"/>
      <c r="GI62" s="1701"/>
      <c r="GJ62" s="1701"/>
      <c r="GK62" s="1701"/>
      <c r="GL62" s="1701"/>
      <c r="GM62" s="1701"/>
      <c r="GN62" s="1701"/>
      <c r="GO62" s="1701"/>
      <c r="GP62" s="1701"/>
      <c r="GQ62" s="1701"/>
      <c r="GR62" s="1701"/>
      <c r="GS62" s="1701"/>
      <c r="GT62" s="1701"/>
      <c r="GU62" s="1701" t="s">
        <v>89</v>
      </c>
      <c r="GV62" s="1701"/>
      <c r="GW62" s="1701"/>
      <c r="GX62" s="1701"/>
      <c r="GY62" s="1701"/>
      <c r="GZ62" s="1701"/>
      <c r="HA62" s="1701"/>
      <c r="HB62" s="1701"/>
      <c r="HC62" s="1701"/>
      <c r="HD62" s="1701"/>
      <c r="HE62" s="1701"/>
      <c r="HF62" s="1701"/>
      <c r="HG62" s="1701"/>
      <c r="HH62" s="1701"/>
      <c r="HI62" s="1701"/>
      <c r="HJ62" s="1701"/>
      <c r="HK62" s="1701"/>
      <c r="HL62" s="1714"/>
      <c r="HM62" s="1701"/>
      <c r="HN62" s="1701"/>
      <c r="HO62" s="1701"/>
      <c r="HP62" s="1701"/>
      <c r="HQ62" s="1701"/>
      <c r="HR62" s="1701"/>
      <c r="HS62" s="1701"/>
      <c r="HT62" s="1715"/>
      <c r="HU62" s="1701"/>
      <c r="HV62" s="1701"/>
      <c r="HW62" s="1701"/>
      <c r="HX62" s="1701"/>
      <c r="HY62" s="1688"/>
      <c r="HZ62" s="1688"/>
      <c r="IA62" s="1688"/>
      <c r="IB62" s="1688"/>
      <c r="IC62" s="1688"/>
      <c r="ID62" s="1688"/>
      <c r="IE62" s="1688"/>
      <c r="IF62" s="1688"/>
      <c r="IG62" s="1688"/>
      <c r="IH62" s="1688"/>
      <c r="II62" s="1688"/>
      <c r="IJ62" s="1688"/>
      <c r="IK62" s="1688"/>
      <c r="IL62" s="1688"/>
      <c r="IM62" s="1688"/>
      <c r="IN62" s="1688"/>
      <c r="IO62" s="1688"/>
      <c r="IP62" s="1688"/>
      <c r="IQ62" s="1688"/>
      <c r="IR62" s="1688"/>
      <c r="IS62" s="1688"/>
      <c r="IT62" s="1688"/>
      <c r="IU62" s="1688"/>
      <c r="IV62" s="1688"/>
    </row>
    <row r="63" spans="8:8" ht="20.0" customHeight="1">
      <c r="A63" s="1765" t="s">
        <v>131</v>
      </c>
      <c r="B63" s="1701"/>
      <c r="C63" s="1701" t="str">
        <f>IF(ISTEXT(_xlfn.IFERROR(VLOOKUP(A63,职业列表!I3:J10,1,FALSE),0)),"★","")</f>
        <v/>
      </c>
      <c r="D63" s="1703"/>
      <c r="E63" s="1703" t="s">
        <v>89</v>
      </c>
      <c r="F63" s="1701"/>
      <c r="G63" s="1701"/>
      <c r="H63" s="1701"/>
      <c r="I63" s="1701"/>
      <c r="J63" s="1701"/>
      <c r="K63" s="1701"/>
      <c r="L63" s="1701"/>
      <c r="M63" s="1701"/>
      <c r="N63" s="1701"/>
      <c r="O63" s="1701"/>
      <c r="P63" s="1701"/>
      <c r="Q63" s="1703" t="s">
        <v>89</v>
      </c>
      <c r="R63" s="1701"/>
      <c r="S63" s="1701"/>
      <c r="T63" s="1701"/>
      <c r="U63" s="1701"/>
      <c r="V63" s="1701"/>
      <c r="W63" s="1701"/>
      <c r="X63" s="1701"/>
      <c r="Y63" s="1701"/>
      <c r="Z63" s="1701"/>
      <c r="AA63" s="1701"/>
      <c r="AB63" s="1701"/>
      <c r="AC63" s="1701"/>
      <c r="AD63" s="1701"/>
      <c r="AE63" s="1701"/>
      <c r="AF63" s="1701"/>
      <c r="AG63" s="1701"/>
      <c r="AH63" s="1701"/>
      <c r="AI63" s="1701"/>
      <c r="AJ63" s="1701"/>
      <c r="AK63" s="1701"/>
      <c r="AL63" s="1701"/>
      <c r="AM63" s="1701"/>
      <c r="AN63" s="1701"/>
      <c r="AO63" s="1701"/>
      <c r="AP63" s="1701"/>
      <c r="AQ63" s="1701"/>
      <c r="AR63" s="1701"/>
      <c r="AS63" s="1703" t="s">
        <v>89</v>
      </c>
      <c r="AT63" s="1701"/>
      <c r="AU63" s="1701"/>
      <c r="AV63" s="1701"/>
      <c r="AW63" s="1701"/>
      <c r="AX63" s="1701"/>
      <c r="AY63" s="1701"/>
      <c r="AZ63" s="1701"/>
      <c r="BA63" s="1701"/>
      <c r="BB63" s="1701"/>
      <c r="BC63" s="1701" t="s">
        <v>1326</v>
      </c>
      <c r="BD63" s="1701"/>
      <c r="BE63" s="1701"/>
      <c r="BF63" s="1701"/>
      <c r="BG63" s="1701"/>
      <c r="BH63" s="1701"/>
      <c r="BI63" s="1701"/>
      <c r="BJ63" s="1701"/>
      <c r="BK63" s="1701"/>
      <c r="BL63" s="1701"/>
      <c r="BM63" s="1701"/>
      <c r="BN63" s="1701"/>
      <c r="BO63" s="1701"/>
      <c r="BP63" s="1701"/>
      <c r="BQ63" s="1701"/>
      <c r="BR63" s="1701"/>
      <c r="BS63" s="1701"/>
      <c r="BT63" s="1701"/>
      <c r="BU63" s="1701"/>
      <c r="BV63" s="1701"/>
      <c r="BW63" s="1701"/>
      <c r="BX63" s="1701"/>
      <c r="BY63" s="1701"/>
      <c r="BZ63" s="1701"/>
      <c r="CA63" s="1701"/>
      <c r="CB63" s="1701"/>
      <c r="CC63" s="1701"/>
      <c r="CD63" s="1701"/>
      <c r="CE63" s="1701"/>
      <c r="CF63" s="1701"/>
      <c r="CG63" s="1701"/>
      <c r="CH63" s="1701"/>
      <c r="CI63" s="1701"/>
      <c r="CJ63" s="1701"/>
      <c r="CK63" s="1701"/>
      <c r="CL63" s="1701"/>
      <c r="CM63" s="1701"/>
      <c r="CN63" s="1701"/>
      <c r="CO63" s="1701"/>
      <c r="CP63" s="1701"/>
      <c r="CQ63" s="1701"/>
      <c r="CR63" s="1701"/>
      <c r="CS63" s="1701"/>
      <c r="CT63" s="1701"/>
      <c r="CU63" s="1701"/>
      <c r="CV63" s="1703" t="s">
        <v>89</v>
      </c>
      <c r="CW63" s="1703" t="s">
        <v>89</v>
      </c>
      <c r="CX63" s="1701"/>
      <c r="CY63" s="1701"/>
      <c r="CZ63" s="1701"/>
      <c r="DA63" s="1701"/>
      <c r="DB63" s="1701" t="s">
        <v>1326</v>
      </c>
      <c r="DC63" s="1701"/>
      <c r="DD63" s="1701"/>
      <c r="DE63" s="1704" t="s">
        <v>89</v>
      </c>
      <c r="DF63" s="1703" t="s">
        <v>89</v>
      </c>
      <c r="DG63" s="1701"/>
      <c r="DH63" s="1701"/>
      <c r="DI63" s="1701"/>
      <c r="DJ63" s="1701"/>
      <c r="DK63" s="1701"/>
      <c r="DL63" s="1701"/>
      <c r="DM63" s="1701"/>
      <c r="DN63" s="1701"/>
      <c r="DO63" s="1701" t="s">
        <v>89</v>
      </c>
      <c r="DP63" s="1701" t="s">
        <v>89</v>
      </c>
      <c r="DQ63" s="1701"/>
      <c r="DR63" s="1701"/>
      <c r="DS63" s="1701"/>
      <c r="DT63" s="1701"/>
      <c r="DU63" s="1701"/>
      <c r="DV63" s="1701"/>
      <c r="DW63" s="1701"/>
      <c r="DX63" s="1701"/>
      <c r="DY63" s="1701"/>
      <c r="DZ63" s="1701"/>
      <c r="EA63" s="1701"/>
      <c r="EB63" s="1701"/>
      <c r="EC63" s="1701"/>
      <c r="ED63" s="1701"/>
      <c r="EE63" s="1701"/>
      <c r="EF63" s="1701"/>
      <c r="EG63" s="1701"/>
      <c r="EH63" s="1701"/>
      <c r="EI63" s="1701"/>
      <c r="EJ63" s="1701"/>
      <c r="EK63" s="1701"/>
      <c r="EL63" s="1701"/>
      <c r="EM63" s="1701"/>
      <c r="EN63" s="1701"/>
      <c r="EO63" s="1701"/>
      <c r="EP63" s="1701"/>
      <c r="EQ63" s="1701"/>
      <c r="ER63" s="1701"/>
      <c r="ES63" s="1701"/>
      <c r="ET63" s="1701"/>
      <c r="EU63" s="1701"/>
      <c r="EV63" s="1701"/>
      <c r="EW63" s="1701"/>
      <c r="EX63" s="1701"/>
      <c r="EY63" s="1701"/>
      <c r="EZ63" s="1701"/>
      <c r="FA63" s="1701"/>
      <c r="FB63" s="1701"/>
      <c r="FC63" s="1701"/>
      <c r="FD63" s="1701"/>
      <c r="FE63" s="1701"/>
      <c r="FF63" s="1701"/>
      <c r="FG63" s="1701"/>
      <c r="FH63" s="1701"/>
      <c r="FI63" s="1701"/>
      <c r="FJ63" s="1701"/>
      <c r="FK63" s="1701"/>
      <c r="FL63" s="1701"/>
      <c r="FM63" s="1701"/>
      <c r="FN63" s="1701"/>
      <c r="FO63" s="1701"/>
      <c r="FP63" s="1701" t="s">
        <v>89</v>
      </c>
      <c r="FQ63" s="1701"/>
      <c r="FR63" s="1701"/>
      <c r="FS63" s="1701"/>
      <c r="FT63" s="1701"/>
      <c r="FU63" s="1701"/>
      <c r="FV63" s="1701"/>
      <c r="FW63" s="1701"/>
      <c r="FX63" s="1701"/>
      <c r="FY63" s="1701"/>
      <c r="FZ63" s="1701"/>
      <c r="GA63" s="1701" t="s">
        <v>89</v>
      </c>
      <c r="GB63" s="1701" t="s">
        <v>89</v>
      </c>
      <c r="GC63" s="1701" t="s">
        <v>1326</v>
      </c>
      <c r="GD63" s="1701" t="s">
        <v>1326</v>
      </c>
      <c r="GE63" s="1701" t="s">
        <v>1326</v>
      </c>
      <c r="GF63" s="1701"/>
      <c r="GG63" s="1701"/>
      <c r="GH63" s="1701"/>
      <c r="GI63" s="1701"/>
      <c r="GJ63" s="1701" t="s">
        <v>89</v>
      </c>
      <c r="GK63" s="1701"/>
      <c r="GL63" s="1701"/>
      <c r="GM63" s="1701"/>
      <c r="GN63" s="1701"/>
      <c r="GO63" s="1701"/>
      <c r="GP63" s="1701"/>
      <c r="GQ63" s="1701"/>
      <c r="GR63" s="1701"/>
      <c r="GS63" s="1701"/>
      <c r="GT63" s="1701"/>
      <c r="GU63" s="1701" t="s">
        <v>1326</v>
      </c>
      <c r="GV63" s="1701"/>
      <c r="GW63" s="1701"/>
      <c r="GX63" s="1701"/>
      <c r="GY63" s="1701"/>
      <c r="GZ63" s="1701"/>
      <c r="HA63" s="1701"/>
      <c r="HB63" s="1701"/>
      <c r="HC63" s="1701"/>
      <c r="HD63" s="1701"/>
      <c r="HE63" s="1701"/>
      <c r="HF63" s="1701"/>
      <c r="HG63" s="1701"/>
      <c r="HH63" s="1701"/>
      <c r="HI63" s="1703"/>
      <c r="HJ63" s="1701"/>
      <c r="HK63" s="1701" t="s">
        <v>1326</v>
      </c>
      <c r="HL63" s="1701" t="s">
        <v>89</v>
      </c>
      <c r="HM63" s="1701"/>
      <c r="HN63" s="1701"/>
      <c r="HO63" s="1701"/>
      <c r="HP63" s="1701"/>
      <c r="HQ63" s="1701"/>
      <c r="HR63" s="1701"/>
      <c r="HS63" s="1701"/>
      <c r="HT63" s="1701"/>
      <c r="HU63" s="1701"/>
      <c r="HV63" s="1701"/>
      <c r="HW63" s="1701"/>
      <c r="HX63" s="1701"/>
      <c r="HY63" s="1688"/>
      <c r="HZ63" s="1688"/>
      <c r="IA63" s="1688"/>
      <c r="IB63" s="1688"/>
      <c r="IC63" s="1688"/>
      <c r="ID63" s="1688"/>
      <c r="IE63" s="1688"/>
      <c r="IF63" s="1688"/>
      <c r="IG63" s="1688"/>
      <c r="IH63" s="1688"/>
      <c r="II63" s="1688"/>
      <c r="IJ63" s="1688"/>
      <c r="IK63" s="1688"/>
      <c r="IL63" s="1688"/>
      <c r="IM63" s="1688"/>
      <c r="IN63" s="1688"/>
      <c r="IO63" s="1688"/>
      <c r="IP63" s="1688"/>
      <c r="IQ63" s="1688"/>
      <c r="IR63" s="1688"/>
      <c r="IS63" s="1688"/>
      <c r="IT63" s="1688"/>
      <c r="IU63" s="1688"/>
      <c r="IV63" s="1688"/>
    </row>
    <row r="64" spans="8:8" ht="20.0" customHeight="1">
      <c r="A64" s="1765" t="s">
        <v>134</v>
      </c>
      <c r="B64" s="1701"/>
      <c r="C64" s="1701" t="str">
        <f>IF(ISTEXT(_xlfn.IFERROR(VLOOKUP(A64,职业列表!I3:J10,1,FALSE),0)),"★","")</f>
        <v/>
      </c>
      <c r="D64" s="1703"/>
      <c r="E64" s="1703" t="s">
        <v>89</v>
      </c>
      <c r="F64" s="1701"/>
      <c r="G64" s="1701"/>
      <c r="H64" s="1701"/>
      <c r="I64" s="1701"/>
      <c r="J64" s="1701"/>
      <c r="K64" s="1701"/>
      <c r="L64" s="1701"/>
      <c r="M64" s="1701"/>
      <c r="N64" s="1701"/>
      <c r="O64" s="1701"/>
      <c r="P64" s="1701"/>
      <c r="Q64" s="1703" t="s">
        <v>89</v>
      </c>
      <c r="R64" s="1701"/>
      <c r="S64" s="1701"/>
      <c r="T64" s="1701"/>
      <c r="U64" s="1701"/>
      <c r="V64" s="1701"/>
      <c r="W64" s="1701"/>
      <c r="X64" s="1701"/>
      <c r="Y64" s="1701"/>
      <c r="Z64" s="1701"/>
      <c r="AA64" s="1701"/>
      <c r="AB64" s="1703" t="s">
        <v>89</v>
      </c>
      <c r="AC64" s="1701"/>
      <c r="AD64" s="1701"/>
      <c r="AE64" s="1701"/>
      <c r="AF64" s="1701"/>
      <c r="AG64" s="1701"/>
      <c r="AH64" s="1701"/>
      <c r="AI64" s="1701"/>
      <c r="AJ64" s="1701"/>
      <c r="AK64" s="1701"/>
      <c r="AL64" s="1701"/>
      <c r="AM64" s="1701"/>
      <c r="AN64" s="1703" t="s">
        <v>89</v>
      </c>
      <c r="AO64" s="1701"/>
      <c r="AP64" s="1701"/>
      <c r="AQ64" s="1701"/>
      <c r="AR64" s="1701"/>
      <c r="AS64" s="1701"/>
      <c r="AT64" s="1701"/>
      <c r="AU64" s="1701"/>
      <c r="AV64" s="1701"/>
      <c r="AW64" s="1701"/>
      <c r="AX64" s="1701"/>
      <c r="AY64" s="1701"/>
      <c r="AZ64" s="1701"/>
      <c r="BA64" s="1701"/>
      <c r="BB64" s="1701"/>
      <c r="BC64" s="1701"/>
      <c r="BD64" s="1701"/>
      <c r="BE64" s="1701"/>
      <c r="BF64" s="1703" t="s">
        <v>89</v>
      </c>
      <c r="BG64" s="1701"/>
      <c r="BH64" s="1701"/>
      <c r="BI64" s="1701"/>
      <c r="BJ64" s="1701"/>
      <c r="BK64" s="1701"/>
      <c r="BL64" s="1701"/>
      <c r="BM64" s="1701"/>
      <c r="BN64" s="1701"/>
      <c r="BO64" s="1701"/>
      <c r="BP64" s="1701"/>
      <c r="BQ64" s="1701"/>
      <c r="BR64" s="1701"/>
      <c r="BS64" s="1703" t="s">
        <v>89</v>
      </c>
      <c r="BT64" s="1703" t="s">
        <v>89</v>
      </c>
      <c r="BU64" s="1701"/>
      <c r="BV64" s="1701"/>
      <c r="BW64" s="1701"/>
      <c r="BX64" s="1701"/>
      <c r="BY64" s="1701"/>
      <c r="BZ64" s="1701"/>
      <c r="CA64" s="1701"/>
      <c r="CB64" s="1701"/>
      <c r="CC64" s="1701"/>
      <c r="CD64" s="1701"/>
      <c r="CE64" s="1701"/>
      <c r="CF64" s="1701"/>
      <c r="CG64" s="1701"/>
      <c r="CH64" s="1701"/>
      <c r="CI64" s="1701"/>
      <c r="CJ64" s="1701"/>
      <c r="CK64" s="1701"/>
      <c r="CL64" s="1701"/>
      <c r="CM64" s="1701"/>
      <c r="CN64" s="1701"/>
      <c r="CO64" s="1701"/>
      <c r="CP64" s="1701"/>
      <c r="CQ64" s="1701"/>
      <c r="CR64" s="1701"/>
      <c r="CS64" s="1701"/>
      <c r="CT64" s="1701"/>
      <c r="CU64" s="1701"/>
      <c r="CV64" s="1701"/>
      <c r="CW64" s="1701"/>
      <c r="CX64" s="1701"/>
      <c r="CY64" s="1701"/>
      <c r="CZ64" s="1701"/>
      <c r="DA64" s="1701"/>
      <c r="DB64" s="1701"/>
      <c r="DC64" s="1701"/>
      <c r="DD64" s="1701"/>
      <c r="DE64" s="1701"/>
      <c r="DF64" s="1701" t="s">
        <v>1326</v>
      </c>
      <c r="DG64" s="1701"/>
      <c r="DH64" s="1701"/>
      <c r="DI64" s="1701"/>
      <c r="DJ64" s="1701"/>
      <c r="DK64" s="1701"/>
      <c r="DL64" s="1701"/>
      <c r="DM64" s="1701"/>
      <c r="DN64" s="1701"/>
      <c r="DO64" s="1701" t="s">
        <v>89</v>
      </c>
      <c r="DP64" s="1701" t="s">
        <v>89</v>
      </c>
      <c r="DQ64" s="1701" t="s">
        <v>89</v>
      </c>
      <c r="DR64" s="1701" t="s">
        <v>89</v>
      </c>
      <c r="DS64" s="1701"/>
      <c r="DT64" s="1701"/>
      <c r="DU64" s="1701"/>
      <c r="DV64" s="1701"/>
      <c r="DW64" s="1701"/>
      <c r="DX64" s="1701"/>
      <c r="DY64" s="1701"/>
      <c r="DZ64" s="1701"/>
      <c r="EA64" s="1701"/>
      <c r="EB64" s="1701"/>
      <c r="EC64" s="1701"/>
      <c r="ED64" s="1701"/>
      <c r="EE64" s="1701"/>
      <c r="EF64" s="1701"/>
      <c r="EG64" s="1701"/>
      <c r="EH64" s="1701"/>
      <c r="EI64" s="1701"/>
      <c r="EJ64" s="1701"/>
      <c r="EK64" s="1701"/>
      <c r="EL64" s="1701"/>
      <c r="EM64" s="1701"/>
      <c r="EN64" s="1701"/>
      <c r="EO64" s="1701"/>
      <c r="EP64" s="1701"/>
      <c r="EQ64" s="1701"/>
      <c r="ER64" s="1701"/>
      <c r="ES64" s="1701"/>
      <c r="ET64" s="1701"/>
      <c r="EU64" s="1701"/>
      <c r="EV64" s="1701"/>
      <c r="EW64" s="1701"/>
      <c r="EX64" s="1701"/>
      <c r="EY64" s="1701"/>
      <c r="EZ64" s="1701"/>
      <c r="FA64" s="1701"/>
      <c r="FB64" s="1701"/>
      <c r="FC64" s="1701"/>
      <c r="FD64" s="1701"/>
      <c r="FE64" s="1701"/>
      <c r="FF64" s="1701"/>
      <c r="FG64" s="1701"/>
      <c r="FH64" s="1701"/>
      <c r="FI64" s="1701"/>
      <c r="FJ64" s="1701"/>
      <c r="FK64" s="1701"/>
      <c r="FL64" s="1701"/>
      <c r="FM64" s="1701"/>
      <c r="FN64" s="1701"/>
      <c r="FO64" s="1701"/>
      <c r="FP64" s="1701"/>
      <c r="FQ64" s="1701"/>
      <c r="FR64" s="1701"/>
      <c r="FS64" s="1701"/>
      <c r="FT64" s="1701"/>
      <c r="FU64" s="1701"/>
      <c r="FV64" s="1701"/>
      <c r="FW64" s="1701"/>
      <c r="FX64" s="1701"/>
      <c r="FY64" s="1701"/>
      <c r="FZ64" s="1701"/>
      <c r="GA64" s="1701"/>
      <c r="GB64" s="1701"/>
      <c r="GC64" s="1701"/>
      <c r="GD64" s="1701"/>
      <c r="GE64" s="1701"/>
      <c r="GF64" s="1701"/>
      <c r="GG64" s="1701"/>
      <c r="GH64" s="1701"/>
      <c r="GI64" s="1701"/>
      <c r="GJ64" s="1701" t="s">
        <v>89</v>
      </c>
      <c r="GK64" s="1701"/>
      <c r="GL64" s="1701"/>
      <c r="GM64" s="1701"/>
      <c r="GN64" s="1701"/>
      <c r="GO64" s="1701"/>
      <c r="GP64" s="1701"/>
      <c r="GQ64" s="1701"/>
      <c r="GR64" s="1701"/>
      <c r="GS64" s="1701"/>
      <c r="GT64" s="1701"/>
      <c r="GU64" s="1701"/>
      <c r="GV64" s="1701"/>
      <c r="GW64" s="1701"/>
      <c r="GX64" s="1701"/>
      <c r="GY64" s="1701"/>
      <c r="GZ64" s="1701"/>
      <c r="HA64" s="1701"/>
      <c r="HB64" s="1701"/>
      <c r="HC64" s="1701"/>
      <c r="HD64" s="1701"/>
      <c r="HE64" s="1701"/>
      <c r="HF64" s="1701"/>
      <c r="HG64" s="1701"/>
      <c r="HH64" s="1701"/>
      <c r="HI64" s="1703"/>
      <c r="HJ64" s="1701"/>
      <c r="HK64" s="1701"/>
      <c r="HL64" s="1701"/>
      <c r="HM64" s="1701"/>
      <c r="HN64" s="1701"/>
      <c r="HO64" s="1701"/>
      <c r="HP64" s="1701"/>
      <c r="HQ64" s="1701"/>
      <c r="HR64" s="1701"/>
      <c r="HS64" s="1701"/>
      <c r="HT64" s="1703"/>
      <c r="HU64" s="1701"/>
      <c r="HV64" s="1701"/>
      <c r="HW64" s="1701"/>
      <c r="HX64" s="1701"/>
      <c r="HY64" s="1688"/>
      <c r="HZ64" s="1688"/>
      <c r="IA64" s="1688"/>
      <c r="IB64" s="1688"/>
      <c r="IC64" s="1688"/>
      <c r="ID64" s="1688"/>
      <c r="IE64" s="1688"/>
      <c r="IF64" s="1688"/>
      <c r="IG64" s="1688"/>
      <c r="IH64" s="1688"/>
      <c r="II64" s="1688"/>
      <c r="IJ64" s="1688"/>
      <c r="IK64" s="1688"/>
      <c r="IL64" s="1688"/>
      <c r="IM64" s="1688"/>
      <c r="IN64" s="1688"/>
      <c r="IO64" s="1688"/>
      <c r="IP64" s="1688"/>
      <c r="IQ64" s="1688"/>
      <c r="IR64" s="1688"/>
      <c r="IS64" s="1688"/>
      <c r="IT64" s="1688"/>
      <c r="IU64" s="1688"/>
      <c r="IV64" s="1688"/>
    </row>
    <row r="65" spans="8:8" ht="20.0" customHeight="1">
      <c r="A65" s="1765" t="s">
        <v>136</v>
      </c>
      <c r="B65" s="1701"/>
      <c r="C65" s="1701" t="str">
        <f>IF(ISTEXT(_xlfn.IFERROR(VLOOKUP(A65,职业列表!I3:J10,1,FALSE),0)),"★","")</f>
        <v/>
      </c>
      <c r="D65" s="1703"/>
      <c r="E65" s="1701"/>
      <c r="F65" s="1701"/>
      <c r="G65" s="1701"/>
      <c r="H65" s="1703" t="s">
        <v>89</v>
      </c>
      <c r="I65" s="1701"/>
      <c r="J65" s="1704" t="s">
        <v>89</v>
      </c>
      <c r="K65" s="1701"/>
      <c r="L65" s="1701"/>
      <c r="M65" s="1701"/>
      <c r="N65" s="1701"/>
      <c r="O65" s="1701"/>
      <c r="P65" s="1701"/>
      <c r="Q65" s="1701"/>
      <c r="R65" s="1701"/>
      <c r="S65" s="1701"/>
      <c r="T65" s="1704" t="s">
        <v>89</v>
      </c>
      <c r="U65" s="1701"/>
      <c r="V65" s="1703" t="s">
        <v>89</v>
      </c>
      <c r="W65" s="1701"/>
      <c r="X65" s="1701"/>
      <c r="Y65" s="1701"/>
      <c r="Z65" s="1701"/>
      <c r="AA65" s="1701"/>
      <c r="AB65" s="1703" t="s">
        <v>89</v>
      </c>
      <c r="AC65" s="1701"/>
      <c r="AD65" s="1701"/>
      <c r="AE65" s="1701"/>
      <c r="AF65" s="1701"/>
      <c r="AG65" s="1701"/>
      <c r="AH65" s="1701"/>
      <c r="AI65" s="1701"/>
      <c r="AJ65" s="1701"/>
      <c r="AK65" s="1701"/>
      <c r="AL65" s="1701"/>
      <c r="AM65" s="1701"/>
      <c r="AN65" s="1701"/>
      <c r="AO65" s="1701"/>
      <c r="AP65" s="1701"/>
      <c r="AQ65" s="1701"/>
      <c r="AR65" s="1701"/>
      <c r="AS65" s="1701"/>
      <c r="AT65" s="1701"/>
      <c r="AU65" s="1701"/>
      <c r="AV65" s="1701"/>
      <c r="AW65" s="1701"/>
      <c r="AX65" s="1701"/>
      <c r="AY65" s="1701"/>
      <c r="AZ65" s="1701"/>
      <c r="BA65" s="1701"/>
      <c r="BB65" s="1701"/>
      <c r="BC65" s="1701"/>
      <c r="BD65" s="1703" t="s">
        <v>89</v>
      </c>
      <c r="BE65" s="1701"/>
      <c r="BF65" s="1701"/>
      <c r="BG65" s="1701"/>
      <c r="BH65" s="1701"/>
      <c r="BI65" s="1701"/>
      <c r="BJ65" s="1701"/>
      <c r="BK65" s="1701"/>
      <c r="BL65" s="1701"/>
      <c r="BM65" s="1701"/>
      <c r="BN65" s="1701"/>
      <c r="BO65" s="1701"/>
      <c r="BP65" s="1701"/>
      <c r="BQ65" s="1701"/>
      <c r="BR65" s="1701"/>
      <c r="BS65" s="1701"/>
      <c r="BT65" s="1701"/>
      <c r="BU65" s="1701"/>
      <c r="BV65" s="1701"/>
      <c r="BW65" s="1701"/>
      <c r="BX65" s="1701"/>
      <c r="BY65" s="1701"/>
      <c r="BZ65" s="1701"/>
      <c r="CA65" s="1703" t="s">
        <v>89</v>
      </c>
      <c r="CB65" s="1701"/>
      <c r="CC65" s="1701"/>
      <c r="CD65" s="1701"/>
      <c r="CE65" s="1701"/>
      <c r="CF65" s="1703" t="s">
        <v>89</v>
      </c>
      <c r="CG65" s="1701"/>
      <c r="CH65" s="1701"/>
      <c r="CI65" s="1701"/>
      <c r="CJ65" s="1701"/>
      <c r="CK65" s="1701"/>
      <c r="CL65" s="1701"/>
      <c r="CM65" s="1701"/>
      <c r="CN65" s="1701"/>
      <c r="CO65" s="1701"/>
      <c r="CP65" s="1701"/>
      <c r="CQ65" s="1701"/>
      <c r="CR65" s="1701"/>
      <c r="CS65" s="1701"/>
      <c r="CT65" s="1701"/>
      <c r="CU65" s="1701"/>
      <c r="CV65" s="1701"/>
      <c r="CW65" s="1701"/>
      <c r="CX65" s="1701"/>
      <c r="CY65" s="1701"/>
      <c r="CZ65" s="1701"/>
      <c r="DA65" s="1701"/>
      <c r="DB65" s="1701"/>
      <c r="DC65" s="1701"/>
      <c r="DD65" s="1701"/>
      <c r="DE65" s="1701"/>
      <c r="DF65" s="1701"/>
      <c r="DG65" s="1701"/>
      <c r="DH65" s="1701"/>
      <c r="DI65" s="1701"/>
      <c r="DJ65" s="1701"/>
      <c r="DK65" s="1701"/>
      <c r="DL65" s="1701"/>
      <c r="DM65" s="1701"/>
      <c r="DN65" s="1701"/>
      <c r="DO65" s="1701"/>
      <c r="DP65" s="1701"/>
      <c r="DQ65" s="1701"/>
      <c r="DR65" s="1701"/>
      <c r="DS65" s="1701"/>
      <c r="DT65" s="1701"/>
      <c r="DU65" s="1701"/>
      <c r="DV65" s="1701"/>
      <c r="DW65" s="1701"/>
      <c r="DX65" s="1701"/>
      <c r="DY65" s="1701"/>
      <c r="DZ65" s="1701"/>
      <c r="EA65" s="1701"/>
      <c r="EB65" s="1701"/>
      <c r="EC65" s="1701"/>
      <c r="ED65" s="1701"/>
      <c r="EE65" s="1701"/>
      <c r="EF65" s="1701"/>
      <c r="EG65" s="1701"/>
      <c r="EH65" s="1701"/>
      <c r="EI65" s="1701"/>
      <c r="EJ65" s="1701"/>
      <c r="EK65" s="1701"/>
      <c r="EL65" s="1701"/>
      <c r="EM65" s="1701"/>
      <c r="EN65" s="1701"/>
      <c r="EO65" s="1701"/>
      <c r="EP65" s="1701"/>
      <c r="EQ65" s="1701"/>
      <c r="ER65" s="1701"/>
      <c r="ES65" s="1701"/>
      <c r="ET65" s="1701"/>
      <c r="EU65" s="1701"/>
      <c r="EV65" s="1701"/>
      <c r="EW65" s="1701"/>
      <c r="EX65" s="1701"/>
      <c r="EY65" s="1701"/>
      <c r="EZ65" s="1701"/>
      <c r="FA65" s="1701"/>
      <c r="FB65" s="1701"/>
      <c r="FC65" s="1701" t="s">
        <v>89</v>
      </c>
      <c r="FD65" s="1701"/>
      <c r="FE65" s="1701"/>
      <c r="FF65" s="1701"/>
      <c r="FG65" s="1701"/>
      <c r="FH65" s="1701"/>
      <c r="FI65" s="1701"/>
      <c r="FJ65" s="1701"/>
      <c r="FK65" s="1701"/>
      <c r="FL65" s="1701"/>
      <c r="FM65" s="1701"/>
      <c r="FN65" s="1701"/>
      <c r="FO65" s="1701"/>
      <c r="FP65" s="1701"/>
      <c r="FQ65" s="1701"/>
      <c r="FR65" s="1701"/>
      <c r="FS65" s="1701"/>
      <c r="FT65" s="1701" t="s">
        <v>89</v>
      </c>
      <c r="FU65" s="1701"/>
      <c r="FV65" s="1701"/>
      <c r="FW65" s="1701"/>
      <c r="FX65" s="1701" t="s">
        <v>89</v>
      </c>
      <c r="FY65" s="1701"/>
      <c r="FZ65" s="1701"/>
      <c r="GA65" s="1701"/>
      <c r="GB65" s="1701"/>
      <c r="GC65" s="1701"/>
      <c r="GD65" s="1701"/>
      <c r="GE65" s="1701"/>
      <c r="GF65" s="1701"/>
      <c r="GG65" s="1701"/>
      <c r="GH65" s="1701"/>
      <c r="GI65" s="1701"/>
      <c r="GJ65" s="1701"/>
      <c r="GK65" s="1701"/>
      <c r="GL65" s="1701"/>
      <c r="GM65" s="1701"/>
      <c r="GN65" s="1701"/>
      <c r="GO65" s="1701"/>
      <c r="GP65" s="1701"/>
      <c r="GQ65" s="1701"/>
      <c r="GR65" s="1701"/>
      <c r="GS65" s="1701"/>
      <c r="GT65" s="1701"/>
      <c r="GU65" s="1701"/>
      <c r="GV65" s="1701"/>
      <c r="GW65" s="1701"/>
      <c r="GX65" s="1701"/>
      <c r="GY65" s="1701"/>
      <c r="GZ65" s="1703"/>
      <c r="HA65" s="1701"/>
      <c r="HB65" s="1704"/>
      <c r="HC65" s="1701"/>
      <c r="HD65" s="1701"/>
      <c r="HE65" s="1701"/>
      <c r="HF65" s="1701" t="s">
        <v>89</v>
      </c>
      <c r="HG65" s="1701"/>
      <c r="HH65" s="1701"/>
      <c r="HI65" s="1701"/>
      <c r="HJ65" s="1701"/>
      <c r="HK65" s="1701"/>
      <c r="HL65" s="1703" t="s">
        <v>89</v>
      </c>
      <c r="HM65" s="1701"/>
      <c r="HN65" s="1703"/>
      <c r="HO65" s="1701"/>
      <c r="HP65" s="1701"/>
      <c r="HQ65" s="1701"/>
      <c r="HR65" s="1701"/>
      <c r="HS65" s="1701"/>
      <c r="HT65" s="1703"/>
      <c r="HU65" s="1701"/>
      <c r="HV65" s="1701"/>
      <c r="HW65" s="1701"/>
      <c r="HX65" s="1701"/>
      <c r="HY65" s="1688"/>
      <c r="HZ65" s="1688"/>
      <c r="IA65" s="1688"/>
      <c r="IB65" s="1688"/>
      <c r="IC65" s="1688"/>
      <c r="ID65" s="1688"/>
      <c r="IE65" s="1688"/>
      <c r="IF65" s="1688"/>
      <c r="IG65" s="1688"/>
      <c r="IH65" s="1688"/>
      <c r="II65" s="1688"/>
      <c r="IJ65" s="1688"/>
      <c r="IK65" s="1688"/>
      <c r="IL65" s="1688"/>
      <c r="IM65" s="1688"/>
      <c r="IN65" s="1688"/>
      <c r="IO65" s="1688"/>
      <c r="IP65" s="1688"/>
      <c r="IQ65" s="1688"/>
      <c r="IR65" s="1688"/>
      <c r="IS65" s="1688"/>
      <c r="IT65" s="1688"/>
      <c r="IU65" s="1688"/>
      <c r="IV65" s="1688"/>
    </row>
    <row r="66" spans="8:8" s="1782" ht="20.0" customFormat="1" customHeight="1">
      <c r="A66" s="1783" t="s">
        <v>5934</v>
      </c>
      <c r="B66" s="1784"/>
      <c r="C66" s="1702" t="str">
        <f>IF(ISTEXT(_xlfn.IFERROR(VLOOKUP(A66,职业列表!I3:J10,1,FALSE),0)),"★","")</f>
        <v/>
      </c>
      <c r="D66" s="1785"/>
      <c r="E66" s="1785"/>
      <c r="F66" s="1785"/>
      <c r="G66" s="1785"/>
      <c r="H66" s="1785"/>
      <c r="I66" s="1785"/>
      <c r="J66" s="1785" t="s">
        <v>89</v>
      </c>
      <c r="K66" s="1785"/>
      <c r="L66" s="1785"/>
      <c r="M66" s="1785"/>
      <c r="N66" s="1785"/>
      <c r="O66" s="1785"/>
      <c r="P66" s="1785"/>
      <c r="Q66" s="1785"/>
      <c r="R66" s="1785"/>
      <c r="S66" s="1785"/>
      <c r="T66" s="1785"/>
      <c r="U66" s="1785"/>
      <c r="V66" s="1785"/>
      <c r="W66" s="1785"/>
      <c r="X66" s="1785"/>
      <c r="Y66" s="1785"/>
      <c r="Z66" s="1785"/>
      <c r="AA66" s="1785"/>
      <c r="AB66" s="1785"/>
      <c r="AC66" s="1785"/>
      <c r="AD66" s="1785"/>
      <c r="AE66" s="1785"/>
      <c r="AF66" s="1785"/>
      <c r="AG66" s="1785"/>
      <c r="AH66" s="1785"/>
      <c r="AI66" s="1785"/>
      <c r="AJ66" s="1785"/>
      <c r="AK66" s="1785"/>
      <c r="AL66" s="1785"/>
      <c r="AM66" s="1785"/>
      <c r="AN66" s="1785"/>
      <c r="AO66" s="1785"/>
      <c r="AP66" s="1786"/>
      <c r="AQ66" s="1785"/>
      <c r="AR66" s="1785"/>
      <c r="AS66" s="1786"/>
      <c r="AT66" s="1784"/>
      <c r="AU66" s="1784"/>
      <c r="AV66" s="1784"/>
      <c r="AW66" s="1784"/>
      <c r="AX66" s="1784"/>
      <c r="AY66" s="1784"/>
      <c r="AZ66" s="1784"/>
      <c r="BA66" s="1784"/>
      <c r="BB66" s="1784"/>
      <c r="BC66" s="1784"/>
      <c r="BD66" s="1784"/>
      <c r="BE66" s="1784"/>
      <c r="BF66" s="1784"/>
      <c r="BG66" s="1784"/>
      <c r="BH66" s="1784"/>
      <c r="BI66" s="1784"/>
      <c r="BJ66" s="1784"/>
      <c r="BK66" s="1784"/>
      <c r="BL66" s="1784"/>
      <c r="BM66" s="1784"/>
      <c r="BN66" s="1784"/>
      <c r="BO66" s="1784"/>
      <c r="BP66" s="1784"/>
      <c r="BQ66" s="1784"/>
      <c r="BR66" s="1784"/>
      <c r="BS66" s="1784"/>
      <c r="BT66" s="1784"/>
      <c r="BU66" s="1784"/>
      <c r="BV66" s="1784"/>
      <c r="BW66" s="1784"/>
      <c r="BX66" s="1784"/>
      <c r="BY66" s="1784"/>
      <c r="BZ66" s="1784"/>
      <c r="CA66" s="1784"/>
      <c r="CB66" s="1784"/>
      <c r="CC66" s="1784"/>
      <c r="CD66" s="1784"/>
      <c r="CE66" s="1784"/>
      <c r="CF66" s="1784"/>
      <c r="CG66" s="1784"/>
      <c r="CH66" s="1784"/>
      <c r="CI66" s="1784"/>
      <c r="CJ66" s="1784"/>
      <c r="CK66" s="1784"/>
      <c r="CL66" s="1784"/>
      <c r="CM66" s="1784"/>
      <c r="CN66" s="1784"/>
      <c r="CO66" s="1784"/>
      <c r="CP66" s="1784"/>
      <c r="CQ66" s="1784"/>
      <c r="CR66" s="1784"/>
      <c r="CS66" s="1784"/>
      <c r="CT66" s="1784"/>
      <c r="CU66" s="1784"/>
      <c r="CV66" s="1784"/>
      <c r="CW66" s="1784"/>
      <c r="CX66" s="1784"/>
      <c r="CY66" s="1784"/>
      <c r="CZ66" s="1784"/>
      <c r="DA66" s="1784"/>
      <c r="DB66" s="1784"/>
      <c r="DC66" s="1784"/>
      <c r="DD66" s="1784"/>
      <c r="DE66" s="1786"/>
      <c r="DF66" s="1784"/>
      <c r="DG66" s="1784"/>
      <c r="DH66" s="1784"/>
      <c r="DI66" s="1784"/>
      <c r="DJ66" s="1784"/>
      <c r="DK66" s="1784"/>
      <c r="DL66" s="1784"/>
      <c r="DM66" s="1784" t="s">
        <v>89</v>
      </c>
      <c r="DN66" s="1784"/>
      <c r="DO66" s="1784"/>
      <c r="DP66" s="1784"/>
      <c r="DQ66" s="1784"/>
      <c r="DR66" s="1784"/>
      <c r="DS66" s="1784"/>
      <c r="DT66" s="1784"/>
      <c r="DU66" s="1784"/>
      <c r="DV66" s="1784"/>
      <c r="DW66" s="1784"/>
      <c r="DX66" s="1784"/>
      <c r="DY66" s="1784"/>
      <c r="DZ66" s="1784"/>
      <c r="EA66" s="1784"/>
      <c r="EB66" s="1784"/>
      <c r="EC66" s="1784"/>
      <c r="ED66" s="1784"/>
      <c r="EE66" s="1784"/>
      <c r="EF66" s="1784"/>
      <c r="EG66" s="1784"/>
      <c r="EH66" s="1784"/>
      <c r="EI66" s="1784"/>
      <c r="EJ66" s="1784"/>
      <c r="EK66" s="1784"/>
      <c r="EL66" s="1784"/>
      <c r="EM66" s="1784"/>
      <c r="EN66" s="1784"/>
      <c r="EO66" s="1784"/>
      <c r="EP66" s="1784"/>
      <c r="EQ66" s="1784"/>
      <c r="ER66" s="1784"/>
      <c r="ES66" s="1784"/>
      <c r="ET66" s="1784"/>
      <c r="EU66" s="1784"/>
      <c r="EV66" s="1784"/>
      <c r="EW66" s="1784"/>
      <c r="EX66" s="1784"/>
      <c r="EY66" s="1784"/>
      <c r="EZ66" s="1784"/>
      <c r="FA66" s="1784"/>
      <c r="FB66" s="1784"/>
      <c r="FC66" s="1784"/>
      <c r="FD66" s="1784"/>
      <c r="FE66" s="1784"/>
      <c r="FF66" s="1784"/>
      <c r="FG66" s="1784"/>
      <c r="FH66" s="1784"/>
      <c r="FI66" s="1784"/>
      <c r="FJ66" s="1784"/>
      <c r="FK66" s="1784"/>
      <c r="FL66" s="1784"/>
      <c r="FM66" s="1784"/>
      <c r="FN66" s="1784"/>
      <c r="FO66" s="1784"/>
      <c r="FP66" s="1784"/>
      <c r="FQ66" s="1784"/>
      <c r="FR66" s="1784"/>
      <c r="FS66" s="1784"/>
      <c r="FT66" s="1784"/>
      <c r="FU66" s="1784"/>
      <c r="FV66" s="1784"/>
      <c r="FW66" s="1784"/>
      <c r="FX66" s="1784"/>
      <c r="FY66" s="1784"/>
      <c r="FZ66" s="1784"/>
      <c r="GA66" s="1784"/>
      <c r="GB66" s="1784"/>
      <c r="GC66" s="1784"/>
      <c r="GD66" s="1784"/>
      <c r="GE66" s="1784"/>
      <c r="GF66" s="1784"/>
      <c r="GG66" s="1784"/>
      <c r="GH66" s="1784"/>
      <c r="GI66" s="1784"/>
      <c r="GJ66" s="1784"/>
      <c r="GK66" s="1784"/>
      <c r="GL66" s="1784"/>
      <c r="GM66" s="1784"/>
      <c r="GN66" s="1784"/>
      <c r="GO66" s="1784"/>
      <c r="GP66" s="1784"/>
      <c r="GQ66" s="1784"/>
      <c r="GR66" s="1784"/>
      <c r="GS66" s="1784"/>
      <c r="GT66" s="1784"/>
      <c r="GU66" s="1784"/>
      <c r="GV66" s="1784"/>
      <c r="GW66" s="1784"/>
      <c r="GX66" s="1784"/>
      <c r="GY66" s="1785"/>
      <c r="GZ66" s="1785"/>
      <c r="HA66" s="1785"/>
      <c r="HB66" s="1785"/>
      <c r="HC66" s="1785"/>
      <c r="HD66" s="1785"/>
      <c r="HE66" s="1785"/>
      <c r="HF66" s="1785"/>
      <c r="HG66" s="1785"/>
      <c r="HH66" s="1785"/>
      <c r="HI66" s="1785"/>
      <c r="HJ66" s="1785"/>
      <c r="HK66" s="1785"/>
      <c r="HL66" s="1785"/>
      <c r="HM66" s="1785"/>
      <c r="HN66" s="1785"/>
      <c r="HO66" s="1785"/>
      <c r="HP66" s="1785"/>
      <c r="HQ66" s="1785"/>
      <c r="HR66" s="1785"/>
      <c r="HS66" s="1785"/>
      <c r="HT66" s="1785"/>
      <c r="HU66" s="1785"/>
      <c r="HV66" s="1785"/>
      <c r="HW66" s="1785"/>
      <c r="HX66" s="1785"/>
      <c r="HY66" s="1787"/>
      <c r="HZ66" s="1787"/>
      <c r="IA66" s="1787"/>
      <c r="IB66" s="1787"/>
      <c r="IC66" s="1787"/>
      <c r="ID66" s="1787"/>
      <c r="IE66" s="1787"/>
      <c r="IF66" s="1787"/>
      <c r="IG66" s="1787"/>
      <c r="IH66" s="1787"/>
      <c r="II66" s="1787"/>
      <c r="IJ66" s="1787"/>
      <c r="IK66" s="1787"/>
      <c r="IL66" s="1787"/>
      <c r="IM66" s="1787"/>
      <c r="IN66" s="1787"/>
      <c r="IO66" s="1787"/>
      <c r="IP66" s="1787"/>
      <c r="IQ66" s="1787"/>
      <c r="IR66" s="1787"/>
      <c r="IS66" s="1787"/>
      <c r="IT66" s="1787"/>
      <c r="IU66" s="1787"/>
      <c r="IV66" s="1787"/>
    </row>
    <row r="67" spans="8:8" ht="20.0" customHeight="1">
      <c r="A67" s="1746" t="s">
        <v>140</v>
      </c>
      <c r="B67" s="1701"/>
      <c r="C67" s="1701" t="str">
        <f>IF(ISTEXT(_xlfn.IFERROR(VLOOKUP(A67,职业列表!I3:J10,1,FALSE),0)),"★","")</f>
        <v/>
      </c>
      <c r="D67" s="1703"/>
      <c r="E67" s="1701"/>
      <c r="F67" s="1701"/>
      <c r="G67" s="1701"/>
      <c r="H67" s="1701"/>
      <c r="I67" s="1701"/>
      <c r="J67" s="1701"/>
      <c r="K67" s="1701"/>
      <c r="L67" s="1701"/>
      <c r="M67" s="1701"/>
      <c r="N67" s="1701"/>
      <c r="O67" s="1701"/>
      <c r="P67" s="1701"/>
      <c r="Q67" s="1701"/>
      <c r="R67" s="1701"/>
      <c r="S67" s="1701"/>
      <c r="T67" s="1701"/>
      <c r="U67" s="1701"/>
      <c r="V67" s="1701"/>
      <c r="W67" s="1701"/>
      <c r="X67" s="1701"/>
      <c r="Y67" s="1701"/>
      <c r="Z67" s="1701"/>
      <c r="AA67" s="1701"/>
      <c r="AB67" s="1701"/>
      <c r="AC67" s="1701"/>
      <c r="AD67" s="1701"/>
      <c r="AE67" s="1701"/>
      <c r="AF67" s="1701"/>
      <c r="AG67" s="1701"/>
      <c r="AH67" s="1701"/>
      <c r="AI67" s="1701"/>
      <c r="AJ67" s="1701"/>
      <c r="AK67" s="1701"/>
      <c r="AL67" s="1701"/>
      <c r="AM67" s="1701"/>
      <c r="AN67" s="1701"/>
      <c r="AO67" s="1701"/>
      <c r="AP67" s="1701"/>
      <c r="AQ67" s="1701"/>
      <c r="AR67" s="1701"/>
      <c r="AS67" s="1704" t="s">
        <v>89</v>
      </c>
      <c r="AT67" s="1701"/>
      <c r="AU67" s="1701"/>
      <c r="AV67" s="1701"/>
      <c r="AW67" s="1701"/>
      <c r="AX67" s="1701"/>
      <c r="AY67" s="1701"/>
      <c r="AZ67" s="1701"/>
      <c r="BA67" s="1701"/>
      <c r="BB67" s="1701"/>
      <c r="BC67" s="1701"/>
      <c r="BD67" s="1701"/>
      <c r="BE67" s="1701"/>
      <c r="BF67" s="1701"/>
      <c r="BG67" s="1701"/>
      <c r="BH67" s="1701"/>
      <c r="BI67" s="1701"/>
      <c r="BJ67" s="1701"/>
      <c r="BK67" s="1701"/>
      <c r="BL67" s="1701"/>
      <c r="BM67" s="1701"/>
      <c r="BN67" s="1701"/>
      <c r="BO67" s="1701"/>
      <c r="BP67" s="1701"/>
      <c r="BQ67" s="1701"/>
      <c r="BR67" s="1701"/>
      <c r="BS67" s="1701"/>
      <c r="BT67" s="1701"/>
      <c r="BU67" s="1701"/>
      <c r="BV67" s="1701"/>
      <c r="BW67" s="1701"/>
      <c r="BX67" s="1701"/>
      <c r="BY67" s="1701"/>
      <c r="BZ67" s="1701"/>
      <c r="CA67" s="1701"/>
      <c r="CB67" s="1701"/>
      <c r="CC67" s="1701"/>
      <c r="CD67" s="1701"/>
      <c r="CE67" s="1701"/>
      <c r="CF67" s="1701"/>
      <c r="CG67" s="1701"/>
      <c r="CH67" s="1701"/>
      <c r="CI67" s="1701"/>
      <c r="CJ67" s="1701"/>
      <c r="CK67" s="1701"/>
      <c r="CL67" s="1701"/>
      <c r="CM67" s="1701"/>
      <c r="CN67" s="1701"/>
      <c r="CO67" s="1701"/>
      <c r="CP67" s="1701"/>
      <c r="CQ67" s="1701"/>
      <c r="CR67" s="1701"/>
      <c r="CS67" s="1701"/>
      <c r="CT67" s="1701"/>
      <c r="CU67" s="1701"/>
      <c r="CV67" s="1701"/>
      <c r="CW67" s="1701"/>
      <c r="CX67" s="1701"/>
      <c r="CY67" s="1701"/>
      <c r="CZ67" s="1701"/>
      <c r="DA67" s="1701"/>
      <c r="DB67" s="1701"/>
      <c r="DC67" s="1701"/>
      <c r="DD67" s="1701"/>
      <c r="DE67" s="1702" t="s">
        <v>1329</v>
      </c>
      <c r="DF67" s="1701"/>
      <c r="DG67" s="1701"/>
      <c r="DH67" s="1701"/>
      <c r="DI67" s="1701"/>
      <c r="DJ67" s="1701"/>
      <c r="DK67" s="1701"/>
      <c r="DL67" s="1701"/>
      <c r="DM67" s="1701"/>
      <c r="DN67" s="1701"/>
      <c r="DO67" s="1701"/>
      <c r="DP67" s="1701"/>
      <c r="DQ67" s="1701"/>
      <c r="DR67" s="1701"/>
      <c r="DS67" s="1701"/>
      <c r="DT67" s="1701"/>
      <c r="DU67" s="1701"/>
      <c r="DV67" s="1701"/>
      <c r="DW67" s="1701"/>
      <c r="DX67" s="1701"/>
      <c r="DY67" s="1701"/>
      <c r="DZ67" s="1701"/>
      <c r="EA67" s="1701"/>
      <c r="EB67" s="1701"/>
      <c r="EC67" s="1701"/>
      <c r="ED67" s="1701"/>
      <c r="EE67" s="1701"/>
      <c r="EF67" s="1701"/>
      <c r="EG67" s="1701"/>
      <c r="EH67" s="1701"/>
      <c r="EI67" s="1701"/>
      <c r="EJ67" s="1701"/>
      <c r="EK67" s="1701"/>
      <c r="EL67" s="1701"/>
      <c r="EM67" s="1701"/>
      <c r="EN67" s="1701"/>
      <c r="EO67" s="1701"/>
      <c r="EP67" s="1701"/>
      <c r="EQ67" s="1701"/>
      <c r="ER67" s="1701"/>
      <c r="ES67" s="1701"/>
      <c r="ET67" s="1701"/>
      <c r="EU67" s="1701"/>
      <c r="EV67" s="1701"/>
      <c r="EW67" s="1701"/>
      <c r="EX67" s="1701"/>
      <c r="EY67" s="1701"/>
      <c r="EZ67" s="1701"/>
      <c r="FA67" s="1701"/>
      <c r="FB67" s="1701"/>
      <c r="FC67" s="1701"/>
      <c r="FD67" s="1701"/>
      <c r="FE67" s="1747"/>
      <c r="FF67" s="1747"/>
      <c r="FG67" s="1747"/>
      <c r="FH67" s="1747"/>
      <c r="FI67" s="1747"/>
      <c r="FJ67" s="1747"/>
      <c r="FK67" s="1747"/>
      <c r="FL67" s="1747"/>
      <c r="FM67" s="1701"/>
      <c r="FN67" s="1701"/>
      <c r="FO67" s="1701"/>
      <c r="FP67" s="1701"/>
      <c r="FQ67" s="1701"/>
      <c r="FR67" s="1701"/>
      <c r="FS67" s="1701"/>
      <c r="FT67" s="1701"/>
      <c r="FU67" s="1701"/>
      <c r="FV67" s="1701"/>
      <c r="FW67" s="1701"/>
      <c r="FX67" s="1701"/>
      <c r="FY67" s="1701"/>
      <c r="FZ67" s="1701"/>
      <c r="GA67" s="1701"/>
      <c r="GB67" s="1701"/>
      <c r="GC67" s="1701"/>
      <c r="GD67" s="1701"/>
      <c r="GE67" s="1701"/>
      <c r="GF67" s="1701"/>
      <c r="GG67" s="1701"/>
      <c r="GH67" s="1701"/>
      <c r="GI67" s="1701"/>
      <c r="GJ67" s="1701"/>
      <c r="GK67" s="1701"/>
      <c r="GL67" s="1701"/>
      <c r="GM67" s="1701"/>
      <c r="GN67" s="1701"/>
      <c r="GO67" s="1701"/>
      <c r="GP67" s="1701"/>
      <c r="GQ67" s="1701"/>
      <c r="GR67" s="1701"/>
      <c r="GS67" s="1701"/>
      <c r="GT67" s="1701"/>
      <c r="GU67" s="1701"/>
      <c r="GV67" s="1701"/>
      <c r="GW67" s="1701"/>
      <c r="GX67" s="1701"/>
      <c r="GY67" s="1701"/>
      <c r="GZ67" s="1701"/>
      <c r="HA67" s="1701"/>
      <c r="HB67" s="1701"/>
      <c r="HC67" s="1701"/>
      <c r="HD67" s="1701"/>
      <c r="HE67" s="1701"/>
      <c r="HF67" s="1701"/>
      <c r="HG67" s="1701"/>
      <c r="HH67" s="1701"/>
      <c r="HI67" s="1701"/>
      <c r="HJ67" s="1701"/>
      <c r="HK67" s="1701"/>
      <c r="HL67" s="1701"/>
      <c r="HM67" s="1701"/>
      <c r="HN67" s="1701"/>
      <c r="HO67" s="1701"/>
      <c r="HP67" s="1701"/>
      <c r="HQ67" s="1701"/>
      <c r="HR67" s="1701"/>
      <c r="HS67" s="1701"/>
      <c r="HT67" s="1701"/>
      <c r="HU67" s="1701"/>
      <c r="HV67" s="1701"/>
      <c r="HW67" s="1701"/>
      <c r="HX67" s="1701"/>
      <c r="HY67" s="1688"/>
      <c r="HZ67" s="1688"/>
      <c r="IA67" s="1688"/>
      <c r="IB67" s="1688"/>
      <c r="IC67" s="1688"/>
      <c r="ID67" s="1688"/>
      <c r="IE67" s="1688"/>
      <c r="IF67" s="1688"/>
      <c r="IG67" s="1688"/>
      <c r="IH67" s="1688"/>
      <c r="II67" s="1688"/>
      <c r="IJ67" s="1688"/>
      <c r="IK67" s="1688"/>
      <c r="IL67" s="1688"/>
      <c r="IM67" s="1688"/>
      <c r="IN67" s="1688"/>
      <c r="IO67" s="1688"/>
      <c r="IP67" s="1688"/>
      <c r="IQ67" s="1688"/>
      <c r="IR67" s="1688"/>
      <c r="IS67" s="1688"/>
      <c r="IT67" s="1688"/>
      <c r="IU67" s="1688"/>
      <c r="IV67" s="1688"/>
    </row>
    <row r="68" spans="8:8" ht="20.0" customHeight="1">
      <c r="A68" s="1746" t="s">
        <v>142</v>
      </c>
      <c r="B68" s="1701"/>
      <c r="C68" s="1702" t="str">
        <f>IF(ISTEXT(_xlfn.IFERROR(VLOOKUP(A68,职业列表!I3:J10,1,FALSE),0)),"★","")</f>
        <v/>
      </c>
      <c r="D68" s="1703"/>
      <c r="E68" s="1701"/>
      <c r="F68" s="1701"/>
      <c r="G68" s="1701"/>
      <c r="H68" s="1701"/>
      <c r="I68" s="1701"/>
      <c r="J68" s="1701"/>
      <c r="K68" s="1701"/>
      <c r="L68" s="1701"/>
      <c r="M68" s="1701"/>
      <c r="N68" s="1701"/>
      <c r="O68" s="1701"/>
      <c r="P68" s="1701"/>
      <c r="Q68" s="1701"/>
      <c r="R68" s="1701"/>
      <c r="S68" s="1701"/>
      <c r="T68" s="1701"/>
      <c r="U68" s="1701"/>
      <c r="V68" s="1701"/>
      <c r="W68" s="1701"/>
      <c r="X68" s="1701"/>
      <c r="Y68" s="1701"/>
      <c r="Z68" s="1701"/>
      <c r="AA68" s="1701"/>
      <c r="AB68" s="1701"/>
      <c r="AC68" s="1701"/>
      <c r="AD68" s="1701"/>
      <c r="AE68" s="1701"/>
      <c r="AF68" s="1701"/>
      <c r="AG68" s="1701"/>
      <c r="AH68" s="1701"/>
      <c r="AI68" s="1701"/>
      <c r="AJ68" s="1701"/>
      <c r="AK68" s="1701"/>
      <c r="AL68" s="1701"/>
      <c r="AM68" s="1701"/>
      <c r="AN68" s="1701"/>
      <c r="AO68" s="1701"/>
      <c r="AP68" s="1747"/>
      <c r="AQ68" s="1701"/>
      <c r="AR68" s="1701"/>
      <c r="AS68" s="1701"/>
      <c r="AT68" s="1701"/>
      <c r="AU68" s="1701"/>
      <c r="AV68" s="1701"/>
      <c r="AW68" s="1701"/>
      <c r="AX68" s="1701"/>
      <c r="AY68" s="1701"/>
      <c r="AZ68" s="1701"/>
      <c r="BA68" s="1701"/>
      <c r="BB68" s="1701"/>
      <c r="BC68" s="1701"/>
      <c r="BD68" s="1701"/>
      <c r="BE68" s="1701"/>
      <c r="BF68" s="1701"/>
      <c r="BG68" s="1701"/>
      <c r="BH68" s="1701"/>
      <c r="BI68" s="1701"/>
      <c r="BJ68" s="1701"/>
      <c r="BK68" s="1701"/>
      <c r="BL68" s="1701"/>
      <c r="BM68" s="1701"/>
      <c r="BN68" s="1701"/>
      <c r="BO68" s="1701"/>
      <c r="BP68" s="1701"/>
      <c r="BQ68" s="1701"/>
      <c r="BR68" s="1701"/>
      <c r="BS68" s="1701"/>
      <c r="BT68" s="1701"/>
      <c r="BU68" s="1701"/>
      <c r="BV68" s="1701"/>
      <c r="BW68" s="1701"/>
      <c r="BX68" s="1701"/>
      <c r="BY68" s="1701"/>
      <c r="BZ68" s="1701"/>
      <c r="CA68" s="1701"/>
      <c r="CB68" s="1701"/>
      <c r="CC68" s="1701"/>
      <c r="CD68" s="1701"/>
      <c r="CE68" s="1701"/>
      <c r="CF68" s="1701"/>
      <c r="CG68" s="1701"/>
      <c r="CH68" s="1701"/>
      <c r="CI68" s="1701"/>
      <c r="CJ68" s="1701"/>
      <c r="CK68" s="1701"/>
      <c r="CL68" s="1701"/>
      <c r="CM68" s="1701"/>
      <c r="CN68" s="1701"/>
      <c r="CO68" s="1701"/>
      <c r="CP68" s="1701"/>
      <c r="CQ68" s="1701"/>
      <c r="CR68" s="1701"/>
      <c r="CS68" s="1701"/>
      <c r="CT68" s="1701"/>
      <c r="CU68" s="1701"/>
      <c r="CV68" s="1701"/>
      <c r="CW68" s="1701"/>
      <c r="CX68" s="1701"/>
      <c r="CY68" s="1701"/>
      <c r="CZ68" s="1701"/>
      <c r="DA68" s="1701"/>
      <c r="DB68" s="1701"/>
      <c r="DC68" s="1701"/>
      <c r="DD68" s="1701"/>
      <c r="DE68" s="1701"/>
      <c r="DF68" s="1701"/>
      <c r="DG68" s="1701"/>
      <c r="DH68" s="1701"/>
      <c r="DI68" s="1701"/>
      <c r="DJ68" s="1701"/>
      <c r="DK68" s="1701"/>
      <c r="DL68" s="1701"/>
      <c r="DM68" s="1701"/>
      <c r="DN68" s="1701"/>
      <c r="DO68" s="1701"/>
      <c r="DP68" s="1701"/>
      <c r="DQ68" s="1701"/>
      <c r="DR68" s="1701"/>
      <c r="DS68" s="1701"/>
      <c r="DT68" s="1701"/>
      <c r="DU68" s="1701"/>
      <c r="DV68" s="1701"/>
      <c r="DW68" s="1701"/>
      <c r="DX68" s="1701"/>
      <c r="DY68" s="1701"/>
      <c r="DZ68" s="1701"/>
      <c r="EA68" s="1701"/>
      <c r="EB68" s="1701"/>
      <c r="EC68" s="1701"/>
      <c r="ED68" s="1701"/>
      <c r="EE68" s="1701"/>
      <c r="EF68" s="1701"/>
      <c r="EG68" s="1701"/>
      <c r="EH68" s="1701"/>
      <c r="EI68" s="1701"/>
      <c r="EJ68" s="1701"/>
      <c r="EK68" s="1701"/>
      <c r="EL68" s="1701"/>
      <c r="EM68" s="1701"/>
      <c r="EN68" s="1701"/>
      <c r="EO68" s="1701"/>
      <c r="EP68" s="1701"/>
      <c r="EQ68" s="1701"/>
      <c r="ER68" s="1701"/>
      <c r="ES68" s="1701"/>
      <c r="ET68" s="1701"/>
      <c r="EU68" s="1701"/>
      <c r="EV68" s="1701"/>
      <c r="EW68" s="1701"/>
      <c r="EX68" s="1701"/>
      <c r="EY68" s="1701"/>
      <c r="EZ68" s="1701"/>
      <c r="FA68" s="1701"/>
      <c r="FB68" s="1701"/>
      <c r="FC68" s="1701"/>
      <c r="FD68" s="1701"/>
      <c r="FE68" s="1701"/>
      <c r="FF68" s="1701"/>
      <c r="FG68" s="1701"/>
      <c r="FH68" s="1701"/>
      <c r="FI68" s="1701"/>
      <c r="FJ68" s="1701"/>
      <c r="FK68" s="1701"/>
      <c r="FL68" s="1701"/>
      <c r="FM68" s="1701"/>
      <c r="FN68" s="1701"/>
      <c r="FO68" s="1701"/>
      <c r="FP68" s="1701"/>
      <c r="FQ68" s="1701"/>
      <c r="FR68" s="1701"/>
      <c r="FS68" s="1701"/>
      <c r="FT68" s="1701"/>
      <c r="FU68" s="1701"/>
      <c r="FV68" s="1701"/>
      <c r="FW68" s="1701"/>
      <c r="FX68" s="1701"/>
      <c r="FY68" s="1701"/>
      <c r="FZ68" s="1701"/>
      <c r="GA68" s="1701"/>
      <c r="GB68" s="1701"/>
      <c r="GC68" s="1701"/>
      <c r="GD68" s="1701"/>
      <c r="GE68" s="1701"/>
      <c r="GF68" s="1701"/>
      <c r="GG68" s="1701"/>
      <c r="GH68" s="1701"/>
      <c r="GI68" s="1701"/>
      <c r="GJ68" s="1701"/>
      <c r="GK68" s="1701"/>
      <c r="GL68" s="1701"/>
      <c r="GM68" s="1701"/>
      <c r="GN68" s="1701"/>
      <c r="GO68" s="1701"/>
      <c r="GP68" s="1701"/>
      <c r="GQ68" s="1701"/>
      <c r="GR68" s="1701"/>
      <c r="GS68" s="1701"/>
      <c r="GT68" s="1701"/>
      <c r="GU68" s="1701"/>
      <c r="GV68" s="1701"/>
      <c r="GW68" s="1701"/>
      <c r="GX68" s="1701"/>
      <c r="GY68" s="1701"/>
      <c r="GZ68" s="1701"/>
      <c r="HA68" s="1701"/>
      <c r="HB68" s="1701"/>
      <c r="HC68" s="1701"/>
      <c r="HD68" s="1701"/>
      <c r="HE68" s="1701"/>
      <c r="HF68" s="1701"/>
      <c r="HG68" s="1701"/>
      <c r="HH68" s="1701"/>
      <c r="HI68" s="1701"/>
      <c r="HJ68" s="1701"/>
      <c r="HK68" s="1701"/>
      <c r="HL68" s="1701"/>
      <c r="HM68" s="1701"/>
      <c r="HN68" s="1701"/>
      <c r="HO68" s="1701"/>
      <c r="HP68" s="1701"/>
      <c r="HQ68" s="1701"/>
      <c r="HR68" s="1701"/>
      <c r="HS68" s="1701"/>
      <c r="HT68" s="1701"/>
      <c r="HU68" s="1701"/>
      <c r="HV68" s="1701"/>
      <c r="HW68" s="1701"/>
      <c r="HX68" s="1701"/>
      <c r="HY68" s="1688"/>
      <c r="HZ68" s="1688"/>
      <c r="IA68" s="1688"/>
      <c r="IB68" s="1688"/>
      <c r="IC68" s="1688"/>
      <c r="ID68" s="1688"/>
      <c r="IE68" s="1688"/>
      <c r="IF68" s="1688"/>
      <c r="IG68" s="1688"/>
      <c r="IH68" s="1688"/>
      <c r="II68" s="1688"/>
      <c r="IJ68" s="1688"/>
      <c r="IK68" s="1688"/>
      <c r="IL68" s="1688"/>
      <c r="IM68" s="1688"/>
      <c r="IN68" s="1688"/>
      <c r="IO68" s="1688"/>
      <c r="IP68" s="1688"/>
      <c r="IQ68" s="1688"/>
      <c r="IR68" s="1688"/>
      <c r="IS68" s="1688"/>
      <c r="IT68" s="1688"/>
      <c r="IU68" s="1688"/>
      <c r="IV68" s="1688"/>
    </row>
    <row r="69" spans="8:8" ht="20.0" customHeight="1">
      <c r="A69" s="1746" t="s">
        <v>145</v>
      </c>
      <c r="B69" s="1701"/>
      <c r="C69" s="1701" t="str">
        <f>IF(ISTEXT(_xlfn.IFERROR(VLOOKUP(A69,职业列表!I3:J10,1,FALSE),0)),"★","")</f>
        <v/>
      </c>
      <c r="D69" s="1703"/>
      <c r="E69" s="1703"/>
      <c r="F69" s="1703"/>
      <c r="G69" s="1703"/>
      <c r="H69" s="1703"/>
      <c r="I69" s="1703"/>
      <c r="J69" s="1703"/>
      <c r="K69" s="1703"/>
      <c r="L69" s="1703"/>
      <c r="M69" s="1703"/>
      <c r="N69" s="1703"/>
      <c r="O69" s="1703"/>
      <c r="P69" s="1703"/>
      <c r="Q69" s="1703"/>
      <c r="R69" s="1703"/>
      <c r="S69" s="1703"/>
      <c r="T69" s="1703"/>
      <c r="U69" s="1703"/>
      <c r="V69" s="1703"/>
      <c r="W69" s="1703"/>
      <c r="X69" s="1703"/>
      <c r="Y69" s="1703"/>
      <c r="Z69" s="1703"/>
      <c r="AA69" s="1703"/>
      <c r="AB69" s="1703"/>
      <c r="AC69" s="1703"/>
      <c r="AD69" s="1703"/>
      <c r="AE69" s="1703"/>
      <c r="AF69" s="1703"/>
      <c r="AG69" s="1703"/>
      <c r="AH69" s="1703"/>
      <c r="AI69" s="1703"/>
      <c r="AJ69" s="1703"/>
      <c r="AK69" s="1703"/>
      <c r="AL69" s="1703"/>
      <c r="AM69" s="1703"/>
      <c r="AN69" s="1703"/>
      <c r="AO69" s="1703"/>
      <c r="AP69" s="1703"/>
      <c r="AQ69" s="1703"/>
      <c r="AR69" s="1703"/>
      <c r="AS69" s="1747"/>
      <c r="AT69" s="1703"/>
      <c r="AU69" s="1703"/>
      <c r="AV69" s="1703"/>
      <c r="AW69" s="1703"/>
      <c r="AX69" s="1703"/>
      <c r="AY69" s="1703"/>
      <c r="AZ69" s="1703"/>
      <c r="BA69" s="1703"/>
      <c r="BB69" s="1703"/>
      <c r="BC69" s="1703"/>
      <c r="BD69" s="1703"/>
      <c r="BE69" s="1703"/>
      <c r="BF69" s="1703"/>
      <c r="BG69" s="1703"/>
      <c r="BH69" s="1703"/>
      <c r="BI69" s="1703"/>
      <c r="BJ69" s="1703"/>
      <c r="BK69" s="1703"/>
      <c r="BL69" s="1703"/>
      <c r="BM69" s="1703"/>
      <c r="BN69" s="1703"/>
      <c r="BO69" s="1703"/>
      <c r="BP69" s="1703"/>
      <c r="BQ69" s="1703"/>
      <c r="BR69" s="1703"/>
      <c r="BS69" s="1703"/>
      <c r="BT69" s="1703"/>
      <c r="BU69" s="1703"/>
      <c r="BV69" s="1703"/>
      <c r="BW69" s="1703"/>
      <c r="BX69" s="1703"/>
      <c r="BY69" s="1703"/>
      <c r="BZ69" s="1703"/>
      <c r="CA69" s="1703"/>
      <c r="CB69" s="1703"/>
      <c r="CC69" s="1703"/>
      <c r="CD69" s="1703"/>
      <c r="CE69" s="1703"/>
      <c r="CF69" s="1703"/>
      <c r="CG69" s="1703"/>
      <c r="CH69" s="1703"/>
      <c r="CI69" s="1703"/>
      <c r="CJ69" s="1703"/>
      <c r="CK69" s="1703"/>
      <c r="CL69" s="1703"/>
      <c r="CM69" s="1703"/>
      <c r="CN69" s="1703"/>
      <c r="CO69" s="1703"/>
      <c r="CP69" s="1703"/>
      <c r="CQ69" s="1703"/>
      <c r="CR69" s="1703"/>
      <c r="CS69" s="1703"/>
      <c r="CT69" s="1703"/>
      <c r="CU69" s="1703"/>
      <c r="CV69" s="1703"/>
      <c r="CW69" s="1703"/>
      <c r="CX69" s="1703"/>
      <c r="CY69" s="1703"/>
      <c r="CZ69" s="1703"/>
      <c r="DA69" s="1703"/>
      <c r="DB69" s="1703"/>
      <c r="DC69" s="1703"/>
      <c r="DD69" s="1703"/>
      <c r="DE69" s="1704"/>
      <c r="DF69" s="1703"/>
      <c r="DG69" s="1703"/>
      <c r="DH69" s="1703"/>
      <c r="DI69" s="1703"/>
      <c r="DJ69" s="1703"/>
      <c r="DK69" s="1703"/>
      <c r="DL69" s="1703"/>
      <c r="DM69" s="1703"/>
      <c r="DN69" s="1701"/>
      <c r="DO69" s="1701"/>
      <c r="DP69" s="1701"/>
      <c r="DQ69" s="1701"/>
      <c r="DR69" s="1701"/>
      <c r="DS69" s="1701"/>
      <c r="DT69" s="1701"/>
      <c r="DU69" s="1701"/>
      <c r="DV69" s="1701"/>
      <c r="DW69" s="1701"/>
      <c r="DX69" s="1701"/>
      <c r="DY69" s="1701"/>
      <c r="DZ69" s="1701"/>
      <c r="EA69" s="1701"/>
      <c r="EB69" s="1701"/>
      <c r="EC69" s="1701"/>
      <c r="ED69" s="1701"/>
      <c r="EE69" s="1701"/>
      <c r="EF69" s="1701"/>
      <c r="EG69" s="1701"/>
      <c r="EH69" s="1701"/>
      <c r="EI69" s="1701"/>
      <c r="EJ69" s="1701"/>
      <c r="EK69" s="1701"/>
      <c r="EL69" s="1701"/>
      <c r="EM69" s="1701"/>
      <c r="EN69" s="1701"/>
      <c r="EO69" s="1701"/>
      <c r="EP69" s="1701"/>
      <c r="EQ69" s="1701"/>
      <c r="ER69" s="1701"/>
      <c r="ES69" s="1701"/>
      <c r="ET69" s="1701"/>
      <c r="EU69" s="1701"/>
      <c r="EV69" s="1701"/>
      <c r="EW69" s="1701"/>
      <c r="EX69" s="1701"/>
      <c r="EY69" s="1701"/>
      <c r="EZ69" s="1701"/>
      <c r="FA69" s="1701"/>
      <c r="FB69" s="1701"/>
      <c r="FC69" s="1701"/>
      <c r="FD69" s="1701"/>
      <c r="FE69" s="1701"/>
      <c r="FF69" s="1701"/>
      <c r="FG69" s="1701"/>
      <c r="FH69" s="1701"/>
      <c r="FI69" s="1701"/>
      <c r="FJ69" s="1701"/>
      <c r="FK69" s="1701"/>
      <c r="FL69" s="1701"/>
      <c r="FM69" s="1701"/>
      <c r="FN69" s="1701"/>
      <c r="FO69" s="1701"/>
      <c r="FP69" s="1701"/>
      <c r="FQ69" s="1701"/>
      <c r="FR69" s="1701"/>
      <c r="FS69" s="1701"/>
      <c r="FT69" s="1701"/>
      <c r="FU69" s="1701"/>
      <c r="FV69" s="1701"/>
      <c r="FW69" s="1701"/>
      <c r="FX69" s="1701"/>
      <c r="FY69" s="1701"/>
      <c r="FZ69" s="1701"/>
      <c r="GA69" s="1701"/>
      <c r="GB69" s="1701"/>
      <c r="GC69" s="1701"/>
      <c r="GD69" s="1701"/>
      <c r="GE69" s="1701"/>
      <c r="GF69" s="1701"/>
      <c r="GG69" s="1701"/>
      <c r="GH69" s="1701"/>
      <c r="GI69" s="1701"/>
      <c r="GJ69" s="1701"/>
      <c r="GK69" s="1701"/>
      <c r="GL69" s="1701"/>
      <c r="GM69" s="1701"/>
      <c r="GN69" s="1701"/>
      <c r="GO69" s="1701"/>
      <c r="GP69" s="1701"/>
      <c r="GQ69" s="1701"/>
      <c r="GR69" s="1701"/>
      <c r="GS69" s="1701"/>
      <c r="GT69" s="1701"/>
      <c r="GU69" s="1701"/>
      <c r="GV69" s="1701"/>
      <c r="GW69" s="1701"/>
      <c r="GX69" s="1701"/>
      <c r="GY69" s="1703"/>
      <c r="GZ69" s="1703"/>
      <c r="HA69" s="1703"/>
      <c r="HB69" s="1703"/>
      <c r="HC69" s="1703"/>
      <c r="HD69" s="1703"/>
      <c r="HE69" s="1703"/>
      <c r="HF69" s="1703"/>
      <c r="HG69" s="1703"/>
      <c r="HH69" s="1703"/>
      <c r="HI69" s="1703"/>
      <c r="HJ69" s="1703"/>
      <c r="HK69" s="1703"/>
      <c r="HL69" s="1703"/>
      <c r="HM69" s="1703"/>
      <c r="HN69" s="1703"/>
      <c r="HO69" s="1703"/>
      <c r="HP69" s="1703"/>
      <c r="HQ69" s="1703"/>
      <c r="HR69" s="1703"/>
      <c r="HS69" s="1703"/>
      <c r="HT69" s="1703"/>
      <c r="HU69" s="1703"/>
      <c r="HV69" s="1703"/>
      <c r="HW69" s="1703"/>
      <c r="HX69" s="1703"/>
      <c r="HY69" s="1688"/>
      <c r="HZ69" s="1688"/>
      <c r="IA69" s="1688"/>
      <c r="IB69" s="1688"/>
      <c r="IC69" s="1688"/>
      <c r="ID69" s="1688"/>
      <c r="IE69" s="1688"/>
      <c r="IF69" s="1688"/>
      <c r="IG69" s="1688"/>
      <c r="IH69" s="1688"/>
      <c r="II69" s="1688"/>
      <c r="IJ69" s="1688"/>
      <c r="IK69" s="1688"/>
      <c r="IL69" s="1688"/>
      <c r="IM69" s="1688"/>
      <c r="IN69" s="1688"/>
      <c r="IO69" s="1688"/>
      <c r="IP69" s="1688"/>
      <c r="IQ69" s="1688"/>
      <c r="IR69" s="1688"/>
      <c r="IS69" s="1688"/>
      <c r="IT69" s="1688"/>
      <c r="IU69" s="1688"/>
      <c r="IV69" s="1688"/>
    </row>
    <row r="70" spans="8:8" ht="20.0" customHeight="1">
      <c r="A70" s="1746" t="s">
        <v>147</v>
      </c>
      <c r="B70" s="1747"/>
      <c r="C70" s="1747" t="str">
        <f>IF(ISTEXT(_xlfn.IFERROR(VLOOKUP(A70,职业列表!I3:J10,1,FALSE),0)),"★","")</f>
        <v/>
      </c>
      <c r="D70" s="1747"/>
      <c r="E70" s="1747"/>
      <c r="F70" s="1747"/>
      <c r="G70" s="1747"/>
      <c r="H70" s="1747"/>
      <c r="I70" s="1747"/>
      <c r="J70" s="1747"/>
      <c r="K70" s="1747"/>
      <c r="L70" s="1747"/>
      <c r="M70" s="1747"/>
      <c r="N70" s="1747"/>
      <c r="O70" s="1747"/>
      <c r="P70" s="1747"/>
      <c r="Q70" s="1747"/>
      <c r="R70" s="1747"/>
      <c r="S70" s="1747"/>
      <c r="T70" s="1747"/>
      <c r="U70" s="1747"/>
      <c r="V70" s="1747"/>
      <c r="W70" s="1747"/>
      <c r="X70" s="1747"/>
      <c r="Y70" s="1747"/>
      <c r="Z70" s="1747"/>
      <c r="AA70" s="1747"/>
      <c r="AB70" s="1747"/>
      <c r="AC70" s="1747"/>
      <c r="AD70" s="1747"/>
      <c r="AE70" s="1747"/>
      <c r="AF70" s="1747"/>
      <c r="AG70" s="1747"/>
      <c r="AH70" s="1747"/>
      <c r="AI70" s="1747"/>
      <c r="AJ70" s="1747"/>
      <c r="AK70" s="1747"/>
      <c r="AL70" s="1747"/>
      <c r="AM70" s="1747"/>
      <c r="AN70" s="1747"/>
      <c r="AO70" s="1747"/>
      <c r="AP70" s="1702" t="s">
        <v>89</v>
      </c>
      <c r="AQ70" s="1747"/>
      <c r="AR70" s="1747"/>
      <c r="AS70" s="1747"/>
      <c r="AT70" s="1747"/>
      <c r="AU70" s="1747"/>
      <c r="AV70" s="1747"/>
      <c r="AW70" s="1747"/>
      <c r="AX70" s="1747"/>
      <c r="AY70" s="1747"/>
      <c r="AZ70" s="1747"/>
      <c r="BA70" s="1747"/>
      <c r="BB70" s="1747"/>
      <c r="BC70" s="1747"/>
      <c r="BD70" s="1747"/>
      <c r="BE70" s="1747"/>
      <c r="BF70" s="1747"/>
      <c r="BG70" s="1747"/>
      <c r="BH70" s="1747"/>
      <c r="BI70" s="1747"/>
      <c r="BJ70" s="1747"/>
      <c r="BK70" s="1747"/>
      <c r="BL70" s="1747"/>
      <c r="BM70" s="1747"/>
      <c r="BN70" s="1747"/>
      <c r="BO70" s="1747"/>
      <c r="BP70" s="1747"/>
      <c r="BQ70" s="1747"/>
      <c r="BR70" s="1747"/>
      <c r="BS70" s="1747"/>
      <c r="BT70" s="1747"/>
      <c r="BU70" s="1747"/>
      <c r="BV70" s="1747"/>
      <c r="BW70" s="1747"/>
      <c r="BX70" s="1747"/>
      <c r="BY70" s="1747"/>
      <c r="BZ70" s="1747"/>
      <c r="CA70" s="1747"/>
      <c r="CB70" s="1747"/>
      <c r="CC70" s="1747"/>
      <c r="CD70" s="1747"/>
      <c r="CE70" s="1747"/>
      <c r="CF70" s="1747"/>
      <c r="CG70" s="1747"/>
      <c r="CH70" s="1747"/>
      <c r="CI70" s="1747"/>
      <c r="CJ70" s="1747"/>
      <c r="CK70" s="1747"/>
      <c r="CL70" s="1747"/>
      <c r="CM70" s="1747"/>
      <c r="CN70" s="1747"/>
      <c r="CO70" s="1747"/>
      <c r="CP70" s="1747"/>
      <c r="CQ70" s="1747"/>
      <c r="CR70" s="1747"/>
      <c r="CS70" s="1747"/>
      <c r="CT70" s="1747"/>
      <c r="CU70" s="1747"/>
      <c r="CV70" s="1747"/>
      <c r="CW70" s="1747"/>
      <c r="CX70" s="1747"/>
      <c r="CY70" s="1747"/>
      <c r="CZ70" s="1747"/>
      <c r="DA70" s="1747"/>
      <c r="DB70" s="1747"/>
      <c r="DC70" s="1747"/>
      <c r="DD70" s="1747"/>
      <c r="DE70" s="1747"/>
      <c r="DF70" s="1747"/>
      <c r="DG70" s="1747"/>
      <c r="DH70" s="1747"/>
      <c r="DI70" s="1747"/>
      <c r="DJ70" s="1747"/>
      <c r="DK70" s="1747"/>
      <c r="DL70" s="1747"/>
      <c r="DM70" s="1747"/>
      <c r="DN70" s="1747"/>
      <c r="DO70" s="1747"/>
      <c r="DP70" s="1747"/>
      <c r="DQ70" s="1747"/>
      <c r="DR70" s="1747"/>
      <c r="DS70" s="1747"/>
      <c r="DT70" s="1747"/>
      <c r="DU70" s="1747"/>
      <c r="DV70" s="1747"/>
      <c r="DW70" s="1747"/>
      <c r="DX70" s="1747"/>
      <c r="DY70" s="1747"/>
      <c r="DZ70" s="1747"/>
      <c r="EA70" s="1747"/>
      <c r="EB70" s="1747"/>
      <c r="EC70" s="1747"/>
      <c r="ED70" s="1747"/>
      <c r="EE70" s="1747"/>
      <c r="EF70" s="1747"/>
      <c r="EG70" s="1747"/>
      <c r="EH70" s="1747"/>
      <c r="EI70" s="1747"/>
      <c r="EJ70" s="1747"/>
      <c r="EK70" s="1747"/>
      <c r="EL70" s="1747"/>
      <c r="EM70" s="1747"/>
      <c r="EN70" s="1747"/>
      <c r="EO70" s="1747"/>
      <c r="EP70" s="1747"/>
      <c r="EQ70" s="1747"/>
      <c r="ER70" s="1747"/>
      <c r="ES70" s="1747"/>
      <c r="ET70" s="1747"/>
      <c r="EU70" s="1747"/>
      <c r="EV70" s="1747"/>
      <c r="EW70" s="1747"/>
      <c r="EX70" s="1747"/>
      <c r="EY70" s="1747"/>
      <c r="EZ70" s="1747"/>
      <c r="FA70" s="1747"/>
      <c r="FB70" s="1747"/>
      <c r="FC70" s="1747"/>
      <c r="FD70" s="1747"/>
      <c r="FE70" s="1747"/>
      <c r="FF70" s="1747"/>
      <c r="FG70" s="1747"/>
      <c r="FH70" s="1747"/>
      <c r="FI70" s="1747"/>
      <c r="FJ70" s="1747"/>
      <c r="FK70" s="1747"/>
      <c r="FL70" s="1747"/>
      <c r="FM70" s="1747"/>
      <c r="FN70" s="1747"/>
      <c r="FO70" s="1747"/>
      <c r="FP70" s="1747"/>
      <c r="FQ70" s="1747"/>
      <c r="FR70" s="1747"/>
      <c r="FS70" s="1747"/>
      <c r="FT70" s="1747"/>
      <c r="FU70" s="1747"/>
      <c r="FV70" s="1747"/>
      <c r="FW70" s="1747"/>
      <c r="FX70" s="1747"/>
      <c r="FY70" s="1747"/>
      <c r="FZ70" s="1747"/>
      <c r="GA70" s="1747"/>
      <c r="GB70" s="1747"/>
      <c r="GC70" s="1747"/>
      <c r="GD70" s="1747"/>
      <c r="GE70" s="1747"/>
      <c r="GF70" s="1747"/>
      <c r="GG70" s="1747"/>
      <c r="GH70" s="1747"/>
      <c r="GI70" s="1747"/>
      <c r="GJ70" s="1747"/>
      <c r="GK70" s="1747"/>
      <c r="GL70" s="1747"/>
      <c r="GM70" s="1747"/>
      <c r="GN70" s="1747"/>
      <c r="GO70" s="1747"/>
      <c r="GP70" s="1747"/>
      <c r="GQ70" s="1747"/>
      <c r="GR70" s="1747"/>
      <c r="GS70" s="1747"/>
      <c r="GT70" s="1747"/>
      <c r="GU70" s="1747"/>
      <c r="GV70" s="1747"/>
      <c r="GW70" s="1747"/>
      <c r="GX70" s="1747"/>
      <c r="GY70" s="1747"/>
      <c r="GZ70" s="1747"/>
      <c r="HA70" s="1747"/>
      <c r="HB70" s="1747"/>
      <c r="HC70" s="1747"/>
      <c r="HD70" s="1747"/>
      <c r="HE70" s="1747"/>
      <c r="HF70" s="1747"/>
      <c r="HG70" s="1747"/>
      <c r="HH70" s="1747"/>
      <c r="HI70" s="1747"/>
      <c r="HJ70" s="1747"/>
      <c r="HK70" s="1747"/>
      <c r="HL70" s="1747"/>
      <c r="HM70" s="1747"/>
      <c r="HN70" s="1747"/>
      <c r="HO70" s="1747"/>
      <c r="HP70" s="1747"/>
      <c r="HQ70" s="1747"/>
      <c r="HR70" s="1747"/>
      <c r="HS70" s="1747"/>
      <c r="HT70" s="1747"/>
      <c r="HU70" s="1747"/>
      <c r="HV70" s="1747"/>
      <c r="HW70" s="1747"/>
      <c r="HX70" s="1747"/>
    </row>
    <row r="71" spans="8:8" ht="20.0" customHeight="1">
      <c r="A71" s="1713" t="s">
        <v>149</v>
      </c>
      <c r="B71" s="1747"/>
      <c r="C71" s="1747" t="str">
        <f>IF(ISTEXT(_xlfn.IFERROR(VLOOKUP(A71,职业列表!I3:J10,1,FALSE),0)),"★","")</f>
        <v/>
      </c>
      <c r="D71" s="1747"/>
      <c r="E71" s="1747"/>
      <c r="F71" s="1747"/>
      <c r="G71" s="1747"/>
      <c r="H71" s="1747"/>
      <c r="I71" s="1747"/>
      <c r="J71" s="1747"/>
      <c r="K71" s="1747"/>
      <c r="L71" s="1747"/>
      <c r="M71" s="1747"/>
      <c r="N71" s="1747"/>
      <c r="O71" s="1747"/>
      <c r="P71" s="1747"/>
      <c r="Q71" s="1747"/>
      <c r="R71" s="1747"/>
      <c r="S71" s="1747"/>
      <c r="T71" s="1747"/>
      <c r="U71" s="1747"/>
      <c r="V71" s="1747"/>
      <c r="W71" s="1747"/>
      <c r="X71" s="1747"/>
      <c r="Y71" s="1747"/>
      <c r="Z71" s="1747"/>
      <c r="AA71" s="1747"/>
      <c r="AB71" s="1747"/>
      <c r="AC71" s="1747"/>
      <c r="AD71" s="1747"/>
      <c r="AE71" s="1747"/>
      <c r="AF71" s="1747"/>
      <c r="AG71" s="1747"/>
      <c r="AH71" s="1747"/>
      <c r="AI71" s="1747"/>
      <c r="AJ71" s="1747"/>
      <c r="AK71" s="1747"/>
      <c r="AL71" s="1747"/>
      <c r="AM71" s="1747"/>
      <c r="AN71" s="1747"/>
      <c r="AO71" s="1747"/>
      <c r="AP71" s="1747"/>
      <c r="AQ71" s="1747"/>
      <c r="AR71" s="1747"/>
      <c r="AS71" s="1747"/>
      <c r="AT71" s="1747"/>
      <c r="AU71" s="1747"/>
      <c r="AV71" s="1747"/>
      <c r="AW71" s="1747"/>
      <c r="AX71" s="1747"/>
      <c r="AY71" s="1747"/>
      <c r="AZ71" s="1747"/>
      <c r="BA71" s="1747"/>
      <c r="BB71" s="1747"/>
      <c r="BC71" s="1747"/>
      <c r="BD71" s="1747"/>
      <c r="BE71" s="1747"/>
      <c r="BF71" s="1747"/>
      <c r="BG71" s="1747"/>
      <c r="BH71" s="1747"/>
      <c r="BI71" s="1747"/>
      <c r="BJ71" s="1747"/>
      <c r="BK71" s="1747"/>
      <c r="BL71" s="1747"/>
      <c r="BM71" s="1747"/>
      <c r="BN71" s="1747"/>
      <c r="BO71" s="1747"/>
      <c r="BP71" s="1747"/>
      <c r="BQ71" s="1747"/>
      <c r="BR71" s="1747"/>
      <c r="BS71" s="1747"/>
      <c r="BT71" s="1747"/>
      <c r="BU71" s="1747"/>
      <c r="BV71" s="1747"/>
      <c r="BW71" s="1747"/>
      <c r="BX71" s="1747"/>
      <c r="BY71" s="1747"/>
      <c r="BZ71" s="1747"/>
      <c r="CA71" s="1747"/>
      <c r="CB71" s="1747"/>
      <c r="CC71" s="1747"/>
      <c r="CD71" s="1747"/>
      <c r="CE71" s="1747"/>
      <c r="CF71" s="1747"/>
      <c r="CG71" s="1747"/>
      <c r="CH71" s="1747"/>
      <c r="CI71" s="1747"/>
      <c r="CJ71" s="1747"/>
      <c r="CK71" s="1747"/>
      <c r="CL71" s="1747"/>
      <c r="CM71" s="1747"/>
      <c r="CN71" s="1747"/>
      <c r="CO71" s="1747"/>
      <c r="CP71" s="1747"/>
      <c r="CQ71" s="1747"/>
      <c r="CR71" s="1747"/>
      <c r="CS71" s="1747"/>
      <c r="CT71" s="1747"/>
      <c r="CU71" s="1747"/>
      <c r="CV71" s="1747"/>
      <c r="CW71" s="1747"/>
      <c r="CX71" s="1747"/>
      <c r="CY71" s="1747"/>
      <c r="CZ71" s="1747"/>
      <c r="DA71" s="1747"/>
      <c r="DB71" s="1747"/>
      <c r="DC71" s="1747"/>
      <c r="DD71" s="1747"/>
      <c r="DE71" s="1747"/>
      <c r="DF71" s="1747"/>
      <c r="DG71" s="1747"/>
      <c r="DH71" s="1747"/>
      <c r="DI71" s="1747"/>
      <c r="DJ71" s="1747"/>
      <c r="DK71" s="1747"/>
      <c r="DL71" s="1747"/>
      <c r="DM71" s="1747"/>
      <c r="DN71" s="1747"/>
      <c r="DO71" s="1747"/>
      <c r="DP71" s="1747"/>
      <c r="DQ71" s="1747"/>
      <c r="DR71" s="1747"/>
      <c r="DS71" s="1747"/>
      <c r="DT71" s="1747"/>
      <c r="DU71" s="1747"/>
      <c r="DV71" s="1747"/>
      <c r="DW71" s="1747"/>
      <c r="DX71" s="1747"/>
      <c r="DY71" s="1747"/>
      <c r="DZ71" s="1747"/>
      <c r="EA71" s="1747"/>
      <c r="EB71" s="1747"/>
      <c r="EC71" s="1747"/>
      <c r="ED71" s="1747"/>
      <c r="EE71" s="1747"/>
      <c r="EF71" s="1747"/>
      <c r="EG71" s="1747"/>
      <c r="EH71" s="1747"/>
      <c r="EI71" s="1747"/>
      <c r="EJ71" s="1747"/>
      <c r="EK71" s="1747"/>
      <c r="EL71" s="1747"/>
      <c r="EM71" s="1747"/>
      <c r="EN71" s="1747"/>
      <c r="EO71" s="1747"/>
      <c r="EP71" s="1747"/>
      <c r="EQ71" s="1747"/>
      <c r="ER71" s="1747"/>
      <c r="ES71" s="1747"/>
      <c r="ET71" s="1747"/>
      <c r="EU71" s="1747"/>
      <c r="EV71" s="1747"/>
      <c r="EW71" s="1747"/>
      <c r="EX71" s="1747"/>
      <c r="EY71" s="1747"/>
      <c r="EZ71" s="1747"/>
      <c r="FA71" s="1747"/>
      <c r="FB71" s="1747"/>
      <c r="FC71" s="1747"/>
      <c r="FD71" s="1747"/>
      <c r="FE71" s="1747"/>
      <c r="FF71" s="1747"/>
      <c r="FG71" s="1747"/>
      <c r="FH71" s="1747"/>
      <c r="FI71" s="1747"/>
      <c r="FJ71" s="1747"/>
      <c r="FK71" s="1747"/>
      <c r="FL71" s="1747"/>
      <c r="FM71" s="1747"/>
      <c r="FN71" s="1747"/>
      <c r="FO71" s="1747"/>
      <c r="FP71" s="1747"/>
      <c r="FQ71" s="1747"/>
      <c r="FR71" s="1747"/>
      <c r="FS71" s="1747"/>
      <c r="FT71" s="1747"/>
      <c r="FU71" s="1747"/>
      <c r="FV71" s="1747"/>
      <c r="FW71" s="1747"/>
      <c r="FX71" s="1747"/>
      <c r="FY71" s="1747"/>
      <c r="FZ71" s="1747"/>
      <c r="GA71" s="1747"/>
      <c r="GB71" s="1747"/>
      <c r="GC71" s="1747"/>
      <c r="GD71" s="1747"/>
      <c r="GE71" s="1747"/>
      <c r="GF71" s="1747"/>
      <c r="GG71" s="1747"/>
      <c r="GH71" s="1747"/>
      <c r="GI71" s="1747"/>
      <c r="GJ71" s="1747"/>
      <c r="GK71" s="1747"/>
      <c r="GL71" s="1747"/>
      <c r="GM71" s="1747"/>
      <c r="GN71" s="1747"/>
      <c r="GO71" s="1747"/>
      <c r="GP71" s="1747"/>
      <c r="GQ71" s="1747"/>
      <c r="GR71" s="1747"/>
      <c r="GS71" s="1747"/>
      <c r="GT71" s="1747"/>
      <c r="GU71" s="1747"/>
      <c r="GV71" s="1747"/>
      <c r="GW71" s="1747"/>
      <c r="GX71" s="1747"/>
      <c r="GY71" s="1747"/>
      <c r="GZ71" s="1747"/>
      <c r="HA71" s="1747"/>
      <c r="HB71" s="1747"/>
      <c r="HC71" s="1747"/>
      <c r="HD71" s="1747"/>
      <c r="HE71" s="1747"/>
      <c r="HF71" s="1747"/>
      <c r="HG71" s="1747"/>
      <c r="HH71" s="1747"/>
      <c r="HI71" s="1747"/>
      <c r="HJ71" s="1747"/>
      <c r="HK71" s="1747"/>
      <c r="HL71" s="1747"/>
      <c r="HM71" s="1747"/>
      <c r="HN71" s="1747"/>
      <c r="HO71" s="1747"/>
      <c r="HP71" s="1747"/>
      <c r="HQ71" s="1747"/>
      <c r="HR71" s="1747"/>
      <c r="HS71" s="1747"/>
      <c r="HT71" s="1747"/>
      <c r="HU71" s="1747"/>
      <c r="HV71" s="1747"/>
      <c r="HW71" s="1747"/>
      <c r="HX71" s="1747"/>
    </row>
    <row r="72" spans="8:8" ht="20.0" customHeight="1">
      <c r="A72" s="1788" t="s">
        <v>151</v>
      </c>
      <c r="B72" s="1747"/>
      <c r="C72" s="1747" t="str">
        <f>IF(ISTEXT(_xlfn.IFERROR(VLOOKUP(A72,职业列表!I3:J10,1,FALSE),0)),"★","")</f>
        <v/>
      </c>
      <c r="D72" s="1747"/>
      <c r="E72" s="1747"/>
      <c r="F72" s="1747"/>
      <c r="G72" s="1747"/>
      <c r="H72" s="1747"/>
      <c r="I72" s="1747"/>
      <c r="J72" s="1747"/>
      <c r="K72" s="1747"/>
      <c r="L72" s="1747"/>
      <c r="M72" s="1747"/>
      <c r="N72" s="1747"/>
      <c r="O72" s="1747"/>
      <c r="P72" s="1747"/>
      <c r="Q72" s="1747"/>
      <c r="R72" s="1747"/>
      <c r="S72" s="1747"/>
      <c r="T72" s="1747"/>
      <c r="U72" s="1747"/>
      <c r="V72" s="1747"/>
      <c r="W72" s="1747"/>
      <c r="X72" s="1747"/>
      <c r="Y72" s="1747"/>
      <c r="Z72" s="1747"/>
      <c r="AA72" s="1747"/>
      <c r="AB72" s="1747"/>
      <c r="AC72" s="1747"/>
      <c r="AD72" s="1747"/>
      <c r="AE72" s="1747"/>
      <c r="AF72" s="1747"/>
      <c r="AG72" s="1747"/>
      <c r="AH72" s="1747"/>
      <c r="AI72" s="1747"/>
      <c r="AJ72" s="1747"/>
      <c r="AK72" s="1747"/>
      <c r="AL72" s="1747"/>
      <c r="AM72" s="1747"/>
      <c r="AN72" s="1747"/>
      <c r="AO72" s="1747"/>
      <c r="AP72" s="1747"/>
      <c r="AQ72" s="1747"/>
      <c r="AR72" s="1747"/>
      <c r="AS72" s="1747"/>
      <c r="AT72" s="1747"/>
      <c r="AU72" s="1747"/>
      <c r="AV72" s="1747"/>
      <c r="AW72" s="1747"/>
      <c r="AX72" s="1747"/>
      <c r="AY72" s="1747"/>
      <c r="AZ72" s="1747"/>
      <c r="BA72" s="1747"/>
      <c r="BB72" s="1747"/>
      <c r="BC72" s="1747"/>
      <c r="BD72" s="1747"/>
      <c r="BE72" s="1747"/>
      <c r="BF72" s="1747"/>
      <c r="BG72" s="1747"/>
      <c r="BH72" s="1747"/>
      <c r="BI72" s="1747"/>
      <c r="BJ72" s="1747"/>
      <c r="BK72" s="1747"/>
      <c r="BL72" s="1747"/>
      <c r="BM72" s="1747"/>
      <c r="BN72" s="1747"/>
      <c r="BO72" s="1747"/>
      <c r="BP72" s="1747"/>
      <c r="BQ72" s="1747"/>
      <c r="BR72" s="1747"/>
      <c r="BS72" s="1747"/>
      <c r="BT72" s="1747"/>
      <c r="BU72" s="1747"/>
      <c r="BV72" s="1747"/>
      <c r="BW72" s="1747"/>
      <c r="BX72" s="1747"/>
      <c r="BY72" s="1747"/>
      <c r="BZ72" s="1747"/>
      <c r="CA72" s="1747"/>
      <c r="CB72" s="1747"/>
      <c r="CC72" s="1747"/>
      <c r="CD72" s="1747"/>
      <c r="CE72" s="1747"/>
      <c r="CF72" s="1747"/>
      <c r="CG72" s="1747"/>
      <c r="CH72" s="1747"/>
      <c r="CI72" s="1747"/>
      <c r="CJ72" s="1747"/>
      <c r="CK72" s="1747"/>
      <c r="CL72" s="1747"/>
      <c r="CM72" s="1747"/>
      <c r="CN72" s="1747"/>
      <c r="CO72" s="1747"/>
      <c r="CP72" s="1747"/>
      <c r="CQ72" s="1747"/>
      <c r="CR72" s="1747"/>
      <c r="CS72" s="1747"/>
      <c r="CT72" s="1747"/>
      <c r="CU72" s="1747"/>
      <c r="CV72" s="1747"/>
      <c r="CW72" s="1747"/>
      <c r="CX72" s="1747"/>
      <c r="CY72" s="1747"/>
      <c r="CZ72" s="1747"/>
      <c r="DA72" s="1747"/>
      <c r="DB72" s="1747"/>
      <c r="DC72" s="1747"/>
      <c r="DD72" s="1747"/>
      <c r="DE72" s="1747"/>
      <c r="DF72" s="1747"/>
      <c r="DG72" s="1747"/>
      <c r="DH72" s="1747"/>
      <c r="DI72" s="1747"/>
      <c r="DJ72" s="1747"/>
      <c r="DK72" s="1747"/>
      <c r="DL72" s="1747"/>
      <c r="DM72" s="1747"/>
      <c r="DN72" s="1747"/>
      <c r="DO72" s="1747"/>
      <c r="DP72" s="1747"/>
      <c r="DQ72" s="1747"/>
      <c r="DR72" s="1747"/>
      <c r="DS72" s="1747"/>
      <c r="DT72" s="1747"/>
      <c r="DU72" s="1747"/>
      <c r="DV72" s="1747"/>
      <c r="DW72" s="1747"/>
      <c r="DX72" s="1747"/>
      <c r="DY72" s="1747"/>
      <c r="DZ72" s="1747"/>
      <c r="EA72" s="1747"/>
      <c r="EB72" s="1747"/>
      <c r="EC72" s="1747"/>
      <c r="ED72" s="1747"/>
      <c r="EE72" s="1747"/>
      <c r="EF72" s="1747"/>
      <c r="EG72" s="1747"/>
      <c r="EH72" s="1747"/>
      <c r="EI72" s="1747"/>
      <c r="EJ72" s="1747"/>
      <c r="EK72" s="1747"/>
      <c r="EL72" s="1747"/>
      <c r="EM72" s="1747"/>
      <c r="EN72" s="1747"/>
      <c r="EO72" s="1747"/>
      <c r="EP72" s="1747"/>
      <c r="EQ72" s="1747"/>
      <c r="ER72" s="1747"/>
      <c r="ES72" s="1747"/>
      <c r="ET72" s="1747"/>
      <c r="EU72" s="1747"/>
      <c r="EV72" s="1747"/>
      <c r="EW72" s="1747"/>
      <c r="EX72" s="1747"/>
      <c r="EY72" s="1747"/>
      <c r="EZ72" s="1747"/>
      <c r="FA72" s="1747"/>
      <c r="FB72" s="1747"/>
      <c r="FC72" s="1747"/>
      <c r="FD72" s="1747"/>
      <c r="FE72" s="1702" t="s">
        <v>89</v>
      </c>
      <c r="FF72" s="1702" t="s">
        <v>89</v>
      </c>
      <c r="FG72" s="1702" t="s">
        <v>89</v>
      </c>
      <c r="FH72" s="1702" t="s">
        <v>89</v>
      </c>
      <c r="FI72" s="1701"/>
      <c r="FJ72" s="1702" t="s">
        <v>89</v>
      </c>
      <c r="FK72" s="1702" t="s">
        <v>89</v>
      </c>
      <c r="FL72" s="1702" t="s">
        <v>89</v>
      </c>
      <c r="FM72" s="1747"/>
      <c r="FN72" s="1747"/>
      <c r="FO72" s="1747"/>
      <c r="FP72" s="1747"/>
      <c r="FQ72" s="1747"/>
      <c r="FR72" s="1747"/>
      <c r="FS72" s="1747"/>
      <c r="FT72" s="1747"/>
      <c r="FU72" s="1747"/>
      <c r="FV72" s="1747"/>
      <c r="FW72" s="1747"/>
      <c r="FX72" s="1747"/>
      <c r="FY72" s="1747"/>
      <c r="FZ72" s="1747"/>
      <c r="GA72" s="1747"/>
      <c r="GB72" s="1747"/>
      <c r="GC72" s="1747"/>
      <c r="GD72" s="1747"/>
      <c r="GE72" s="1747"/>
      <c r="GF72" s="1747"/>
      <c r="GG72" s="1747"/>
      <c r="GH72" s="1747"/>
      <c r="GI72" s="1747"/>
      <c r="GJ72" s="1747"/>
      <c r="GK72" s="1747"/>
      <c r="GL72" s="1747"/>
      <c r="GM72" s="1747"/>
      <c r="GN72" s="1747"/>
      <c r="GO72" s="1747"/>
      <c r="GP72" s="1747"/>
      <c r="GQ72" s="1747"/>
      <c r="GR72" s="1747"/>
      <c r="GS72" s="1747"/>
      <c r="GT72" s="1747"/>
      <c r="GU72" s="1747"/>
      <c r="GV72" s="1747"/>
      <c r="GW72" s="1747"/>
      <c r="GX72" s="1747"/>
      <c r="GY72" s="1747"/>
      <c r="GZ72" s="1747"/>
      <c r="HA72" s="1747"/>
      <c r="HB72" s="1747"/>
      <c r="HC72" s="1747"/>
      <c r="HD72" s="1747"/>
      <c r="HE72" s="1747"/>
      <c r="HF72" s="1747"/>
      <c r="HG72" s="1747"/>
      <c r="HH72" s="1747"/>
      <c r="HI72" s="1747"/>
      <c r="HJ72" s="1747"/>
      <c r="HK72" s="1747"/>
      <c r="HL72" s="1747"/>
      <c r="HM72" s="1747"/>
      <c r="HN72" s="1747"/>
      <c r="HO72" s="1747"/>
      <c r="HP72" s="1747"/>
      <c r="HQ72" s="1747"/>
      <c r="HR72" s="1747"/>
      <c r="HS72" s="1747"/>
      <c r="HT72" s="1747"/>
      <c r="HU72" s="1747"/>
      <c r="HV72" s="1747"/>
      <c r="HW72" s="1747"/>
      <c r="HX72" s="1747"/>
    </row>
    <row r="73" spans="8:8" ht="20.0" customHeight="1">
      <c r="A73" s="1789" t="str">
        <f>人物卡!AB48</f>
        <v>自定义技能</v>
      </c>
      <c r="B73" s="1747"/>
      <c r="C73" s="1747" t="str">
        <f>IF(ISTEXT(_xlfn.IFERROR(VLOOKUP(A73,职业列表!I3:J10,1,FALSE),0)),"★","")</f>
        <v/>
      </c>
      <c r="D73" s="1747"/>
      <c r="E73" s="1747"/>
      <c r="F73" s="1747"/>
      <c r="G73" s="1747"/>
      <c r="H73" s="1747"/>
      <c r="I73" s="1747"/>
      <c r="J73" s="1747"/>
      <c r="K73" s="1747"/>
      <c r="L73" s="1747"/>
      <c r="M73" s="1747"/>
      <c r="N73" s="1747"/>
      <c r="O73" s="1747"/>
      <c r="P73" s="1747"/>
      <c r="Q73" s="1747"/>
      <c r="R73" s="1747"/>
      <c r="S73" s="1747"/>
      <c r="T73" s="1747"/>
      <c r="U73" s="1747"/>
      <c r="V73" s="1747"/>
      <c r="W73" s="1747"/>
      <c r="X73" s="1747"/>
      <c r="Y73" s="1747"/>
      <c r="Z73" s="1747"/>
      <c r="AA73" s="1747"/>
      <c r="AB73" s="1747"/>
      <c r="AC73" s="1747"/>
      <c r="AD73" s="1747"/>
      <c r="AE73" s="1747"/>
      <c r="AF73" s="1747"/>
      <c r="AG73" s="1747"/>
      <c r="AH73" s="1747"/>
      <c r="AI73" s="1747"/>
      <c r="AJ73" s="1747"/>
      <c r="AK73" s="1747"/>
      <c r="AL73" s="1747"/>
      <c r="AM73" s="1747"/>
      <c r="AN73" s="1747"/>
      <c r="AO73" s="1747"/>
      <c r="AP73" s="1747"/>
      <c r="AQ73" s="1747"/>
      <c r="AR73" s="1747"/>
      <c r="AS73" s="1747"/>
      <c r="AT73" s="1747"/>
      <c r="AU73" s="1747"/>
      <c r="AV73" s="1747"/>
      <c r="AW73" s="1747"/>
      <c r="AX73" s="1747"/>
      <c r="AY73" s="1747"/>
      <c r="AZ73" s="1747"/>
      <c r="BA73" s="1747"/>
      <c r="BB73" s="1747"/>
      <c r="BC73" s="1747"/>
      <c r="BD73" s="1747"/>
      <c r="BE73" s="1747"/>
      <c r="BF73" s="1747"/>
      <c r="BG73" s="1747"/>
      <c r="BH73" s="1747"/>
      <c r="BI73" s="1747"/>
      <c r="BJ73" s="1747"/>
      <c r="BK73" s="1747"/>
      <c r="BL73" s="1747"/>
      <c r="BM73" s="1747"/>
      <c r="BN73" s="1747"/>
      <c r="BO73" s="1747"/>
      <c r="BP73" s="1747"/>
      <c r="BQ73" s="1747"/>
      <c r="BR73" s="1747"/>
      <c r="BS73" s="1747"/>
      <c r="BT73" s="1747"/>
      <c r="BU73" s="1747"/>
      <c r="BV73" s="1747"/>
      <c r="BW73" s="1747"/>
      <c r="BX73" s="1747"/>
      <c r="BY73" s="1747"/>
      <c r="BZ73" s="1747"/>
      <c r="CA73" s="1747"/>
      <c r="CB73" s="1747"/>
      <c r="CC73" s="1747"/>
      <c r="CD73" s="1747"/>
      <c r="CE73" s="1747"/>
      <c r="CF73" s="1747"/>
      <c r="CG73" s="1747"/>
      <c r="CH73" s="1747"/>
      <c r="CI73" s="1747"/>
      <c r="CJ73" s="1747"/>
      <c r="CK73" s="1747"/>
      <c r="CL73" s="1747"/>
      <c r="CM73" s="1747"/>
      <c r="CN73" s="1747"/>
      <c r="CO73" s="1747"/>
      <c r="CP73" s="1747"/>
      <c r="CQ73" s="1747"/>
      <c r="CR73" s="1747"/>
      <c r="CS73" s="1747"/>
      <c r="CT73" s="1747"/>
      <c r="CU73" s="1747"/>
      <c r="CV73" s="1747"/>
      <c r="CW73" s="1747"/>
      <c r="CX73" s="1747"/>
      <c r="CY73" s="1747"/>
      <c r="CZ73" s="1747"/>
      <c r="DA73" s="1747"/>
      <c r="DB73" s="1747"/>
      <c r="DC73" s="1747"/>
      <c r="DD73" s="1747"/>
      <c r="DE73" s="1747"/>
      <c r="DF73" s="1747"/>
      <c r="DG73" s="1747"/>
      <c r="DH73" s="1747"/>
      <c r="DI73" s="1747"/>
      <c r="DJ73" s="1747"/>
      <c r="DK73" s="1747"/>
      <c r="DL73" s="1747"/>
      <c r="DM73" s="1747"/>
      <c r="DN73" s="1747"/>
      <c r="DO73" s="1747"/>
      <c r="DP73" s="1747"/>
      <c r="DQ73" s="1747"/>
      <c r="DR73" s="1747"/>
      <c r="DS73" s="1747"/>
      <c r="DT73" s="1747"/>
      <c r="DU73" s="1747"/>
      <c r="DV73" s="1747"/>
      <c r="DW73" s="1747"/>
      <c r="DX73" s="1747"/>
      <c r="DY73" s="1747"/>
      <c r="DZ73" s="1747"/>
      <c r="EA73" s="1747"/>
      <c r="EB73" s="1747"/>
      <c r="EC73" s="1747"/>
      <c r="ED73" s="1747"/>
      <c r="EE73" s="1747"/>
      <c r="EF73" s="1747"/>
      <c r="EG73" s="1747"/>
      <c r="EH73" s="1747"/>
      <c r="EI73" s="1747"/>
      <c r="EJ73" s="1747"/>
      <c r="EK73" s="1747"/>
      <c r="EL73" s="1747"/>
      <c r="EM73" s="1747"/>
      <c r="EN73" s="1747"/>
      <c r="EO73" s="1747"/>
      <c r="EP73" s="1747"/>
      <c r="EQ73" s="1747"/>
      <c r="ER73" s="1747"/>
      <c r="ES73" s="1747"/>
      <c r="ET73" s="1747"/>
      <c r="EU73" s="1747"/>
      <c r="EV73" s="1747"/>
      <c r="EW73" s="1747"/>
      <c r="EX73" s="1747"/>
      <c r="EY73" s="1747"/>
      <c r="EZ73" s="1747"/>
      <c r="FA73" s="1747"/>
      <c r="FB73" s="1747"/>
      <c r="FC73" s="1747"/>
      <c r="FD73" s="1747"/>
      <c r="FE73" s="1747"/>
      <c r="FF73" s="1747"/>
      <c r="FG73" s="1747"/>
      <c r="FH73" s="1747"/>
      <c r="FI73" s="1747"/>
      <c r="FJ73" s="1747"/>
      <c r="FK73" s="1747"/>
      <c r="FL73" s="1747"/>
      <c r="FM73" s="1747"/>
      <c r="FN73" s="1747"/>
      <c r="FO73" s="1747"/>
      <c r="FP73" s="1747"/>
      <c r="FQ73" s="1747"/>
      <c r="FR73" s="1747"/>
      <c r="FS73" s="1747"/>
      <c r="FT73" s="1747"/>
      <c r="FU73" s="1747"/>
      <c r="FV73" s="1747"/>
      <c r="FW73" s="1747"/>
      <c r="FX73" s="1747"/>
      <c r="FY73" s="1747"/>
      <c r="FZ73" s="1747"/>
      <c r="GA73" s="1747"/>
      <c r="GB73" s="1747"/>
      <c r="GC73" s="1747"/>
      <c r="GD73" s="1747"/>
      <c r="GE73" s="1747"/>
      <c r="GF73" s="1747"/>
      <c r="GG73" s="1747"/>
      <c r="GH73" s="1747"/>
      <c r="GI73" s="1747"/>
      <c r="GJ73" s="1747"/>
      <c r="GK73" s="1747"/>
      <c r="GL73" s="1747"/>
      <c r="GM73" s="1747"/>
      <c r="GN73" s="1747"/>
      <c r="GO73" s="1747"/>
      <c r="GP73" s="1747"/>
      <c r="GQ73" s="1747"/>
      <c r="GR73" s="1747"/>
      <c r="GS73" s="1747"/>
      <c r="GT73" s="1747"/>
      <c r="GU73" s="1747"/>
      <c r="GV73" s="1747"/>
      <c r="GW73" s="1747"/>
      <c r="GX73" s="1747"/>
      <c r="GY73" s="1747"/>
      <c r="GZ73" s="1747"/>
      <c r="HA73" s="1747"/>
      <c r="HB73" s="1747"/>
      <c r="HC73" s="1747"/>
      <c r="HD73" s="1747"/>
      <c r="HE73" s="1747"/>
      <c r="HF73" s="1747"/>
      <c r="HG73" s="1747"/>
      <c r="HH73" s="1747"/>
      <c r="HI73" s="1747"/>
      <c r="HJ73" s="1747"/>
      <c r="HK73" s="1747"/>
      <c r="HL73" s="1747"/>
      <c r="HM73" s="1747"/>
      <c r="HN73" s="1747"/>
      <c r="HO73" s="1747"/>
      <c r="HP73" s="1747"/>
      <c r="HQ73" s="1747"/>
      <c r="HR73" s="1747"/>
      <c r="HS73" s="1747"/>
      <c r="HT73" s="1747"/>
      <c r="HU73" s="1747"/>
      <c r="HV73" s="1747"/>
      <c r="HW73" s="1747"/>
      <c r="HX73" s="1747"/>
    </row>
    <row r="74" spans="8:8" ht="20.0" customHeight="1">
      <c r="A74" s="1746">
        <f>人物卡!AB49</f>
        <v>0.0</v>
      </c>
      <c r="B74" s="1747"/>
      <c r="C74" s="1747" t="str">
        <f>IF(ISTEXT(_xlfn.IFERROR(VLOOKUP(A74,职业列表!I3:J10,1,FALSE),0)),"★","")</f>
        <v/>
      </c>
      <c r="D74" s="1747"/>
      <c r="E74" s="1747"/>
      <c r="F74" s="1747"/>
      <c r="G74" s="1747"/>
      <c r="H74" s="1747"/>
      <c r="I74" s="1747"/>
      <c r="J74" s="1747"/>
      <c r="K74" s="1747"/>
      <c r="L74" s="1747"/>
      <c r="M74" s="1747"/>
      <c r="N74" s="1747"/>
      <c r="O74" s="1747"/>
      <c r="P74" s="1747"/>
      <c r="Q74" s="1747"/>
      <c r="R74" s="1747"/>
      <c r="S74" s="1747"/>
      <c r="T74" s="1747"/>
      <c r="U74" s="1747"/>
      <c r="V74" s="1747"/>
      <c r="W74" s="1747"/>
      <c r="X74" s="1747"/>
      <c r="Y74" s="1747"/>
      <c r="Z74" s="1747"/>
      <c r="AA74" s="1747"/>
      <c r="AB74" s="1747"/>
      <c r="AC74" s="1747"/>
      <c r="AD74" s="1747"/>
      <c r="AE74" s="1747"/>
      <c r="AF74" s="1747"/>
      <c r="AG74" s="1747"/>
      <c r="AH74" s="1747"/>
      <c r="AI74" s="1747"/>
      <c r="AJ74" s="1747"/>
      <c r="AK74" s="1747"/>
      <c r="AL74" s="1747"/>
      <c r="AM74" s="1747"/>
      <c r="AN74" s="1747"/>
      <c r="AO74" s="1747"/>
      <c r="AP74" s="1747"/>
      <c r="AQ74" s="1747"/>
      <c r="AR74" s="1747"/>
      <c r="AS74" s="1747"/>
      <c r="AT74" s="1747"/>
      <c r="AU74" s="1747"/>
      <c r="AV74" s="1747"/>
      <c r="AW74" s="1747"/>
      <c r="AX74" s="1747"/>
      <c r="AY74" s="1747"/>
      <c r="AZ74" s="1747"/>
      <c r="BA74" s="1747"/>
      <c r="BB74" s="1747"/>
      <c r="BC74" s="1747"/>
      <c r="BD74" s="1747"/>
      <c r="BE74" s="1747"/>
      <c r="BF74" s="1747"/>
      <c r="BG74" s="1747"/>
      <c r="BH74" s="1747"/>
      <c r="BI74" s="1747"/>
      <c r="BJ74" s="1747"/>
      <c r="BK74" s="1747"/>
      <c r="BL74" s="1747"/>
      <c r="BM74" s="1747"/>
      <c r="BN74" s="1747"/>
      <c r="BO74" s="1747"/>
      <c r="BP74" s="1747"/>
      <c r="BQ74" s="1747"/>
      <c r="BR74" s="1747"/>
      <c r="BS74" s="1747"/>
      <c r="BT74" s="1747"/>
      <c r="BU74" s="1747"/>
      <c r="BV74" s="1747"/>
      <c r="BW74" s="1747"/>
      <c r="BX74" s="1747"/>
      <c r="BY74" s="1747"/>
      <c r="BZ74" s="1747"/>
      <c r="CA74" s="1747"/>
      <c r="CB74" s="1747"/>
      <c r="CC74" s="1747"/>
      <c r="CD74" s="1747"/>
      <c r="CE74" s="1747"/>
      <c r="CF74" s="1747"/>
      <c r="CG74" s="1747"/>
      <c r="CH74" s="1747"/>
      <c r="CI74" s="1747"/>
      <c r="CJ74" s="1747"/>
      <c r="CK74" s="1747"/>
      <c r="CL74" s="1747"/>
      <c r="CM74" s="1747"/>
      <c r="CN74" s="1747"/>
      <c r="CO74" s="1747"/>
      <c r="CP74" s="1747"/>
      <c r="CQ74" s="1747"/>
      <c r="CR74" s="1747"/>
      <c r="CS74" s="1747"/>
      <c r="CT74" s="1747"/>
      <c r="CU74" s="1747"/>
      <c r="CV74" s="1747"/>
      <c r="CW74" s="1747"/>
      <c r="CX74" s="1747"/>
      <c r="CY74" s="1747"/>
      <c r="CZ74" s="1747"/>
      <c r="DA74" s="1747"/>
      <c r="DB74" s="1747"/>
      <c r="DC74" s="1747"/>
      <c r="DD74" s="1747"/>
      <c r="DE74" s="1747"/>
      <c r="DF74" s="1747"/>
      <c r="DG74" s="1747"/>
      <c r="DH74" s="1747"/>
      <c r="DI74" s="1747"/>
      <c r="DJ74" s="1747"/>
      <c r="DK74" s="1747"/>
      <c r="DL74" s="1747"/>
      <c r="DM74" s="1747"/>
      <c r="DN74" s="1747"/>
      <c r="DO74" s="1747"/>
      <c r="DP74" s="1747"/>
      <c r="DQ74" s="1747"/>
      <c r="DR74" s="1747"/>
      <c r="DS74" s="1747"/>
      <c r="DT74" s="1747"/>
      <c r="DU74" s="1747"/>
      <c r="DV74" s="1747"/>
      <c r="DW74" s="1747"/>
      <c r="DX74" s="1747"/>
      <c r="DY74" s="1747"/>
      <c r="DZ74" s="1747"/>
      <c r="EA74" s="1747"/>
      <c r="EB74" s="1747"/>
      <c r="EC74" s="1747"/>
      <c r="ED74" s="1747"/>
      <c r="EE74" s="1747"/>
      <c r="EF74" s="1747"/>
      <c r="EG74" s="1747"/>
      <c r="EH74" s="1747"/>
      <c r="EI74" s="1747"/>
      <c r="EJ74" s="1747"/>
      <c r="EK74" s="1747"/>
      <c r="EL74" s="1747"/>
      <c r="EM74" s="1747"/>
      <c r="EN74" s="1747"/>
      <c r="EO74" s="1747"/>
      <c r="EP74" s="1747"/>
      <c r="EQ74" s="1747"/>
      <c r="ER74" s="1747"/>
      <c r="ES74" s="1747"/>
      <c r="ET74" s="1747"/>
      <c r="EU74" s="1747"/>
      <c r="EV74" s="1747"/>
      <c r="EW74" s="1747"/>
      <c r="EX74" s="1747"/>
      <c r="EY74" s="1747"/>
      <c r="EZ74" s="1747"/>
      <c r="FA74" s="1747"/>
      <c r="FB74" s="1747"/>
      <c r="FC74" s="1747"/>
      <c r="FD74" s="1747"/>
      <c r="FE74" s="1747"/>
      <c r="FF74" s="1747"/>
      <c r="FG74" s="1747"/>
      <c r="FH74" s="1747"/>
      <c r="FI74" s="1747"/>
      <c r="FJ74" s="1747"/>
      <c r="FK74" s="1747"/>
      <c r="FL74" s="1747"/>
      <c r="FM74" s="1747"/>
      <c r="FN74" s="1747"/>
      <c r="FO74" s="1747"/>
      <c r="FP74" s="1747"/>
      <c r="FQ74" s="1747"/>
      <c r="FR74" s="1747"/>
      <c r="FS74" s="1747"/>
      <c r="FT74" s="1747"/>
      <c r="FU74" s="1747"/>
      <c r="FV74" s="1747"/>
      <c r="FW74" s="1747"/>
      <c r="FX74" s="1747"/>
      <c r="FY74" s="1747"/>
      <c r="FZ74" s="1747"/>
      <c r="GA74" s="1747"/>
      <c r="GB74" s="1747"/>
      <c r="GC74" s="1747"/>
      <c r="GD74" s="1747"/>
      <c r="GE74" s="1747"/>
      <c r="GF74" s="1747"/>
      <c r="GG74" s="1747"/>
      <c r="GH74" s="1747"/>
      <c r="GI74" s="1747"/>
      <c r="GJ74" s="1747"/>
      <c r="GK74" s="1747"/>
      <c r="GL74" s="1747"/>
      <c r="GM74" s="1747"/>
      <c r="GN74" s="1747"/>
      <c r="GO74" s="1747"/>
      <c r="GP74" s="1747"/>
      <c r="GQ74" s="1747"/>
      <c r="GR74" s="1747"/>
      <c r="GS74" s="1747"/>
      <c r="GT74" s="1747"/>
      <c r="GU74" s="1747"/>
      <c r="GV74" s="1747"/>
      <c r="GW74" s="1747"/>
      <c r="GX74" s="1747"/>
      <c r="GY74" s="1747"/>
      <c r="GZ74" s="1747"/>
      <c r="HA74" s="1747"/>
      <c r="HB74" s="1747"/>
      <c r="HC74" s="1747"/>
      <c r="HD74" s="1747"/>
      <c r="HE74" s="1747"/>
      <c r="HF74" s="1747"/>
      <c r="HG74" s="1747"/>
      <c r="HH74" s="1747"/>
      <c r="HI74" s="1747"/>
      <c r="HJ74" s="1747"/>
      <c r="HK74" s="1747"/>
      <c r="HL74" s="1747"/>
      <c r="HM74" s="1747"/>
      <c r="HN74" s="1747"/>
      <c r="HO74" s="1747"/>
      <c r="HP74" s="1747"/>
      <c r="HQ74" s="1747"/>
      <c r="HR74" s="1747"/>
      <c r="HS74" s="1747"/>
      <c r="HT74" s="1747"/>
      <c r="HU74" s="1747"/>
      <c r="HV74" s="1747"/>
      <c r="HW74" s="1747"/>
      <c r="HX74" s="1747"/>
    </row>
    <row r="75" spans="8:8" ht="20.0" customHeight="1">
      <c r="A75" s="1790"/>
    </row>
    <row r="76" spans="8:8" ht="13.95"/>
  </sheetData>
  <sheetProtection sheet="1"/>
  <pageMargins left="0.75" right="0.75" top="1.0" bottom="1.0" header="0.511805555555556" footer="0.511805555555556"/>
</worksheet>
</file>

<file path=xl/worksheets/sheet8.xml><?xml version="1.0" encoding="utf-8"?>
<worksheet xmlns:r="http://schemas.openxmlformats.org/officeDocument/2006/relationships" xmlns="http://schemas.openxmlformats.org/spreadsheetml/2006/main">
  <dimension ref="A1:EJ491"/>
  <sheetViews>
    <sheetView workbookViewId="0" zoomScale="70">
      <selection activeCell="A1" sqref="A1"/>
    </sheetView>
  </sheetViews>
  <sheetFormatPr defaultRowHeight="15.15" defaultColWidth="9"/>
  <cols>
    <col min="1" max="3" customWidth="1" width="9.0" style="1791"/>
    <col min="4" max="4" customWidth="1" width="11.332031" style="1791"/>
    <col min="5" max="5" customWidth="1" width="8.777344" style="1791"/>
    <col min="6" max="6" customWidth="1" width="9.6640625" style="1791"/>
    <col min="7" max="7" customWidth="1" width="11.21875" style="1791"/>
    <col min="8" max="8" customWidth="1" width="10.21875" style="1791"/>
    <col min="9" max="9" customWidth="1" width="9.0" style="1791"/>
    <col min="10" max="10" customWidth="1" width="9.109375" style="1791"/>
    <col min="11" max="11" customWidth="1" width="12.332031" style="1791"/>
    <col min="12" max="26" customWidth="1" width="9.0" style="1791"/>
    <col min="27" max="27" customWidth="1" width="9.777344" style="1791"/>
    <col min="28" max="29" customWidth="1" width="9.0" style="1791"/>
    <col min="30" max="30" customWidth="1" width="13.441406" style="1791"/>
    <col min="31" max="31" customWidth="1" width="10.6640625" style="1791"/>
    <col min="32" max="34" customWidth="1" width="17.777344" style="1791"/>
    <col min="35" max="37" customWidth="1" width="14.6640625" style="1791"/>
    <col min="38" max="40" customWidth="1" width="15.886719" style="1791"/>
    <col min="41" max="41" customWidth="1" width="37.664062" style="1791"/>
    <col min="42" max="42" customWidth="1" width="26.109375" style="1791"/>
    <col min="43" max="43" customWidth="1" width="10.109375" style="1791"/>
    <col min="44" max="44" customWidth="1" width="10.886719" style="1791"/>
    <col min="45" max="45" customWidth="1" width="16.0" style="1791"/>
    <col min="46" max="51" customWidth="1" width="9.0" style="1791"/>
    <col min="52" max="52" customWidth="1" width="14.0" style="1791"/>
    <col min="53" max="53" customWidth="1" width="17.777344" style="1791"/>
    <col min="54" max="54" customWidth="1" width="19.664062" style="1791"/>
    <col min="55" max="55" customWidth="1" width="9.0" style="1791"/>
    <col min="56" max="16384" customWidth="0" width="9.0" style="1791"/>
  </cols>
  <sheetData>
    <row r="1" spans="8:8">
      <c r="AJ1" s="1792" t="s">
        <v>452</v>
      </c>
      <c r="AK1" s="1792"/>
      <c r="AL1" s="1792"/>
    </row>
    <row r="2" spans="8:8">
      <c r="B2" s="1793" t="s">
        <v>1393</v>
      </c>
      <c r="C2" s="1793"/>
      <c r="D2" s="1793"/>
      <c r="E2" s="1793"/>
      <c r="S2" s="1794" t="s">
        <v>1321</v>
      </c>
      <c r="T2" s="1795"/>
      <c r="U2" s="1795"/>
      <c r="V2" s="1795"/>
      <c r="W2" s="1795"/>
      <c r="X2" s="1795"/>
      <c r="Y2" s="1795"/>
      <c r="Z2" s="1795"/>
      <c r="AA2" s="1795"/>
      <c r="AB2" s="1795"/>
      <c r="AC2" s="1795"/>
      <c r="AD2" s="1795"/>
      <c r="AE2" s="1795"/>
      <c r="AF2" s="1795"/>
      <c r="AG2" s="1795"/>
      <c r="AH2" s="1795"/>
      <c r="AI2" s="1796"/>
    </row>
    <row r="3" spans="8:8" ht="15.75">
      <c r="A3" s="1797" t="s">
        <v>1394</v>
      </c>
      <c r="B3" s="1798" t="s">
        <v>1395</v>
      </c>
      <c r="C3" s="1799" t="s">
        <v>1396</v>
      </c>
      <c r="D3" s="1800" t="s">
        <v>1397</v>
      </c>
      <c r="E3" s="1801">
        <f>G14-I14</f>
        <v>0.0</v>
      </c>
      <c r="G3" s="1802" t="s">
        <v>1398</v>
      </c>
      <c r="H3" s="1803" t="s">
        <v>1399</v>
      </c>
      <c r="I3" s="1803" t="s">
        <v>1400</v>
      </c>
      <c r="J3" s="1803" t="s">
        <v>1401</v>
      </c>
      <c r="K3" s="1804"/>
      <c r="L3" s="1805"/>
      <c r="N3" s="1794" t="s">
        <v>1402</v>
      </c>
      <c r="O3" s="1795"/>
      <c r="P3" s="1796"/>
      <c r="S3" s="1806" t="s">
        <v>457</v>
      </c>
      <c r="T3" s="1807" t="s">
        <v>1403</v>
      </c>
      <c r="U3" s="1808" t="s">
        <v>459</v>
      </c>
      <c r="V3" s="1809" t="s">
        <v>1404</v>
      </c>
      <c r="W3" s="1809"/>
      <c r="X3" s="1809"/>
      <c r="Y3" s="1809"/>
      <c r="Z3" s="1810"/>
      <c r="AA3" s="1810"/>
      <c r="AB3" s="1810"/>
      <c r="AD3" s="1810"/>
      <c r="AE3" s="1810"/>
      <c r="AF3" s="1810"/>
      <c r="AI3" s="1811"/>
    </row>
    <row r="4" spans="8:8" ht="15.75">
      <c r="A4" s="1812"/>
      <c r="B4" s="1813"/>
      <c r="C4" s="1814"/>
      <c r="D4" s="1815" t="s">
        <v>1405</v>
      </c>
      <c r="E4" s="1816">
        <f>J14-I14</f>
        <v>0.0</v>
      </c>
      <c r="G4" s="1817" t="s">
        <v>1406</v>
      </c>
      <c r="H4" s="1791" t="s">
        <v>1407</v>
      </c>
      <c r="I4" s="1791" t="s">
        <v>1408</v>
      </c>
      <c r="J4" s="1791" t="s">
        <v>1409</v>
      </c>
      <c r="K4" s="1818" t="s">
        <v>1410</v>
      </c>
      <c r="L4" s="1811" t="s">
        <v>1411</v>
      </c>
      <c r="N4" s="1817" t="s">
        <v>1412</v>
      </c>
      <c r="O4" s="1818"/>
      <c r="P4" s="1811"/>
      <c r="R4" s="1819"/>
      <c r="S4" s="1820" t="str">
        <f>"力量×"&amp;U4</f>
        <v>力量×0</v>
      </c>
      <c r="T4" s="1821" t="str">
        <f>职业列表!I15</f>
        <v>×</v>
      </c>
      <c r="U4" s="1822">
        <f>职业列表!J15</f>
        <v>0.0</v>
      </c>
      <c r="V4" s="1810">
        <f>G14*U4</f>
        <v>0.0</v>
      </c>
      <c r="W4" s="1810"/>
      <c r="X4" s="1823" t="str">
        <f t="shared" si="0" ref="X4:X12">IF(U4&gt;0,S4,"")</f>
        <v/>
      </c>
      <c r="Y4" s="1824" t="str">
        <f t="shared" si="1" ref="Y4:Y11">IF(AND(U5&gt;0,U4&gt;0),"+","")</f>
        <v/>
      </c>
      <c r="Z4" s="1810" t="str">
        <f>IF(U5&gt;0,S5,"")</f>
        <v/>
      </c>
      <c r="AA4" s="1825"/>
      <c r="AC4" s="1825"/>
      <c r="AD4" s="1825"/>
      <c r="AE4" s="1825"/>
      <c r="AF4" s="1825"/>
      <c r="AI4" s="1811"/>
      <c r="AK4" s="1826"/>
    </row>
    <row r="5" spans="8:8" ht="15.75">
      <c r="A5" s="1827">
        <f>IF(人物卡!AI12="开",1,IF(人物卡!AI12="关",0))</f>
        <v>0.0</v>
      </c>
      <c r="B5" s="1817">
        <f>IF(人物卡!AN12=0,"0",VLOOKUP(人物卡!AN12,'防具表 载具表'!B2:I101,3,FALSE))</f>
        <v>0.0</v>
      </c>
      <c r="C5" s="1815">
        <f>IF(人物卡!E6&lt;40,0,INT((人物卡!E6/10)-3))</f>
        <v>0.0</v>
      </c>
      <c r="D5" s="1815" t="s">
        <v>1413</v>
      </c>
      <c r="E5" s="1816" t="str">
        <f>IF(E3&gt;0,"1",IF(E3=0,"0",IF(E3&lt;0,"-1")))</f>
        <v>0</v>
      </c>
      <c r="G5" s="1817">
        <f>AVERAGE(人物卡!AA7+人物卡!R16+人物卡!R17+人物卡!R18+人物卡!R19+人物卡!R25+人物卡!R27+人物卡!R46+人物卡!R47+人物卡!R48+人物卡!AN17+人物卡!AN18+人物卡!AN22+人物卡!AN24+人物卡!AN28+人物卡!AN29+人物卡!AN35+人物卡!AN40+人物卡!AN44-122)</f>
        <v>0.0</v>
      </c>
      <c r="H5" s="1791">
        <f>AVERAGE(人物卡!AA5+人物卡!R17+人物卡!R18+人物卡!R23+人物卡!R26+人物卡!R28+人物卡!R33+人物卡!R44+人物卡!R46+人物卡!R47+人物卡!R48+人物卡!R49+人物卡!AN16+人物卡!AN26+人物卡!AN28+人物卡!AN29+人物卡!AN35+人物卡!AN40+人物卡!AN44-111-人物卡!J49)</f>
        <v>0.0</v>
      </c>
      <c r="I5" s="1791">
        <f>AVERAGE((人物卡!U3+人物卡!U7)/2+人物卡!U5+人物卡!AA3+人物卡!R29+人物卡!R34+人物卡!R35+人物卡!R36+人物卡!R38+人物卡!R39+人物卡!R40+人物卡!R44+人物卡!R45+人物卡!AN18+人物卡!AN25+人物卡!AN29+人物卡!AN30+人物卡!AN35+人物卡!AN36+人物卡!AN39+人物卡!AN41+人物卡!AN43+人物卡!AN45+人物卡!AN46-189-人物卡!J29)</f>
        <v>0.0</v>
      </c>
      <c r="J5" s="1818">
        <f>AVERAGE(人物卡!AA3+人物卡!R19+人物卡!R20+人物卡!R21+人物卡!R22+人物卡!R24+人物卡!R28+人物卡!R30+人物卡!R31+人物卡!R45+人物卡!AN19+人物卡!AN20+人物卡!AN21+人物卡!AN23+人物卡!AN25+人物卡!AN27+人物卡!AN30+人物卡!AN34+人物卡!AN36+人物卡!AN37+人物卡!AN38+人物卡!AN39+人物卡!AN40+人物卡!AN41+人物卡!AN42+人物卡!AN43+人物卡!AN45+人物卡!AN46-219)</f>
        <v>0.0</v>
      </c>
      <c r="K5" s="1818">
        <f>AVERAGE(人物卡!R42+人物卡!AN21+人物卡!AN28+人物卡!R30+人物卡!AN27+人物卡!AN30+人物卡!AN23+人物卡!R26+人物卡!R17+人物卡!AN41+人物卡!AN45+人物卡!AN46-76)</f>
        <v>0.0</v>
      </c>
      <c r="L5" s="1811">
        <f>AVERAGE(人物卡!AG5+人物卡!AA7+人物卡!R16+人物卡!R17+人物卡!R25+人物卡!R27+人物卡!R32+人物卡!R43+人物卡!R46+人物卡!R47+人物卡!R48+人物卡!R49-人物卡!J49+人物卡!AN16+人物卡!AN17+人物卡!AN21+人物卡!AN22+人物卡!AN24+人物卡!AN28+人物卡!AN29+人物卡!AN31+人物卡!AN32+人物卡!AN33+人物卡!AN44-76)</f>
        <v>0.0</v>
      </c>
      <c r="M5" s="1819"/>
      <c r="N5" s="1817">
        <f>G14+I14</f>
        <v>0.0</v>
      </c>
      <c r="O5" s="1818"/>
      <c r="P5" s="1811"/>
      <c r="R5" s="1828"/>
      <c r="S5" s="1820" t="str">
        <f>"敏捷×"&amp;U5</f>
        <v>敏捷×0</v>
      </c>
      <c r="T5" s="1821" t="str">
        <f>职业列表!I16</f>
        <v>×</v>
      </c>
      <c r="U5" s="1822">
        <f>职业列表!J16</f>
        <v>0.0</v>
      </c>
      <c r="V5" s="1810">
        <f>J14*U5</f>
        <v>0.0</v>
      </c>
      <c r="W5" s="1810"/>
      <c r="X5" s="1817" t="str">
        <f>IF(U5&gt;0,S5,"")</f>
        <v/>
      </c>
      <c r="Y5" s="1824" t="str">
        <f t="shared" si="1"/>
        <v/>
      </c>
      <c r="Z5" s="1810"/>
      <c r="AA5" s="1810"/>
      <c r="AB5" s="1810"/>
      <c r="AD5" s="1810"/>
      <c r="AE5" s="1810"/>
      <c r="AF5" s="1810"/>
      <c r="AI5" s="1811"/>
      <c r="AK5" s="1826"/>
    </row>
    <row r="6" spans="8:8" ht="45.4">
      <c r="A6" s="1829"/>
      <c r="B6" s="1830" t="s">
        <v>1414</v>
      </c>
      <c r="C6" s="1831" t="s">
        <v>1415</v>
      </c>
      <c r="D6" s="1815" t="s">
        <v>1416</v>
      </c>
      <c r="E6" s="1816" t="str">
        <f>IF(E4&gt;0,"1",IF(E4=0,"0",IF(E4&lt;0,"-1")))</f>
        <v>0</v>
      </c>
      <c r="G6" s="1817"/>
      <c r="J6" s="1818">
        <f>G5+H5+I5+J5+K5+L5</f>
        <v>0.0</v>
      </c>
      <c r="K6" s="1818"/>
      <c r="L6" s="1811"/>
      <c r="M6" s="1819"/>
      <c r="N6" s="1832" t="s">
        <v>1417</v>
      </c>
      <c r="O6" s="1833" t="s">
        <v>1418</v>
      </c>
      <c r="P6" s="1834" t="s">
        <v>1419</v>
      </c>
      <c r="R6" s="1828"/>
      <c r="S6" s="1820" t="str">
        <f>"体质×"&amp;U6</f>
        <v>体质×0</v>
      </c>
      <c r="T6" s="1821" t="str">
        <f>职业列表!I17</f>
        <v>×</v>
      </c>
      <c r="U6" s="1822">
        <f>职业列表!J17</f>
        <v>0.0</v>
      </c>
      <c r="V6" s="1810">
        <f>H14*U6</f>
        <v>0.0</v>
      </c>
      <c r="W6" s="1810"/>
      <c r="X6" s="1835" t="str">
        <f>IF(U6&gt;0,S6,"")</f>
        <v/>
      </c>
      <c r="Y6" s="1824" t="str">
        <f t="shared" si="1"/>
        <v/>
      </c>
      <c r="Z6" s="1810"/>
      <c r="AA6" s="1810"/>
      <c r="AB6" s="1810"/>
      <c r="AC6" s="1810"/>
      <c r="AD6" s="1810"/>
      <c r="AE6" s="1810"/>
      <c r="AF6" s="1810"/>
      <c r="AI6" s="1811"/>
      <c r="AK6" s="1826"/>
    </row>
    <row r="7" spans="8:8" ht="15.75">
      <c r="A7" s="1829"/>
      <c r="B7" s="1830" t="b">
        <f>ISNUMBER(B5)</f>
        <v>1</v>
      </c>
      <c r="C7" s="1836">
        <f>IF(ISBLANK(人物卡!E6),0,IF(人物卡!E6&gt;=0,C5,0))</f>
        <v>0.0</v>
      </c>
      <c r="D7" s="1815" t="s">
        <v>1420</v>
      </c>
      <c r="E7" s="1816">
        <f>E6+E5</f>
        <v>0.0</v>
      </c>
      <c r="G7" s="1817" t="s">
        <v>1406</v>
      </c>
      <c r="H7" s="1791" t="s">
        <v>1407</v>
      </c>
      <c r="I7" s="1791" t="s">
        <v>1408</v>
      </c>
      <c r="J7" s="1791" t="s">
        <v>1409</v>
      </c>
      <c r="K7" s="1818" t="s">
        <v>1410</v>
      </c>
      <c r="L7" s="1811" t="s">
        <v>1411</v>
      </c>
      <c r="M7" s="1819"/>
      <c r="N7" s="1817" t="str">
        <f>IF(N5&lt;=1,"0",IF(N5&lt;=64,"-2",IF(N5&lt;=84,"-1",IF(N5&lt;=124,"0",IF(N5&lt;=164,"1",IF(N5&lt;=204,"2",IF(N5&lt;=284,"3",IF(N5&gt;284,"4","0"))))))))</f>
        <v>0</v>
      </c>
      <c r="O7" s="1818">
        <f>INT((N5-285)/80)</f>
        <v>-4.0</v>
      </c>
      <c r="P7" s="1834" t="str">
        <f>IF(O7&gt;=0,O7+N7,N7)</f>
        <v>0</v>
      </c>
      <c r="R7" s="1828"/>
      <c r="S7" s="1820" t="str">
        <f>"体型×"&amp;U7</f>
        <v>体型×0</v>
      </c>
      <c r="T7" s="1821" t="str">
        <f>职业列表!I18</f>
        <v>×</v>
      </c>
      <c r="U7" s="1822">
        <f>职业列表!J18</f>
        <v>0.0</v>
      </c>
      <c r="V7" s="1810">
        <f>I14*U7</f>
        <v>0.0</v>
      </c>
      <c r="W7" s="1826"/>
      <c r="X7" s="1835" t="str">
        <f t="shared" si="0"/>
        <v/>
      </c>
      <c r="Y7" s="1824" t="str">
        <f t="shared" si="1"/>
        <v/>
      </c>
      <c r="Z7" s="1810"/>
      <c r="AA7" s="1810"/>
      <c r="AB7" s="1810"/>
      <c r="AC7" s="1810"/>
      <c r="AD7" s="1810"/>
      <c r="AE7" s="1810"/>
      <c r="AF7" s="1810"/>
      <c r="AI7" s="1811"/>
      <c r="AK7" s="1826"/>
    </row>
    <row r="8" spans="8:8" ht="30.25">
      <c r="A8" s="1827"/>
      <c r="B8" s="1837" t="s">
        <v>1421</v>
      </c>
      <c r="C8" s="1838">
        <f>IF(B7=FALSE,"0",IF(A5=1,B5,0))</f>
        <v>0.0</v>
      </c>
      <c r="D8" s="1839" t="s">
        <v>1422</v>
      </c>
      <c r="E8" s="1840">
        <f>IF(E7=2,"1",IF(E7=-2,"-1",0))</f>
        <v>0.0</v>
      </c>
      <c r="G8" s="1841" t="e">
        <f ca="1">G5/J6</f>
        <v>#DIV/0!</v>
      </c>
      <c r="H8" s="1842" t="e">
        <f ca="1">H5/J6</f>
        <v>#DIV/0!</v>
      </c>
      <c r="I8" s="1842" t="e">
        <f ca="1">I5/J6</f>
        <v>#DIV/0!</v>
      </c>
      <c r="J8" s="1842" t="e">
        <f ca="1">J5/J6</f>
        <v>#DIV/0!</v>
      </c>
      <c r="K8" s="1842" t="e">
        <f ca="1">K5/J6</f>
        <v>#DIV/0!</v>
      </c>
      <c r="L8" s="1843" t="e">
        <f ca="1">L5/J6</f>
        <v>#DIV/0!</v>
      </c>
      <c r="M8" s="1819"/>
      <c r="N8" s="1832" t="s">
        <v>1423</v>
      </c>
      <c r="O8" s="1833" t="s">
        <v>1424</v>
      </c>
      <c r="P8" s="1834" t="s">
        <v>1425</v>
      </c>
      <c r="R8" s="1828"/>
      <c r="S8" s="1820" t="str">
        <f>"外貌×"&amp;U8</f>
        <v>外貌×0</v>
      </c>
      <c r="T8" s="1821" t="str">
        <f>职业列表!I19</f>
        <v>×</v>
      </c>
      <c r="U8" s="1822">
        <f>职业列表!J19</f>
        <v>0.0</v>
      </c>
      <c r="V8" s="1810">
        <f>K14*U8</f>
        <v>0.0</v>
      </c>
      <c r="W8" s="1810"/>
      <c r="X8" s="1835" t="str">
        <f t="shared" si="0"/>
        <v/>
      </c>
      <c r="Y8" s="1824" t="str">
        <f t="shared" si="1"/>
        <v/>
      </c>
      <c r="Z8" s="1810"/>
      <c r="AA8" s="1810"/>
      <c r="AC8" s="1810"/>
      <c r="AD8" s="1810"/>
      <c r="AE8" s="1810"/>
      <c r="AF8" s="1810"/>
      <c r="AI8" s="1811"/>
      <c r="AK8" s="1826"/>
    </row>
    <row r="9" spans="8:8" ht="15.75">
      <c r="B9" s="1844" t="s">
        <v>1426</v>
      </c>
      <c r="C9" s="1845">
        <f>E8-C8-C7</f>
        <v>0.0</v>
      </c>
      <c r="D9" s="1845"/>
      <c r="E9" s="1846"/>
      <c r="M9" s="1819"/>
      <c r="N9" s="1817" t="str">
        <f>IF(P7="-2","-2",IF(P7="-1","-1",IF(P7="0","0",IF(P7="1","+1D4",IF(P7=2,"+1D6",IF(P7&gt;2,"D6",0))))))</f>
        <v>0</v>
      </c>
      <c r="O9" s="1818" t="str">
        <f>IF(N9="D6",P7-1,"0")</f>
        <v>0</v>
      </c>
      <c r="P9" s="1840" t="str">
        <f>IF(N9="D6",O10,N9)</f>
        <v>0</v>
      </c>
      <c r="R9" s="1828"/>
      <c r="S9" s="1820" t="str">
        <f>"智力×"&amp;U9</f>
        <v>智力×0</v>
      </c>
      <c r="T9" s="1821" t="str">
        <f>职业列表!I20</f>
        <v>×</v>
      </c>
      <c r="U9" s="1822">
        <f>职业列表!J20</f>
        <v>0.0</v>
      </c>
      <c r="V9" s="1810">
        <f>L14*U9</f>
        <v>0.0</v>
      </c>
      <c r="W9" s="1810"/>
      <c r="X9" s="1835" t="str">
        <f t="shared" si="0"/>
        <v/>
      </c>
      <c r="Y9" s="1824" t="str">
        <f t="shared" si="1"/>
        <v/>
      </c>
      <c r="Z9" s="1810"/>
      <c r="AA9" s="1847" t="str">
        <f>X4&amp;Y4&amp;X5&amp;Y5&amp;X6&amp;Y6&amp;X7&amp;Y7&amp;X8&amp;Y8&amp;X9&amp;Y9&amp;X10&amp;Y10&amp;X11&amp;Y11&amp;X12</f>
        <v>教育×4</v>
      </c>
      <c r="AB9" s="1848"/>
      <c r="AC9" s="1849"/>
      <c r="AD9" s="1849"/>
      <c r="AE9" s="1850"/>
      <c r="AF9" s="1810" t="s">
        <v>1427</v>
      </c>
      <c r="AI9" s="1811"/>
      <c r="AK9" s="1826"/>
    </row>
    <row r="10" spans="8:8" ht="15.75">
      <c r="B10" s="1851" t="s">
        <v>1428</v>
      </c>
      <c r="C10" s="1852"/>
      <c r="D10" s="1852"/>
      <c r="E10" s="1853"/>
      <c r="J10" s="1818"/>
      <c r="K10" s="1818"/>
      <c r="L10" s="1818"/>
      <c r="M10" s="1819"/>
      <c r="N10" s="1841"/>
      <c r="O10" s="1842" t="str">
        <f>"+"&amp;O9&amp;"D6"</f>
        <v>+0D6</v>
      </c>
      <c r="P10" s="1843"/>
      <c r="R10" s="1828"/>
      <c r="S10" s="1820" t="str">
        <f>"教育×"&amp;U10</f>
        <v>教育×4</v>
      </c>
      <c r="T10" s="1821" t="str">
        <f>职业列表!I21</f>
        <v>√</v>
      </c>
      <c r="U10" s="1822">
        <f>职业列表!J21</f>
        <v>4.0</v>
      </c>
      <c r="V10" s="1810">
        <f>N14*U10</f>
        <v>0.0</v>
      </c>
      <c r="W10" s="1810"/>
      <c r="X10" s="1835" t="str">
        <f t="shared" si="0"/>
        <v>教育×4</v>
      </c>
      <c r="Y10" s="1824" t="str">
        <f t="shared" si="1"/>
        <v/>
      </c>
      <c r="Z10" s="1810"/>
      <c r="AA10" s="1854">
        <f>IF(AB10=职业列表!H25,1,0)</f>
        <v>0.0</v>
      </c>
      <c r="AB10" s="1855" t="s">
        <v>1429</v>
      </c>
      <c r="AC10" s="1855"/>
      <c r="AD10" s="1855"/>
      <c r="AE10" s="1855"/>
      <c r="AF10" s="1856">
        <f>IF(AA10=1,MAX(V4:V9,V11:V12)+V10,0)</f>
        <v>0.0</v>
      </c>
      <c r="AI10" s="1811"/>
      <c r="AK10" s="1826"/>
    </row>
    <row r="11" spans="8:8" ht="15.75">
      <c r="B11" s="1817" t="s">
        <v>1430</v>
      </c>
      <c r="C11" s="1857">
        <f>IF(人物卡!H35="鞭子","5",IF(人物卡!H35="电锯","10",IF(人物卡!H35="斧","15",IF(人物卡!H35="剑","20",IF(人物卡!H35="绞具","15",IF(人物卡!H35="链枷","10",IF(人物卡!H35="矛","20",IF(人物卡!H35=人物卡!AU28,人物卡!BA28,0))))))))</f>
        <v>0.0</v>
      </c>
      <c r="D11" s="1791" t="s">
        <v>1431</v>
      </c>
      <c r="E11" s="1858">
        <f>IF(人物卡!H39="步枪/霰弹枪","25",IF(人物卡!H39="冲锋枪","15",IF(人物卡!H39="弓术","15",IF(人物卡!H39="喷射器","10",IF(人物卡!H39="机枪","10",IF(人物卡!H39="重武器","10",IF(人物卡!H39=人物卡!AU30,人物卡!BA30,0)))))))</f>
        <v>0.0</v>
      </c>
      <c r="R11" s="1828"/>
      <c r="S11" s="1820" t="str">
        <f>"意志×"&amp;U11</f>
        <v>意志×0</v>
      </c>
      <c r="T11" s="1821" t="str">
        <f>职业列表!I22</f>
        <v>×</v>
      </c>
      <c r="U11" s="1822">
        <f>职业列表!J22</f>
        <v>0.0</v>
      </c>
      <c r="V11" s="1810">
        <f>M14*U11</f>
        <v>0.0</v>
      </c>
      <c r="W11" s="1810"/>
      <c r="X11" s="1835" t="str">
        <f t="shared" si="0"/>
        <v/>
      </c>
      <c r="Y11" s="1824" t="str">
        <f t="shared" si="1"/>
        <v/>
      </c>
      <c r="Z11" s="1826"/>
      <c r="AA11" s="1835">
        <f>IF(AB11=职业列表!H25,1,0)</f>
        <v>0.0</v>
      </c>
      <c r="AB11" s="1810" t="s">
        <v>1432</v>
      </c>
      <c r="AC11" s="1810"/>
      <c r="AD11" s="1826"/>
      <c r="AE11" s="1810"/>
      <c r="AF11" s="1859">
        <f>IF(AA11=1,V10+SUM(V4:V9,V11:V12),0)</f>
        <v>0.0</v>
      </c>
      <c r="AI11" s="1811"/>
      <c r="AK11" s="1826"/>
    </row>
    <row r="12" spans="8:8" ht="15.75">
      <c r="B12" s="1817" t="s">
        <v>1433</v>
      </c>
      <c r="C12" s="1860">
        <f>IF(人物卡!H36="鞭子","5",IF(人物卡!H36="电锯","10",IF(人物卡!H36="斧","15",IF(人物卡!H36="剑","20",IF(人物卡!H36="绞具","15",IF(人物卡!H36="链枷","10",IF(人物卡!H36="矛","20",IF(人物卡!H36=人物卡!AU28,人物卡!BA28,0))))))))</f>
        <v>0.0</v>
      </c>
      <c r="D12" s="1791" t="s">
        <v>1434</v>
      </c>
      <c r="E12" s="1861">
        <f>IF(人物卡!H40="步枪/霰弹枪","25",IF(人物卡!H40="冲锋枪","15",IF(人物卡!H40="弓术","15",IF(人物卡!H40="喷射器","10",IF(人物卡!H40="机枪","10",IF(人物卡!H40="重武器","10",IF(人物卡!H40=人物卡!AU30,人物卡!BA30,0)))))))</f>
        <v>0.0</v>
      </c>
      <c r="G12" s="1802" t="s">
        <v>1435</v>
      </c>
      <c r="H12" s="1862" t="s">
        <v>1436</v>
      </c>
      <c r="I12" s="1803" t="s">
        <v>1437</v>
      </c>
      <c r="J12" s="1804"/>
      <c r="K12" s="1804"/>
      <c r="L12" s="1804"/>
      <c r="M12" s="1804"/>
      <c r="N12" s="1804"/>
      <c r="O12" s="1805"/>
      <c r="P12" s="1818"/>
      <c r="Q12" s="1818"/>
      <c r="R12" s="1828"/>
      <c r="S12" s="1863" t="str">
        <f>"幸运×"&amp;U12</f>
        <v>幸运×0</v>
      </c>
      <c r="T12" s="1864" t="str">
        <f>职业列表!I23</f>
        <v>×</v>
      </c>
      <c r="U12" s="1865">
        <f>职业列表!J23</f>
        <v>0.0</v>
      </c>
      <c r="V12" s="1866">
        <f>O14*U12</f>
        <v>0.0</v>
      </c>
      <c r="W12" s="1842"/>
      <c r="X12" s="1867" t="str">
        <f t="shared" si="0"/>
        <v/>
      </c>
      <c r="Y12" s="1843"/>
      <c r="Z12" s="1842"/>
      <c r="AA12" s="1841">
        <f>IF(AB12=职业列表!H25,1,0)</f>
        <v>1.0</v>
      </c>
      <c r="AB12" s="1866" t="s">
        <v>514</v>
      </c>
      <c r="AC12" s="1842"/>
      <c r="AD12" s="1842"/>
      <c r="AE12" s="1842"/>
      <c r="AF12" s="1868">
        <f>IF(AA12=1,SUM(V4:V12),0)</f>
        <v>0.0</v>
      </c>
      <c r="AG12" s="1842"/>
      <c r="AH12" s="1842"/>
      <c r="AI12" s="1843"/>
      <c r="AK12" s="1825"/>
    </row>
    <row r="13" spans="8:8" ht="31.05" customHeight="1">
      <c r="B13" s="1841" t="s">
        <v>1438</v>
      </c>
      <c r="C13" s="1869">
        <f>IF(人物卡!H37="鞭子","5",IF(人物卡!H37="电锯","10",IF(人物卡!H37="斧","15",IF(人物卡!H37="剑","20",IF(人物卡!H37="绞具","15",IF(人物卡!H37="链枷","10",IF(人物卡!H37="矛","20",IF(人物卡!H37=人物卡!AU28,人物卡!BA28,0))))))))</f>
        <v>0.0</v>
      </c>
      <c r="D13" s="1842" t="s">
        <v>1439</v>
      </c>
      <c r="E13" s="1870">
        <f>IF(人物卡!H41="步枪/霰弹枪","25",IF(人物卡!H41="冲锋枪","15",IF(人物卡!H41="弓术","15",IF(人物卡!H41="喷射器","10",IF(人物卡!H41="机枪","10",IF(人物卡!H41="重武器","10",IF(人物卡!H41=人物卡!AU30,人物卡!BA30,0)))))))</f>
        <v>0.0</v>
      </c>
      <c r="G13" s="1871" t="s">
        <v>6</v>
      </c>
      <c r="H13" s="1872" t="s">
        <v>14</v>
      </c>
      <c r="I13" s="1873" t="s">
        <v>21</v>
      </c>
      <c r="J13" s="1872" t="s">
        <v>7</v>
      </c>
      <c r="K13" s="1873" t="s">
        <v>15</v>
      </c>
      <c r="L13" s="1872" t="s">
        <v>22</v>
      </c>
      <c r="M13" s="1873" t="s">
        <v>8</v>
      </c>
      <c r="N13" s="1872" t="s">
        <v>1440</v>
      </c>
      <c r="O13" s="1874" t="s">
        <v>23</v>
      </c>
      <c r="P13" s="1818"/>
      <c r="Q13" s="1818"/>
      <c r="R13" s="1818"/>
    </row>
    <row r="14" spans="8:8" ht="28.0" customHeight="1">
      <c r="B14" s="1791" t="s">
        <v>1441</v>
      </c>
      <c r="G14" s="1875">
        <f>STR</f>
        <v>0.0</v>
      </c>
      <c r="H14" s="1876">
        <f>CON</f>
        <v>0.0</v>
      </c>
      <c r="I14" s="1877">
        <f>SIZ</f>
        <v>0.0</v>
      </c>
      <c r="J14" s="1876">
        <f>DEX</f>
        <v>0.0</v>
      </c>
      <c r="K14" s="1877">
        <f>APP</f>
        <v>0.0</v>
      </c>
      <c r="L14" s="1876">
        <f>INT</f>
        <v>0.0</v>
      </c>
      <c r="M14" s="1877">
        <f>POW</f>
        <v>0.0</v>
      </c>
      <c r="N14" s="1876">
        <f>EDU</f>
        <v>0.0</v>
      </c>
      <c r="O14" s="1878">
        <f>Luck</f>
        <v>0.0</v>
      </c>
      <c r="U14" s="1879" t="s">
        <v>1442</v>
      </c>
      <c r="V14" s="1880"/>
      <c r="W14" s="1881"/>
      <c r="Z14" s="1793" t="s">
        <v>1408</v>
      </c>
      <c r="AA14" s="1882" t="s">
        <v>1443</v>
      </c>
      <c r="AB14" s="1883" t="s">
        <v>142</v>
      </c>
      <c r="AC14" s="1883" t="s">
        <v>107</v>
      </c>
      <c r="AD14" s="1884" t="s">
        <v>149</v>
      </c>
      <c r="AE14" s="1884" t="s">
        <v>134</v>
      </c>
      <c r="AF14" s="1884" t="s">
        <v>1430</v>
      </c>
      <c r="AG14" s="1884"/>
      <c r="AH14" s="1884"/>
      <c r="AI14" s="1884" t="s">
        <v>1433</v>
      </c>
      <c r="AJ14" s="1884"/>
      <c r="AK14" s="1884"/>
      <c r="AL14" s="1884" t="s">
        <v>1438</v>
      </c>
      <c r="AM14" s="1884"/>
      <c r="AN14" s="1884"/>
      <c r="AO14" s="1884" t="s">
        <v>1431</v>
      </c>
      <c r="AP14" s="1884" t="s">
        <v>1434</v>
      </c>
      <c r="AQ14" s="1884" t="s">
        <v>1439</v>
      </c>
      <c r="AR14" s="1883" t="s">
        <v>116</v>
      </c>
      <c r="AS14" s="1883" t="s">
        <v>130</v>
      </c>
      <c r="AT14" s="1883" t="s">
        <v>1444</v>
      </c>
      <c r="AU14" s="1883" t="s">
        <v>1445</v>
      </c>
      <c r="AV14" s="1885" t="s">
        <v>1446</v>
      </c>
      <c r="AZ14" s="1886" t="s">
        <v>1437</v>
      </c>
      <c r="BA14" s="1887" t="str">
        <f>IF(AX27="仅显示1890_2023","",VLOOKUP(AX27,AZ25:BB29,3,FALSE))</f>
        <v>广播电台
茶包</v>
      </c>
    </row>
    <row r="15" spans="8:8" ht="31.05" customHeight="1">
      <c r="B15" s="1888" t="s">
        <v>89</v>
      </c>
      <c r="C15" s="1889"/>
      <c r="O15" s="1890" t="s">
        <v>1447</v>
      </c>
      <c r="P15" s="1891"/>
      <c r="Q15" s="1892"/>
      <c r="U15" s="1893">
        <v>1.0</v>
      </c>
      <c r="V15" s="1894">
        <f>人物卡!H39</f>
        <v>0.0</v>
      </c>
      <c r="W15" s="1895">
        <f t="shared" si="2" ref="W15:W17">IF(V15="步枪/霰弹枪",1,0)</f>
        <v>0.0</v>
      </c>
      <c r="Z15" s="1793"/>
      <c r="AA15" s="1896" t="str">
        <f>IF(人物卡!M54=AA14,"")</f>
        <v/>
      </c>
      <c r="AB15" s="1897" t="b">
        <f>IF(人物卡!M54=人物卡!AB43,人物卡!AN43)</f>
        <v>0</v>
      </c>
      <c r="AC15" s="1897" t="b">
        <f>IF(人物卡!M54=人物卡!F31,人物卡!R31)</f>
        <v>0</v>
      </c>
      <c r="AD15" s="1898" t="b">
        <f>IF(人物卡!M54=人物卡!AB46,人物卡!AN46)</f>
        <v>0</v>
      </c>
      <c r="AE15" s="1898" t="b">
        <f>IF(人物卡!M54=人物卡!AB39,人物卡!AN39)</f>
        <v>0</v>
      </c>
      <c r="AF15" s="1898" t="b">
        <f>IF(人物卡!M54=人物卡!H35,人物卡!R35)</f>
        <v>0</v>
      </c>
      <c r="AG15" s="1898"/>
      <c r="AH15" s="1898"/>
      <c r="AI15" s="1898" t="b">
        <f>IF(人物卡!M54=人物卡!H36,人物卡!R36)</f>
        <v>0</v>
      </c>
      <c r="AJ15" s="1898"/>
      <c r="AK15" s="1898"/>
      <c r="AL15" s="1898" t="b">
        <f>IF(人物卡!M54=人物卡!H37,人物卡!R37)</f>
        <v>0</v>
      </c>
      <c r="AM15" s="1898"/>
      <c r="AN15" s="1898"/>
      <c r="AO15" s="1897" t="b">
        <f>IF(人物卡!M54=人物卡!H39,人物卡!R39)</f>
        <v>0</v>
      </c>
      <c r="AP15" s="1897" t="b">
        <f>IF(人物卡!M54=人物卡!H40,人物卡!R40)</f>
        <v>0</v>
      </c>
      <c r="AQ15" s="1897" t="b">
        <f>IF(人物卡!M54=人物卡!H41,人物卡!R41)</f>
        <v>0</v>
      </c>
      <c r="AR15" s="1897" t="b">
        <f>IF(人物卡!M54=人物卡!H34,人物卡!R34)</f>
        <v>0</v>
      </c>
      <c r="AS15" s="1897" t="b">
        <f>IF(人物卡!M54=人物卡!H38,人物卡!R38)</f>
        <v>0</v>
      </c>
      <c r="AT15" s="1899" t="str">
        <f>IF(AU15=0,IF(人物卡!M54=附表!U220,附表!V220,IF(人物卡!M54=附表!U221,附表!V221,IF(人物卡!M54=附表!U219,附表!V219,IF(人物卡!M54=附表!U224,附表!V224,IF(人物卡!M54=附表!U225,附表!V225,IF(人物卡!M54=附表!U223,附表!V223,IF(人物卡!M54=附表!U222,附表!V222,IF(人物卡!M54=附表!U226,技能注释!#REF!,IF(人物卡!M54=附表!Q220,附表!R220,IF(人物卡!M54=附表!Q221,附表!R221,IF(人物卡!M54=附表!Q222,附表!R222,IF(人物卡!M54=附表!Q223,附表!R223,IF(人物卡!M54=附表!Q224,附表!R224,IF(人物卡!M54=附表!Q219,附表!R219,IF(人物卡!M54=附表!Q225,附表!R225,""))))))))))))))))</f>
        <v/>
      </c>
      <c r="AU15" s="1899">
        <f>MAX(AA15:AS15)</f>
        <v>0.0</v>
      </c>
      <c r="AV15" s="1900" t="str">
        <f t="shared" si="3" ref="AV15:AV17">IF(AU15=0,AT15,AU15)</f>
        <v/>
      </c>
      <c r="BA15" s="1887"/>
    </row>
    <row r="16" spans="8:8" ht="34.05" customHeight="1">
      <c r="B16" s="1827"/>
      <c r="C16" s="1819"/>
      <c r="H16" s="1901"/>
      <c r="J16" s="1819"/>
      <c r="K16" s="1889"/>
      <c r="L16" s="1902" t="s">
        <v>1448</v>
      </c>
      <c r="M16" s="1903"/>
      <c r="O16" s="1893" t="s">
        <v>1449</v>
      </c>
      <c r="P16" s="1804"/>
      <c r="Q16" s="1805"/>
      <c r="U16" s="1817">
        <v>2.0</v>
      </c>
      <c r="V16" s="1889">
        <f>人物卡!H40</f>
        <v>0.0</v>
      </c>
      <c r="W16" s="1904">
        <f t="shared" si="2"/>
        <v>0.0</v>
      </c>
      <c r="Z16" s="1793"/>
      <c r="AA16" s="1896" t="b">
        <f>IF(人物卡!M55=AA14,"")</f>
        <v>0</v>
      </c>
      <c r="AB16" s="1897" t="b">
        <f>IF(人物卡!M55=AB14,人物卡!AN43)</f>
        <v>0</v>
      </c>
      <c r="AC16" s="1897" t="b">
        <f>IF(人物卡!M55=AC14,人物卡!R31)</f>
        <v>0</v>
      </c>
      <c r="AD16" s="1898" t="b">
        <f>IF(人物卡!M55=AD14,人物卡!AN46)</f>
        <v>0</v>
      </c>
      <c r="AE16" s="1898" t="b">
        <f>IF(人物卡!M55=AE14,人物卡!AN39)</f>
        <v>0</v>
      </c>
      <c r="AF16" s="1898" t="b">
        <f>IF(ISBLANK(人物卡!H35),FALSE,IF(人物卡!M55=人物卡!H35,人物卡!R35))</f>
        <v>0</v>
      </c>
      <c r="AG16" s="1898"/>
      <c r="AH16" s="1898"/>
      <c r="AI16" s="1898" t="b">
        <f>IF(ISBLANK(人物卡!H36),FALSE,IF(人物卡!M55=人物卡!H36,人物卡!R36))</f>
        <v>0</v>
      </c>
      <c r="AJ16" s="1898"/>
      <c r="AK16" s="1898"/>
      <c r="AL16" s="1898" t="b">
        <f>IF(ISBLANK(人物卡!H37),FALSE,IF(人物卡!M55=人物卡!H37,人物卡!R37))</f>
        <v>0</v>
      </c>
      <c r="AM16" s="1898"/>
      <c r="AN16" s="1898"/>
      <c r="AO16" s="1897" t="b">
        <f>IF(ISBLANK(人物卡!H39),FALSE,IF(人物卡!M55=人物卡!H39,人物卡!R39))</f>
        <v>0</v>
      </c>
      <c r="AP16" s="1897" t="b">
        <f>IF(ISBLANK(人物卡!H40),FALSE,IF(人物卡!M55=人物卡!H40,人物卡!R40))</f>
        <v>0</v>
      </c>
      <c r="AQ16" s="1897" t="b">
        <f>IF(ISBLANK(人物卡!H41),FALSE,IF(人物卡!M55=人物卡!H41,人物卡!R41))</f>
        <v>0</v>
      </c>
      <c r="AR16" s="1897" t="b">
        <f>IF(人物卡!M55=AR14,人物卡!R34)</f>
        <v>0</v>
      </c>
      <c r="AS16" s="1897" t="b">
        <f>IF(人物卡!M55=AS14,人物卡!R38)</f>
        <v>0</v>
      </c>
      <c r="AT16" s="1905" t="str">
        <f>IF(AU16=0,IF(人物卡!M55=附表!U220,附表!V220,IF(人物卡!M55=附表!U221,附表!V221,IF(人物卡!M55=附表!U219,附表!V219,IF(人物卡!M55=附表!U224,附表!V224,IF(人物卡!M55=附表!U225,附表!V225,IF(人物卡!M55=附表!U223,附表!V223,IF(人物卡!M55=附表!U222,附表!V222,IF(人物卡!M55=附表!U226,技能注释!#REF!,IF(人物卡!M55=附表!Q220,附表!R220,IF(人物卡!M55=附表!Q221,附表!R221,IF(人物卡!M55=附表!Q222,附表!R222,IF(人物卡!M55=附表!Q223,附表!R223,IF(人物卡!M55=附表!Q224,附表!R224,IF(人物卡!M55=附表!Q219,附表!R219,IF(人物卡!M55=附表!Q225,附表!R225,""))))))))))))))))</f>
        <v/>
      </c>
      <c r="AU16" s="1905">
        <f>MAX(AA16:AS16)</f>
        <v>0.0</v>
      </c>
      <c r="AV16" s="1906" t="str">
        <f t="shared" si="3"/>
        <v/>
      </c>
      <c r="BA16" s="1887"/>
    </row>
    <row r="17" spans="8:8" ht="17.25" customHeight="1">
      <c r="L17" s="1907" t="s">
        <v>362</v>
      </c>
      <c r="M17" s="1908" t="s">
        <v>1445</v>
      </c>
      <c r="O17" s="1817" t="s">
        <v>1450</v>
      </c>
      <c r="P17" s="1818"/>
      <c r="Q17" s="1818"/>
      <c r="R17" s="1893" t="s">
        <v>36</v>
      </c>
      <c r="S17" s="1805" t="s">
        <v>37</v>
      </c>
      <c r="U17" s="1817">
        <v>3.0</v>
      </c>
      <c r="V17" s="1889">
        <f>人物卡!H41</f>
        <v>0.0</v>
      </c>
      <c r="W17" s="1904">
        <f t="shared" si="2"/>
        <v>0.0</v>
      </c>
      <c r="Z17" s="1793"/>
      <c r="AA17" s="1896" t="b">
        <f>IF(人物卡!M56=AA14,"")</f>
        <v>0</v>
      </c>
      <c r="AB17" s="1897" t="b">
        <f>IF(人物卡!M56=AB14,人物卡!AN43)</f>
        <v>0</v>
      </c>
      <c r="AC17" s="1897" t="b">
        <f>IF(人物卡!M56=AC14,人物卡!R31)</f>
        <v>0</v>
      </c>
      <c r="AD17" s="1898" t="b">
        <f>IF(人物卡!M56=AD14,人物卡!AN46)</f>
        <v>0</v>
      </c>
      <c r="AE17" s="1898" t="b">
        <f>IF(人物卡!M56=AE14,人物卡!AN39)</f>
        <v>0</v>
      </c>
      <c r="AF17" s="1898" t="b">
        <f>IF(ISBLANK(人物卡!H35),FALSE,IF(人物卡!M56=人物卡!H35,人物卡!R35))</f>
        <v>0</v>
      </c>
      <c r="AG17" s="1898"/>
      <c r="AH17" s="1898"/>
      <c r="AI17" s="1898" t="b">
        <f>IF(ISBLANK(人物卡!H36),FALSE,IF(人物卡!M56=人物卡!H36,人物卡!R36))</f>
        <v>0</v>
      </c>
      <c r="AJ17" s="1898"/>
      <c r="AK17" s="1898"/>
      <c r="AL17" s="1898" t="b">
        <f>IF(ISBLANK(人物卡!H37),FALSE,IF(人物卡!M56=人物卡!H37,人物卡!R37))</f>
        <v>0</v>
      </c>
      <c r="AM17" s="1898"/>
      <c r="AN17" s="1898"/>
      <c r="AO17" s="1897" t="b">
        <f>IF(ISBLANK(人物卡!H39),FALSE,IF(人物卡!M56=人物卡!H39,人物卡!R39))</f>
        <v>0</v>
      </c>
      <c r="AP17" s="1897" t="b">
        <f>IF(ISBLANK(人物卡!H40),FALSE,IF(人物卡!M56=人物卡!H40,人物卡!R40))</f>
        <v>0</v>
      </c>
      <c r="AQ17" s="1897" t="b">
        <f>IF(ISBLANK(人物卡!H41),FALSE,IF(人物卡!M56=人物卡!H41,人物卡!R41))</f>
        <v>0</v>
      </c>
      <c r="AR17" s="1897" t="b">
        <f>IF(人物卡!M56=AR14,人物卡!R34)</f>
        <v>0</v>
      </c>
      <c r="AS17" s="1897" t="b">
        <f>IF(人物卡!M56=AS14,人物卡!R38)</f>
        <v>0</v>
      </c>
      <c r="AT17" s="1905" t="str">
        <f>IF(AU17=0,IF(人物卡!M56=附表!U220,附表!V220,IF(人物卡!M56=附表!U221,附表!V221,IF(人物卡!M56=附表!U219,附表!V219,IF(人物卡!M56=附表!U224,附表!V224,IF(人物卡!M56=附表!U225,附表!V225,IF(人物卡!M56=附表!U223,附表!V223,IF(人物卡!M56=附表!U222,附表!V222,IF(人物卡!M56=附表!U226,技能注释!#REF!,IF(人物卡!M56=附表!Q220,附表!R220,IF(人物卡!M56=附表!Q221,附表!R221,IF(人物卡!M56=附表!Q222,附表!R222,IF(人物卡!M56=附表!Q223,附表!R223,IF(人物卡!M56=附表!Q224,附表!R224,IF(人物卡!M56=附表!Q219,附表!R219,IF(人物卡!M56=附表!Q225,附表!R225,""))))))))))))))))</f>
        <v/>
      </c>
      <c r="AU17" s="1905">
        <f>MAX(AA17:AS17)</f>
        <v>0.0</v>
      </c>
      <c r="AV17" s="1906" t="str">
        <f t="shared" si="3"/>
        <v/>
      </c>
      <c r="BA17" s="1887"/>
    </row>
    <row r="18" spans="8:8" ht="17.25" customHeight="1">
      <c r="B18" s="1794" t="s">
        <v>377</v>
      </c>
      <c r="C18" s="1795"/>
      <c r="D18" s="1795"/>
      <c r="E18" s="1795"/>
      <c r="F18" s="1795"/>
      <c r="G18" s="1795"/>
      <c r="H18" s="1804"/>
      <c r="I18" s="1804"/>
      <c r="J18" s="1804"/>
      <c r="K18" s="1805"/>
      <c r="L18" s="1909">
        <f>M14</f>
        <v>0.0</v>
      </c>
      <c r="M18" s="1910">
        <f>人物卡!P10</f>
        <v>99.0</v>
      </c>
      <c r="O18" s="1817" t="s">
        <v>1451</v>
      </c>
      <c r="P18" s="1818"/>
      <c r="Q18" s="1818"/>
      <c r="R18" s="1817" t="s">
        <v>253</v>
      </c>
      <c r="S18" s="1811" t="s">
        <v>278</v>
      </c>
      <c r="U18" s="1911" t="s">
        <v>1452</v>
      </c>
      <c r="V18" s="1842" t="str">
        <f>人物卡!AB48</f>
        <v>自定义技能</v>
      </c>
      <c r="W18" s="1843">
        <f>IF(V18="自定义技能",1,0)</f>
        <v>1.0</v>
      </c>
      <c r="Z18" s="1793"/>
      <c r="AA18" s="1844"/>
      <c r="AB18" s="1844"/>
      <c r="AC18" s="1844"/>
      <c r="AD18" s="1844"/>
      <c r="AE18" s="1844"/>
      <c r="AF18" s="1844"/>
      <c r="AG18" s="1844"/>
      <c r="AH18" s="1844"/>
      <c r="AI18" s="1844"/>
      <c r="AJ18" s="1844"/>
      <c r="AK18" s="1844"/>
      <c r="AL18" s="1912"/>
      <c r="AM18" s="1913"/>
      <c r="AN18" s="1913"/>
      <c r="AO18" s="1913"/>
      <c r="AP18" s="1913"/>
      <c r="AQ18" s="1913"/>
      <c r="AR18" s="1913"/>
      <c r="AS18" s="1913"/>
      <c r="AT18" s="1913"/>
      <c r="AU18" s="1905"/>
      <c r="AV18" s="1906"/>
      <c r="BA18" s="1887"/>
    </row>
    <row r="19" spans="8:8" ht="17.25" customHeight="1">
      <c r="B19" s="1817" t="s">
        <v>1453</v>
      </c>
      <c r="C19" s="1791" t="s">
        <v>346</v>
      </c>
      <c r="D19" s="1791" t="s">
        <v>301</v>
      </c>
      <c r="E19" s="1914" t="s">
        <v>104</v>
      </c>
      <c r="F19" s="1914"/>
      <c r="G19" s="1914"/>
      <c r="H19" s="1915"/>
      <c r="I19" s="1916"/>
      <c r="J19" s="1915"/>
      <c r="K19" s="1811"/>
      <c r="L19" s="1917" t="s">
        <v>1427</v>
      </c>
      <c r="M19" s="1918"/>
      <c r="O19" s="1817" t="s">
        <v>1454</v>
      </c>
      <c r="P19" s="1818"/>
      <c r="Q19" s="1818"/>
      <c r="R19" s="1817" t="s">
        <v>251</v>
      </c>
      <c r="S19" s="1811" t="s">
        <v>280</v>
      </c>
      <c r="AZ19" s="1919"/>
      <c r="BA19" s="1887"/>
    </row>
    <row r="20" spans="8:8" ht="17.25" customHeight="1">
      <c r="B20" s="1817" t="s">
        <v>379</v>
      </c>
      <c r="C20" s="1791" t="s">
        <v>1455</v>
      </c>
      <c r="D20" s="1791">
        <v>70.0</v>
      </c>
      <c r="E20" s="1791" t="s">
        <v>381</v>
      </c>
      <c r="K20" s="1811"/>
      <c r="L20" s="1920">
        <f>IF(L18&gt;M18,M18,L18)</f>
        <v>0.0</v>
      </c>
      <c r="M20" s="1921"/>
      <c r="O20" s="1817" t="s">
        <v>1456</v>
      </c>
      <c r="P20" s="1818"/>
      <c r="Q20" s="1818"/>
      <c r="R20" s="1817" t="s">
        <v>1457</v>
      </c>
      <c r="S20" s="1811" t="s">
        <v>282</v>
      </c>
      <c r="AA20" s="1914" t="s">
        <v>1458</v>
      </c>
      <c r="AB20" s="1914"/>
      <c r="AC20" s="1914"/>
      <c r="AD20" s="1914"/>
      <c r="AI20" s="1818"/>
      <c r="AR20" s="1886" t="s">
        <v>1459</v>
      </c>
      <c r="BA20" s="1887"/>
    </row>
    <row r="21" spans="8:8" ht="17.25" customHeight="1">
      <c r="B21" s="1817" t="s">
        <v>382</v>
      </c>
      <c r="C21" s="1791" t="s">
        <v>1460</v>
      </c>
      <c r="D21" s="1791">
        <v>60.0</v>
      </c>
      <c r="E21" s="1791" t="s">
        <v>1461</v>
      </c>
      <c r="H21" s="1915"/>
      <c r="I21" s="1916"/>
      <c r="J21" s="1915"/>
      <c r="K21" s="1811"/>
      <c r="L21" s="1922"/>
      <c r="M21" s="1923"/>
      <c r="O21" s="1817" t="s">
        <v>1462</v>
      </c>
      <c r="P21" s="1818"/>
      <c r="Q21" s="1818"/>
      <c r="R21" s="1841" t="str">
        <f>IF(ISBLANK(人物卡!BK26),"",人物卡!BK26)</f>
        <v/>
      </c>
      <c r="S21" s="1843" t="str">
        <f>IF(ISBLANK(人物卡!BO26),"",人物卡!BO26)</f>
        <v/>
      </c>
      <c r="AA21" s="1893">
        <f>IF(ISBLANK(人物卡!BA18),0,1)</f>
        <v>0.0</v>
      </c>
      <c r="AB21" s="1805">
        <f>IF(ISBLANK(人物卡!BJ18),0,1)</f>
        <v>0.0</v>
      </c>
      <c r="AC21" s="1804" t="s">
        <v>5847</v>
      </c>
      <c r="AD21" s="1924" t="s">
        <v>5846</v>
      </c>
      <c r="AE21" s="1925" t="s">
        <v>1427</v>
      </c>
      <c r="AF21" s="1926"/>
      <c r="AG21" s="1926"/>
      <c r="AH21" s="1926"/>
      <c r="AI21" s="1926"/>
      <c r="AJ21" s="1926"/>
      <c r="AK21" s="1926"/>
      <c r="AL21" s="1926"/>
      <c r="AM21" s="1926"/>
      <c r="AN21" s="1926"/>
      <c r="AO21" s="1926"/>
      <c r="AP21" s="1926"/>
      <c r="AQ21" s="1926"/>
      <c r="AR21" s="1886">
        <f>人物卡!BL129</f>
        <v>1920.0</v>
      </c>
      <c r="AS21" s="1791" t="str">
        <f>IF(AR21="仅显示1890_2023","",VLOOKUP(AR21,AE33:AS166,15,FALSE))</f>
        <v>广播电台
茶包</v>
      </c>
      <c r="BA21" s="1887"/>
    </row>
    <row r="22" spans="8:8" ht="17.25" customHeight="1">
      <c r="B22" s="1817" t="s">
        <v>385</v>
      </c>
      <c r="C22" s="1791" t="s">
        <v>1460</v>
      </c>
      <c r="D22" s="1791">
        <v>60.0</v>
      </c>
      <c r="E22" s="1791" t="s">
        <v>386</v>
      </c>
      <c r="K22" s="1811"/>
      <c r="M22" s="1927"/>
      <c r="O22" s="1817" t="s">
        <v>1463</v>
      </c>
      <c r="P22" s="1818"/>
      <c r="Q22" s="1811"/>
      <c r="AA22" s="1817">
        <f>IF(ISBLANK(人物卡!BA19),0,1)</f>
        <v>0.0</v>
      </c>
      <c r="AB22" s="1811">
        <f>IF(ISBLANK(人物卡!BJ19),0,1)</f>
        <v>0.0</v>
      </c>
      <c r="AC22" s="1791">
        <f>AA21+AA23+AA22+AA25+AA24+AB21+AB22+AB23+AB24+AB25</f>
        <v>0.0</v>
      </c>
      <c r="AD22" s="1928">
        <f>IF(人物卡!AU22="提示当前职业",0,1)</f>
        <v>0.0</v>
      </c>
      <c r="AE22" s="1929" t="str">
        <f>IF(AD32=1,"仅显示1890_2023",AE28)</f>
        <v>仅显示1890_2023</v>
      </c>
      <c r="AF22" s="1887" t="str">
        <f>IF(AE22="仅显示1890_2023","",VLOOKUP(AE22,AE33:AS166,2,FALSE))</f>
        <v/>
      </c>
      <c r="AG22" s="1887" t="e">
        <f ca="1">IF(AE22="仅显示1890～2023","",VLOOKUP(AE22,AE33:AS166,3,FALSE))</f>
        <v>#N/A</v>
      </c>
      <c r="AH22" s="1887" t="e">
        <f ca="1">IF(AE22="仅显示1890～2023","",VLOOKUP(AE22,AE33:AS166,4,FALSE))</f>
        <v>#N/A</v>
      </c>
      <c r="AI22" s="1887" t="e">
        <f ca="1">IF(AE22="仅显示1890～2023","",VLOOKUP(AE22,AE33:AS166,5,FALSE))</f>
        <v>#N/A</v>
      </c>
      <c r="AJ22" s="1930" t="e">
        <f ca="1">IF(AE22="仅显示1890～2023","",VLOOKUP(AE22,AE33:AS166,6,FALSE))</f>
        <v>#N/A</v>
      </c>
      <c r="AK22" s="1930" t="e">
        <f ca="1">IF(AE22="仅显示1890～2023","",VLOOKUP(AE22,AE33:AS166,7,FALSE))</f>
        <v>#N/A</v>
      </c>
      <c r="AL22" s="1887" t="e">
        <f ca="1">IF(AE22="仅显示1890～2023","",VLOOKUP(AE22,AE33:AS166,8,FALSE))</f>
        <v>#N/A</v>
      </c>
      <c r="AM22" s="1887" t="e">
        <f ca="1">IF(AE22="仅显示1890～2023","",VLOOKUP(AE22,AE33:AS166,9,FALSE))</f>
        <v>#N/A</v>
      </c>
      <c r="AN22" s="1887" t="e">
        <f ca="1">IF(AE22="仅显示1890～2023","",VLOOKUP(AE22,AE33:AS166,10,FALSE))</f>
        <v>#N/A</v>
      </c>
      <c r="AO22" s="1887" t="e">
        <f ca="1">IF(AE22="仅显示1890～2023","",VLOOKUP(AE22,AE33:AS166,11,FALSE))</f>
        <v>#N/A</v>
      </c>
      <c r="AP22" s="1887" t="e">
        <f ca="1">IF(AE22="仅显示1890～2023","",VLOOKUP(AE22,AE33:AS166,12,FALSE))</f>
        <v>#N/A</v>
      </c>
      <c r="AQ22" s="1399" t="e">
        <f ca="1">IF(AE22="仅显示1890～2023","",VLOOKUP(AE22,AE33:AS166,13,FALSE))</f>
        <v>#N/A</v>
      </c>
      <c r="AR22" s="1399" t="e">
        <f ca="1">IF(AE22="仅显示1890～2023","",VLOOKUP(AE22,AE33:AS166,14,FALSE))</f>
        <v>#N/A</v>
      </c>
      <c r="AS22" s="1914" t="e">
        <f ca="1">IF(AE22="仅显示1890～2023","",VLOOKUP(AE22,AE33:AS166,15,FALSE))</f>
        <v>#N/A</v>
      </c>
      <c r="AT22" s="1818"/>
      <c r="BA22" s="1887"/>
    </row>
    <row r="23" spans="8:8" ht="17.25" customHeight="1">
      <c r="B23" s="1817" t="s">
        <v>387</v>
      </c>
      <c r="C23" s="1791" t="s">
        <v>1460</v>
      </c>
      <c r="D23" s="1791">
        <v>60.0</v>
      </c>
      <c r="E23" s="1791" t="s">
        <v>388</v>
      </c>
      <c r="H23" s="1915"/>
      <c r="I23" s="1916"/>
      <c r="J23" s="1915"/>
      <c r="K23" s="1811"/>
      <c r="M23" s="1927"/>
      <c r="O23" s="1817" t="s">
        <v>1464</v>
      </c>
      <c r="P23" s="1818"/>
      <c r="Q23" s="1931" t="s">
        <v>1465</v>
      </c>
      <c r="AA23" s="1817">
        <f>IF(ISBLANK(人物卡!BA20),0,1)</f>
        <v>0.0</v>
      </c>
      <c r="AB23" s="1811">
        <f>IF(ISBLANK(人物卡!BJ20),0,1)</f>
        <v>0.0</v>
      </c>
      <c r="AC23" s="1791" t="s">
        <v>5848</v>
      </c>
      <c r="AD23" s="1928"/>
      <c r="AE23" s="1932" t="s">
        <v>1466</v>
      </c>
      <c r="AF23" s="1887"/>
      <c r="AG23" s="1887"/>
      <c r="AH23" s="1887"/>
      <c r="AI23" s="1887"/>
      <c r="AJ23" s="1930"/>
      <c r="AK23" s="1930"/>
      <c r="AL23" s="1887"/>
      <c r="AM23" s="1887"/>
      <c r="AN23" s="1887"/>
      <c r="AO23" s="1887"/>
      <c r="AP23" s="1887"/>
      <c r="AQ23" s="1399"/>
      <c r="AR23" s="1399"/>
      <c r="AS23" s="1914"/>
      <c r="AT23" s="1818"/>
      <c r="BA23" s="1887"/>
    </row>
    <row r="24" spans="8:8" ht="17.25" customHeight="1">
      <c r="B24" s="1817" t="s">
        <v>389</v>
      </c>
      <c r="C24" s="1791" t="s">
        <v>390</v>
      </c>
      <c r="D24" s="1791">
        <v>0.0</v>
      </c>
      <c r="E24" s="1791" t="s">
        <v>391</v>
      </c>
      <c r="H24" s="1915"/>
      <c r="I24" s="1916"/>
      <c r="J24" s="1915"/>
      <c r="K24" s="1811"/>
      <c r="M24" s="1927"/>
      <c r="O24" s="1817" t="s">
        <v>1467</v>
      </c>
      <c r="P24" s="1818"/>
      <c r="Q24" s="1811" t="s">
        <v>1468</v>
      </c>
      <c r="S24" s="1933" t="str">
        <f>".st "&amp;"力量"&amp;G14&amp;"str"&amp;G14&amp;"敏捷"&amp;J14&amp;"dex"&amp;J14&amp;"意志"&amp;M14&amp;"pow"&amp;M14&amp;"体质"&amp;H14&amp;"con"&amp;H14&amp;"外貌"&amp;K14&amp;"app"&amp;K14&amp;"教育"&amp;N14&amp;"edu"&amp;N14&amp;"体型"&amp;I14&amp;"siz"&amp;I14&amp;"智力"&amp;L14&amp;"灵感"&amp;L14&amp;"int"&amp;L14&amp;"san"&amp;人物卡!N10&amp;"san值"&amp;人物卡!N10&amp;"理智"&amp;人物卡!N10&amp;"理智值"&amp;人物卡!N10&amp;"幸运"&amp;O14&amp;"运气"&amp;O14&amp;"mp"&amp;人物卡!W10&amp;"魔法"&amp;人物卡!W10&amp;"hp"&amp;人物卡!E10&amp;"体力"&amp;人物卡!E10&amp;人物卡!F16&amp;人物卡!R16&amp;人物卡!F17&amp;人物卡!R17&amp;人物卡!F18&amp;人物卡!R18&amp;人物卡!F19&amp;人物卡!R19&amp;IF(人物卡!H20="","",人物卡!H20&amp;人物卡!R20)&amp;IF(人物卡!H21="","",人物卡!H21&amp;人物卡!R21)&amp;IF(人物卡!H22="","",人物卡!H22&amp;人物卡!R22)&amp;人物卡!F23&amp;人物卡!R23&amp;"魅惑"&amp;人物卡!R23&amp;人物卡!F24&amp;人物卡!R24&amp;"计算机"&amp;人物卡!R25&amp;"计算机使用"&amp;人物卡!R25&amp;"电脑"&amp;人物卡!R25&amp;"信用"&amp;人物卡!R26&amp;"信誉"&amp;人物卡!R26&amp;"信用评级"&amp;人物卡!R26&amp;"克苏鲁"&amp;人物卡!R27&amp;"克苏鲁神话"&amp;人物卡!R27&amp;"cm"&amp;人物卡!R27&amp;人物卡!F28&amp;人物卡!R28&amp;人物卡!F29&amp;人物卡!R29&amp;"汽车"&amp;人物卡!R30&amp;"驾驶"&amp;人物卡!R30&amp;"汽车驾驶"&amp;人物卡!R30&amp;人物卡!F31&amp;人物卡!R31&amp;"电子学"&amp;人物卡!R32&amp;人物卡!F33&amp;人物卡!R33&amp;人物卡!H34&amp;人物卡!R34&amp;IF(人物卡!H35="","",人物卡!H35&amp;人物卡!R35)&amp;IF(人物卡!H36="","",人物卡!H36&amp;人物卡!R36)&amp;IF(人物卡!H37="","",人物卡!H37&amp;人物卡!R37)&amp;人物卡!H38&amp;人物卡!R38&amp;IF(W15=1,人物卡!AB39&amp;人物卡!R39&amp;"步枪"&amp;人物卡!R39&amp;"霰弹枪"&amp;人物卡!R39&amp;"步霰"&amp;人物卡!R39,IF(人物卡!H39="","",人物卡!H39&amp;人物卡!R39))&amp;IF(W16=1,人物卡!AB40&amp;人物卡!R40&amp;"步枪"&amp;人物卡!R40&amp;"霰弹枪"&amp;人物卡!R40&amp;"步霰"&amp;人物卡!R40,IF(人物卡!H40="","",人物卡!H40&amp;人物卡!R40))&amp;IF(W17=1,人物卡!AB41&amp;人物卡!R41&amp;"步枪"&amp;人物卡!R41&amp;"霰弹枪"&amp;人物卡!R41&amp;"步霰"&amp;人物卡!R41,IF(人物卡!H41="","",人物卡!H41&amp;人物卡!R41))&amp;人物卡!F42&amp;人物卡!R42&amp;人物卡!F43&amp;人物卡!R43&amp;人物卡!F44&amp;人物卡!R44&amp;人物卡!F45&amp;人物卡!R45&amp;IF(人物卡!H46="","",人物卡!H46&amp;人物卡!R46)&amp;IF(人物卡!H47="","",人物卡!H47&amp;人物卡!R47)&amp;IF(人物卡!H48="","",人物卡!H48&amp;人物卡!R48)&amp;人物卡!F49&amp;人物卡!R49&amp;人物卡!AB16&amp;人物卡!AN16&amp;"图书馆"&amp;人物卡!AN17&amp;"图书馆使用"&amp;人物卡!AN17&amp;人物卡!AB18&amp;人物卡!AN18&amp;"开锁"&amp;人物卡!AN19&amp;"撬锁"&amp;人物卡!AN19&amp;"锁匠"&amp;人物卡!AN19&amp;人物卡!AB20&amp;人物卡!AN20&amp;人物卡!AB21&amp;人物卡!AN21&amp;"博物学"&amp;人物卡!AN22&amp;"自然学"&amp;人物卡!AN22&amp;"领航"&amp;人物卡!AN23&amp;"导航"&amp;人物卡!AN23&amp;人物卡!AB24&amp;人物卡!AN24&amp;"重型操作"&amp;人物卡!AN25&amp;"重型机械"&amp;人物卡!AN25&amp;"操作重型机械"&amp;人物卡!AN25&amp;"重型"&amp;人物卡!AN25&amp;人物卡!AB26&amp;人物卡!AN26&amp;IF(人物卡!AD27="","",人物卡!AD27&amp;人物卡!AN27)&amp;人物卡!AB28&amp;人物卡!AN28&amp;人物卡!AB29&amp;人物卡!AN29&amp;人物卡!AB30&amp;人物卡!AN30&amp;IF(人物卡!AD31="","",人物卡!AD31&amp;人物卡!AN31)&amp;IF(人物卡!AD32="","",人物卡!AD32&amp;人物卡!AN32)&amp;IF(人物卡!AD33="","",人物卡!AD33&amp;人物卡!AN33)&amp;人物卡!AB34&amp;人物卡!AN34&amp;人物卡!AB35&amp;人物卡!AN35&amp;人物卡!AB36&amp;人物卡!AN36&amp;"生存"&amp;人物卡!AN37&amp;人物卡!AB38&amp;人物卡!AN38&amp;人物卡!AB39&amp;人物卡!AN39&amp;人物卡!AB40&amp;人物卡!AN40&amp;人物卡!AB41&amp;人物卡!AN41&amp;人物卡!AB42&amp;人物卡!AN42&amp;人物卡!AB43&amp;人物卡!AN43&amp;人物卡!AB44&amp;人物卡!AN44&amp;人物卡!AB45&amp;人物卡!AN45&amp;人物卡!AB46&amp;人物卡!AN46&amp;IF(人物卡!AD47="","",人物卡!AD47&amp;人物卡!AN47)&amp;IF(W18=1,"",人物卡!AB48&amp;人物卡!AN48)&amp;IF(人物卡!AB49="","",人物卡!AB49&amp;人物卡!AN49)</f>
        <v>.st 力量0str0敏捷0dex0意志0pow0体质0con0外貌0app0教育0edu0体型0siz0智力0灵感0int0san0san值0理智0理智值0幸运0运气0mp0魔法0hp0体力0会计5人类学1估价5考古学1取悦15魅惑15攀爬20计算机5计算机使用5电脑5信用0信誉0信用评级0克苏鲁0克苏鲁神话0cm0乔装5闪避0汽车20驾驶20汽车驾驶20电气维修10电子学1话术5斗殴25手枪20急救30历史5恐吓15跳跃20母语0法律5图书馆20图书馆使用20聆听20开锁1撬锁1锁匠1机械维修10医学1博物学10自然学10领航10导航10神秘学5重型操作1重型机械1操作重型机械1重型1说服10精神分析1心理学10骑术5妙手10侦查25潜行20生存10游泳20投掷20追踪10动物驯养5潜水1爆破1读唇1催眠1炮术1</v>
      </c>
      <c r="T24" s="1933"/>
      <c r="U24" s="1933"/>
      <c r="V24" s="1933"/>
      <c r="AA24" s="1817">
        <f>IF(ISBLANK(人物卡!BA21),0,1)</f>
        <v>0.0</v>
      </c>
      <c r="AB24" s="1811">
        <f>IF(ISBLANK(人物卡!BJ21),0,1)</f>
        <v>0.0</v>
      </c>
      <c r="AC24" s="1791">
        <f>人物卡!F9-AC22</f>
        <v>0.0</v>
      </c>
      <c r="AD24" s="1928"/>
      <c r="AE24" s="1934">
        <f>人物卡!G8</f>
        <v>0.0</v>
      </c>
      <c r="AF24" s="1887"/>
      <c r="AG24" s="1887"/>
      <c r="AH24" s="1887"/>
      <c r="AI24" s="1887"/>
      <c r="AJ24" s="1930"/>
      <c r="AK24" s="1930"/>
      <c r="AL24" s="1887"/>
      <c r="AM24" s="1887"/>
      <c r="AN24" s="1887"/>
      <c r="AO24" s="1887"/>
      <c r="AP24" s="1887"/>
      <c r="AQ24" s="1399"/>
      <c r="AR24" s="1399"/>
      <c r="AS24" s="1914"/>
      <c r="AT24" s="1893"/>
      <c r="AU24" s="1804"/>
      <c r="AV24" s="1804"/>
      <c r="AW24" s="1804"/>
      <c r="AX24" s="1935" t="s">
        <v>1420</v>
      </c>
      <c r="AY24" s="1800"/>
      <c r="AZ24" s="1936" t="s">
        <v>5842</v>
      </c>
      <c r="BA24" s="1936"/>
      <c r="BB24" s="1937"/>
    </row>
    <row r="25" spans="8:8" ht="17.25" customHeight="1">
      <c r="B25" s="1817" t="str">
        <f>IF(ISBLANK(人物卡!BC26),"自定义经历包",人物卡!BC26)</f>
        <v>自定义经历包</v>
      </c>
      <c r="C25" s="1791" t="str">
        <f>'简化卡 骰娘导入'!E90</f>
        <v/>
      </c>
      <c r="D25" s="1791" t="str">
        <f>'简化卡 骰娘导入'!H90</f>
        <v/>
      </c>
      <c r="E25" s="1791" t="str">
        <f>'简化卡 骰娘导入'!J90</f>
        <v/>
      </c>
      <c r="G25" s="1915"/>
      <c r="H25" s="1901"/>
      <c r="I25" s="1915"/>
      <c r="J25" s="1915"/>
      <c r="K25" s="1811"/>
      <c r="M25" s="1927"/>
      <c r="O25" s="1817" t="s">
        <v>1469</v>
      </c>
      <c r="P25" s="1818"/>
      <c r="Q25" s="1811" t="s">
        <v>206</v>
      </c>
      <c r="S25" s="1933"/>
      <c r="T25" s="1933"/>
      <c r="U25" s="1933"/>
      <c r="V25" s="1933"/>
      <c r="X25" s="1938" t="s">
        <v>57</v>
      </c>
      <c r="Y25" s="1805"/>
      <c r="AA25" s="1841">
        <f>IF(ISBLANK(人物卡!BA22),0,1)</f>
        <v>0.0</v>
      </c>
      <c r="AB25" s="1843">
        <f>IF(ISBLANK(人物卡!BJ22),0,1)</f>
        <v>0.0</v>
      </c>
      <c r="AC25" s="1939" t="s">
        <v>5849</v>
      </c>
      <c r="AD25" s="1939" t="str">
        <f>IF(AD22=1," ",IF(AC24=0,"无",IF(AC24&lt;0,"过多！",AC24)))</f>
        <v>无</v>
      </c>
      <c r="AE25" s="1934" t="s">
        <v>1470</v>
      </c>
      <c r="AF25" s="1887"/>
      <c r="AG25" s="1887"/>
      <c r="AH25" s="1887"/>
      <c r="AI25" s="1887"/>
      <c r="AJ25" s="1930"/>
      <c r="AK25" s="1930"/>
      <c r="AL25" s="1887"/>
      <c r="AM25" s="1887"/>
      <c r="AN25" s="1887"/>
      <c r="AO25" s="1887"/>
      <c r="AP25" s="1887"/>
      <c r="AQ25" s="1399"/>
      <c r="AR25" s="1399"/>
      <c r="AS25" s="1914"/>
      <c r="AT25" s="1940" t="s">
        <v>1471</v>
      </c>
      <c r="AV25" s="1791">
        <f>IF(AT25=人物卡!AZ129,1,0)</f>
        <v>0.0</v>
      </c>
      <c r="AX25" s="1941"/>
      <c r="AY25" s="1815"/>
      <c r="AZ25" s="1791">
        <v>1.0</v>
      </c>
      <c r="BA25" s="1919" t="s">
        <v>1472</v>
      </c>
      <c r="BB25" s="1811" t="e">
        <f ca="1">AQ22</f>
        <v>#N/A</v>
      </c>
    </row>
    <row r="26" spans="8:8" ht="17.25" customHeight="1">
      <c r="B26" s="1817" t="s">
        <v>168</v>
      </c>
      <c r="K26" s="1811"/>
      <c r="M26" s="1927"/>
      <c r="O26" s="1817" t="s">
        <v>1473</v>
      </c>
      <c r="P26" s="1818"/>
      <c r="Q26" s="1811"/>
      <c r="S26" s="1933"/>
      <c r="T26" s="1933"/>
      <c r="U26" s="1933"/>
      <c r="V26" s="1933"/>
      <c r="X26" s="1942" t="s">
        <v>59</v>
      </c>
      <c r="Y26" s="1811"/>
      <c r="AE26" s="1934">
        <f>IF(人物卡!E8="公元前",人物卡!G8*2,0)</f>
        <v>0.0</v>
      </c>
      <c r="AF26" s="1887"/>
      <c r="AG26" s="1887"/>
      <c r="AH26" s="1887"/>
      <c r="AI26" s="1887"/>
      <c r="AJ26" s="1930"/>
      <c r="AK26" s="1930"/>
      <c r="AL26" s="1887"/>
      <c r="AM26" s="1887"/>
      <c r="AN26" s="1887"/>
      <c r="AO26" s="1887"/>
      <c r="AP26" s="1887"/>
      <c r="AQ26" s="1399"/>
      <c r="AR26" s="1399"/>
      <c r="AS26" s="1914"/>
      <c r="AT26" s="1940" t="s">
        <v>1474</v>
      </c>
      <c r="AV26" s="1791">
        <f>IF(AT26=人物卡!AZ129,2,0)</f>
        <v>0.0</v>
      </c>
      <c r="AX26" s="1941"/>
      <c r="AY26" s="1815"/>
      <c r="AZ26" s="1791">
        <v>2.0</v>
      </c>
      <c r="BA26" s="1919" t="s">
        <v>1475</v>
      </c>
      <c r="BB26" s="1811" t="e">
        <f ca="1">AR22</f>
        <v>#N/A</v>
      </c>
    </row>
    <row r="27" spans="8:8" ht="17.25" customHeight="1">
      <c r="B27" s="1817"/>
      <c r="C27" s="1893">
        <f>IF(人物卡!F113=B20,C20,0)</f>
        <v>0.0</v>
      </c>
      <c r="D27" s="1804">
        <f>IF(人物卡!F113=B20,D20,0)</f>
        <v>0.0</v>
      </c>
      <c r="E27" s="1852">
        <f>IF(人物卡!F113=B20,E20,0)</f>
        <v>0.0</v>
      </c>
      <c r="F27" s="1852"/>
      <c r="G27" s="1852"/>
      <c r="H27" s="1852"/>
      <c r="I27" s="1852"/>
      <c r="J27" s="1852"/>
      <c r="K27" s="1853"/>
      <c r="M27" s="1927"/>
      <c r="O27" s="1817" t="s">
        <v>1476</v>
      </c>
      <c r="P27" s="1818"/>
      <c r="Q27" s="1811"/>
      <c r="S27" s="1933"/>
      <c r="T27" s="1933"/>
      <c r="U27" s="1933"/>
      <c r="V27" s="1933"/>
      <c r="X27" s="1942" t="s">
        <v>63</v>
      </c>
      <c r="Y27" s="1811"/>
      <c r="AB27" s="1943" t="s">
        <v>1477</v>
      </c>
      <c r="AC27" s="1913">
        <f>D34-SUM(人物卡!L16:L49,人物卡!AH16:AH49)</f>
        <v>0.0</v>
      </c>
      <c r="AD27" s="1804" t="s">
        <v>1427</v>
      </c>
      <c r="AE27" s="1934" t="s">
        <v>1478</v>
      </c>
      <c r="AF27" s="1887"/>
      <c r="AG27" s="1887"/>
      <c r="AH27" s="1887"/>
      <c r="AI27" s="1887"/>
      <c r="AJ27" s="1930"/>
      <c r="AK27" s="1930"/>
      <c r="AL27" s="1887"/>
      <c r="AM27" s="1887"/>
      <c r="AN27" s="1887"/>
      <c r="AO27" s="1887"/>
      <c r="AP27" s="1887"/>
      <c r="AQ27" s="1399"/>
      <c r="AR27" s="1399"/>
      <c r="AS27" s="1914"/>
      <c r="AT27" s="1940"/>
      <c r="AX27" s="1941">
        <f>AV25+AV26+AV28+AV29+AV30</f>
        <v>4.0</v>
      </c>
      <c r="AY27" s="1815"/>
      <c r="AZ27" s="1791">
        <v>3.0</v>
      </c>
      <c r="BA27" s="1818" t="s">
        <v>1479</v>
      </c>
      <c r="BB27" s="1811" t="e">
        <f ca="1">AS22</f>
        <v>#N/A</v>
      </c>
    </row>
    <row r="28" spans="8:8" ht="17.25" customHeight="1">
      <c r="B28" s="1817"/>
      <c r="C28" s="1817">
        <f>IF(人物卡!F113=B21,C21,0)</f>
        <v>0.0</v>
      </c>
      <c r="D28" s="1791">
        <f>IF(人物卡!F113=B21,D21,0)</f>
        <v>0.0</v>
      </c>
      <c r="E28" s="1914">
        <f>IF(人物卡!F113=B21,E21,0)</f>
        <v>0.0</v>
      </c>
      <c r="F28" s="1914"/>
      <c r="G28" s="1914"/>
      <c r="H28" s="1914"/>
      <c r="I28" s="1914"/>
      <c r="J28" s="1914"/>
      <c r="K28" s="1944"/>
      <c r="M28" s="1927"/>
      <c r="O28" s="1817" t="s">
        <v>1480</v>
      </c>
      <c r="P28" s="1818"/>
      <c r="Q28" s="1811"/>
      <c r="S28" s="1933"/>
      <c r="T28" s="1933"/>
      <c r="U28" s="1933"/>
      <c r="V28" s="1933"/>
      <c r="X28" s="1942" t="s">
        <v>66</v>
      </c>
      <c r="Y28" s="1811"/>
      <c r="AB28" s="1945" t="s">
        <v>1414</v>
      </c>
      <c r="AC28" s="1842" t="b">
        <f>ISNUMBER(AC27)</f>
        <v>1</v>
      </c>
      <c r="AD28" s="1842">
        <f>IF(AC28=FALSE,"0",AC27)</f>
        <v>0.0</v>
      </c>
      <c r="AE28" s="1946">
        <f>AE24-AE26</f>
        <v>0.0</v>
      </c>
      <c r="AF28" s="1887"/>
      <c r="AG28" s="1887"/>
      <c r="AH28" s="1887"/>
      <c r="AI28" s="1887"/>
      <c r="AJ28" s="1930"/>
      <c r="AK28" s="1930"/>
      <c r="AL28" s="1887"/>
      <c r="AM28" s="1887"/>
      <c r="AN28" s="1887"/>
      <c r="AO28" s="1887"/>
      <c r="AP28" s="1887"/>
      <c r="AQ28" s="1399"/>
      <c r="AR28" s="1399"/>
      <c r="AS28" s="1914"/>
      <c r="AT28" s="1817" t="s">
        <v>1479</v>
      </c>
      <c r="AV28" s="1791">
        <f>IF(AT28=人物卡!AZ129,3,0)</f>
        <v>0.0</v>
      </c>
      <c r="AX28" s="1941"/>
      <c r="AY28" s="1815"/>
      <c r="AZ28" s="1791">
        <v>4.0</v>
      </c>
      <c r="BA28" s="1791" t="s">
        <v>265</v>
      </c>
      <c r="BB28" s="1811" t="str">
        <f>AS21</f>
        <v>广播电台
茶包</v>
      </c>
    </row>
    <row r="29" spans="8:8" ht="17.25" customHeight="1">
      <c r="B29" s="1817"/>
      <c r="C29" s="1817">
        <f>IF(人物卡!F113=B22,C22,0)</f>
        <v>0.0</v>
      </c>
      <c r="D29" s="1791">
        <f>IF(人物卡!F113=B22,D22,0)</f>
        <v>0.0</v>
      </c>
      <c r="E29" s="1914">
        <f>IF(人物卡!F113=B22,E22,0)</f>
        <v>0.0</v>
      </c>
      <c r="F29" s="1914"/>
      <c r="G29" s="1914"/>
      <c r="H29" s="1914"/>
      <c r="I29" s="1914"/>
      <c r="J29" s="1914"/>
      <c r="K29" s="1944"/>
      <c r="M29" s="1927"/>
      <c r="O29" s="1817" t="s">
        <v>1481</v>
      </c>
      <c r="P29" s="1818"/>
      <c r="Q29" s="1811"/>
      <c r="S29" s="1933"/>
      <c r="T29" s="1933"/>
      <c r="U29" s="1933"/>
      <c r="V29" s="1933"/>
      <c r="X29" s="1947" t="s">
        <v>68</v>
      </c>
      <c r="Y29" s="1811"/>
      <c r="AB29" s="1844" t="s">
        <v>1482</v>
      </c>
      <c r="AC29" s="1848" t="str">
        <f>IF(人物卡!M5=0," ",LOOKUP(人物卡!M5,职业列表!A2:C232,职业列表!F2:F232))</f>
        <v> </v>
      </c>
      <c r="AD29" s="1794" t="s">
        <v>1483</v>
      </c>
      <c r="AE29" s="1948"/>
      <c r="AF29" s="1887"/>
      <c r="AG29" s="1887"/>
      <c r="AH29" s="1887"/>
      <c r="AI29" s="1887"/>
      <c r="AJ29" s="1930"/>
      <c r="AK29" s="1930"/>
      <c r="AL29" s="1887"/>
      <c r="AM29" s="1887"/>
      <c r="AN29" s="1887"/>
      <c r="AO29" s="1887"/>
      <c r="AP29" s="1887"/>
      <c r="AQ29" s="1399"/>
      <c r="AR29" s="1399"/>
      <c r="AS29" s="1914"/>
      <c r="AT29" s="1817" t="s">
        <v>265</v>
      </c>
      <c r="AV29" s="1791">
        <f>IF(AT29=人物卡!AZ129,4,0)</f>
        <v>4.0</v>
      </c>
      <c r="AX29" s="1941"/>
      <c r="AY29" s="1949"/>
      <c r="AZ29" s="1950">
        <v>5.0</v>
      </c>
      <c r="BA29" s="1950" t="s">
        <v>1484</v>
      </c>
      <c r="BB29" s="1951" t="s">
        <v>5841</v>
      </c>
    </row>
    <row r="30" spans="8:8" ht="17.25" customHeight="1">
      <c r="B30" s="1817"/>
      <c r="C30" s="1817">
        <f>IF(人物卡!F113=B23,C23,0)</f>
        <v>0.0</v>
      </c>
      <c r="D30" s="1791">
        <f>IF(人物卡!F113=B23,D23,0)</f>
        <v>0.0</v>
      </c>
      <c r="E30" s="1914">
        <f>IF(人物卡!F113=B23,E23,0)</f>
        <v>0.0</v>
      </c>
      <c r="F30" s="1914"/>
      <c r="G30" s="1914"/>
      <c r="H30" s="1914"/>
      <c r="I30" s="1914"/>
      <c r="J30" s="1914"/>
      <c r="K30" s="1944"/>
      <c r="M30" s="1927"/>
      <c r="O30" s="1817" t="s">
        <v>1486</v>
      </c>
      <c r="P30" s="1818"/>
      <c r="Q30" s="1811"/>
      <c r="S30" s="1933"/>
      <c r="T30" s="1933"/>
      <c r="U30" s="1933"/>
      <c r="V30" s="1933"/>
      <c r="X30" s="1952" t="s">
        <v>70</v>
      </c>
      <c r="Y30" s="1811"/>
      <c r="AD30" s="1953">
        <f>IF(AE30="大",1,0)</f>
        <v>0.0</v>
      </c>
      <c r="AE30" s="1954" t="b">
        <f>IF(AE28&gt;2023,"大")</f>
        <v>0</v>
      </c>
      <c r="AF30" s="1887"/>
      <c r="AG30" s="1887"/>
      <c r="AH30" s="1887"/>
      <c r="AI30" s="1887"/>
      <c r="AJ30" s="1930"/>
      <c r="AK30" s="1930"/>
      <c r="AL30" s="1887"/>
      <c r="AM30" s="1887"/>
      <c r="AN30" s="1887"/>
      <c r="AO30" s="1887"/>
      <c r="AP30" s="1887"/>
      <c r="AQ30" s="1399"/>
      <c r="AR30" s="1399"/>
      <c r="AS30" s="1914"/>
      <c r="AT30" s="1791" t="s">
        <v>1487</v>
      </c>
      <c r="AU30" s="1841" t="s">
        <v>1484</v>
      </c>
      <c r="AV30" s="1842">
        <f>IF(AU30=人物卡!AZ129,5,0)</f>
        <v>0.0</v>
      </c>
      <c r="AW30" s="1842"/>
      <c r="AX30" s="1955"/>
      <c r="AY30" s="1842"/>
      <c r="AZ30" s="1842"/>
      <c r="BA30" s="1842"/>
      <c r="BB30" s="1843"/>
    </row>
    <row r="31" spans="8:8" ht="17.25" customHeight="1">
      <c r="B31" s="1817"/>
      <c r="C31" s="1841">
        <f>IF(人物卡!F113=B24,C24,0)</f>
        <v>0.0</v>
      </c>
      <c r="D31" s="1842">
        <f>IF(人物卡!F113=B24,D24,0)</f>
        <v>0.0</v>
      </c>
      <c r="E31" s="1956">
        <f>IF(人物卡!F113=B24,E24,0)</f>
        <v>0.0</v>
      </c>
      <c r="F31" s="1956"/>
      <c r="G31" s="1956"/>
      <c r="H31" s="1956"/>
      <c r="I31" s="1956"/>
      <c r="J31" s="1956"/>
      <c r="K31" s="1957"/>
      <c r="M31" s="1927"/>
      <c r="O31" s="1817" t="s">
        <v>1488</v>
      </c>
      <c r="P31" s="1818"/>
      <c r="Q31" s="1811"/>
      <c r="S31" s="1933"/>
      <c r="T31" s="1933"/>
      <c r="U31" s="1933"/>
      <c r="V31" s="1933"/>
      <c r="X31" s="1947" t="s">
        <v>72</v>
      </c>
      <c r="Y31" s="1811"/>
      <c r="AD31" s="1958">
        <f>IF(AE31="小",1,0)</f>
        <v>1.0</v>
      </c>
      <c r="AE31" s="1959" t="str">
        <f>IF(AE28&lt;1890,"小")</f>
        <v>小</v>
      </c>
      <c r="AF31" s="1887"/>
      <c r="AG31" s="1887"/>
      <c r="AH31" s="1887"/>
      <c r="AI31" s="1887"/>
      <c r="AJ31" s="1930"/>
      <c r="AK31" s="1930"/>
      <c r="AL31" s="1887"/>
      <c r="AM31" s="1887"/>
      <c r="AN31" s="1887"/>
      <c r="AO31" s="1887"/>
      <c r="AP31" s="1887"/>
      <c r="AQ31" s="1399"/>
      <c r="AR31" s="1399"/>
      <c r="AS31" s="1914"/>
    </row>
    <row r="32" spans="8:8" ht="17.25" customHeight="1">
      <c r="B32" s="1817"/>
      <c r="C32" s="1791">
        <f>IF(人物卡!F113=B25,C25,0)</f>
        <v>0.0</v>
      </c>
      <c r="D32" s="1791">
        <f>IF(人物卡!F113=B25,D25,0)</f>
        <v>0.0</v>
      </c>
      <c r="E32" s="1914">
        <f>IF(人物卡!F113=B25,E25,0)</f>
        <v>0.0</v>
      </c>
      <c r="F32" s="1914"/>
      <c r="G32" s="1914"/>
      <c r="H32" s="1914"/>
      <c r="I32" s="1914"/>
      <c r="J32" s="1914"/>
      <c r="K32" s="1944"/>
      <c r="M32" s="1927"/>
      <c r="O32" s="1817" t="s">
        <v>1489</v>
      </c>
      <c r="P32" s="1818"/>
      <c r="Q32" s="1811"/>
      <c r="S32" s="1933"/>
      <c r="T32" s="1933"/>
      <c r="U32" s="1933"/>
      <c r="V32" s="1933"/>
      <c r="X32" s="1942" t="s">
        <v>74</v>
      </c>
      <c r="Y32" s="1811"/>
      <c r="AD32" s="1960">
        <f>AD30+AD31</f>
        <v>1.0</v>
      </c>
      <c r="AE32" s="1961" t="s">
        <v>1490</v>
      </c>
      <c r="AF32" s="1962" t="s">
        <v>1491</v>
      </c>
      <c r="AG32" s="1962">
        <v>2.0</v>
      </c>
      <c r="AH32" s="1962">
        <v>3.0</v>
      </c>
      <c r="AI32" s="1962" t="s">
        <v>1492</v>
      </c>
      <c r="AJ32" s="1962"/>
      <c r="AK32" s="1962"/>
      <c r="AL32" s="1962" t="s">
        <v>185</v>
      </c>
      <c r="AM32" s="1962"/>
      <c r="AN32" s="1962"/>
      <c r="AO32" s="1962" t="s">
        <v>1493</v>
      </c>
      <c r="AP32" s="1963" t="s">
        <v>1494</v>
      </c>
      <c r="AQ32" s="1964" t="s">
        <v>1472</v>
      </c>
      <c r="AR32" s="1964" t="s">
        <v>1475</v>
      </c>
      <c r="AS32" s="1964" t="s">
        <v>1495</v>
      </c>
      <c r="AT32" s="1965"/>
    </row>
    <row r="33" spans="8:8" ht="17.25" customHeight="1">
      <c r="B33" s="1817"/>
      <c r="K33" s="1811"/>
      <c r="M33" s="1927"/>
      <c r="O33" s="1817" t="s">
        <v>1496</v>
      </c>
      <c r="P33" s="1818"/>
      <c r="Q33" s="1811"/>
      <c r="S33" s="1933"/>
      <c r="T33" s="1933"/>
      <c r="U33" s="1933"/>
      <c r="V33" s="1933"/>
      <c r="X33" s="1942" t="s">
        <v>77</v>
      </c>
      <c r="Y33" s="1811"/>
      <c r="AE33" s="1966">
        <v>1890.0</v>
      </c>
      <c r="AF33" s="1967" t="s">
        <v>1497</v>
      </c>
      <c r="AG33" s="1967" t="s">
        <v>5903</v>
      </c>
      <c r="AH33" s="1967"/>
      <c r="AI33" s="1967" t="s">
        <v>88</v>
      </c>
      <c r="AJ33" s="1967"/>
      <c r="AK33" s="1967"/>
      <c r="AL33" s="1967" t="s">
        <v>1498</v>
      </c>
      <c r="AM33" s="1967" t="s">
        <v>1499</v>
      </c>
      <c r="AN33" s="1967" t="s">
        <v>1500</v>
      </c>
      <c r="AO33" s="1967" t="s">
        <v>1501</v>
      </c>
      <c r="AP33" s="1968" t="s">
        <v>1502</v>
      </c>
      <c r="AQ33" s="1967" t="s">
        <v>1503</v>
      </c>
      <c r="AR33" s="1968" t="s">
        <v>1504</v>
      </c>
      <c r="AS33" s="1965" t="s">
        <v>1505</v>
      </c>
      <c r="AT33" s="1966">
        <v>1890.0</v>
      </c>
      <c r="AZ33" s="1819"/>
      <c r="BA33" s="1819"/>
      <c r="BB33" s="1819"/>
      <c r="BC33" s="1819"/>
      <c r="BD33" s="1819"/>
      <c r="BE33" s="1819"/>
      <c r="BF33" s="1819"/>
      <c r="BG33" s="1819"/>
      <c r="BH33" s="1819"/>
      <c r="BI33" s="1819"/>
      <c r="BJ33" s="1819"/>
      <c r="BK33" s="1819"/>
      <c r="BL33" s="1819"/>
      <c r="BM33" s="1819"/>
      <c r="BN33" s="1819"/>
      <c r="BO33" s="1819"/>
      <c r="BP33" s="1819"/>
      <c r="BQ33" s="1819"/>
      <c r="BR33" s="1819"/>
      <c r="BS33" s="1819"/>
      <c r="BT33" s="1819"/>
      <c r="BU33" s="1819"/>
      <c r="BV33" s="1819"/>
    </row>
    <row r="34" spans="8:8" ht="17.25" customHeight="1">
      <c r="B34" s="1841"/>
      <c r="C34" s="1842" t="str">
        <f>IF(C27=0,IF(C28=0,IF(C29=0,IF(C30=0,IF(C31=0,IF(C32=0,"",C32),C31),C30),C29),C28),C27)</f>
        <v/>
      </c>
      <c r="D34" s="1842">
        <f>IF(D27=0,IF(D28=0,IF(D29=0,IF(D30=0,IF(D31=0,IF(D32=0,0,D32),D31),D30),D29),D28),D27)</f>
        <v>0.0</v>
      </c>
      <c r="E34" s="1956" t="str">
        <f>IF(E27=0,IF(E28=0,IF(E29=0,IF(E30=0,IF(E31=0,IF(E32=0,"",E32),E31),E30),E29),E28),E27)</f>
        <v/>
      </c>
      <c r="F34" s="1956"/>
      <c r="G34" s="1956"/>
      <c r="H34" s="1956"/>
      <c r="I34" s="1956"/>
      <c r="J34" s="1956"/>
      <c r="K34" s="1957"/>
      <c r="O34" s="1817" t="s">
        <v>1506</v>
      </c>
      <c r="P34" s="1818"/>
      <c r="Q34" s="1811"/>
      <c r="S34" s="1933"/>
      <c r="T34" s="1933"/>
      <c r="U34" s="1933"/>
      <c r="V34" s="1933"/>
      <c r="X34" s="1942" t="s">
        <v>82</v>
      </c>
      <c r="Y34" s="1811"/>
      <c r="AE34" s="1966">
        <v>1891.0</v>
      </c>
      <c r="AF34" s="1967" t="s">
        <v>1507</v>
      </c>
      <c r="AG34" s="1967"/>
      <c r="AH34" s="1967"/>
      <c r="AI34" s="1967" t="s">
        <v>88</v>
      </c>
      <c r="AJ34" s="1967"/>
      <c r="AK34" s="1967"/>
      <c r="AL34" s="1967" t="s">
        <v>1498</v>
      </c>
      <c r="AM34" s="1967" t="s">
        <v>1508</v>
      </c>
      <c r="AN34" s="1967" t="s">
        <v>1509</v>
      </c>
      <c r="AO34" s="1967" t="s">
        <v>1510</v>
      </c>
      <c r="AP34" s="1968" t="s">
        <v>1502</v>
      </c>
      <c r="AQ34" s="1967" t="s">
        <v>1511</v>
      </c>
      <c r="AR34" s="1967" t="s">
        <v>1512</v>
      </c>
      <c r="AS34" s="1968" t="s">
        <v>1513</v>
      </c>
      <c r="AT34" s="1966">
        <v>1891.0</v>
      </c>
      <c r="AZ34" s="1819"/>
      <c r="BA34" s="1819"/>
      <c r="BB34" s="1819"/>
      <c r="BC34" s="1819"/>
      <c r="BD34" s="1819"/>
      <c r="BE34" s="1819"/>
      <c r="BF34" s="1819"/>
      <c r="BG34" s="1819"/>
      <c r="BH34" s="1819"/>
      <c r="BI34" s="1819"/>
      <c r="BJ34" s="1819"/>
      <c r="BK34" s="1819"/>
      <c r="BL34" s="1819"/>
      <c r="BM34" s="1819"/>
      <c r="BN34" s="1819"/>
      <c r="BO34" s="1819"/>
      <c r="BP34" s="1819"/>
      <c r="BQ34" s="1819"/>
      <c r="BR34" s="1819"/>
      <c r="BS34" s="1819"/>
      <c r="BT34" s="1819"/>
      <c r="BU34" s="1819"/>
      <c r="BV34" s="1819"/>
    </row>
    <row r="35" spans="8:8" ht="17.25" customHeight="1">
      <c r="O35" s="1817" t="s">
        <v>1514</v>
      </c>
      <c r="P35" s="1818"/>
      <c r="Q35" s="1811"/>
      <c r="S35" s="1933"/>
      <c r="T35" s="1933"/>
      <c r="U35" s="1933"/>
      <c r="V35" s="1933"/>
      <c r="X35" s="1942" t="s">
        <v>90</v>
      </c>
      <c r="Y35" s="1811"/>
      <c r="AE35" s="1966">
        <v>1892.0</v>
      </c>
      <c r="AF35" s="1967" t="s">
        <v>88</v>
      </c>
      <c r="AG35" s="1967"/>
      <c r="AH35" s="1967"/>
      <c r="AI35" s="1967" t="s">
        <v>88</v>
      </c>
      <c r="AJ35" s="1967"/>
      <c r="AK35" s="1967"/>
      <c r="AL35" s="1967" t="s">
        <v>1498</v>
      </c>
      <c r="AM35" s="1967" t="s">
        <v>1515</v>
      </c>
      <c r="AN35" s="1967" t="s">
        <v>1516</v>
      </c>
      <c r="AO35" s="1967" t="s">
        <v>1517</v>
      </c>
      <c r="AP35" s="1967" t="s">
        <v>1518</v>
      </c>
      <c r="AQ35" s="1967" t="s">
        <v>1519</v>
      </c>
      <c r="AR35" s="1967" t="s">
        <v>1520</v>
      </c>
      <c r="AS35" s="1968" t="s">
        <v>1521</v>
      </c>
      <c r="AT35" s="1966">
        <v>1892.0</v>
      </c>
      <c r="AZ35" s="1819"/>
      <c r="BA35" s="1819"/>
      <c r="BB35" s="1819"/>
      <c r="BC35" s="1819"/>
      <c r="BD35" s="1819"/>
      <c r="BE35" s="1819"/>
      <c r="BF35" s="1819"/>
      <c r="BG35" s="1819"/>
      <c r="BH35" s="1819"/>
      <c r="BI35" s="1819"/>
      <c r="BJ35" s="1819"/>
      <c r="BK35" s="1819"/>
      <c r="BL35" s="1819"/>
      <c r="BM35" s="1819"/>
      <c r="BN35" s="1819"/>
      <c r="BO35" s="1819"/>
      <c r="BP35" s="1819"/>
      <c r="BQ35" s="1819"/>
      <c r="BR35" s="1819"/>
      <c r="BS35" s="1819"/>
      <c r="BT35" s="1819"/>
      <c r="BU35" s="1819"/>
      <c r="BV35" s="1819"/>
    </row>
    <row r="36" spans="8:8" ht="17.25" customHeight="1">
      <c r="B36" s="1969"/>
      <c r="C36" s="1970" t="s">
        <v>17</v>
      </c>
      <c r="D36" s="1970" t="s">
        <v>1427</v>
      </c>
      <c r="E36" s="1804"/>
      <c r="F36" s="1971"/>
      <c r="I36" s="1972" t="s">
        <v>1522</v>
      </c>
      <c r="J36" s="1972"/>
      <c r="K36" s="1972"/>
      <c r="L36" s="1972"/>
      <c r="M36" s="1972"/>
      <c r="O36" s="1817" t="s">
        <v>1523</v>
      </c>
      <c r="P36" s="1818"/>
      <c r="Q36" s="1811"/>
      <c r="S36" s="1973"/>
      <c r="T36" s="1973"/>
      <c r="U36" s="1973"/>
      <c r="V36" s="1973"/>
      <c r="X36" s="1942" t="s">
        <v>92</v>
      </c>
      <c r="Y36" s="1811"/>
      <c r="AE36" s="1966">
        <v>1893.0</v>
      </c>
      <c r="AF36" s="1967" t="s">
        <v>1524</v>
      </c>
      <c r="AG36" s="1967" t="s">
        <v>1525</v>
      </c>
      <c r="AH36" s="1967"/>
      <c r="AI36" s="1967" t="s">
        <v>88</v>
      </c>
      <c r="AJ36" s="1967"/>
      <c r="AK36" s="1967"/>
      <c r="AL36" s="1967" t="s">
        <v>1498</v>
      </c>
      <c r="AM36" s="1967" t="s">
        <v>1526</v>
      </c>
      <c r="AN36" s="1967" t="s">
        <v>1527</v>
      </c>
      <c r="AO36" s="1968" t="s">
        <v>1528</v>
      </c>
      <c r="AP36" s="1968" t="s">
        <v>1529</v>
      </c>
      <c r="AQ36" s="1967" t="s">
        <v>1530</v>
      </c>
      <c r="AR36" s="1967" t="s">
        <v>1531</v>
      </c>
      <c r="AS36" s="1968" t="s">
        <v>1532</v>
      </c>
      <c r="AT36" s="1966">
        <v>1893.0</v>
      </c>
      <c r="AV36" s="1974" t="s">
        <v>1533</v>
      </c>
      <c r="AZ36" s="1975"/>
      <c r="BA36" s="1975"/>
      <c r="BB36" s="1975"/>
      <c r="BC36" s="1975"/>
      <c r="BD36" s="1975"/>
      <c r="BE36" s="1975"/>
      <c r="BF36" s="1975"/>
      <c r="BG36" s="1975"/>
      <c r="BH36" s="1975"/>
      <c r="BI36" s="1975"/>
      <c r="BJ36" s="1975"/>
      <c r="BK36" s="1975"/>
      <c r="BL36" s="1975"/>
      <c r="BM36" s="1975"/>
      <c r="BN36" s="1975"/>
      <c r="BO36" s="1975"/>
      <c r="BP36" s="1975"/>
      <c r="BQ36" s="1975"/>
      <c r="BR36" s="1975"/>
      <c r="BS36" s="1975"/>
      <c r="BT36" s="1819"/>
      <c r="BU36" s="1819"/>
      <c r="BV36" s="1819"/>
    </row>
    <row r="37" spans="8:8" ht="17.25" customHeight="1">
      <c r="B37" s="1976"/>
      <c r="C37" s="1977">
        <f>ABS(人物卡!E6)</f>
        <v>0.0</v>
      </c>
      <c r="D37" s="1977" t="str">
        <f>IF(ISBLANK(人物卡!AU37),IF(AND(C37&gt;=15,C37&lt;=19),D39,IF(AND(C37&gt;=20,C37&lt;=39),D40,IF(AND(C37&gt;=40,C37&lt;=49),D41,IF(AND(C37&gt;=50,C37&lt;=59),D42,IF(AND(C37&gt;=60,C37&lt;=69),D43,IF(AND(C37&gt;=70,C37&lt;=79),D44,IF(AND(C37&gt;=80,C37&lt;=89),D45,IF(ABS(C37)&gt;=90,D48,"请和kp商议")))))))),人物卡!AU37)</f>
        <v>请和kp商议</v>
      </c>
      <c r="F37" s="1978"/>
      <c r="I37" s="1979" t="s">
        <v>1534</v>
      </c>
      <c r="J37" s="1979" t="s">
        <v>1535</v>
      </c>
      <c r="K37" s="1979" t="s">
        <v>1536</v>
      </c>
      <c r="L37" s="1979" t="s">
        <v>161</v>
      </c>
      <c r="M37" s="1979" t="s">
        <v>104</v>
      </c>
      <c r="O37" s="1817" t="s">
        <v>1537</v>
      </c>
      <c r="P37" s="1818"/>
      <c r="Q37" s="1811"/>
      <c r="S37" s="1933" t="str">
        <f>IF(人物卡!M4="","","时代:"&amp;人物卡!M4&amp;CHAR(9))&amp;IF(人物卡!E5="","","职业:"&amp;人物卡!E5&amp;CHAR(9))&amp;IF(人物卡!E6="","","年龄"&amp;人物卡!E6&amp;" ")&amp;IF(人物卡!M6="","","性别:"&amp;人物卡!M6&amp;CHAR(9))&amp;IF(人物卡!E7="","","住地:"&amp;人物卡!E7&amp;CHAR(9))&amp;IF(人物卡!M7="","","出身:"&amp;人物卡!M7&amp;CHAR(9))</f>
        <v>时代:1920s	出身:（应包含国籍）	</v>
      </c>
      <c r="T37" s="1933"/>
      <c r="U37" s="1933"/>
      <c r="V37" s="1933"/>
      <c r="X37" s="1942" t="s">
        <v>99</v>
      </c>
      <c r="Y37" s="1811"/>
      <c r="AE37" s="1966">
        <v>1894.0</v>
      </c>
      <c r="AF37" s="1967" t="s">
        <v>1538</v>
      </c>
      <c r="AG37" s="1967" t="s">
        <v>1539</v>
      </c>
      <c r="AH37" s="1967"/>
      <c r="AI37" s="1967" t="s">
        <v>1540</v>
      </c>
      <c r="AJ37" s="1967" t="s">
        <v>1541</v>
      </c>
      <c r="AK37" s="1967"/>
      <c r="AL37" s="1967" t="s">
        <v>1498</v>
      </c>
      <c r="AM37" s="1967" t="s">
        <v>1542</v>
      </c>
      <c r="AN37" s="1967" t="s">
        <v>1543</v>
      </c>
      <c r="AO37" s="1967" t="s">
        <v>1544</v>
      </c>
      <c r="AP37" s="1968" t="s">
        <v>1545</v>
      </c>
      <c r="AQ37" s="1967" t="s">
        <v>1546</v>
      </c>
      <c r="AR37" s="1967" t="s">
        <v>1547</v>
      </c>
      <c r="AS37" s="1967" t="s">
        <v>1533</v>
      </c>
      <c r="AT37" s="1966">
        <v>1894.0</v>
      </c>
      <c r="AZ37" s="1975"/>
      <c r="BA37" s="1975"/>
      <c r="BB37" s="1975"/>
      <c r="BC37" s="1975"/>
      <c r="BD37" s="1975"/>
      <c r="BE37" s="1975"/>
      <c r="BF37" s="1975"/>
      <c r="BG37" s="1975"/>
      <c r="BH37" s="1975"/>
      <c r="BI37" s="1975"/>
      <c r="BJ37" s="1975"/>
      <c r="BK37" s="1975"/>
      <c r="BL37" s="1975"/>
      <c r="BM37" s="1975"/>
      <c r="BN37" s="1975"/>
      <c r="BO37" s="1975"/>
      <c r="BP37" s="1975"/>
      <c r="BQ37" s="1975"/>
      <c r="BR37" s="1975"/>
      <c r="BS37" s="1975"/>
      <c r="BT37" s="1819"/>
      <c r="BU37" s="1819"/>
      <c r="BV37" s="1819"/>
    </row>
    <row r="38" spans="8:8" ht="17.25" customHeight="1">
      <c r="B38" s="1976"/>
      <c r="C38" s="1980" t="s">
        <v>1548</v>
      </c>
      <c r="D38" s="1981"/>
      <c r="E38" s="1982"/>
      <c r="F38" s="1978"/>
      <c r="I38" s="1983" t="s">
        <v>1549</v>
      </c>
      <c r="J38" s="1984" t="s">
        <v>1550</v>
      </c>
      <c r="K38" s="1984" t="s">
        <v>1551</v>
      </c>
      <c r="L38" s="1984" t="s">
        <v>383</v>
      </c>
      <c r="M38" s="1984" t="s">
        <v>1552</v>
      </c>
      <c r="O38" s="1817" t="s">
        <v>1553</v>
      </c>
      <c r="P38" s="1818"/>
      <c r="Q38" s="1811"/>
      <c r="S38" s="1933"/>
      <c r="T38" s="1933"/>
      <c r="U38" s="1933"/>
      <c r="V38" s="1933"/>
      <c r="X38" s="1942" t="s">
        <v>101</v>
      </c>
      <c r="Y38" s="1811"/>
      <c r="AE38" s="1966">
        <v>1895.0</v>
      </c>
      <c r="AF38" s="1967" t="s">
        <v>1554</v>
      </c>
      <c r="AG38" s="1967" t="s">
        <v>1555</v>
      </c>
      <c r="AH38" s="1967"/>
      <c r="AI38" s="1967" t="s">
        <v>1556</v>
      </c>
      <c r="AJ38" s="1967" t="s">
        <v>1557</v>
      </c>
      <c r="AK38" s="1967"/>
      <c r="AL38" s="1967" t="s">
        <v>1498</v>
      </c>
      <c r="AM38" s="1967" t="s">
        <v>1558</v>
      </c>
      <c r="AN38" s="1967" t="s">
        <v>1559</v>
      </c>
      <c r="AO38" s="1967" t="s">
        <v>1560</v>
      </c>
      <c r="AP38" s="1968" t="s">
        <v>1545</v>
      </c>
      <c r="AQ38" s="1967" t="s">
        <v>1561</v>
      </c>
      <c r="AR38" s="1967" t="s">
        <v>1562</v>
      </c>
      <c r="AS38" s="1968" t="s">
        <v>1563</v>
      </c>
      <c r="AT38" s="1966">
        <v>1895.0</v>
      </c>
      <c r="AV38" s="1914">
        <f>IF(AV36="仅显示1890_2012","",VLOOKUP(AV36,AS33:AT155,2,FALSE))</f>
        <v>1894.0</v>
      </c>
      <c r="AZ38" s="1975"/>
      <c r="BA38" s="1975"/>
      <c r="BB38" s="1975"/>
      <c r="BC38" s="1975"/>
      <c r="BD38" s="1975"/>
      <c r="BE38" s="1975"/>
      <c r="BF38" s="1975"/>
      <c r="BG38" s="1975"/>
      <c r="BH38" s="1975"/>
      <c r="BI38" s="1975"/>
      <c r="BJ38" s="1975"/>
      <c r="BK38" s="1975"/>
      <c r="BL38" s="1975"/>
      <c r="BM38" s="1975"/>
      <c r="BN38" s="1975"/>
      <c r="BO38" s="1975"/>
      <c r="BP38" s="1975"/>
      <c r="BQ38" s="1975"/>
      <c r="BR38" s="1975"/>
      <c r="BS38" s="1975"/>
      <c r="BT38" s="1819"/>
      <c r="BU38" s="1819"/>
      <c r="BV38" s="1819"/>
    </row>
    <row r="39" spans="8:8" ht="17.25" customHeight="1">
      <c r="B39" s="1976">
        <v>15.0</v>
      </c>
      <c r="C39" s="1977">
        <v>19.0</v>
      </c>
      <c r="D39" s="1977" t="s">
        <v>1564</v>
      </c>
      <c r="E39" s="1977"/>
      <c r="F39" s="1978"/>
      <c r="I39" s="1985" t="s">
        <v>1565</v>
      </c>
      <c r="J39" s="1986" t="s">
        <v>1566</v>
      </c>
      <c r="K39" s="1987" t="s">
        <v>1567</v>
      </c>
      <c r="L39" s="1987" t="s">
        <v>1568</v>
      </c>
      <c r="M39" s="1986" t="s">
        <v>1569</v>
      </c>
      <c r="O39" s="1817" t="s">
        <v>1570</v>
      </c>
      <c r="P39" s="1818"/>
      <c r="Q39" s="1811"/>
      <c r="S39" s="1933" t="str">
        <f>IF(人物卡!I11="",""," 身体状态:"&amp;人物卡!I11&amp;CHAR(9))&amp;IF(人物卡!R11="",""," 精神状态:"&amp;人物卡!R11&amp;CHAR(9))</f>
        <v> 身体状态:健康	 精神状态:清醒	</v>
      </c>
      <c r="T39" s="1933"/>
      <c r="U39" s="1933"/>
      <c r="V39" s="1933"/>
      <c r="X39" s="1942" t="s">
        <v>105</v>
      </c>
      <c r="Y39" s="1811"/>
      <c r="AE39" s="1966">
        <v>1896.0</v>
      </c>
      <c r="AF39" s="1967" t="s">
        <v>1571</v>
      </c>
      <c r="AG39" s="1967"/>
      <c r="AH39" s="1967"/>
      <c r="AI39" s="1967" t="s">
        <v>1572</v>
      </c>
      <c r="AJ39" s="1967"/>
      <c r="AK39" s="1967"/>
      <c r="AL39" s="1967" t="s">
        <v>1498</v>
      </c>
      <c r="AM39" s="1967" t="s">
        <v>1573</v>
      </c>
      <c r="AN39" s="1967" t="s">
        <v>1574</v>
      </c>
      <c r="AO39" s="1968" t="s">
        <v>1575</v>
      </c>
      <c r="AP39" s="1968" t="s">
        <v>1545</v>
      </c>
      <c r="AQ39" s="1967" t="s">
        <v>1576</v>
      </c>
      <c r="AR39" s="1967" t="s">
        <v>1577</v>
      </c>
      <c r="AS39" s="1968" t="s">
        <v>1578</v>
      </c>
      <c r="AT39" s="1966">
        <v>1896.0</v>
      </c>
      <c r="AV39" s="1914"/>
      <c r="AZ39" s="1975"/>
      <c r="BA39" s="1975"/>
      <c r="BB39" s="1975"/>
      <c r="BC39" s="1975"/>
      <c r="BD39" s="1975"/>
      <c r="BE39" s="1975"/>
      <c r="BF39" s="1975"/>
      <c r="BG39" s="1975"/>
      <c r="BH39" s="1975"/>
      <c r="BI39" s="1975"/>
      <c r="BJ39" s="1975"/>
      <c r="BK39" s="1975"/>
      <c r="BL39" s="1975"/>
      <c r="BM39" s="1975"/>
      <c r="BN39" s="1975"/>
      <c r="BO39" s="1975"/>
      <c r="BP39" s="1975"/>
      <c r="BQ39" s="1975"/>
      <c r="BR39" s="1975"/>
      <c r="BS39" s="1975"/>
      <c r="BT39" s="1819"/>
      <c r="BU39" s="1819"/>
      <c r="BV39" s="1819"/>
    </row>
    <row r="40" spans="8:8" ht="17.25" customHeight="1">
      <c r="B40" s="1976">
        <v>20.0</v>
      </c>
      <c r="C40" s="1977">
        <v>39.0</v>
      </c>
      <c r="D40" s="1977" t="s">
        <v>1579</v>
      </c>
      <c r="E40" s="1977"/>
      <c r="F40" s="1978"/>
      <c r="I40" s="1988" t="s">
        <v>1580</v>
      </c>
      <c r="J40" s="1989" t="s">
        <v>1581</v>
      </c>
      <c r="K40" s="1990" t="s">
        <v>1582</v>
      </c>
      <c r="L40" s="1989" t="s">
        <v>1568</v>
      </c>
      <c r="M40" s="1989" t="s">
        <v>1583</v>
      </c>
      <c r="O40" s="1817" t="s">
        <v>1584</v>
      </c>
      <c r="P40" s="1818"/>
      <c r="Q40" s="1811"/>
      <c r="S40" s="1933" t="str">
        <f>IF(人物卡!AP52="","","&amp;DB="&amp;人物卡!AP52&amp;" 体格:"&amp;人物卡!AP55)&amp;IF(OR(人物卡!AP57="", ,人物卡!R29&lt;&gt;人物卡!J29),""," 闪避:"&amp;人物卡!AP57)&amp;IF(人物卡!AN10="",""," 护甲:"&amp;人物卡!AN10)</f>
        <v>&amp;DB=0 体格:0 闪避:0 护甲:无</v>
      </c>
      <c r="T40" s="1933"/>
      <c r="U40" s="1933"/>
      <c r="V40" s="1933"/>
      <c r="X40" s="1942" t="s">
        <v>107</v>
      </c>
      <c r="Y40" s="1811"/>
      <c r="AE40" s="1966">
        <v>1897.0</v>
      </c>
      <c r="AF40" s="1967" t="s">
        <v>88</v>
      </c>
      <c r="AG40" s="1967"/>
      <c r="AH40" s="1967"/>
      <c r="AI40" s="1967" t="s">
        <v>88</v>
      </c>
      <c r="AJ40" s="1967"/>
      <c r="AK40" s="1967"/>
      <c r="AL40" s="1967" t="s">
        <v>1498</v>
      </c>
      <c r="AM40" s="1967" t="s">
        <v>1585</v>
      </c>
      <c r="AN40" s="1967" t="s">
        <v>1586</v>
      </c>
      <c r="AO40" s="1968" t="s">
        <v>1587</v>
      </c>
      <c r="AP40" s="1968" t="s">
        <v>1588</v>
      </c>
      <c r="AQ40" s="1967" t="s">
        <v>1589</v>
      </c>
      <c r="AR40" s="1967" t="s">
        <v>1590</v>
      </c>
      <c r="AS40" s="1968" t="s">
        <v>1591</v>
      </c>
      <c r="AT40" s="1966">
        <v>1897.0</v>
      </c>
      <c r="AV40" s="1914"/>
      <c r="AZ40" s="1819"/>
      <c r="BA40" s="1819"/>
      <c r="BB40" s="1819"/>
      <c r="BC40" s="1819"/>
      <c r="BD40" s="1819"/>
      <c r="BE40" s="1819"/>
      <c r="BF40" s="1819"/>
      <c r="BG40" s="1819"/>
      <c r="BH40" s="1819"/>
      <c r="BI40" s="1819"/>
      <c r="BJ40" s="1819"/>
      <c r="BK40" s="1819"/>
      <c r="BL40" s="1819"/>
      <c r="BM40" s="1819"/>
      <c r="BN40" s="1819"/>
      <c r="BO40" s="1819"/>
      <c r="BP40" s="1819"/>
      <c r="BQ40" s="1819"/>
      <c r="BR40" s="1819"/>
      <c r="BS40" s="1819"/>
      <c r="BT40" s="1819"/>
      <c r="BU40" s="1819"/>
      <c r="BV40" s="1819"/>
    </row>
    <row r="41" spans="8:8" ht="17.25" customHeight="1">
      <c r="B41" s="1976">
        <v>40.0</v>
      </c>
      <c r="C41" s="1977">
        <v>49.0</v>
      </c>
      <c r="D41" s="1977" t="s">
        <v>1592</v>
      </c>
      <c r="E41" s="1977"/>
      <c r="F41" s="1978"/>
      <c r="I41" s="1985" t="s">
        <v>1593</v>
      </c>
      <c r="J41" s="1987" t="s">
        <v>1594</v>
      </c>
      <c r="K41" s="1986" t="s">
        <v>1595</v>
      </c>
      <c r="L41" s="1987" t="s">
        <v>383</v>
      </c>
      <c r="M41" s="1987" t="s">
        <v>1596</v>
      </c>
      <c r="O41" s="1817" t="s">
        <v>1597</v>
      </c>
      <c r="P41" s="1818"/>
      <c r="Q41" s="1811"/>
      <c r="S41" s="1933" t="str">
        <f>IF(人物卡!G54="",IF(人物卡!B54="",""," &amp;"&amp;人物卡!B54&amp;"="&amp;人物卡!W54)," &amp;"&amp;人物卡!B54&amp;"="&amp;VLOOKUP(人物卡!G54,'武器列表 战斗'!B2:T105,19,FALSE))</f>
        <v/>
      </c>
      <c r="T41" s="1933"/>
      <c r="U41" s="1933"/>
      <c r="V41" s="1933"/>
      <c r="X41" s="1942" t="s">
        <v>110</v>
      </c>
      <c r="Y41" s="1811"/>
      <c r="AE41" s="1966">
        <v>1898.0</v>
      </c>
      <c r="AF41" s="1967" t="s">
        <v>1598</v>
      </c>
      <c r="AG41" s="1991" t="s">
        <v>1599</v>
      </c>
      <c r="AH41" s="1967"/>
      <c r="AI41" s="1967" t="s">
        <v>1600</v>
      </c>
      <c r="AJ41" s="1967"/>
      <c r="AK41" s="1992"/>
      <c r="AL41" s="1967" t="s">
        <v>1601</v>
      </c>
      <c r="AM41" s="1967" t="s">
        <v>1602</v>
      </c>
      <c r="AN41" s="1967" t="s">
        <v>1603</v>
      </c>
      <c r="AO41" s="1967" t="s">
        <v>1604</v>
      </c>
      <c r="AP41" s="1968" t="s">
        <v>1605</v>
      </c>
      <c r="AQ41" s="1967" t="s">
        <v>1606</v>
      </c>
      <c r="AR41" s="1967" t="s">
        <v>1607</v>
      </c>
      <c r="AS41" s="1968" t="s">
        <v>1608</v>
      </c>
      <c r="AT41" s="1966">
        <v>1898.0</v>
      </c>
      <c r="AV41" s="1914"/>
      <c r="AW41" s="1819"/>
      <c r="AX41" s="1819"/>
      <c r="AY41" s="1819"/>
      <c r="AZ41" s="1819"/>
      <c r="BA41" s="1819"/>
      <c r="BB41" s="1819"/>
      <c r="BC41" s="1819"/>
      <c r="BD41" s="1819"/>
      <c r="BE41" s="1819"/>
      <c r="BF41" s="1819"/>
      <c r="BG41" s="1819"/>
      <c r="BH41" s="1819"/>
      <c r="BI41" s="1819"/>
      <c r="BJ41" s="1819"/>
      <c r="BK41" s="1819"/>
      <c r="BL41" s="1819"/>
      <c r="BM41" s="1819"/>
      <c r="BN41" s="1819"/>
      <c r="BO41" s="1819"/>
      <c r="BP41" s="1819"/>
      <c r="BQ41" s="1819"/>
      <c r="BR41" s="1819"/>
      <c r="BS41" s="1819"/>
      <c r="BT41" s="1819"/>
      <c r="BU41" s="1819"/>
      <c r="BV41" s="1819"/>
    </row>
    <row r="42" spans="8:8" ht="17.25" customHeight="1">
      <c r="B42" s="1976">
        <v>50.0</v>
      </c>
      <c r="C42" s="1977">
        <v>59.0</v>
      </c>
      <c r="D42" s="1977" t="s">
        <v>1609</v>
      </c>
      <c r="E42" s="1977"/>
      <c r="F42" s="1978"/>
      <c r="I42" s="1988" t="s">
        <v>1610</v>
      </c>
      <c r="J42" s="1989" t="s">
        <v>1611</v>
      </c>
      <c r="K42" s="1990" t="s">
        <v>1612</v>
      </c>
      <c r="L42" s="1989" t="s">
        <v>1613</v>
      </c>
      <c r="M42" s="1989" t="s">
        <v>1614</v>
      </c>
      <c r="O42" s="1817" t="s">
        <v>1615</v>
      </c>
      <c r="P42" s="1818"/>
      <c r="Q42" s="1811"/>
      <c r="S42" s="1933" t="str">
        <f>IF(人物卡!G55="",IF(人物卡!B55="",""," &amp;"&amp;人物卡!B55&amp;"="&amp;人物卡!W55)," &amp;"&amp;人物卡!B55&amp;"="&amp;VLOOKUP(人物卡!G55,'武器列表 战斗'!B2:T105,19,FALSE))</f>
        <v/>
      </c>
      <c r="T42" s="1933"/>
      <c r="U42" s="1933"/>
      <c r="V42" s="1933"/>
      <c r="X42" s="1942" t="s">
        <v>112</v>
      </c>
      <c r="Y42" s="1811"/>
      <c r="AE42" s="1966">
        <v>1899.0</v>
      </c>
      <c r="AF42" s="1968" t="s">
        <v>1616</v>
      </c>
      <c r="AG42" s="1967"/>
      <c r="AH42" s="1967"/>
      <c r="AI42" s="1967" t="s">
        <v>88</v>
      </c>
      <c r="AJ42" s="1967"/>
      <c r="AK42" s="1967"/>
      <c r="AL42" s="1967" t="s">
        <v>1498</v>
      </c>
      <c r="AM42" s="1967" t="s">
        <v>1617</v>
      </c>
      <c r="AN42" s="1967" t="s">
        <v>1618</v>
      </c>
      <c r="AO42" s="1968" t="s">
        <v>1619</v>
      </c>
      <c r="AP42" s="1968" t="s">
        <v>1605</v>
      </c>
      <c r="AQ42" s="1967" t="s">
        <v>1620</v>
      </c>
      <c r="AR42" s="1967" t="s">
        <v>1621</v>
      </c>
      <c r="AS42" s="1968" t="s">
        <v>1622</v>
      </c>
      <c r="AT42" s="1966">
        <v>1899.0</v>
      </c>
      <c r="AV42" s="1914"/>
      <c r="AW42" s="1819"/>
      <c r="AX42" s="1819"/>
      <c r="AY42" s="1819"/>
      <c r="AZ42" s="1819"/>
      <c r="BA42" s="1819"/>
      <c r="BB42" s="1819"/>
      <c r="BC42" s="1819"/>
      <c r="BD42" s="1819"/>
      <c r="BE42" s="1819"/>
      <c r="BF42" s="1819"/>
      <c r="BG42" s="1819"/>
      <c r="BH42" s="1819"/>
      <c r="BI42" s="1819"/>
      <c r="BJ42" s="1819"/>
      <c r="BK42" s="1819"/>
      <c r="BL42" s="1819"/>
      <c r="BM42" s="1819"/>
      <c r="BN42" s="1819"/>
      <c r="BO42" s="1819"/>
      <c r="BP42" s="1819"/>
      <c r="BQ42" s="1819"/>
      <c r="BR42" s="1819"/>
      <c r="BS42" s="1819"/>
      <c r="BT42" s="1819"/>
      <c r="BU42" s="1819"/>
      <c r="BV42" s="1819"/>
    </row>
    <row r="43" spans="8:8" ht="17.25" customHeight="1">
      <c r="B43" s="1976">
        <v>60.0</v>
      </c>
      <c r="C43" s="1977">
        <v>69.0</v>
      </c>
      <c r="D43" s="1977" t="s">
        <v>1623</v>
      </c>
      <c r="E43" s="1977"/>
      <c r="F43" s="1978"/>
      <c r="I43" s="1985" t="s">
        <v>1624</v>
      </c>
      <c r="J43" s="1987" t="s">
        <v>1625</v>
      </c>
      <c r="K43" s="1993" t="s">
        <v>1626</v>
      </c>
      <c r="L43" s="1986" t="s">
        <v>1568</v>
      </c>
      <c r="M43" s="1987" t="s">
        <v>1627</v>
      </c>
      <c r="O43" s="1817" t="s">
        <v>1628</v>
      </c>
      <c r="P43" s="1818"/>
      <c r="Q43" s="1811"/>
      <c r="S43" s="1933" t="str">
        <f>IF(人物卡!G56="",IF(人物卡!B56="",""," &amp;"&amp;人物卡!B56&amp;"="&amp;人物卡!W56)," &amp;"&amp;人物卡!B56&amp;"="&amp;VLOOKUP(人物卡!G56,'武器列表 战斗'!B2:T105,19,FALSE))</f>
        <v/>
      </c>
      <c r="T43" s="1933"/>
      <c r="U43" s="1933"/>
      <c r="V43" s="1933"/>
      <c r="X43" s="1942" t="s">
        <v>115</v>
      </c>
      <c r="Y43" s="1811"/>
      <c r="AE43" s="1966">
        <v>1900.0</v>
      </c>
      <c r="AF43" s="1967" t="s">
        <v>1629</v>
      </c>
      <c r="AG43" s="1967" t="s">
        <v>1630</v>
      </c>
      <c r="AH43" s="1967"/>
      <c r="AI43" s="1967" t="s">
        <v>1631</v>
      </c>
      <c r="AJ43" s="1967" t="s">
        <v>1632</v>
      </c>
      <c r="AK43" s="1967"/>
      <c r="AL43" s="1967" t="s">
        <v>1633</v>
      </c>
      <c r="AM43" s="1967" t="s">
        <v>1634</v>
      </c>
      <c r="AN43" s="1967" t="s">
        <v>1635</v>
      </c>
      <c r="AO43" s="1968" t="s">
        <v>1636</v>
      </c>
      <c r="AP43" s="1968" t="s">
        <v>1605</v>
      </c>
      <c r="AQ43" s="1967" t="s">
        <v>1637</v>
      </c>
      <c r="AR43" s="1967" t="s">
        <v>1638</v>
      </c>
      <c r="AS43" s="1968" t="s">
        <v>1639</v>
      </c>
      <c r="AT43" s="1966">
        <v>1900.0</v>
      </c>
      <c r="AV43" s="1914"/>
      <c r="AW43" s="1819"/>
      <c r="AX43" s="1819"/>
      <c r="AY43" s="1819"/>
      <c r="AZ43" s="1819"/>
      <c r="BA43" s="1819"/>
      <c r="BB43" s="1819"/>
      <c r="BC43" s="1819"/>
      <c r="BD43" s="1819"/>
      <c r="BE43" s="1819"/>
      <c r="BF43" s="1819"/>
      <c r="BG43" s="1819"/>
      <c r="BH43" s="1819"/>
      <c r="BI43" s="1819"/>
      <c r="BJ43" s="1819"/>
      <c r="BK43" s="1819"/>
      <c r="BL43" s="1819"/>
      <c r="BM43" s="1819"/>
      <c r="BN43" s="1819"/>
      <c r="BO43" s="1819"/>
      <c r="BP43" s="1819"/>
      <c r="BQ43" s="1819"/>
      <c r="BR43" s="1819"/>
      <c r="BS43" s="1819"/>
      <c r="BT43" s="1819"/>
      <c r="BU43" s="1819"/>
      <c r="BV43" s="1819"/>
    </row>
    <row r="44" spans="8:8" ht="17.25" customHeight="1">
      <c r="B44" s="1976">
        <v>70.0</v>
      </c>
      <c r="C44" s="1977">
        <v>79.0</v>
      </c>
      <c r="D44" s="1977" t="s">
        <v>1640</v>
      </c>
      <c r="E44" s="1977"/>
      <c r="F44" s="1978"/>
      <c r="I44" s="1988" t="s">
        <v>1641</v>
      </c>
      <c r="J44" s="1989" t="s">
        <v>1611</v>
      </c>
      <c r="K44" s="1819" t="s">
        <v>1642</v>
      </c>
      <c r="L44" s="1990" t="s">
        <v>1568</v>
      </c>
      <c r="M44" s="1989" t="s">
        <v>1643</v>
      </c>
      <c r="O44" s="1817" t="s">
        <v>1644</v>
      </c>
      <c r="P44" s="1818"/>
      <c r="Q44" s="1811"/>
      <c r="S44" s="1933" t="str">
        <f>S41&amp;S42&amp;S43</f>
        <v/>
      </c>
      <c r="T44" s="1933"/>
      <c r="U44" s="1933"/>
      <c r="V44" s="1933"/>
      <c r="X44" s="1952" t="s">
        <v>118</v>
      </c>
      <c r="Y44" s="1811"/>
      <c r="AE44" s="1966">
        <v>1901.0</v>
      </c>
      <c r="AF44" s="1967" t="s">
        <v>1645</v>
      </c>
      <c r="AG44" s="1967"/>
      <c r="AH44" s="1967"/>
      <c r="AI44" s="1967" t="s">
        <v>1646</v>
      </c>
      <c r="AJ44" s="1967"/>
      <c r="AK44" s="1967"/>
      <c r="AL44" s="1967" t="s">
        <v>1633</v>
      </c>
      <c r="AM44" s="1967" t="s">
        <v>1647</v>
      </c>
      <c r="AN44" s="1967" t="s">
        <v>1648</v>
      </c>
      <c r="AO44" s="1968" t="s">
        <v>1649</v>
      </c>
      <c r="AP44" s="1968" t="s">
        <v>1650</v>
      </c>
      <c r="AQ44" s="1967" t="s">
        <v>1651</v>
      </c>
      <c r="AR44" s="1967" t="s">
        <v>1652</v>
      </c>
      <c r="AS44" s="1968" t="s">
        <v>1653</v>
      </c>
      <c r="AT44" s="1966">
        <v>1901.0</v>
      </c>
      <c r="AV44" s="1914"/>
      <c r="AW44" s="1819"/>
      <c r="AX44" s="1819"/>
      <c r="AY44" s="1819"/>
      <c r="AZ44" s="1819"/>
      <c r="BA44" s="1819"/>
      <c r="BB44" s="1819"/>
      <c r="BC44" s="1819"/>
      <c r="BD44" s="1819"/>
      <c r="BE44" s="1819"/>
      <c r="BF44" s="1819"/>
      <c r="BG44" s="1819"/>
      <c r="BH44" s="1819"/>
      <c r="BI44" s="1819"/>
      <c r="BJ44" s="1819"/>
      <c r="BK44" s="1819"/>
      <c r="BL44" s="1819"/>
      <c r="BM44" s="1819"/>
      <c r="BN44" s="1819"/>
      <c r="BO44" s="1819"/>
      <c r="BP44" s="1819"/>
      <c r="BQ44" s="1819"/>
      <c r="BR44" s="1819"/>
      <c r="BS44" s="1819"/>
      <c r="BT44" s="1819"/>
      <c r="BU44" s="1819"/>
      <c r="BV44" s="1819"/>
    </row>
    <row r="45" spans="8:8" ht="17.25" customHeight="1">
      <c r="B45" s="1976">
        <v>80.0</v>
      </c>
      <c r="C45" s="1977">
        <v>89.0</v>
      </c>
      <c r="D45" s="1977" t="s">
        <v>1654</v>
      </c>
      <c r="E45" s="1977"/>
      <c r="F45" s="1978"/>
      <c r="I45" s="1985" t="s">
        <v>1655</v>
      </c>
      <c r="J45" s="1987" t="s">
        <v>1656</v>
      </c>
      <c r="K45" s="1986" t="s">
        <v>1657</v>
      </c>
      <c r="L45" s="1987" t="s">
        <v>1568</v>
      </c>
      <c r="M45" s="1987" t="s">
        <v>1658</v>
      </c>
      <c r="O45" s="1817" t="s">
        <v>1659</v>
      </c>
      <c r="P45" s="1818"/>
      <c r="Q45" s="1811"/>
      <c r="S45" s="1994"/>
      <c r="T45" s="1994"/>
      <c r="U45" s="1994"/>
      <c r="V45" s="1994"/>
      <c r="X45" s="1942" t="s">
        <v>122</v>
      </c>
      <c r="Y45" s="1811"/>
      <c r="AE45" s="1966">
        <v>1902.0</v>
      </c>
      <c r="AF45" s="1967" t="s">
        <v>1660</v>
      </c>
      <c r="AG45" s="1967"/>
      <c r="AH45" s="1967"/>
      <c r="AI45" s="1967" t="s">
        <v>88</v>
      </c>
      <c r="AJ45" s="1967"/>
      <c r="AK45" s="1967"/>
      <c r="AL45" s="1967" t="s">
        <v>1633</v>
      </c>
      <c r="AM45" s="1967" t="s">
        <v>1661</v>
      </c>
      <c r="AN45" s="1967" t="s">
        <v>1662</v>
      </c>
      <c r="AO45" s="1968" t="s">
        <v>1663</v>
      </c>
      <c r="AP45" s="1968" t="s">
        <v>1664</v>
      </c>
      <c r="AQ45" s="1967" t="s">
        <v>1665</v>
      </c>
      <c r="AR45" s="1967" t="s">
        <v>1666</v>
      </c>
      <c r="AS45" s="1968" t="s">
        <v>1667</v>
      </c>
      <c r="AT45" s="1966">
        <v>1902.0</v>
      </c>
      <c r="AV45" s="1914"/>
    </row>
    <row r="46" spans="8:8" ht="17.25" customHeight="1">
      <c r="B46" s="1976"/>
      <c r="C46" s="1995" t="s">
        <v>1668</v>
      </c>
      <c r="D46" s="1996" t="s">
        <v>1669</v>
      </c>
      <c r="E46" s="1997" t="s">
        <v>1670</v>
      </c>
      <c r="F46" s="1978"/>
      <c r="I46" s="1988" t="s">
        <v>1671</v>
      </c>
      <c r="J46" s="1819" t="s">
        <v>1625</v>
      </c>
      <c r="K46" s="1990" t="s">
        <v>1672</v>
      </c>
      <c r="L46" s="1819" t="s">
        <v>1673</v>
      </c>
      <c r="M46" s="1990" t="s">
        <v>1674</v>
      </c>
      <c r="O46" s="1817" t="s">
        <v>1675</v>
      </c>
      <c r="P46" s="1818"/>
      <c r="Q46" s="1811"/>
      <c r="S46" s="1933" t="str">
        <f>S24&amp;S37&amp;S39&amp;S40&amp;S44</f>
        <v>.st 力量0str0敏捷0dex0意志0pow0体质0con0外貌0app0教育0edu0体型0siz0智力0灵感0int0san0san值0理智0理智值0幸运0运气0mp0魔法0hp0体力0会计5人类学1估价5考古学1取悦15魅惑15攀爬20计算机5计算机使用5电脑5信用0信誉0信用评级0克苏鲁0克苏鲁神话0cm0乔装5闪避0汽车20驾驶20汽车驾驶20电气维修10电子学1话术5斗殴25手枪20急救30历史5恐吓15跳跃20母语0法律5图书馆20图书馆使用20聆听20开锁1撬锁1锁匠1机械维修10医学1博物学10自然学10领航10导航10神秘学5重型操作1重型机械1操作重型机械1重型1说服10精神分析1心理学10骑术5妙手10侦查25潜行20生存10游泳20投掷20追踪10动物驯养5潜水1爆破1读唇1催眠1炮术1时代:1920s	出身:（应包含国籍）	 身体状态:健康	 精神状态:清醒	&amp;DB=0 体格:0 闪避:0 护甲:无</v>
      </c>
      <c r="T46" s="1933"/>
      <c r="U46" s="1933"/>
      <c r="V46" s="1933"/>
      <c r="X46" s="1942" t="s">
        <v>127</v>
      </c>
      <c r="Y46" s="1811"/>
      <c r="AE46" s="1966">
        <v>1903.0</v>
      </c>
      <c r="AF46" s="1967" t="s">
        <v>88</v>
      </c>
      <c r="AG46" s="1967"/>
      <c r="AH46" s="1967"/>
      <c r="AI46" s="1967" t="s">
        <v>88</v>
      </c>
      <c r="AJ46" s="1967"/>
      <c r="AK46" s="1967"/>
      <c r="AL46" s="1967" t="s">
        <v>1633</v>
      </c>
      <c r="AM46" s="1967" t="s">
        <v>1676</v>
      </c>
      <c r="AN46" s="1967" t="s">
        <v>1677</v>
      </c>
      <c r="AO46" s="1967" t="s">
        <v>1678</v>
      </c>
      <c r="AP46" s="1968" t="s">
        <v>1664</v>
      </c>
      <c r="AQ46" s="1967" t="s">
        <v>1679</v>
      </c>
      <c r="AR46" s="1967" t="s">
        <v>1680</v>
      </c>
      <c r="AS46" s="1968" t="s">
        <v>1681</v>
      </c>
      <c r="AT46" s="1966">
        <v>1903.0</v>
      </c>
      <c r="AV46" s="1914"/>
      <c r="BB46" s="1974"/>
    </row>
    <row r="47" spans="8:8" ht="17.25" customHeight="1">
      <c r="B47" s="1976"/>
      <c r="C47" s="1998">
        <f>INT((C37-B45)/10)</f>
        <v>-8.0</v>
      </c>
      <c r="D47" s="1999">
        <f>80+80*C47</f>
        <v>-560.0</v>
      </c>
      <c r="E47" s="2000">
        <v>25.0</v>
      </c>
      <c r="F47" s="1978"/>
      <c r="I47" s="1993" t="s">
        <v>1682</v>
      </c>
      <c r="J47" s="1986" t="s">
        <v>1683</v>
      </c>
      <c r="K47" s="1986" t="s">
        <v>1684</v>
      </c>
      <c r="L47" s="1987" t="s">
        <v>1613</v>
      </c>
      <c r="M47" s="1987" t="s">
        <v>1685</v>
      </c>
      <c r="O47" s="1817" t="s">
        <v>1686</v>
      </c>
      <c r="P47" s="1818"/>
      <c r="Q47" s="1811"/>
      <c r="S47" s="1933"/>
      <c r="T47" s="1933"/>
      <c r="U47" s="1933"/>
      <c r="V47" s="1933"/>
      <c r="X47" s="1947" t="s">
        <v>129</v>
      </c>
      <c r="Y47" s="1811"/>
      <c r="AE47" s="1966">
        <v>1904.0</v>
      </c>
      <c r="AF47" s="1967" t="s">
        <v>1687</v>
      </c>
      <c r="AG47" s="1967" t="s">
        <v>1688</v>
      </c>
      <c r="AH47" s="1967"/>
      <c r="AI47" s="1967" t="s">
        <v>88</v>
      </c>
      <c r="AJ47" s="1967"/>
      <c r="AK47" s="1967"/>
      <c r="AL47" s="1967" t="s">
        <v>1633</v>
      </c>
      <c r="AM47" s="1967" t="s">
        <v>1689</v>
      </c>
      <c r="AN47" s="1967" t="s">
        <v>1690</v>
      </c>
      <c r="AO47" s="1968" t="s">
        <v>1691</v>
      </c>
      <c r="AP47" s="1968" t="s">
        <v>1664</v>
      </c>
      <c r="AQ47" s="1967" t="s">
        <v>1692</v>
      </c>
      <c r="AR47" s="1967" t="s">
        <v>1693</v>
      </c>
      <c r="AS47" s="1968" t="s">
        <v>1694</v>
      </c>
      <c r="AT47" s="1966">
        <v>1904.0</v>
      </c>
      <c r="AV47" s="1914"/>
      <c r="BB47" s="1974"/>
    </row>
    <row r="48" spans="8:8" ht="17.25" customHeight="1">
      <c r="B48" s="2001"/>
      <c r="C48" s="2002">
        <f>C37</f>
        <v>0.0</v>
      </c>
      <c r="D48" s="2003" t="str">
        <f>"进步*4,SCD共-"&amp;D47&amp;" A-"&amp;E47</f>
        <v>进步*4,SCD共--560 A-25</v>
      </c>
      <c r="E48" s="2004"/>
      <c r="F48" s="2005"/>
      <c r="G48" s="1916"/>
      <c r="H48" s="1915"/>
      <c r="I48" s="1819" t="s">
        <v>1695</v>
      </c>
      <c r="J48" s="1819" t="s">
        <v>1696</v>
      </c>
      <c r="K48" s="1990" t="s">
        <v>1697</v>
      </c>
      <c r="L48" s="1819" t="s">
        <v>1568</v>
      </c>
      <c r="M48" s="1990" t="s">
        <v>1698</v>
      </c>
      <c r="O48" s="1817" t="s">
        <v>1699</v>
      </c>
      <c r="P48" s="1818"/>
      <c r="Q48" s="1811"/>
      <c r="S48" s="1933"/>
      <c r="T48" s="1933"/>
      <c r="U48" s="1933"/>
      <c r="V48" s="1933"/>
      <c r="X48" s="1952" t="s">
        <v>133</v>
      </c>
      <c r="Y48" s="1811"/>
      <c r="AE48" s="1966">
        <v>1905.0</v>
      </c>
      <c r="AF48" s="1967" t="s">
        <v>1700</v>
      </c>
      <c r="AG48" s="1967"/>
      <c r="AH48" s="1967"/>
      <c r="AI48" s="1967" t="s">
        <v>88</v>
      </c>
      <c r="AJ48" s="1967"/>
      <c r="AK48" s="1967"/>
      <c r="AL48" s="1967" t="s">
        <v>1633</v>
      </c>
      <c r="AM48" s="1967" t="s">
        <v>1701</v>
      </c>
      <c r="AN48" s="1967" t="s">
        <v>1702</v>
      </c>
      <c r="AO48" s="1968" t="s">
        <v>1703</v>
      </c>
      <c r="AP48" s="1968" t="s">
        <v>1664</v>
      </c>
      <c r="AQ48" s="1967" t="s">
        <v>1704</v>
      </c>
      <c r="AR48" s="1967" t="s">
        <v>1705</v>
      </c>
      <c r="AS48" s="1968" t="s">
        <v>1706</v>
      </c>
      <c r="AT48" s="1966">
        <v>1905.0</v>
      </c>
      <c r="BB48" s="1974"/>
    </row>
    <row r="49" spans="8:8" ht="17.25" customHeight="1">
      <c r="I49" s="1819" t="s">
        <v>1707</v>
      </c>
      <c r="J49" s="1990" t="s">
        <v>206</v>
      </c>
      <c r="K49" s="1990" t="s">
        <v>206</v>
      </c>
      <c r="L49" s="1990" t="s">
        <v>206</v>
      </c>
      <c r="M49" s="1990" t="s">
        <v>206</v>
      </c>
      <c r="O49" s="1817" t="s">
        <v>1708</v>
      </c>
      <c r="P49" s="1818"/>
      <c r="Q49" s="1811"/>
      <c r="S49" s="1933"/>
      <c r="T49" s="1933"/>
      <c r="U49" s="1933"/>
      <c r="V49" s="1933"/>
      <c r="X49" s="1947" t="s">
        <v>135</v>
      </c>
      <c r="Y49" s="1811"/>
      <c r="AE49" s="1966">
        <v>1906.0</v>
      </c>
      <c r="AF49" s="1967" t="s">
        <v>1709</v>
      </c>
      <c r="AG49" s="1967" t="s">
        <v>1710</v>
      </c>
      <c r="AH49" s="1967"/>
      <c r="AI49" s="1967" t="s">
        <v>88</v>
      </c>
      <c r="AJ49" s="1967"/>
      <c r="AK49" s="1967"/>
      <c r="AL49" s="1967" t="s">
        <v>1633</v>
      </c>
      <c r="AM49" s="1967" t="s">
        <v>1711</v>
      </c>
      <c r="AN49" s="1967" t="s">
        <v>1712</v>
      </c>
      <c r="AO49" s="1968" t="s">
        <v>1713</v>
      </c>
      <c r="AP49" s="1968" t="s">
        <v>1664</v>
      </c>
      <c r="AQ49" s="1967" t="s">
        <v>1714</v>
      </c>
      <c r="AR49" s="1967" t="s">
        <v>1715</v>
      </c>
      <c r="AS49" s="1968" t="s">
        <v>1716</v>
      </c>
      <c r="AT49" s="1966">
        <v>1906.0</v>
      </c>
      <c r="BB49" s="1974"/>
    </row>
    <row r="50" spans="8:8" ht="17.25" customHeight="1">
      <c r="O50" s="1817" t="s">
        <v>1717</v>
      </c>
      <c r="P50" s="1818"/>
      <c r="Q50" s="1811"/>
      <c r="S50" s="1933"/>
      <c r="T50" s="1933"/>
      <c r="U50" s="1933"/>
      <c r="V50" s="1933"/>
      <c r="X50" s="1947" t="s">
        <v>137</v>
      </c>
      <c r="Y50" s="1811"/>
      <c r="AE50" s="1966">
        <v>1907.0</v>
      </c>
      <c r="AF50" s="1967" t="s">
        <v>88</v>
      </c>
      <c r="AG50" s="1967"/>
      <c r="AH50" s="1967"/>
      <c r="AI50" s="1967" t="s">
        <v>88</v>
      </c>
      <c r="AJ50" s="1967"/>
      <c r="AK50" s="1967"/>
      <c r="AL50" s="1967" t="s">
        <v>1633</v>
      </c>
      <c r="AM50" s="1967" t="s">
        <v>1718</v>
      </c>
      <c r="AN50" s="1967" t="s">
        <v>1719</v>
      </c>
      <c r="AO50" s="1968" t="s">
        <v>1720</v>
      </c>
      <c r="AP50" s="1968" t="s">
        <v>1664</v>
      </c>
      <c r="AQ50" s="1967" t="s">
        <v>1721</v>
      </c>
      <c r="AR50" s="1967" t="s">
        <v>1722</v>
      </c>
      <c r="AS50" s="1968" t="s">
        <v>1723</v>
      </c>
      <c r="AT50" s="1966">
        <v>1907.0</v>
      </c>
      <c r="BB50" s="1974"/>
    </row>
    <row r="51" spans="8:8" ht="17.25" customHeight="1">
      <c r="O51" s="1817" t="s">
        <v>1724</v>
      </c>
      <c r="P51" s="1818"/>
      <c r="Q51" s="1811"/>
      <c r="S51" s="1933"/>
      <c r="T51" s="1933"/>
      <c r="U51" s="1933"/>
      <c r="V51" s="1933"/>
      <c r="X51" s="1942" t="s">
        <v>139</v>
      </c>
      <c r="Y51" s="1811"/>
      <c r="AE51" s="1966">
        <v>1908.0</v>
      </c>
      <c r="AF51" s="1967" t="s">
        <v>1725</v>
      </c>
      <c r="AG51" s="1967"/>
      <c r="AH51" s="1967"/>
      <c r="AI51" s="1967" t="s">
        <v>88</v>
      </c>
      <c r="AJ51" s="1967"/>
      <c r="AK51" s="1967"/>
      <c r="AL51" s="1967" t="s">
        <v>1633</v>
      </c>
      <c r="AM51" s="1967" t="s">
        <v>1726</v>
      </c>
      <c r="AN51" s="1967" t="s">
        <v>1727</v>
      </c>
      <c r="AO51" s="1968" t="s">
        <v>1728</v>
      </c>
      <c r="AP51" s="1968" t="s">
        <v>1664</v>
      </c>
      <c r="AQ51" s="1967" t="s">
        <v>1729</v>
      </c>
      <c r="AR51" s="1967" t="s">
        <v>1730</v>
      </c>
      <c r="AS51" s="1968" t="s">
        <v>1731</v>
      </c>
      <c r="AT51" s="1966">
        <v>1908.0</v>
      </c>
      <c r="BA51" s="2006"/>
      <c r="BB51" s="1974"/>
      <c r="BC51" s="2006"/>
      <c r="BD51" s="2006"/>
      <c r="BE51" s="2006"/>
      <c r="BF51" s="2006"/>
      <c r="BG51" s="2006"/>
      <c r="BH51" s="2006"/>
      <c r="BI51" s="2006"/>
      <c r="BJ51" s="2006"/>
      <c r="BK51" s="2006"/>
      <c r="BL51" s="2006"/>
      <c r="BM51" s="2006"/>
    </row>
    <row r="52" spans="8:8" ht="17.25" customHeight="1">
      <c r="E52" s="2007" t="str">
        <f>IF(人物卡!M5=0," ","["&amp;LOOKUP(人物卡!M5,职业列表!A2:A232,职业列表!B2:B232)&amp;"]")</f>
        <v> </v>
      </c>
      <c r="F52" s="2008"/>
      <c r="G52" s="2008"/>
      <c r="H52" s="2009" t="s">
        <v>1732</v>
      </c>
      <c r="I52" s="2010"/>
      <c r="J52" s="2011" t="str">
        <f>IF(人物卡!M5=0," ","["&amp;LOOKUP(人物卡!M5,职业列表!A2:C232,职业列表!E2:E232)&amp;"]")</f>
        <v> </v>
      </c>
      <c r="K52" s="2012"/>
      <c r="O52" s="1817" t="s">
        <v>1733</v>
      </c>
      <c r="P52" s="1818"/>
      <c r="Q52" s="1811"/>
      <c r="S52" s="1933"/>
      <c r="T52" s="1933"/>
      <c r="U52" s="1933"/>
      <c r="V52" s="1933"/>
      <c r="X52" s="1942" t="s">
        <v>141</v>
      </c>
      <c r="Y52" s="1811"/>
      <c r="AE52" s="1966">
        <v>1909.0</v>
      </c>
      <c r="AF52" s="1967" t="s">
        <v>88</v>
      </c>
      <c r="AG52" s="1967"/>
      <c r="AH52" s="1967"/>
      <c r="AI52" s="1967" t="s">
        <v>88</v>
      </c>
      <c r="AJ52" s="1967"/>
      <c r="AK52" s="1967"/>
      <c r="AL52" s="1967" t="s">
        <v>1734</v>
      </c>
      <c r="AM52" s="1967" t="s">
        <v>1735</v>
      </c>
      <c r="AN52" s="1967" t="s">
        <v>1736</v>
      </c>
      <c r="AO52" s="1968" t="s">
        <v>1737</v>
      </c>
      <c r="AP52" s="1968" t="s">
        <v>1738</v>
      </c>
      <c r="AQ52" s="1967" t="s">
        <v>1739</v>
      </c>
      <c r="AR52" s="1967" t="s">
        <v>1740</v>
      </c>
      <c r="AS52" s="1968" t="s">
        <v>1741</v>
      </c>
      <c r="AT52" s="1966">
        <v>1909.0</v>
      </c>
      <c r="BA52" s="2013"/>
      <c r="BB52" s="1974"/>
      <c r="BC52" s="1819"/>
      <c r="BD52" s="2014"/>
      <c r="BE52" s="2014"/>
      <c r="BF52" s="2013"/>
      <c r="BG52" s="2013"/>
      <c r="BH52" s="2013"/>
      <c r="BI52" s="2013"/>
      <c r="BJ52" s="2013"/>
      <c r="BK52" s="2013"/>
      <c r="BL52" s="2013"/>
      <c r="BM52" s="2013"/>
    </row>
    <row r="53" spans="8:8" ht="17.25" customHeight="1">
      <c r="E53" s="2015" t="str">
        <f>IF(人物卡!M5=0," ","["&amp;LOOKUP(人物卡!M5,职业列表!A2:A232,职业列表!B2:B232)&amp;"]的本职技能："&amp;LOOKUP(人物卡!M5,职业列表!A2:A232,职业列表!G2:G232))</f>
        <v> </v>
      </c>
      <c r="F53" s="2016"/>
      <c r="G53" s="2016"/>
      <c r="H53" s="2016"/>
      <c r="I53" s="2017"/>
      <c r="J53" s="2018" t="str">
        <f>IF(人物卡!M5=0," ",LOOKUP(人物卡!M5,职业列表!A2:C232,职业列表!F2:F232))</f>
        <v> </v>
      </c>
      <c r="K53" s="2019"/>
      <c r="O53" s="1817" t="s">
        <v>1742</v>
      </c>
      <c r="P53" s="1818"/>
      <c r="Q53" s="1811"/>
      <c r="S53" s="1933"/>
      <c r="T53" s="1933"/>
      <c r="U53" s="1933"/>
      <c r="V53" s="1933"/>
      <c r="X53" s="1942" t="s">
        <v>144</v>
      </c>
      <c r="Y53" s="1811"/>
      <c r="AE53" s="1966">
        <v>1910.0</v>
      </c>
      <c r="AF53" s="1967" t="s">
        <v>88</v>
      </c>
      <c r="AG53" s="1967"/>
      <c r="AH53" s="1967"/>
      <c r="AI53" s="1967" t="s">
        <v>88</v>
      </c>
      <c r="AJ53" s="1967"/>
      <c r="AK53" s="1967"/>
      <c r="AL53" s="1967" t="s">
        <v>1743</v>
      </c>
      <c r="AM53" s="1967" t="s">
        <v>1744</v>
      </c>
      <c r="AN53" s="1967" t="s">
        <v>1745</v>
      </c>
      <c r="AO53" s="1968" t="s">
        <v>1746</v>
      </c>
      <c r="AP53" s="1968" t="s">
        <v>1747</v>
      </c>
      <c r="AQ53" s="1967" t="s">
        <v>1748</v>
      </c>
      <c r="AR53" s="1967" t="s">
        <v>1749</v>
      </c>
      <c r="AS53" s="1968" t="s">
        <v>1750</v>
      </c>
      <c r="AT53" s="1966">
        <v>1910.0</v>
      </c>
      <c r="BA53" s="2013"/>
      <c r="BB53" s="1974"/>
      <c r="BC53" s="1819"/>
      <c r="BD53" s="2014"/>
      <c r="BE53" s="2014"/>
      <c r="BF53" s="2013"/>
      <c r="BG53" s="2013"/>
      <c r="BH53" s="2013"/>
      <c r="BI53" s="2013"/>
      <c r="BJ53" s="2013"/>
      <c r="BK53" s="2013"/>
      <c r="BL53" s="2013"/>
      <c r="BM53" s="2013"/>
    </row>
    <row r="54" spans="8:8" ht="17.25" customHeight="1">
      <c r="E54" s="2020"/>
      <c r="F54" s="2021"/>
      <c r="G54" s="2021"/>
      <c r="H54" s="2021"/>
      <c r="I54" s="2022"/>
      <c r="J54" s="2023"/>
      <c r="K54" s="2024"/>
      <c r="O54" s="1817" t="s">
        <v>1751</v>
      </c>
      <c r="P54" s="1818"/>
      <c r="Q54" s="1811"/>
      <c r="S54" s="1933"/>
      <c r="T54" s="1933"/>
      <c r="U54" s="1933"/>
      <c r="V54" s="1933"/>
      <c r="X54" s="1942" t="s">
        <v>146</v>
      </c>
      <c r="Y54" s="1811"/>
      <c r="AE54" s="1966">
        <v>1911.0</v>
      </c>
      <c r="AF54" s="1967" t="s">
        <v>88</v>
      </c>
      <c r="AG54" s="1967"/>
      <c r="AH54" s="1967"/>
      <c r="AI54" s="1967" t="s">
        <v>1752</v>
      </c>
      <c r="AJ54" s="1967"/>
      <c r="AK54" s="1967"/>
      <c r="AL54" s="1967" t="s">
        <v>1753</v>
      </c>
      <c r="AM54" s="1967" t="s">
        <v>1754</v>
      </c>
      <c r="AN54" s="1967" t="s">
        <v>1755</v>
      </c>
      <c r="AO54" s="1968" t="s">
        <v>1756</v>
      </c>
      <c r="AP54" s="1967" t="s">
        <v>1757</v>
      </c>
      <c r="AQ54" s="1967" t="s">
        <v>1758</v>
      </c>
      <c r="AR54" s="1967" t="s">
        <v>1759</v>
      </c>
      <c r="AS54" s="1968" t="s">
        <v>1760</v>
      </c>
      <c r="AT54" s="1966">
        <v>1911.0</v>
      </c>
      <c r="BA54" s="2013"/>
      <c r="BB54" s="1974"/>
      <c r="BC54" s="1819"/>
      <c r="BD54" s="1819"/>
      <c r="BE54" s="1819"/>
      <c r="BF54" s="2013"/>
      <c r="BG54" s="2013"/>
      <c r="BH54" s="2013"/>
      <c r="BI54" s="2013"/>
      <c r="BJ54" s="2013"/>
      <c r="BK54" s="2013"/>
      <c r="BL54" s="2013"/>
      <c r="BM54" s="2013"/>
    </row>
    <row r="55" spans="8:8" ht="17.25" customHeight="1">
      <c r="E55" s="2020"/>
      <c r="F55" s="2021"/>
      <c r="G55" s="2021"/>
      <c r="H55" s="2021"/>
      <c r="I55" s="2022"/>
      <c r="J55" s="2023"/>
      <c r="K55" s="2024"/>
      <c r="O55" s="1817" t="s">
        <v>1761</v>
      </c>
      <c r="P55" s="1818"/>
      <c r="Q55" s="1811"/>
      <c r="S55" s="1933"/>
      <c r="T55" s="1933"/>
      <c r="U55" s="1933"/>
      <c r="V55" s="1933"/>
      <c r="X55" s="1947" t="s">
        <v>148</v>
      </c>
      <c r="Y55" s="1811"/>
      <c r="AE55" s="1966">
        <v>1912.0</v>
      </c>
      <c r="AF55" s="1967" t="s">
        <v>1762</v>
      </c>
      <c r="AG55" s="1967" t="s">
        <v>1763</v>
      </c>
      <c r="AH55" s="1967"/>
      <c r="AI55" s="1967" t="s">
        <v>1764</v>
      </c>
      <c r="AJ55" s="1967" t="s">
        <v>1765</v>
      </c>
      <c r="AK55" s="1967"/>
      <c r="AL55" s="1967" t="s">
        <v>1766</v>
      </c>
      <c r="AM55" s="1967" t="s">
        <v>1767</v>
      </c>
      <c r="AN55" s="1967" t="s">
        <v>1768</v>
      </c>
      <c r="AO55" s="1968" t="s">
        <v>1769</v>
      </c>
      <c r="AP55" s="1968" t="s">
        <v>1747</v>
      </c>
      <c r="AQ55" s="1967" t="s">
        <v>1770</v>
      </c>
      <c r="AR55" s="1968" t="s">
        <v>1771</v>
      </c>
      <c r="AS55" s="1968" t="s">
        <v>1772</v>
      </c>
      <c r="AT55" s="1966">
        <v>1912.0</v>
      </c>
      <c r="AZ55" s="2013"/>
      <c r="BA55" s="1819"/>
      <c r="BB55" s="1974"/>
      <c r="BC55" s="2013"/>
      <c r="BD55" s="2013"/>
      <c r="BE55" s="2013"/>
      <c r="BF55" s="2013"/>
      <c r="BG55" s="2013"/>
      <c r="BH55" s="2013"/>
      <c r="BI55" s="2013"/>
      <c r="BJ55" s="2013"/>
      <c r="BK55" s="2013"/>
      <c r="BL55" s="2013"/>
    </row>
    <row r="56" spans="8:8" ht="17.25" customHeight="1">
      <c r="E56" s="2020"/>
      <c r="F56" s="2021"/>
      <c r="G56" s="2021"/>
      <c r="H56" s="2021"/>
      <c r="I56" s="2022"/>
      <c r="J56" s="2023"/>
      <c r="K56" s="2024"/>
      <c r="O56" s="1817" t="s">
        <v>1773</v>
      </c>
      <c r="P56" s="1818"/>
      <c r="Q56" s="1811"/>
      <c r="S56" s="1933"/>
      <c r="T56" s="1933"/>
      <c r="U56" s="1933"/>
      <c r="V56" s="1933"/>
      <c r="X56" s="1952" t="s">
        <v>150</v>
      </c>
      <c r="Y56" s="1811"/>
      <c r="AE56" s="1966">
        <v>1913.0</v>
      </c>
      <c r="AF56" s="1967" t="s">
        <v>1774</v>
      </c>
      <c r="AG56" s="1967"/>
      <c r="AH56" s="1967"/>
      <c r="AI56" s="1967" t="s">
        <v>88</v>
      </c>
      <c r="AJ56" s="1967"/>
      <c r="AK56" s="1967"/>
      <c r="AL56" s="1968" t="s">
        <v>1775</v>
      </c>
      <c r="AM56" s="1967" t="s">
        <v>1776</v>
      </c>
      <c r="AN56" s="1967" t="s">
        <v>1777</v>
      </c>
      <c r="AO56" s="1968" t="s">
        <v>1778</v>
      </c>
      <c r="AP56" s="1968" t="s">
        <v>1779</v>
      </c>
      <c r="AQ56" s="1967" t="s">
        <v>1770</v>
      </c>
      <c r="AR56" s="1968" t="s">
        <v>1780</v>
      </c>
      <c r="AS56" s="1968"/>
      <c r="AT56" s="1966">
        <v>1913.0</v>
      </c>
      <c r="AZ56" s="2013"/>
      <c r="BA56" s="1819"/>
      <c r="BB56" s="1974"/>
      <c r="BC56" s="1819"/>
      <c r="BD56" s="1819"/>
      <c r="BE56" s="2013"/>
      <c r="BF56" s="2013"/>
      <c r="BG56" s="2013"/>
      <c r="BH56" s="2013"/>
      <c r="BI56" s="2013"/>
      <c r="BJ56" s="2013"/>
      <c r="BK56" s="2013"/>
      <c r="BL56" s="2013"/>
    </row>
    <row r="57" spans="8:8" ht="17.25" customHeight="1">
      <c r="E57" s="2020"/>
      <c r="F57" s="2021"/>
      <c r="G57" s="2021"/>
      <c r="H57" s="2021"/>
      <c r="I57" s="2022"/>
      <c r="J57" s="2023"/>
      <c r="K57" s="2024"/>
      <c r="O57" s="1817" t="s">
        <v>196</v>
      </c>
      <c r="P57" s="1818"/>
      <c r="Q57" s="1811"/>
      <c r="S57" s="1933"/>
      <c r="T57" s="1933"/>
      <c r="U57" s="1933"/>
      <c r="V57" s="1933"/>
      <c r="X57" s="1947" t="s">
        <v>152</v>
      </c>
      <c r="Y57" s="1811"/>
      <c r="AE57" s="1966">
        <v>1914.0</v>
      </c>
      <c r="AF57" s="1968" t="s">
        <v>1781</v>
      </c>
      <c r="AG57" s="1968"/>
      <c r="AH57" s="1968"/>
      <c r="AI57" s="1967" t="s">
        <v>88</v>
      </c>
      <c r="AJ57" s="1967"/>
      <c r="AK57" s="1967"/>
      <c r="AL57" s="1968" t="s">
        <v>1775</v>
      </c>
      <c r="AM57" s="1967" t="s">
        <v>1782</v>
      </c>
      <c r="AN57" s="1967" t="s">
        <v>1783</v>
      </c>
      <c r="AO57" s="1967" t="s">
        <v>1784</v>
      </c>
      <c r="AP57" s="1968" t="s">
        <v>1785</v>
      </c>
      <c r="AQ57" s="1967" t="s">
        <v>1770</v>
      </c>
      <c r="AR57" s="1968" t="s">
        <v>1780</v>
      </c>
      <c r="AS57" s="1968"/>
      <c r="AT57" s="1966">
        <v>1914.0</v>
      </c>
      <c r="AZ57" s="2025"/>
      <c r="BA57" s="1819"/>
      <c r="BB57" s="1974"/>
      <c r="BC57" s="2026"/>
      <c r="BD57" s="2026"/>
      <c r="BE57" s="2013"/>
      <c r="BF57" s="2013"/>
      <c r="BG57" s="2013"/>
      <c r="BH57" s="2013"/>
      <c r="BI57" s="2013"/>
      <c r="BJ57" s="2013"/>
      <c r="BK57" s="2013"/>
      <c r="BL57" s="2013"/>
    </row>
    <row r="58" spans="8:8" ht="17.25" customHeight="1">
      <c r="E58" s="2027"/>
      <c r="F58" s="2028"/>
      <c r="G58" s="2028"/>
      <c r="H58" s="2028"/>
      <c r="I58" s="2029"/>
      <c r="J58" s="2030"/>
      <c r="K58" s="2031"/>
      <c r="O58" s="1841" t="s">
        <v>206</v>
      </c>
      <c r="P58" s="1842"/>
      <c r="Q58" s="1843"/>
      <c r="S58" s="1933"/>
      <c r="T58" s="1933"/>
      <c r="U58" s="1933"/>
      <c r="V58" s="1933"/>
      <c r="X58" s="1942" t="s">
        <v>154</v>
      </c>
      <c r="Y58" s="1811"/>
      <c r="AE58" s="1966">
        <v>1915.0</v>
      </c>
      <c r="AF58" s="1968" t="s">
        <v>1781</v>
      </c>
      <c r="AG58" s="1968"/>
      <c r="AH58" s="1968"/>
      <c r="AI58" s="1967" t="s">
        <v>1786</v>
      </c>
      <c r="AJ58" s="1967"/>
      <c r="AK58" s="1967"/>
      <c r="AL58" s="1968" t="s">
        <v>1775</v>
      </c>
      <c r="AM58" s="1967" t="s">
        <v>1787</v>
      </c>
      <c r="AN58" s="1967" t="s">
        <v>1788</v>
      </c>
      <c r="AO58" s="1968" t="s">
        <v>1789</v>
      </c>
      <c r="AP58" s="1968" t="s">
        <v>1785</v>
      </c>
      <c r="AQ58" s="1967" t="s">
        <v>1790</v>
      </c>
      <c r="AR58" s="1968" t="s">
        <v>1780</v>
      </c>
      <c r="AS58" s="1968" t="s">
        <v>1791</v>
      </c>
      <c r="AT58" s="1966">
        <v>1915.0</v>
      </c>
      <c r="BA58" s="2032"/>
      <c r="BB58" s="1974"/>
      <c r="BC58" s="2025"/>
      <c r="BD58" s="2025"/>
      <c r="BE58" s="2025"/>
      <c r="BF58" s="2033"/>
      <c r="BG58" s="2033"/>
      <c r="BH58" s="2034"/>
      <c r="BI58" s="2034"/>
      <c r="BJ58" s="2033"/>
      <c r="BK58" s="2033"/>
      <c r="BL58" s="2034"/>
      <c r="BM58" s="2034"/>
    </row>
    <row r="59" spans="8:8" ht="17.25" customHeight="1">
      <c r="E59" s="1791" t="str">
        <f>IF(人物卡!M5=0," ",LOOKUP(人物卡!M5,职业列表!A2:C232,职业列表!E2:E232))</f>
        <v> </v>
      </c>
      <c r="S59" s="1933"/>
      <c r="T59" s="1933"/>
      <c r="U59" s="1933"/>
      <c r="V59" s="1933"/>
      <c r="X59" s="1942" t="s">
        <v>58</v>
      </c>
      <c r="Y59" s="1811"/>
      <c r="AE59" s="1966">
        <v>1916.0</v>
      </c>
      <c r="AF59" s="1967" t="s">
        <v>1781</v>
      </c>
      <c r="AG59" s="1967" t="s">
        <v>1792</v>
      </c>
      <c r="AH59" s="1967"/>
      <c r="AI59" s="1967" t="s">
        <v>1793</v>
      </c>
      <c r="AJ59" s="1967"/>
      <c r="AK59" s="1967"/>
      <c r="AL59" s="1968" t="s">
        <v>1775</v>
      </c>
      <c r="AM59" s="1967" t="s">
        <v>1794</v>
      </c>
      <c r="AN59" s="1967" t="s">
        <v>1795</v>
      </c>
      <c r="AO59" s="1968" t="s">
        <v>1796</v>
      </c>
      <c r="AP59" s="1968" t="s">
        <v>1785</v>
      </c>
      <c r="AQ59" s="1967" t="s">
        <v>1797</v>
      </c>
      <c r="AR59" s="1968" t="s">
        <v>1798</v>
      </c>
      <c r="AS59" s="1968" t="s">
        <v>1799</v>
      </c>
      <c r="AT59" s="1966">
        <v>1916.0</v>
      </c>
      <c r="BA59" s="2032"/>
      <c r="BB59" s="1974"/>
      <c r="BC59" s="2025"/>
      <c r="BD59" s="2025"/>
      <c r="BE59" s="2025"/>
      <c r="BF59" s="2033"/>
      <c r="BG59" s="2033"/>
      <c r="BH59" s="2034"/>
      <c r="BI59" s="2034"/>
      <c r="BJ59" s="2033"/>
      <c r="BK59" s="2033"/>
      <c r="BL59" s="2034"/>
      <c r="BM59" s="2034"/>
    </row>
    <row r="60" spans="8:8" ht="17.25" customHeight="1">
      <c r="S60" s="1933"/>
      <c r="T60" s="1933"/>
      <c r="U60" s="1933"/>
      <c r="V60" s="1933"/>
      <c r="X60" s="1942" t="s">
        <v>60</v>
      </c>
      <c r="Y60" s="1811"/>
      <c r="AE60" s="1966">
        <v>1917.0</v>
      </c>
      <c r="AF60" s="1967" t="s">
        <v>1781</v>
      </c>
      <c r="AG60" s="1967" t="s">
        <v>1800</v>
      </c>
      <c r="AH60" s="1967"/>
      <c r="AI60" s="1967" t="s">
        <v>1801</v>
      </c>
      <c r="AJ60" s="1967" t="s">
        <v>1802</v>
      </c>
      <c r="AK60" s="1967"/>
      <c r="AL60" s="1968" t="s">
        <v>1775</v>
      </c>
      <c r="AM60" s="1967" t="s">
        <v>1803</v>
      </c>
      <c r="AN60" s="1967" t="s">
        <v>1804</v>
      </c>
      <c r="AO60" s="1968" t="s">
        <v>1805</v>
      </c>
      <c r="AP60" s="1968" t="s">
        <v>1785</v>
      </c>
      <c r="AQ60" s="1967" t="s">
        <v>1806</v>
      </c>
      <c r="AR60" s="1968" t="s">
        <v>1807</v>
      </c>
      <c r="AS60" s="1968" t="s">
        <v>1808</v>
      </c>
      <c r="AT60" s="1966">
        <v>1917.0</v>
      </c>
      <c r="AV60" s="2032"/>
      <c r="AW60" s="2032"/>
      <c r="AX60" s="2032"/>
      <c r="AY60" s="2032"/>
      <c r="AZ60" s="2032"/>
      <c r="BA60" s="2025"/>
      <c r="BB60" s="1974"/>
      <c r="BC60" s="2025"/>
      <c r="BD60" s="2025"/>
      <c r="BE60" s="2033"/>
      <c r="BF60" s="2033"/>
      <c r="BG60" s="2034"/>
      <c r="BH60" s="2034"/>
      <c r="BI60" s="2033"/>
      <c r="BJ60" s="2033"/>
      <c r="BK60" s="2034"/>
      <c r="BL60" s="2034"/>
    </row>
    <row r="61" spans="8:8" ht="17.25" customHeight="1">
      <c r="S61" s="1933"/>
      <c r="T61" s="1933"/>
      <c r="U61" s="1933"/>
      <c r="V61" s="1933"/>
      <c r="X61" s="1942" t="s">
        <v>64</v>
      </c>
      <c r="Y61" s="1811"/>
      <c r="AB61" s="1791" t="e">
        <f ca="1">IF(ISBLANK(人物卡!#REF!),"",人物卡!#REF!)</f>
        <v>#REF!</v>
      </c>
      <c r="AE61" s="1966">
        <v>1918.0</v>
      </c>
      <c r="AF61" s="1968" t="s">
        <v>1781</v>
      </c>
      <c r="AG61" s="1968"/>
      <c r="AH61" s="1968"/>
      <c r="AI61" s="1967" t="s">
        <v>88</v>
      </c>
      <c r="AJ61" s="1967"/>
      <c r="AK61" s="1967"/>
      <c r="AL61" s="1968" t="s">
        <v>1775</v>
      </c>
      <c r="AM61" s="1967" t="s">
        <v>1809</v>
      </c>
      <c r="AN61" s="1967" t="s">
        <v>1810</v>
      </c>
      <c r="AO61" s="1968" t="s">
        <v>1811</v>
      </c>
      <c r="AP61" s="1968" t="s">
        <v>1785</v>
      </c>
      <c r="AQ61" s="1967" t="s">
        <v>1812</v>
      </c>
      <c r="AR61" s="1968" t="s">
        <v>1813</v>
      </c>
      <c r="AS61" s="1968" t="s">
        <v>1814</v>
      </c>
      <c r="AT61" s="1966">
        <v>1918.0</v>
      </c>
      <c r="AV61" s="2032"/>
      <c r="AW61" s="2032"/>
      <c r="AX61" s="2032"/>
      <c r="AY61" s="2032"/>
      <c r="AZ61" s="2032"/>
      <c r="BA61" s="2032"/>
      <c r="BB61" s="1974"/>
      <c r="BC61" s="2025"/>
      <c r="BD61" s="2025"/>
      <c r="BE61" s="2025"/>
      <c r="BF61" s="2033"/>
      <c r="BG61" s="2033"/>
      <c r="BH61" s="2034"/>
      <c r="BI61" s="2034"/>
      <c r="BJ61" s="2033"/>
      <c r="BK61" s="2033"/>
      <c r="BL61" s="2034"/>
      <c r="BM61" s="2034"/>
    </row>
    <row r="62" spans="8:8" ht="17.25" customHeight="1">
      <c r="X62" s="1942" t="s">
        <v>67</v>
      </c>
      <c r="Y62" s="1811"/>
      <c r="AE62" s="1966">
        <v>1919.0</v>
      </c>
      <c r="AF62" s="1967" t="s">
        <v>1815</v>
      </c>
      <c r="AG62" s="1967"/>
      <c r="AH62" s="1967"/>
      <c r="AI62" s="1967" t="s">
        <v>1816</v>
      </c>
      <c r="AJ62" s="1967"/>
      <c r="AK62" s="1967"/>
      <c r="AL62" s="1968" t="s">
        <v>1775</v>
      </c>
      <c r="AM62" s="1967" t="s">
        <v>1817</v>
      </c>
      <c r="AN62" s="1967" t="s">
        <v>1818</v>
      </c>
      <c r="AO62" s="2035" t="s">
        <v>1819</v>
      </c>
      <c r="AP62" s="1967" t="s">
        <v>1820</v>
      </c>
      <c r="AQ62" s="1967" t="s">
        <v>1821</v>
      </c>
      <c r="AR62" s="1968" t="s">
        <v>1822</v>
      </c>
      <c r="AS62" s="2035" t="s">
        <v>1823</v>
      </c>
      <c r="AT62" s="1966">
        <v>1919.0</v>
      </c>
      <c r="AV62" s="2032"/>
      <c r="AW62" s="2032"/>
      <c r="AX62" s="2032"/>
      <c r="AY62" s="2032"/>
      <c r="AZ62" s="2032"/>
      <c r="BA62" s="2032"/>
      <c r="BB62" s="1974"/>
      <c r="BC62" s="2025"/>
      <c r="BD62" s="2025"/>
      <c r="BE62" s="2025"/>
      <c r="BF62" s="2033"/>
      <c r="BG62" s="2033"/>
      <c r="BH62" s="2034"/>
      <c r="BI62" s="2034"/>
      <c r="BJ62" s="2033"/>
      <c r="BK62" s="2033"/>
      <c r="BL62" s="2034"/>
      <c r="BM62" s="2034"/>
    </row>
    <row r="63" spans="8:8" ht="17.25" customHeight="1">
      <c r="S63" s="1930" t="str">
        <f>".st "&amp;人物卡!E3&amp;"-"&amp;"力量"&amp;G14&amp;"str"&amp;G14&amp;"敏捷"&amp;J14&amp;"dex"&amp;J14&amp;"意志"&amp;M14&amp;"pow"&amp;M14&amp;"体质"&amp;H14&amp;"con"&amp;H14&amp;"外貌"&amp;K14&amp;"app"&amp;K14&amp;"教育"&amp;N14&amp;"edu"&amp;N14&amp;"体型"&amp;I14&amp;"siz"&amp;I14&amp;"智力"&amp;L14&amp;"灵感"&amp;L14&amp;"int"&amp;L14&amp;"san"&amp;人物卡!N10&amp;"san值"&amp;人物卡!N10&amp;"理智"&amp;人物卡!N10&amp;"理智值"&amp;人物卡!N10&amp;"幸运"&amp;O14&amp;"运气"&amp;O14&amp;"mp"&amp;人物卡!W10&amp;"魔法"&amp;人物卡!W10&amp;"hp"&amp;人物卡!E10&amp;"体力"&amp;人物卡!E10&amp;人物卡!F16&amp;人物卡!R16&amp;人物卡!F17&amp;人物卡!R17&amp;人物卡!F18&amp;人物卡!R18&amp;人物卡!F19&amp;人物卡!R19&amp;IF(人物卡!H20="","",人物卡!H20&amp;人物卡!R20)&amp;IF(人物卡!H21="","",人物卡!H21&amp;人物卡!R21)&amp;IF(人物卡!H22="","",人物卡!H22&amp;人物卡!R22)&amp;人物卡!F23&amp;人物卡!R23&amp;"魅惑"&amp;人物卡!R23&amp;人物卡!F24&amp;人物卡!R24&amp;"计算机"&amp;人物卡!R25&amp;"计算机使用"&amp;人物卡!R25&amp;"电脑"&amp;人物卡!R25&amp;"信用"&amp;人物卡!R26&amp;"信誉"&amp;人物卡!R26&amp;"信用评级"&amp;人物卡!R26&amp;"克苏鲁"&amp;人物卡!R27&amp;"克苏鲁神话"&amp;人物卡!R27&amp;"cm"&amp;人物卡!R27&amp;人物卡!F28&amp;人物卡!R28&amp;人物卡!F29&amp;人物卡!R29&amp;"汽车"&amp;人物卡!R30&amp;"驾驶"&amp;人物卡!R30&amp;"汽车驾驶"&amp;人物卡!R30&amp;人物卡!F31&amp;人物卡!R31&amp;"电子学"&amp;人物卡!R32&amp;人物卡!F33&amp;人物卡!R33&amp;人物卡!H34&amp;人物卡!R34&amp;IF(人物卡!H35="","",人物卡!H35&amp;人物卡!R35)&amp;IF(人物卡!H36="","",人物卡!H36&amp;人物卡!R36)&amp;IF(人物卡!H37="","",人物卡!H37&amp;人物卡!R37)&amp;人物卡!H38&amp;人物卡!R38&amp;IF(W15=1,人物卡!AB39&amp;人物卡!R39&amp;"步枪"&amp;人物卡!R39&amp;"霰弹枪"&amp;人物卡!R39&amp;"步霰"&amp;人物卡!R39,IF(人物卡!H39="","",人物卡!H39&amp;人物卡!R39))&amp;IF(W16=1,人物卡!AB40&amp;人物卡!R40&amp;"步枪"&amp;人物卡!R40&amp;"霰弹枪"&amp;人物卡!R40&amp;"步霰"&amp;人物卡!R40,IF(人物卡!H40="","",人物卡!H40&amp;人物卡!R40))&amp;IF(W17=1,人物卡!AB41&amp;人物卡!R41&amp;"步枪"&amp;人物卡!R41&amp;"霰弹枪"&amp;人物卡!R41&amp;"步霰"&amp;人物卡!R41,IF(人物卡!H41="","",人物卡!H41&amp;人物卡!R41))&amp;人物卡!F42&amp;人物卡!R42&amp;人物卡!F43&amp;人物卡!R43&amp;人物卡!F44&amp;人物卡!R44&amp;人物卡!F45&amp;人物卡!R45&amp;IF(人物卡!H46="","",人物卡!H46&amp;人物卡!R46)&amp;IF(人物卡!H47="","",人物卡!H47&amp;人物卡!R47)&amp;IF(人物卡!H48="","",人物卡!H48&amp;人物卡!R48)&amp;人物卡!F49&amp;人物卡!R49&amp;人物卡!AB16&amp;人物卡!AN16&amp;"图书馆"&amp;人物卡!AN17&amp;"图书馆使用"&amp;人物卡!AN17&amp;人物卡!AB18&amp;人物卡!AN18&amp;"开锁"&amp;人物卡!AN19&amp;"撬锁"&amp;人物卡!AN19&amp;"锁匠"&amp;人物卡!AN19&amp;人物卡!AB20&amp;人物卡!AN20&amp;人物卡!AB21&amp;人物卡!AN21&amp;"博物学"&amp;人物卡!AN22&amp;"自然学"&amp;人物卡!AN22&amp;"领航"&amp;人物卡!AN23&amp;"导航"&amp;人物卡!AN23&amp;人物卡!AB24&amp;人物卡!AN24&amp;"重型操作"&amp;人物卡!AN25&amp;"重型机械"&amp;人物卡!AN25&amp;"操作重型机械"&amp;人物卡!AN25&amp;"重型"&amp;人物卡!AN25&amp;人物卡!AB26&amp;人物卡!AN26&amp;IF(人物卡!AD27="","",人物卡!AD27&amp;人物卡!AN27)&amp;人物卡!AB28&amp;人物卡!AN28&amp;人物卡!AB29&amp;人物卡!AN29&amp;人物卡!AB30&amp;人物卡!AN30&amp;IF(人物卡!AD31="","",人物卡!AD31&amp;人物卡!AN31)&amp;IF(人物卡!AD32="","",人物卡!AD32&amp;人物卡!AN32)&amp;IF(人物卡!AD33="","",人物卡!AD33&amp;人物卡!AN33)&amp;人物卡!AB34&amp;人物卡!AN34&amp;人物卡!AB35&amp;人物卡!AN35&amp;人物卡!AB36&amp;人物卡!AN36&amp;"生存"&amp;人物卡!AN37&amp;人物卡!AB38&amp;人物卡!AN38&amp;人物卡!AB39&amp;人物卡!AN39&amp;人物卡!AB40&amp;人物卡!AN40&amp;人物卡!AB41&amp;人物卡!AN41&amp;人物卡!AB42&amp;人物卡!AN42&amp;人物卡!AB43&amp;人物卡!AN43&amp;人物卡!AB44&amp;人物卡!AN44&amp;人物卡!AB45&amp;人物卡!AN45&amp;人物卡!AB46&amp;人物卡!AN46&amp;IF(人物卡!AD47="","",人物卡!AD47&amp;人物卡!AN47)&amp;IF(W18=1,"",人物卡!AB48&amp;人物卡!AN48)&amp;IF(人物卡!AB49="","",人物卡!AB49&amp;人物卡!AN49)</f>
        <v>.st -力量0str0敏捷0dex0意志0pow0体质0con0外貌0app0教育0edu0体型0siz0智力0灵感0int0san0san值0理智0理智值0幸运0运气0mp0魔法0hp0体力0会计5人类学1估价5考古学1取悦15魅惑15攀爬20计算机5计算机使用5电脑5信用0信誉0信用评级0克苏鲁0克苏鲁神话0cm0乔装5闪避0汽车20驾驶20汽车驾驶20电气维修10电子学1话术5斗殴25手枪20急救30历史5恐吓15跳跃20母语0法律5图书馆20图书馆使用20聆听20开锁1撬锁1锁匠1机械维修10医学1博物学10自然学10领航10导航10神秘学5重型操作1重型机械1操作重型机械1重型1说服10精神分析1心理学10骑术5妙手10侦查25潜行20生存10游泳20投掷20追踪10动物驯养5潜水1爆破1读唇1催眠1炮术1</v>
      </c>
      <c r="T63" s="1930"/>
      <c r="U63" s="1930"/>
      <c r="V63" s="1930"/>
      <c r="X63" s="1942" t="s">
        <v>69</v>
      </c>
      <c r="Y63" s="1811"/>
      <c r="AE63" s="1966">
        <v>1920.0</v>
      </c>
      <c r="AF63" s="1967" t="s">
        <v>1824</v>
      </c>
      <c r="AG63" s="1967" t="s">
        <v>1825</v>
      </c>
      <c r="AH63" s="1967"/>
      <c r="AI63" s="1967" t="s">
        <v>1826</v>
      </c>
      <c r="AJ63" s="1967"/>
      <c r="AK63" s="1967"/>
      <c r="AL63" s="1967" t="s">
        <v>1827</v>
      </c>
      <c r="AM63" s="1967" t="s">
        <v>1828</v>
      </c>
      <c r="AN63" s="1967" t="s">
        <v>1829</v>
      </c>
      <c r="AO63" s="1968" t="s">
        <v>1830</v>
      </c>
      <c r="AP63" s="1968" t="s">
        <v>1831</v>
      </c>
      <c r="AQ63" s="1967" t="s">
        <v>1832</v>
      </c>
      <c r="AR63" s="1968" t="s">
        <v>1833</v>
      </c>
      <c r="AS63" s="1968" t="s">
        <v>1834</v>
      </c>
      <c r="AT63" s="1966">
        <v>1920.0</v>
      </c>
      <c r="AV63" s="1819"/>
      <c r="AW63" s="2036"/>
      <c r="AX63" s="1819"/>
      <c r="AY63" s="1919"/>
      <c r="AZ63" s="1819"/>
      <c r="BA63" s="1919"/>
      <c r="BB63" s="1974"/>
      <c r="BC63" s="2025"/>
      <c r="BD63" s="2025"/>
      <c r="BE63" s="2025"/>
      <c r="BF63" s="2033"/>
      <c r="BG63" s="2033"/>
      <c r="BH63" s="2034"/>
      <c r="BI63" s="2034"/>
      <c r="BJ63" s="2033"/>
      <c r="BK63" s="2033"/>
      <c r="BL63" s="2034"/>
      <c r="BM63" s="2034"/>
    </row>
    <row r="64" spans="8:8" ht="17.25" customHeight="1">
      <c r="S64" s="1930"/>
      <c r="T64" s="1930"/>
      <c r="U64" s="1930"/>
      <c r="V64" s="1930"/>
      <c r="X64" s="1942" t="s">
        <v>71</v>
      </c>
      <c r="Y64" s="1811"/>
      <c r="AE64" s="1966">
        <v>1921.0</v>
      </c>
      <c r="AF64" s="1967" t="s">
        <v>1824</v>
      </c>
      <c r="AG64" s="1967"/>
      <c r="AH64" s="1967"/>
      <c r="AI64" s="1967" t="s">
        <v>1835</v>
      </c>
      <c r="AJ64" s="1967"/>
      <c r="AK64" s="1967"/>
      <c r="AL64" s="1967" t="s">
        <v>1827</v>
      </c>
      <c r="AM64" s="1967" t="s">
        <v>1836</v>
      </c>
      <c r="AN64" s="1967" t="s">
        <v>1837</v>
      </c>
      <c r="AO64" s="2035" t="s">
        <v>1838</v>
      </c>
      <c r="AP64" s="1968" t="s">
        <v>1839</v>
      </c>
      <c r="AQ64" s="1967" t="s">
        <v>1840</v>
      </c>
      <c r="AR64" s="1968" t="s">
        <v>1841</v>
      </c>
      <c r="AS64" s="2035" t="s">
        <v>1842</v>
      </c>
      <c r="AT64" s="1966">
        <v>1921.0</v>
      </c>
      <c r="AV64" s="2036"/>
      <c r="AW64" s="2036"/>
      <c r="AX64" s="1919"/>
      <c r="AY64" s="1919"/>
      <c r="AZ64" s="1919"/>
      <c r="BA64" s="1919"/>
      <c r="BB64" s="1974"/>
      <c r="BC64" s="2025"/>
      <c r="BD64" s="2025"/>
      <c r="BE64" s="2025"/>
      <c r="BF64" s="2033"/>
      <c r="BG64" s="2033"/>
      <c r="BH64" s="2034"/>
      <c r="BI64" s="2034"/>
      <c r="BJ64" s="2033"/>
      <c r="BK64" s="2033"/>
      <c r="BL64" s="2034"/>
      <c r="BM64" s="2034"/>
    </row>
    <row r="65" spans="8:8" ht="17.25" customHeight="1">
      <c r="S65" s="1930"/>
      <c r="T65" s="1930"/>
      <c r="U65" s="1930"/>
      <c r="V65" s="1930"/>
      <c r="X65" s="1942" t="s">
        <v>73</v>
      </c>
      <c r="Y65" s="1811"/>
      <c r="AE65" s="1966">
        <v>1922.0</v>
      </c>
      <c r="AF65" s="1967" t="s">
        <v>1824</v>
      </c>
      <c r="AG65" s="1967"/>
      <c r="AH65" s="1967"/>
      <c r="AI65" s="1967" t="s">
        <v>88</v>
      </c>
      <c r="AJ65" s="1967"/>
      <c r="AK65" s="1967"/>
      <c r="AL65" s="1967" t="s">
        <v>1827</v>
      </c>
      <c r="AM65" s="1967" t="s">
        <v>1843</v>
      </c>
      <c r="AN65" s="1967" t="s">
        <v>1844</v>
      </c>
      <c r="AO65" s="2035" t="s">
        <v>1845</v>
      </c>
      <c r="AP65" s="1967" t="s">
        <v>1846</v>
      </c>
      <c r="AQ65" s="1967" t="s">
        <v>1847</v>
      </c>
      <c r="AR65" s="1968" t="s">
        <v>1848</v>
      </c>
      <c r="AS65" s="2035" t="s">
        <v>1849</v>
      </c>
      <c r="AT65" s="1966">
        <v>1922.0</v>
      </c>
      <c r="AV65" s="2036"/>
      <c r="AW65" s="2036"/>
      <c r="AX65" s="1919"/>
      <c r="AY65" s="1919"/>
      <c r="AZ65" s="1919"/>
      <c r="BA65" s="1919"/>
      <c r="BB65" s="1974"/>
      <c r="BC65" s="2025"/>
      <c r="BD65" s="2025"/>
      <c r="BE65" s="2025"/>
      <c r="BF65" s="2033"/>
      <c r="BG65" s="2033"/>
      <c r="BH65" s="2034"/>
      <c r="BI65" s="2034"/>
      <c r="BJ65" s="2033"/>
      <c r="BK65" s="2033"/>
      <c r="BL65" s="2034"/>
      <c r="BM65" s="2034"/>
    </row>
    <row r="66" spans="8:8" ht="17.25" customHeight="1">
      <c r="B66" s="1973"/>
      <c r="C66" s="1973"/>
      <c r="D66" s="1973"/>
      <c r="E66" s="1973"/>
      <c r="F66" s="1973"/>
      <c r="G66" s="1973"/>
      <c r="H66" s="1973"/>
      <c r="I66" s="1973"/>
      <c r="J66" s="1973"/>
      <c r="K66" s="1973"/>
      <c r="L66" s="1973"/>
      <c r="S66" s="1930"/>
      <c r="T66" s="1930"/>
      <c r="U66" s="1930"/>
      <c r="V66" s="1930"/>
      <c r="X66" s="1942" t="s">
        <v>75</v>
      </c>
      <c r="Y66" s="1811"/>
      <c r="AE66" s="1966">
        <v>1923.0</v>
      </c>
      <c r="AF66" s="1967" t="s">
        <v>1824</v>
      </c>
      <c r="AG66" s="1967"/>
      <c r="AH66" s="1967"/>
      <c r="AI66" s="1967" t="s">
        <v>88</v>
      </c>
      <c r="AJ66" s="1967"/>
      <c r="AK66" s="1967"/>
      <c r="AL66" s="1967" t="s">
        <v>1827</v>
      </c>
      <c r="AM66" s="1967" t="s">
        <v>1850</v>
      </c>
      <c r="AN66" s="1967" t="s">
        <v>1851</v>
      </c>
      <c r="AO66" s="2035" t="s">
        <v>1852</v>
      </c>
      <c r="AP66" s="1968" t="s">
        <v>1853</v>
      </c>
      <c r="AQ66" s="1967" t="s">
        <v>1854</v>
      </c>
      <c r="AR66" s="1968" t="s">
        <v>1855</v>
      </c>
      <c r="AS66" s="2035" t="s">
        <v>1856</v>
      </c>
      <c r="AT66" s="1966">
        <v>1923.0</v>
      </c>
      <c r="AV66" s="2036"/>
      <c r="AW66" s="2036"/>
      <c r="AX66" s="1919"/>
      <c r="AY66" s="1919"/>
      <c r="AZ66" s="1919"/>
      <c r="BA66" s="1919"/>
      <c r="BB66" s="1974"/>
      <c r="BC66" s="2025"/>
      <c r="BD66" s="2025"/>
      <c r="BE66" s="2025"/>
      <c r="BF66" s="2033"/>
      <c r="BG66" s="2033"/>
      <c r="BH66" s="2034"/>
      <c r="BI66" s="2034"/>
      <c r="BJ66" s="2033"/>
      <c r="BK66" s="2033"/>
      <c r="BL66" s="2034"/>
      <c r="BM66" s="2034"/>
    </row>
    <row r="67" spans="8:8" ht="17.25" customHeight="1">
      <c r="G67" s="2037"/>
      <c r="H67" s="2037"/>
      <c r="I67" s="2037"/>
      <c r="J67" s="1818"/>
      <c r="S67" s="1930"/>
      <c r="T67" s="1930"/>
      <c r="U67" s="1930"/>
      <c r="V67" s="1930"/>
      <c r="X67" s="1942" t="s">
        <v>78</v>
      </c>
      <c r="Y67" s="1811"/>
      <c r="AE67" s="1966">
        <v>1924.0</v>
      </c>
      <c r="AF67" s="1967" t="s">
        <v>1824</v>
      </c>
      <c r="AG67" s="1967" t="s">
        <v>1629</v>
      </c>
      <c r="AH67" s="1967"/>
      <c r="AI67" s="1967" t="s">
        <v>1857</v>
      </c>
      <c r="AJ67" s="1967"/>
      <c r="AK67" s="1967"/>
      <c r="AL67" s="1967" t="s">
        <v>1827</v>
      </c>
      <c r="AM67" s="1967" t="s">
        <v>1858</v>
      </c>
      <c r="AN67" s="1967" t="s">
        <v>1859</v>
      </c>
      <c r="AO67" s="1968" t="s">
        <v>1860</v>
      </c>
      <c r="AP67" s="1968" t="s">
        <v>1861</v>
      </c>
      <c r="AQ67" s="1967" t="s">
        <v>1862</v>
      </c>
      <c r="AR67" s="1968" t="s">
        <v>1863</v>
      </c>
      <c r="AS67" s="1968" t="s">
        <v>1864</v>
      </c>
      <c r="AT67" s="1966">
        <v>1924.0</v>
      </c>
      <c r="AY67" s="1919"/>
      <c r="BA67" s="1919"/>
      <c r="BB67" s="1974"/>
      <c r="BC67" s="2025"/>
      <c r="BD67" s="2025"/>
      <c r="BE67" s="2025"/>
      <c r="BF67" s="2033"/>
      <c r="BG67" s="2033"/>
      <c r="BH67" s="2034"/>
      <c r="BI67" s="2034"/>
      <c r="BJ67" s="2033"/>
      <c r="BK67" s="2033"/>
      <c r="BL67" s="2034"/>
      <c r="BM67" s="2034"/>
    </row>
    <row r="68" spans="8:8" ht="17.25" customHeight="1">
      <c r="G68" s="1988"/>
      <c r="J68" s="1818"/>
      <c r="S68" s="1930"/>
      <c r="T68" s="1930"/>
      <c r="U68" s="1930"/>
      <c r="V68" s="1930"/>
      <c r="X68" s="1942" t="s">
        <v>83</v>
      </c>
      <c r="Y68" s="1811"/>
      <c r="AE68" s="1966">
        <v>1925.0</v>
      </c>
      <c r="AF68" s="1967" t="s">
        <v>1824</v>
      </c>
      <c r="AG68" s="1967"/>
      <c r="AH68" s="1967"/>
      <c r="AI68" s="1967" t="s">
        <v>1865</v>
      </c>
      <c r="AJ68" s="1967"/>
      <c r="AK68" s="1967"/>
      <c r="AL68" s="1967" t="s">
        <v>1827</v>
      </c>
      <c r="AM68" s="1967" t="s">
        <v>1866</v>
      </c>
      <c r="AN68" s="1967" t="s">
        <v>1867</v>
      </c>
      <c r="AO68" s="2038" t="s">
        <v>1868</v>
      </c>
      <c r="AP68" s="1968" t="s">
        <v>1869</v>
      </c>
      <c r="AQ68" s="1967" t="s">
        <v>1870</v>
      </c>
      <c r="AR68" s="1968" t="s">
        <v>1871</v>
      </c>
      <c r="AS68" s="2035" t="s">
        <v>1872</v>
      </c>
      <c r="AT68" s="1966">
        <v>1925.0</v>
      </c>
      <c r="AV68" s="2036"/>
      <c r="AW68" s="2036"/>
      <c r="AX68" s="1919"/>
      <c r="AY68" s="1919"/>
      <c r="AZ68" s="1919"/>
      <c r="BA68" s="1919"/>
      <c r="BB68" s="1974"/>
      <c r="BC68" s="2025"/>
      <c r="BD68" s="2025"/>
      <c r="BE68" s="2025"/>
      <c r="BF68" s="2033"/>
      <c r="BG68" s="2033"/>
      <c r="BH68" s="2034"/>
      <c r="BI68" s="2034"/>
      <c r="BJ68" s="2033"/>
      <c r="BK68" s="2033"/>
      <c r="BL68" s="2034"/>
      <c r="BM68" s="2034"/>
    </row>
    <row r="69" spans="8:8" ht="17.25" customHeight="1">
      <c r="G69" s="1984"/>
      <c r="J69" s="1818"/>
      <c r="S69" s="1930"/>
      <c r="T69" s="1930"/>
      <c r="U69" s="1930"/>
      <c r="V69" s="1930"/>
      <c r="X69" s="1942" t="s">
        <v>91</v>
      </c>
      <c r="Y69" s="1811"/>
      <c r="AE69" s="1966">
        <v>1926.0</v>
      </c>
      <c r="AF69" s="1967" t="s">
        <v>1824</v>
      </c>
      <c r="AG69" s="1967" t="s">
        <v>1873</v>
      </c>
      <c r="AH69" s="1967"/>
      <c r="AI69" s="1967" t="s">
        <v>1874</v>
      </c>
      <c r="AJ69" s="1967"/>
      <c r="AK69" s="1967"/>
      <c r="AL69" s="1967" t="s">
        <v>1827</v>
      </c>
      <c r="AM69" s="1967" t="s">
        <v>1875</v>
      </c>
      <c r="AN69" s="1967" t="s">
        <v>1876</v>
      </c>
      <c r="AO69" s="2035" t="s">
        <v>1877</v>
      </c>
      <c r="AP69" s="1967" t="s">
        <v>1878</v>
      </c>
      <c r="AQ69" s="1967" t="s">
        <v>1879</v>
      </c>
      <c r="AR69" s="1968" t="s">
        <v>1880</v>
      </c>
      <c r="AS69" s="2035" t="s">
        <v>1881</v>
      </c>
      <c r="AT69" s="1966">
        <v>1926.0</v>
      </c>
      <c r="AV69" s="2036"/>
      <c r="AW69" s="2036"/>
      <c r="AX69" s="1919"/>
      <c r="AY69" s="1919"/>
      <c r="AZ69" s="1919"/>
      <c r="BA69" s="1919"/>
      <c r="BB69" s="1974"/>
      <c r="BC69" s="2025"/>
      <c r="BD69" s="2025"/>
      <c r="BE69" s="2025"/>
      <c r="BF69" s="2033"/>
      <c r="BG69" s="2033"/>
      <c r="BH69" s="2034"/>
      <c r="BI69" s="2034"/>
      <c r="BJ69" s="2033"/>
      <c r="BK69" s="2033"/>
      <c r="BL69" s="2034"/>
      <c r="BM69" s="2034"/>
    </row>
    <row r="70" spans="8:8" ht="17.25" customHeight="1">
      <c r="G70" s="1989"/>
      <c r="J70" s="1818"/>
      <c r="S70" s="1930"/>
      <c r="T70" s="1930"/>
      <c r="U70" s="1930"/>
      <c r="V70" s="1930"/>
      <c r="X70" s="1942" t="s">
        <v>93</v>
      </c>
      <c r="Y70" s="1811"/>
      <c r="AE70" s="1966">
        <v>1927.0</v>
      </c>
      <c r="AF70" s="1967" t="s">
        <v>1824</v>
      </c>
      <c r="AG70" s="1967"/>
      <c r="AH70" s="1967"/>
      <c r="AI70" s="1967" t="s">
        <v>1882</v>
      </c>
      <c r="AJ70" s="1967" t="s">
        <v>1883</v>
      </c>
      <c r="AK70" s="1967"/>
      <c r="AL70" s="1967" t="s">
        <v>1827</v>
      </c>
      <c r="AM70" s="1967" t="s">
        <v>1884</v>
      </c>
      <c r="AN70" s="1967" t="s">
        <v>1885</v>
      </c>
      <c r="AO70" s="2035" t="s">
        <v>1886</v>
      </c>
      <c r="AP70" s="1967" t="s">
        <v>1887</v>
      </c>
      <c r="AQ70" s="1967" t="s">
        <v>1888</v>
      </c>
      <c r="AR70" s="1968" t="s">
        <v>1889</v>
      </c>
      <c r="AS70" s="2035" t="s">
        <v>1890</v>
      </c>
      <c r="AT70" s="1966">
        <v>1927.0</v>
      </c>
      <c r="AV70" s="2036"/>
      <c r="AW70" s="2036"/>
      <c r="AX70" s="1919"/>
      <c r="AY70" s="1919"/>
      <c r="AZ70" s="1919"/>
      <c r="BA70" s="1919"/>
      <c r="BB70" s="1974"/>
      <c r="BC70" s="2025"/>
      <c r="BD70" s="2025"/>
      <c r="BE70" s="2025"/>
      <c r="BF70" s="2033"/>
      <c r="BG70" s="2033"/>
      <c r="BH70" s="2034"/>
      <c r="BI70" s="2034"/>
      <c r="BJ70" s="2033"/>
      <c r="BK70" s="2033"/>
      <c r="BL70" s="2034"/>
      <c r="BM70" s="2034"/>
    </row>
    <row r="71" spans="8:8" ht="17.25" customHeight="1">
      <c r="G71" s="1989"/>
      <c r="J71" s="1818"/>
      <c r="S71" s="1930"/>
      <c r="T71" s="1930"/>
      <c r="U71" s="1930"/>
      <c r="V71" s="1930"/>
      <c r="X71" s="1942" t="s">
        <v>100</v>
      </c>
      <c r="Y71" s="1811"/>
      <c r="AE71" s="1966">
        <v>1928.0</v>
      </c>
      <c r="AF71" s="1967" t="s">
        <v>1824</v>
      </c>
      <c r="AG71" s="1967" t="s">
        <v>1891</v>
      </c>
      <c r="AH71" s="1967"/>
      <c r="AI71" s="1967" t="s">
        <v>1892</v>
      </c>
      <c r="AJ71" s="1967"/>
      <c r="AK71" s="1967"/>
      <c r="AL71" s="1967" t="s">
        <v>1827</v>
      </c>
      <c r="AM71" s="1967" t="s">
        <v>1893</v>
      </c>
      <c r="AN71" s="1967" t="s">
        <v>1894</v>
      </c>
      <c r="AO71" s="1967" t="s">
        <v>1895</v>
      </c>
      <c r="AP71" s="1968" t="s">
        <v>1896</v>
      </c>
      <c r="AQ71" s="1967" t="s">
        <v>1897</v>
      </c>
      <c r="AR71" s="1968" t="s">
        <v>1898</v>
      </c>
      <c r="AS71" s="1968" t="s">
        <v>1899</v>
      </c>
      <c r="AT71" s="1966">
        <v>1928.0</v>
      </c>
      <c r="AW71" s="2039"/>
      <c r="AY71" s="2039"/>
      <c r="BA71" s="2039"/>
      <c r="BB71" s="1974"/>
      <c r="BC71" s="2025"/>
      <c r="BD71" s="2025"/>
      <c r="BE71" s="2025"/>
      <c r="BF71" s="2033"/>
      <c r="BG71" s="2033"/>
      <c r="BH71" s="2034"/>
      <c r="BI71" s="2034"/>
      <c r="BJ71" s="2033"/>
      <c r="BK71" s="2033"/>
      <c r="BL71" s="2034"/>
      <c r="BM71" s="2034"/>
    </row>
    <row r="72" spans="8:8" ht="17.25" customHeight="1">
      <c r="S72" s="1930"/>
      <c r="T72" s="1930"/>
      <c r="U72" s="1930"/>
      <c r="V72" s="1930"/>
      <c r="X72" s="1942" t="s">
        <v>102</v>
      </c>
      <c r="Y72" s="1811"/>
      <c r="AA72" s="2040"/>
      <c r="AB72" s="2040"/>
      <c r="AE72" s="1966">
        <v>1929.0</v>
      </c>
      <c r="AF72" s="1967" t="s">
        <v>1824</v>
      </c>
      <c r="AG72" s="1967" t="s">
        <v>1900</v>
      </c>
      <c r="AH72" s="1967"/>
      <c r="AI72" s="1967" t="s">
        <v>88</v>
      </c>
      <c r="AJ72" s="1967"/>
      <c r="AK72" s="1967"/>
      <c r="AL72" s="1967" t="s">
        <v>1827</v>
      </c>
      <c r="AM72" s="1967" t="s">
        <v>1901</v>
      </c>
      <c r="AN72" s="1967" t="s">
        <v>1902</v>
      </c>
      <c r="AO72" s="2035" t="s">
        <v>1903</v>
      </c>
      <c r="AP72" s="1967" t="s">
        <v>1904</v>
      </c>
      <c r="AQ72" s="1967" t="s">
        <v>1905</v>
      </c>
      <c r="AR72" s="1968" t="s">
        <v>1906</v>
      </c>
      <c r="AS72" s="2035" t="s">
        <v>1907</v>
      </c>
      <c r="AT72" s="1966">
        <v>1929.0</v>
      </c>
      <c r="AV72" s="2039"/>
      <c r="AW72" s="2039"/>
      <c r="AX72" s="2039"/>
      <c r="AY72" s="2039"/>
      <c r="AZ72" s="2039"/>
      <c r="BA72" s="2039"/>
      <c r="BB72" s="1974"/>
      <c r="BC72" s="2025"/>
      <c r="BD72" s="2025"/>
      <c r="BE72" s="2025"/>
      <c r="BF72" s="2033"/>
      <c r="BG72" s="2033"/>
      <c r="BH72" s="2034"/>
      <c r="BI72" s="2034"/>
      <c r="BJ72" s="2033"/>
      <c r="BK72" s="2033"/>
      <c r="BL72" s="2034"/>
      <c r="BM72" s="2034"/>
    </row>
    <row r="73" spans="8:8" ht="17.25" customHeight="1">
      <c r="S73" s="1930"/>
      <c r="T73" s="1930"/>
      <c r="U73" s="1930"/>
      <c r="V73" s="1930"/>
      <c r="X73" s="1942" t="s">
        <v>106</v>
      </c>
      <c r="Y73" s="1811"/>
      <c r="AA73" s="2040"/>
      <c r="AB73" s="2040"/>
      <c r="AE73" s="1966">
        <v>1930.0</v>
      </c>
      <c r="AF73" s="1967" t="s">
        <v>88</v>
      </c>
      <c r="AG73" s="1967"/>
      <c r="AH73" s="1967"/>
      <c r="AI73" s="1967" t="s">
        <v>88</v>
      </c>
      <c r="AJ73" s="1967"/>
      <c r="AK73" s="1967"/>
      <c r="AL73" s="1967" t="s">
        <v>1908</v>
      </c>
      <c r="AM73" s="1967" t="s">
        <v>1909</v>
      </c>
      <c r="AN73" s="1967" t="s">
        <v>1910</v>
      </c>
      <c r="AO73" s="2035" t="s">
        <v>1911</v>
      </c>
      <c r="AP73" s="1967" t="s">
        <v>1912</v>
      </c>
      <c r="AQ73" s="1967" t="s">
        <v>1913</v>
      </c>
      <c r="AR73" s="1968" t="s">
        <v>1914</v>
      </c>
      <c r="AS73" s="2035" t="s">
        <v>1915</v>
      </c>
      <c r="AT73" s="1966">
        <v>1930.0</v>
      </c>
      <c r="AV73" s="2039"/>
      <c r="AW73" s="2039"/>
      <c r="AX73" s="2039"/>
      <c r="AY73" s="2039"/>
      <c r="AZ73" s="2039"/>
      <c r="BA73" s="2039"/>
      <c r="BB73" s="1974"/>
      <c r="BC73" s="2025"/>
      <c r="BD73" s="2025"/>
      <c r="BE73" s="2025"/>
      <c r="BF73" s="2033"/>
      <c r="BG73" s="2033"/>
      <c r="BH73" s="2034"/>
      <c r="BI73" s="2034"/>
      <c r="BJ73" s="2033"/>
      <c r="BK73" s="2033"/>
      <c r="BL73" s="2034"/>
      <c r="BM73" s="2034"/>
    </row>
    <row r="74" spans="8:8" ht="17.25" customHeight="1">
      <c r="S74" s="1930"/>
      <c r="T74" s="1930"/>
      <c r="U74" s="1930"/>
      <c r="V74" s="1930"/>
      <c r="X74" s="1952" t="s">
        <v>108</v>
      </c>
      <c r="Y74" s="1811"/>
      <c r="AA74" s="2040"/>
      <c r="AB74" s="2040"/>
      <c r="AE74" s="1966">
        <v>1931.0</v>
      </c>
      <c r="AF74" s="1967" t="s">
        <v>88</v>
      </c>
      <c r="AG74" s="1967"/>
      <c r="AH74" s="1967"/>
      <c r="AI74" s="2041" t="s">
        <v>1916</v>
      </c>
      <c r="AJ74" s="2041" t="s">
        <v>1917</v>
      </c>
      <c r="AK74" s="2041"/>
      <c r="AL74" s="1967" t="s">
        <v>1908</v>
      </c>
      <c r="AM74" s="1967" t="s">
        <v>1918</v>
      </c>
      <c r="AN74" s="1967" t="s">
        <v>1919</v>
      </c>
      <c r="AO74" s="2035" t="s">
        <v>1920</v>
      </c>
      <c r="AP74" s="1967" t="s">
        <v>1921</v>
      </c>
      <c r="AQ74" s="1967" t="s">
        <v>1922</v>
      </c>
      <c r="AR74" s="1968" t="s">
        <v>1923</v>
      </c>
      <c r="AS74" s="2035" t="s">
        <v>1924</v>
      </c>
      <c r="AT74" s="1966">
        <v>1931.0</v>
      </c>
      <c r="AV74" s="2039"/>
      <c r="AW74" s="2039"/>
      <c r="AX74" s="2039"/>
      <c r="AY74" s="2039"/>
      <c r="AZ74" s="2039"/>
      <c r="BA74" s="2039"/>
      <c r="BB74" s="1974"/>
      <c r="BC74" s="2025"/>
      <c r="BD74" s="2025"/>
      <c r="BE74" s="2025"/>
      <c r="BF74" s="2033"/>
      <c r="BG74" s="2033"/>
      <c r="BH74" s="2034"/>
      <c r="BI74" s="2034"/>
      <c r="BJ74" s="2033"/>
      <c r="BK74" s="2033"/>
      <c r="BL74" s="2034"/>
      <c r="BM74" s="2034"/>
    </row>
    <row r="75" spans="8:8" ht="17.25" customHeight="1">
      <c r="M75" s="1973"/>
      <c r="N75" s="1973"/>
      <c r="O75" s="1973"/>
      <c r="P75" s="1973"/>
      <c r="S75" s="1833"/>
      <c r="T75" s="1833"/>
      <c r="U75" s="1833"/>
      <c r="V75" s="1833"/>
      <c r="X75" s="1952" t="s">
        <v>111</v>
      </c>
      <c r="Y75" s="1811"/>
      <c r="AA75" s="2040"/>
      <c r="AB75" s="2040"/>
      <c r="AE75" s="1966">
        <v>1932.0</v>
      </c>
      <c r="AF75" s="2042" t="s">
        <v>1925</v>
      </c>
      <c r="AG75" s="1967" t="s">
        <v>1926</v>
      </c>
      <c r="AH75" s="2042"/>
      <c r="AI75" s="1967" t="s">
        <v>1927</v>
      </c>
      <c r="AJ75" s="1968"/>
      <c r="AK75" s="1967"/>
      <c r="AL75" s="1967" t="s">
        <v>1908</v>
      </c>
      <c r="AM75" s="1967" t="s">
        <v>1928</v>
      </c>
      <c r="AN75" s="1967" t="s">
        <v>1929</v>
      </c>
      <c r="AO75" s="2035" t="s">
        <v>1930</v>
      </c>
      <c r="AP75" s="1967" t="s">
        <v>1931</v>
      </c>
      <c r="AQ75" s="1967" t="s">
        <v>1932</v>
      </c>
      <c r="AR75" s="1968" t="s">
        <v>1933</v>
      </c>
      <c r="AS75" s="2035" t="s">
        <v>1934</v>
      </c>
      <c r="AT75" s="1966">
        <v>1932.0</v>
      </c>
      <c r="AV75" s="2039"/>
      <c r="AW75" s="2039"/>
      <c r="AX75" s="2039"/>
      <c r="AY75" s="2039"/>
      <c r="AZ75" s="2039"/>
      <c r="BA75" s="2039"/>
      <c r="BB75" s="1974"/>
      <c r="BC75" s="2025"/>
      <c r="BD75" s="2025"/>
      <c r="BE75" s="2025"/>
      <c r="BF75" s="2033"/>
      <c r="BG75" s="2033"/>
      <c r="BH75" s="2034"/>
      <c r="BI75" s="2034"/>
      <c r="BJ75" s="2033"/>
      <c r="BK75" s="2033"/>
      <c r="BL75" s="2034"/>
      <c r="BM75" s="2034"/>
    </row>
    <row r="76" spans="8:8" ht="17.25" customHeight="1">
      <c r="M76" s="1973"/>
      <c r="N76" s="1973"/>
      <c r="O76" s="1973"/>
      <c r="P76" s="1973"/>
      <c r="S76" s="2043" t="str">
        <f>".st "&amp;人物卡!E3&amp;"-"&amp;"力量"&amp;G14&amp;"敏捷"&amp;J14&amp;"意志"&amp;M14&amp;"体质"&amp;H14&amp;"外貌"&amp;K14&amp;"教育"&amp;N14&amp;"体型"&amp;I14&amp;"智力"&amp;L14&amp;"灵感"&amp;L14&amp;"理智"&amp;人物卡!N10&amp;"幸运"&amp;O14&amp;"魔法"&amp;人物卡!W10&amp;"hp"&amp;人物卡!E10&amp;"体力"&amp;人物卡!E10&amp;人物卡!F16&amp;人物卡!R16&amp;人物卡!F17&amp;人物卡!R17&amp;人物卡!F18&amp;人物卡!R18&amp;人物卡!F19&amp;人物卡!R19&amp;IF(人物卡!H20="","",人物卡!H20&amp;人物卡!R20)&amp;IF(人物卡!H21="","",人物卡!H21&amp;人物卡!R21)&amp;IF(人物卡!H22="","",人物卡!H22&amp;人物卡!R22)&amp;人物卡!F23&amp;人物卡!R23&amp;人物卡!F24&amp;人物卡!R24&amp;"计算机"&amp;人物卡!R25&amp;"信用"&amp;人物卡!R26&amp;"克苏鲁"&amp;人物卡!R27&amp;人物卡!F28&amp;人物卡!R28&amp;人物卡!F29&amp;人物卡!R29&amp;"汽车"&amp;人物卡!R30&amp;"驾驶"&amp;人物卡!R30&amp;"汽车驾驶"&amp;人物卡!R30&amp;人物卡!F31&amp;人物卡!R31&amp;"电子学"&amp;人物卡!R32&amp;人物卡!F33&amp;人物卡!R33&amp;人物卡!H34&amp;人物卡!R34&amp;IF(人物卡!H35="","",人物卡!H35&amp;人物卡!R35)&amp;IF(人物卡!H36="","",人物卡!H36&amp;人物卡!R36)&amp;IF(人物卡!H37="","",人物卡!H37&amp;人物卡!R37)&amp;人物卡!H38&amp;人物卡!R38&amp;IF(W15=1,人物卡!AB39&amp;人物卡!R39&amp;"步枪"&amp;人物卡!R39&amp;"霰弹枪"&amp;人物卡!R39&amp;"步霰"&amp;人物卡!R39,IF(人物卡!H39="","",人物卡!H39&amp;人物卡!R39))&amp;IF(W16=1,人物卡!AB40&amp;人物卡!R40&amp;"步枪"&amp;人物卡!R40&amp;"霰弹枪"&amp;人物卡!R40&amp;"步霰"&amp;人物卡!R40,IF(人物卡!H40="","",人物卡!H40&amp;人物卡!R40))&amp;IF(W17=1,人物卡!AB41&amp;人物卡!R41&amp;"步枪"&amp;人物卡!R41&amp;"霰弹枪"&amp;人物卡!R41&amp;"步霰"&amp;人物卡!R41,IF(人物卡!H41="","",人物卡!H41&amp;人物卡!R41))&amp;人物卡!F42&amp;人物卡!R42&amp;人物卡!F43&amp;人物卡!R43&amp;人物卡!F44&amp;人物卡!R44&amp;人物卡!F45&amp;人物卡!R45&amp;IF(人物卡!H46="","",人物卡!H46&amp;人物卡!R46)&amp;IF(人物卡!H47="","",人物卡!H47&amp;人物卡!R47)&amp;IF(人物卡!H48="","",人物卡!H48&amp;人物卡!R48)&amp;人物卡!F49&amp;人物卡!R49&amp;人物卡!AB16&amp;人物卡!AN16&amp;"图书馆"&amp;人物卡!AN17&amp;人物卡!AB18&amp;人物卡!AN18&amp;"开锁"&amp;人物卡!AN19&amp;"锁匠"&amp;人物卡!AN19&amp;人物卡!AB20&amp;人物卡!AN20&amp;人物卡!AB21&amp;人物卡!AN21&amp;"博物学"&amp;人物卡!AN22&amp;"导航"&amp;人物卡!AN23&amp;人物卡!AB24&amp;人物卡!AN24&amp;"操作重型机械"&amp;人物卡!AN25&amp;"重型"&amp;人物卡!AN25&amp;人物卡!AB26&amp;人物卡!AN26&amp;IF(人物卡!AD27="","",人物卡!AD27&amp;人物卡!AN27)&amp;人物卡!AB28&amp;人物卡!AN28&amp;人物卡!AB29&amp;人物卡!AN29&amp;人物卡!AB30&amp;人物卡!AN30&amp;IF(人物卡!AD31="","",人物卡!AD31&amp;人物卡!AN31)&amp;IF(人物卡!AD32="","",人物卡!AD32&amp;人物卡!AN32)&amp;IF(人物卡!AD33="","",人物卡!AD33&amp;人物卡!AN33)&amp;人物卡!AB34&amp;人物卡!AN34&amp;人物卡!AB35&amp;人物卡!AN35&amp;人物卡!AB36&amp;人物卡!AN36&amp;"生存"&amp;人物卡!AN37&amp;人物卡!AB38&amp;人物卡!AN38&amp;人物卡!AB39&amp;人物卡!AN39&amp;人物卡!AB40&amp;人物卡!AN40&amp;人物卡!AB41&amp;人物卡!AN41&amp;人物卡!AB42&amp;人物卡!AN42&amp;人物卡!AB43&amp;人物卡!AN43&amp;人物卡!AB44&amp;人物卡!AN44&amp;人物卡!AB45&amp;人物卡!AN45&amp;人物卡!AB46&amp;人物卡!AN46&amp;IF(人物卡!AD47="","",人物卡!AD47&amp;人物卡!AN47)&amp;IF(W18=1,"",人物卡!AB48&amp;人物卡!AN48)&amp;IF(人物卡!AB49="","",人物卡!AB49&amp;人物卡!AN49)</f>
        <v>.st -力量0敏捷0意志0体质0外貌0教育0体型0智力0灵感0理智0幸运0魔法0hp0体力0会计5人类学1估价5考古学1取悦15攀爬20计算机5信用0克苏鲁0乔装5闪避0汽车20驾驶20汽车驾驶20电气维修10电子学1话术5斗殴25手枪20急救30历史5恐吓15跳跃20母语0法律5图书馆20聆听20开锁1锁匠1机械维修10医学1博物学10导航10神秘学5操作重型机械1重型1说服10精神分析1心理学10骑术5妙手10侦查25潜行20生存10游泳20投掷20追踪10动物驯养5潜水1爆破1读唇1催眠1炮术1</v>
      </c>
      <c r="T76" s="2043"/>
      <c r="U76" s="2043"/>
      <c r="V76" s="2043"/>
      <c r="X76" s="1942" t="s">
        <v>113</v>
      </c>
      <c r="Y76" s="1811"/>
      <c r="AA76" s="2040"/>
      <c r="AB76" s="2040"/>
      <c r="AE76" s="1966">
        <v>1933.0</v>
      </c>
      <c r="AF76" s="2042" t="s">
        <v>1935</v>
      </c>
      <c r="AG76" s="2042"/>
      <c r="AH76" s="2042"/>
      <c r="AI76" s="1967" t="s">
        <v>1936</v>
      </c>
      <c r="AJ76" s="1967"/>
      <c r="AK76" s="1967"/>
      <c r="AL76" s="1967" t="s">
        <v>1908</v>
      </c>
      <c r="AM76" s="1967" t="s">
        <v>1937</v>
      </c>
      <c r="AN76" s="1967" t="s">
        <v>1938</v>
      </c>
      <c r="AO76" s="2035" t="s">
        <v>1939</v>
      </c>
      <c r="AP76" s="1967" t="s">
        <v>1940</v>
      </c>
      <c r="AQ76" s="1967" t="s">
        <v>1941</v>
      </c>
      <c r="AR76" s="1968" t="s">
        <v>1942</v>
      </c>
      <c r="AS76" s="2035" t="s">
        <v>1943</v>
      </c>
      <c r="AT76" s="1966">
        <v>1933.0</v>
      </c>
      <c r="AV76" s="2039"/>
      <c r="AW76" s="2039"/>
      <c r="AX76" s="2039"/>
      <c r="AY76" s="2039"/>
      <c r="AZ76" s="2039"/>
      <c r="BA76" s="2039"/>
      <c r="BB76" s="1974"/>
      <c r="BC76" s="2025"/>
      <c r="BD76" s="2025"/>
      <c r="BE76" s="2025"/>
      <c r="BF76" s="2033"/>
      <c r="BG76" s="2033"/>
      <c r="BH76" s="2034"/>
      <c r="BI76" s="2034"/>
      <c r="BJ76" s="2033"/>
      <c r="BK76" s="2033"/>
      <c r="BL76" s="2034"/>
      <c r="BM76" s="2034"/>
    </row>
    <row r="77" spans="8:8" ht="17.25" customHeight="1">
      <c r="M77" s="1973"/>
      <c r="N77" s="1973"/>
      <c r="O77" s="1973"/>
      <c r="P77" s="1973"/>
      <c r="S77" s="2043"/>
      <c r="T77" s="2043"/>
      <c r="U77" s="2043"/>
      <c r="V77" s="2043"/>
      <c r="X77" s="1942" t="s">
        <v>117</v>
      </c>
      <c r="Y77" s="1811"/>
      <c r="AA77" s="2040"/>
      <c r="AB77" s="2040"/>
      <c r="AE77" s="1966">
        <v>1934.0</v>
      </c>
      <c r="AF77" s="1967" t="s">
        <v>88</v>
      </c>
      <c r="AG77" s="1967"/>
      <c r="AH77" s="1967"/>
      <c r="AI77" s="2041" t="s">
        <v>1944</v>
      </c>
      <c r="AJ77" s="2041"/>
      <c r="AK77" s="2041"/>
      <c r="AL77" s="1967" t="s">
        <v>1908</v>
      </c>
      <c r="AM77" s="1967" t="s">
        <v>1945</v>
      </c>
      <c r="AN77" s="1967" t="s">
        <v>1946</v>
      </c>
      <c r="AO77" s="2035" t="s">
        <v>1947</v>
      </c>
      <c r="AP77" s="1968" t="s">
        <v>1948</v>
      </c>
      <c r="AQ77" s="1967" t="s">
        <v>1949</v>
      </c>
      <c r="AR77" s="1968" t="s">
        <v>1950</v>
      </c>
      <c r="AS77" s="2035" t="s">
        <v>1951</v>
      </c>
      <c r="AT77" s="1966">
        <v>1934.0</v>
      </c>
      <c r="AV77" s="2039"/>
      <c r="AW77" s="2039"/>
      <c r="AX77" s="2039"/>
      <c r="AY77" s="2039"/>
      <c r="AZ77" s="2039"/>
      <c r="BA77" s="2039"/>
      <c r="BB77" s="1974"/>
      <c r="BC77" s="2025"/>
      <c r="BD77" s="2025"/>
      <c r="BE77" s="2025"/>
      <c r="BF77" s="2033"/>
      <c r="BG77" s="2033"/>
      <c r="BH77" s="2034"/>
      <c r="BI77" s="2034"/>
      <c r="BJ77" s="2033"/>
      <c r="BK77" s="2033"/>
      <c r="BL77" s="2034"/>
      <c r="BM77" s="2034"/>
    </row>
    <row r="78" spans="8:8" ht="17.25" customHeight="1">
      <c r="M78" s="1973"/>
      <c r="N78" s="1973"/>
      <c r="O78" s="1973"/>
      <c r="P78" s="1973"/>
      <c r="S78" s="2043"/>
      <c r="T78" s="2043"/>
      <c r="U78" s="2043"/>
      <c r="V78" s="2043"/>
      <c r="X78" s="1942" t="s">
        <v>119</v>
      </c>
      <c r="Y78" s="1811"/>
      <c r="AA78" s="2040"/>
      <c r="AB78" s="2040"/>
      <c r="AE78" s="1966">
        <v>1935.0</v>
      </c>
      <c r="AF78" s="1967" t="s">
        <v>88</v>
      </c>
      <c r="AG78" s="1967"/>
      <c r="AH78" s="1967"/>
      <c r="AI78" s="2041" t="s">
        <v>1952</v>
      </c>
      <c r="AJ78" s="2041" t="s">
        <v>1953</v>
      </c>
      <c r="AK78" s="2041"/>
      <c r="AL78" s="1967" t="s">
        <v>1908</v>
      </c>
      <c r="AM78" s="1967" t="s">
        <v>1954</v>
      </c>
      <c r="AN78" s="1967" t="s">
        <v>1955</v>
      </c>
      <c r="AO78" s="1968" t="s">
        <v>1956</v>
      </c>
      <c r="AP78" s="1968" t="s">
        <v>1948</v>
      </c>
      <c r="AQ78" s="1967" t="s">
        <v>1957</v>
      </c>
      <c r="AR78" s="1968" t="s">
        <v>1958</v>
      </c>
      <c r="AS78" s="1968" t="s">
        <v>1959</v>
      </c>
      <c r="AT78" s="1966">
        <v>1935.0</v>
      </c>
      <c r="AV78" s="2025"/>
      <c r="AW78" s="2025"/>
      <c r="AX78" s="2044"/>
      <c r="AY78" s="2044"/>
      <c r="AZ78" s="2044"/>
      <c r="BA78" s="2044"/>
      <c r="BB78" s="1974"/>
      <c r="BC78" s="2025"/>
      <c r="BD78" s="2025"/>
      <c r="BE78" s="2025"/>
      <c r="BF78" s="2033"/>
      <c r="BG78" s="2033"/>
      <c r="BH78" s="2034"/>
      <c r="BI78" s="2034"/>
      <c r="BJ78" s="2033"/>
      <c r="BK78" s="2033"/>
      <c r="BL78" s="2034"/>
      <c r="BM78" s="2034"/>
    </row>
    <row r="79" spans="8:8" ht="17.25" customHeight="1">
      <c r="G79" s="1990"/>
      <c r="H79" s="1990"/>
      <c r="I79" s="1989"/>
      <c r="J79" s="1818"/>
      <c r="M79" s="1973"/>
      <c r="N79" s="1973"/>
      <c r="O79" s="1973"/>
      <c r="P79" s="1973"/>
      <c r="S79" s="2043"/>
      <c r="T79" s="2043"/>
      <c r="U79" s="2043"/>
      <c r="V79" s="2043"/>
      <c r="X79" s="1942" t="s">
        <v>123</v>
      </c>
      <c r="Y79" s="1811"/>
      <c r="AA79" s="2040"/>
      <c r="AB79" s="2040"/>
      <c r="AE79" s="1966">
        <v>1936.0</v>
      </c>
      <c r="AF79" s="2045" t="s">
        <v>1960</v>
      </c>
      <c r="AG79" s="2045"/>
      <c r="AH79" s="2045"/>
      <c r="AI79" s="2041" t="s">
        <v>1961</v>
      </c>
      <c r="AJ79" s="2041" t="s">
        <v>1962</v>
      </c>
      <c r="AK79" s="2041"/>
      <c r="AL79" s="1967" t="s">
        <v>1908</v>
      </c>
      <c r="AM79" s="1967" t="s">
        <v>1963</v>
      </c>
      <c r="AN79" s="1967" t="s">
        <v>1964</v>
      </c>
      <c r="AO79" s="2035" t="s">
        <v>1965</v>
      </c>
      <c r="AP79" s="1968" t="s">
        <v>1948</v>
      </c>
      <c r="AQ79" s="1967" t="s">
        <v>1966</v>
      </c>
      <c r="AR79" s="1968" t="s">
        <v>1967</v>
      </c>
      <c r="AS79" s="2035" t="s">
        <v>1968</v>
      </c>
      <c r="AT79" s="1966">
        <v>1936.0</v>
      </c>
      <c r="AV79" s="2025"/>
      <c r="AW79" s="2025"/>
      <c r="AX79" s="2044"/>
      <c r="AY79" s="2044"/>
      <c r="AZ79" s="2044"/>
      <c r="BA79" s="2044"/>
      <c r="BB79" s="1974"/>
      <c r="BC79" s="2025"/>
      <c r="BD79" s="2025"/>
      <c r="BE79" s="2025"/>
      <c r="BF79" s="2033"/>
      <c r="BG79" s="2033"/>
      <c r="BH79" s="2034"/>
      <c r="BI79" s="2034"/>
      <c r="BJ79" s="2033"/>
      <c r="BK79" s="2033"/>
      <c r="BL79" s="2034"/>
      <c r="BM79" s="2034"/>
    </row>
    <row r="80" spans="8:8" ht="17.25" customHeight="1">
      <c r="G80" s="1990"/>
      <c r="H80" s="1990"/>
      <c r="I80" s="1990"/>
      <c r="J80" s="1818"/>
      <c r="M80" s="1973"/>
      <c r="N80" s="1973"/>
      <c r="O80" s="1973"/>
      <c r="P80" s="1973"/>
      <c r="S80" s="2043"/>
      <c r="T80" s="2043"/>
      <c r="U80" s="2043"/>
      <c r="V80" s="2043"/>
      <c r="X80" s="1942" t="s">
        <v>128</v>
      </c>
      <c r="Y80" s="1811"/>
      <c r="AA80" s="2040"/>
      <c r="AB80" s="2040"/>
      <c r="AE80" s="1966">
        <v>1937.0</v>
      </c>
      <c r="AF80" s="1967" t="s">
        <v>88</v>
      </c>
      <c r="AG80" s="1967"/>
      <c r="AH80" s="1967"/>
      <c r="AI80" s="2041" t="s">
        <v>1969</v>
      </c>
      <c r="AJ80" s="2041" t="s">
        <v>1970</v>
      </c>
      <c r="AK80" s="2041" t="s">
        <v>1971</v>
      </c>
      <c r="AL80" s="1967" t="s">
        <v>1908</v>
      </c>
      <c r="AM80" s="1967" t="s">
        <v>1972</v>
      </c>
      <c r="AN80" s="1967" t="s">
        <v>1973</v>
      </c>
      <c r="AO80" s="2035" t="s">
        <v>1974</v>
      </c>
      <c r="AP80" s="1968" t="s">
        <v>1948</v>
      </c>
      <c r="AQ80" s="1967" t="s">
        <v>1975</v>
      </c>
      <c r="AR80" s="1968" t="s">
        <v>1976</v>
      </c>
      <c r="AS80" s="2035" t="s">
        <v>1977</v>
      </c>
      <c r="AT80" s="1966">
        <v>1937.0</v>
      </c>
      <c r="AV80" s="2025"/>
      <c r="AW80" s="2025"/>
      <c r="AX80" s="2044"/>
      <c r="AY80" s="2044"/>
      <c r="AZ80" s="2044"/>
      <c r="BA80" s="2044"/>
      <c r="BB80" s="1974"/>
      <c r="BC80" s="2025"/>
      <c r="BD80" s="2025"/>
      <c r="BE80" s="2025"/>
      <c r="BF80" s="1994"/>
      <c r="BG80" s="1994"/>
      <c r="BH80" s="2046"/>
      <c r="BI80" s="2046"/>
      <c r="BJ80" s="1994"/>
      <c r="BK80" s="1994"/>
      <c r="BL80" s="2046"/>
      <c r="BM80" s="2046"/>
    </row>
    <row r="81" spans="8:8" ht="17.25" customHeight="1">
      <c r="B81" s="1819"/>
      <c r="C81" s="1819"/>
      <c r="D81" s="1819"/>
      <c r="E81" s="1819"/>
      <c r="F81" s="1990"/>
      <c r="G81" s="1990"/>
      <c r="H81" s="1990"/>
      <c r="I81" s="1989"/>
      <c r="J81" s="1818"/>
      <c r="M81" s="1973"/>
      <c r="N81" s="1973"/>
      <c r="O81" s="1973"/>
      <c r="P81" s="1973"/>
      <c r="S81" s="2043"/>
      <c r="T81" s="2043"/>
      <c r="U81" s="2043"/>
      <c r="V81" s="2043"/>
      <c r="X81" s="1942" t="s">
        <v>131</v>
      </c>
      <c r="Y81" s="1811"/>
      <c r="AA81" s="2040"/>
      <c r="AB81" s="2040"/>
      <c r="AE81" s="1966">
        <v>1938.0</v>
      </c>
      <c r="AF81" s="1967" t="s">
        <v>88</v>
      </c>
      <c r="AG81" s="1967"/>
      <c r="AH81" s="1967"/>
      <c r="AI81" s="2041" t="s">
        <v>1978</v>
      </c>
      <c r="AJ81" s="2041" t="s">
        <v>1979</v>
      </c>
      <c r="AK81" s="2041"/>
      <c r="AL81" s="1967" t="s">
        <v>1908</v>
      </c>
      <c r="AM81" s="1967" t="s">
        <v>1980</v>
      </c>
      <c r="AN81" s="1967" t="s">
        <v>1981</v>
      </c>
      <c r="AO81" s="2035" t="s">
        <v>1982</v>
      </c>
      <c r="AP81" s="1968" t="s">
        <v>1948</v>
      </c>
      <c r="AQ81" s="1967" t="s">
        <v>1983</v>
      </c>
      <c r="AR81" s="1968" t="s">
        <v>1984</v>
      </c>
      <c r="AS81" s="2035" t="s">
        <v>1985</v>
      </c>
      <c r="AT81" s="1966">
        <v>1938.0</v>
      </c>
      <c r="AV81" s="2025"/>
      <c r="AW81" s="2025"/>
      <c r="AX81" s="2044"/>
      <c r="AY81" s="2044"/>
      <c r="AZ81" s="2044"/>
      <c r="BA81" s="2044"/>
      <c r="BB81" s="1974"/>
      <c r="BC81" s="2025"/>
      <c r="BD81" s="2025"/>
      <c r="BE81" s="2025"/>
      <c r="BF81" s="1994"/>
      <c r="BG81" s="1994"/>
      <c r="BH81" s="2046"/>
      <c r="BI81" s="2046"/>
      <c r="BJ81" s="1994"/>
      <c r="BK81" s="1994"/>
      <c r="BL81" s="2046"/>
      <c r="BM81" s="2046"/>
    </row>
    <row r="82" spans="8:8" ht="17.25" customHeight="1">
      <c r="B82" s="1819"/>
      <c r="C82" s="1989"/>
      <c r="D82" s="1819"/>
      <c r="E82" s="1990"/>
      <c r="F82" s="1990"/>
      <c r="G82" s="1990"/>
      <c r="H82" s="1990"/>
      <c r="I82" s="1990"/>
      <c r="J82" s="1818"/>
      <c r="M82" s="1973"/>
      <c r="N82" s="1973"/>
      <c r="O82" s="1973"/>
      <c r="P82" s="1973"/>
      <c r="S82" s="2043"/>
      <c r="T82" s="2043"/>
      <c r="U82" s="2043"/>
      <c r="V82" s="2043"/>
      <c r="X82" s="1942" t="s">
        <v>134</v>
      </c>
      <c r="Y82" s="1811"/>
      <c r="AA82" s="2040"/>
      <c r="AB82" s="2040"/>
      <c r="AE82" s="1966">
        <v>1939.0</v>
      </c>
      <c r="AF82" s="2041" t="s">
        <v>1986</v>
      </c>
      <c r="AG82" s="2041"/>
      <c r="AH82" s="2041"/>
      <c r="AI82" s="1967" t="s">
        <v>88</v>
      </c>
      <c r="AJ82" s="1967"/>
      <c r="AK82" s="1967"/>
      <c r="AL82" s="1967" t="s">
        <v>1908</v>
      </c>
      <c r="AM82" s="1967" t="s">
        <v>1987</v>
      </c>
      <c r="AN82" s="1967" t="s">
        <v>1988</v>
      </c>
      <c r="AO82" s="2035" t="s">
        <v>1989</v>
      </c>
      <c r="AP82" s="1968" t="s">
        <v>1948</v>
      </c>
      <c r="AQ82" s="1967" t="s">
        <v>1990</v>
      </c>
      <c r="AR82" s="1968" t="s">
        <v>1991</v>
      </c>
      <c r="AS82" s="2035" t="s">
        <v>1992</v>
      </c>
      <c r="AT82" s="1966">
        <v>1939.0</v>
      </c>
      <c r="AV82" s="2025"/>
      <c r="AW82" s="2025"/>
      <c r="AX82" s="2044"/>
      <c r="AY82" s="2044"/>
      <c r="AZ82" s="2044"/>
      <c r="BA82" s="2044"/>
      <c r="BB82" s="1974"/>
      <c r="BC82" s="2025"/>
      <c r="BD82" s="2025"/>
      <c r="BE82" s="2025"/>
      <c r="BF82" s="1994"/>
      <c r="BG82" s="1994"/>
      <c r="BH82" s="2046"/>
      <c r="BI82" s="2046"/>
      <c r="BJ82" s="1994"/>
      <c r="BK82" s="1994"/>
      <c r="BL82" s="2046"/>
      <c r="BM82" s="2046"/>
    </row>
    <row r="83" spans="8:8" ht="17.25" customHeight="1">
      <c r="B83" s="1819"/>
      <c r="C83" s="1989"/>
      <c r="D83" s="1819"/>
      <c r="E83" s="1819"/>
      <c r="F83" s="1990"/>
      <c r="G83" s="1990"/>
      <c r="H83" s="1990"/>
      <c r="I83" s="1989"/>
      <c r="J83" s="1818"/>
      <c r="M83" s="1973"/>
      <c r="N83" s="1973"/>
      <c r="O83" s="1973"/>
      <c r="P83" s="1973"/>
      <c r="S83" s="2043"/>
      <c r="T83" s="2043"/>
      <c r="U83" s="2043"/>
      <c r="V83" s="2043"/>
      <c r="X83" s="1942" t="s">
        <v>136</v>
      </c>
      <c r="Y83" s="1811"/>
      <c r="AA83" s="2040"/>
      <c r="AB83" s="2040"/>
      <c r="AC83" s="2047"/>
      <c r="AD83" s="1819"/>
      <c r="AE83" s="1966">
        <v>1940.0</v>
      </c>
      <c r="AF83" s="2041" t="s">
        <v>1986</v>
      </c>
      <c r="AG83" s="2041" t="s">
        <v>1792</v>
      </c>
      <c r="AH83" s="2041"/>
      <c r="AI83" s="1967" t="s">
        <v>1993</v>
      </c>
      <c r="AJ83" s="1967"/>
      <c r="AK83" s="1967"/>
      <c r="AL83" s="1967" t="s">
        <v>1994</v>
      </c>
      <c r="AM83" s="1967" t="s">
        <v>1995</v>
      </c>
      <c r="AN83" s="1967" t="s">
        <v>1996</v>
      </c>
      <c r="AO83" s="2035" t="s">
        <v>1997</v>
      </c>
      <c r="AP83" s="1967" t="s">
        <v>1998</v>
      </c>
      <c r="AQ83" s="1967" t="s">
        <v>1999</v>
      </c>
      <c r="AR83" s="1968" t="s">
        <v>2000</v>
      </c>
      <c r="AS83" s="2035" t="s">
        <v>2001</v>
      </c>
      <c r="AT83" s="1966">
        <v>1940.0</v>
      </c>
      <c r="AV83" s="2025"/>
      <c r="AW83" s="2025"/>
      <c r="AX83" s="2044"/>
      <c r="AY83" s="2044"/>
      <c r="AZ83" s="2044"/>
      <c r="BA83" s="2044"/>
      <c r="BB83" s="1974"/>
      <c r="BC83" s="2025"/>
      <c r="BD83" s="2025"/>
      <c r="BE83" s="2025"/>
      <c r="BF83" s="1994"/>
      <c r="BG83" s="1994"/>
      <c r="BH83" s="2046"/>
      <c r="BI83" s="2046"/>
      <c r="BJ83" s="1994"/>
      <c r="BK83" s="1994"/>
      <c r="BL83" s="2046"/>
      <c r="BM83" s="2046"/>
    </row>
    <row r="84" spans="8:8" ht="17.25" customHeight="1">
      <c r="B84" s="1989"/>
      <c r="C84" s="1990"/>
      <c r="D84" s="1819"/>
      <c r="E84" s="1989"/>
      <c r="F84" s="1989"/>
      <c r="G84" s="1989"/>
      <c r="H84" s="1989"/>
      <c r="I84" s="1989"/>
      <c r="J84" s="1818"/>
      <c r="M84" s="1973"/>
      <c r="N84" s="1973"/>
      <c r="O84" s="1973"/>
      <c r="P84" s="1973"/>
      <c r="S84" s="2043"/>
      <c r="T84" s="2043"/>
      <c r="U84" s="2043"/>
      <c r="V84" s="2043"/>
      <c r="X84" s="1952" t="s">
        <v>5934</v>
      </c>
      <c r="Y84" s="1811"/>
      <c r="AA84" s="2040"/>
      <c r="AB84" s="2040"/>
      <c r="AE84" s="1966">
        <v>1941.0</v>
      </c>
      <c r="AF84" s="2041" t="s">
        <v>1986</v>
      </c>
      <c r="AG84" s="2041"/>
      <c r="AH84" s="2041"/>
      <c r="AI84" s="1967" t="s">
        <v>2002</v>
      </c>
      <c r="AJ84" s="1967"/>
      <c r="AK84" s="1967"/>
      <c r="AL84" s="1967" t="s">
        <v>1994</v>
      </c>
      <c r="AM84" s="1967" t="s">
        <v>2003</v>
      </c>
      <c r="AN84" s="1967" t="s">
        <v>2004</v>
      </c>
      <c r="AO84" s="2035" t="s">
        <v>2005</v>
      </c>
      <c r="AP84" s="1968" t="s">
        <v>1948</v>
      </c>
      <c r="AQ84" s="1967" t="s">
        <v>2006</v>
      </c>
      <c r="AR84" s="1968" t="s">
        <v>2007</v>
      </c>
      <c r="AS84" s="2035" t="s">
        <v>2008</v>
      </c>
      <c r="AT84" s="1966">
        <v>1941.0</v>
      </c>
      <c r="AV84" s="2025"/>
      <c r="AW84" s="2025"/>
      <c r="AX84" s="2044"/>
      <c r="AY84" s="2044"/>
      <c r="AZ84" s="2044"/>
      <c r="BA84" s="2044"/>
      <c r="BB84" s="1974"/>
      <c r="BC84" s="2025"/>
      <c r="BD84" s="2025"/>
      <c r="BE84" s="2025"/>
      <c r="BF84" s="1994"/>
      <c r="BG84" s="1994"/>
      <c r="BH84" s="2046"/>
      <c r="BI84" s="2046"/>
      <c r="BJ84" s="1994"/>
      <c r="BK84" s="1994"/>
      <c r="BL84" s="2046"/>
      <c r="BM84" s="2046"/>
    </row>
    <row r="85" spans="8:8" ht="17.25" customHeight="1">
      <c r="B85" s="1819"/>
      <c r="C85" s="1989"/>
      <c r="D85" s="1819"/>
      <c r="E85" s="1819"/>
      <c r="F85" s="1990"/>
      <c r="G85" s="1990"/>
      <c r="H85" s="1990"/>
      <c r="I85" s="1989"/>
      <c r="J85" s="1818"/>
      <c r="M85" s="1973"/>
      <c r="N85" s="1973"/>
      <c r="O85" s="1973"/>
      <c r="P85" s="1973"/>
      <c r="S85" s="2043"/>
      <c r="T85" s="2043"/>
      <c r="U85" s="2043"/>
      <c r="V85" s="2043"/>
      <c r="X85" s="1952" t="s">
        <v>140</v>
      </c>
      <c r="Y85" s="1811"/>
      <c r="AA85" s="2040"/>
      <c r="AB85" s="2040"/>
      <c r="AE85" s="1966">
        <v>1942.0</v>
      </c>
      <c r="AF85" s="2041" t="s">
        <v>1986</v>
      </c>
      <c r="AG85" s="2041"/>
      <c r="AH85" s="2041"/>
      <c r="AI85" s="1967" t="s">
        <v>88</v>
      </c>
      <c r="AJ85" s="1967"/>
      <c r="AK85" s="1967"/>
      <c r="AL85" s="1967" t="s">
        <v>1994</v>
      </c>
      <c r="AM85" s="1967" t="s">
        <v>2009</v>
      </c>
      <c r="AN85" s="1967" t="s">
        <v>2010</v>
      </c>
      <c r="AO85" s="2035" t="s">
        <v>2011</v>
      </c>
      <c r="AP85" s="1968" t="s">
        <v>1948</v>
      </c>
      <c r="AQ85" s="1967" t="s">
        <v>2012</v>
      </c>
      <c r="AR85" s="1968" t="s">
        <v>2013</v>
      </c>
      <c r="AS85" s="2035" t="s">
        <v>2014</v>
      </c>
      <c r="AT85" s="1966">
        <v>1942.0</v>
      </c>
      <c r="AV85" s="2025"/>
      <c r="AW85" s="2025"/>
      <c r="AX85" s="2044"/>
      <c r="AY85" s="2044"/>
      <c r="AZ85" s="2044"/>
      <c r="BA85" s="2044"/>
      <c r="BB85" s="1974"/>
      <c r="BC85" s="2025"/>
      <c r="BD85" s="2025"/>
      <c r="BE85" s="2025"/>
      <c r="BF85" s="1994"/>
      <c r="BG85" s="1994"/>
      <c r="BH85" s="2048"/>
      <c r="BI85" s="2048"/>
      <c r="BJ85" s="1994"/>
      <c r="BK85" s="1994"/>
      <c r="BL85" s="2048"/>
      <c r="BM85" s="2048"/>
    </row>
    <row r="86" spans="8:8" ht="17.25" customHeight="1">
      <c r="B86" s="1990"/>
      <c r="C86" s="1989"/>
      <c r="D86" s="1819"/>
      <c r="E86" s="1990"/>
      <c r="F86" s="1990"/>
      <c r="G86" s="1990"/>
      <c r="H86" s="1990"/>
      <c r="I86" s="1990"/>
      <c r="J86" s="1818"/>
      <c r="M86" s="1973"/>
      <c r="N86" s="1973"/>
      <c r="O86" s="1973"/>
      <c r="P86" s="1973"/>
      <c r="S86" s="2043"/>
      <c r="T86" s="2043"/>
      <c r="U86" s="2043"/>
      <c r="V86" s="2043"/>
      <c r="X86" s="1952" t="s">
        <v>142</v>
      </c>
      <c r="Y86" s="1811"/>
      <c r="AA86" s="2040"/>
      <c r="AB86" s="2040"/>
      <c r="AE86" s="1966">
        <v>1943.0</v>
      </c>
      <c r="AF86" s="2041" t="s">
        <v>1986</v>
      </c>
      <c r="AG86" s="2041"/>
      <c r="AH86" s="2041"/>
      <c r="AI86" s="1967" t="s">
        <v>88</v>
      </c>
      <c r="AJ86" s="1967"/>
      <c r="AK86" s="1967"/>
      <c r="AL86" s="1967" t="s">
        <v>1994</v>
      </c>
      <c r="AM86" s="1967" t="s">
        <v>2015</v>
      </c>
      <c r="AN86" s="1967" t="s">
        <v>2016</v>
      </c>
      <c r="AO86" s="2035" t="s">
        <v>2017</v>
      </c>
      <c r="AP86" s="1967" t="s">
        <v>2018</v>
      </c>
      <c r="AQ86" s="1967" t="s">
        <v>2019</v>
      </c>
      <c r="AR86" s="1968" t="s">
        <v>2020</v>
      </c>
      <c r="AS86" s="2035" t="s">
        <v>2021</v>
      </c>
      <c r="AT86" s="1966">
        <v>1943.0</v>
      </c>
      <c r="AV86" s="2025"/>
      <c r="AW86" s="2025"/>
      <c r="AX86" s="2044"/>
      <c r="AY86" s="2044"/>
      <c r="AZ86" s="2044"/>
      <c r="BA86" s="2044"/>
      <c r="BB86" s="1974"/>
      <c r="BC86" s="2025"/>
      <c r="BD86" s="2025"/>
      <c r="BE86" s="2025"/>
      <c r="BF86" s="1994"/>
      <c r="BG86" s="1994"/>
      <c r="BH86" s="2048"/>
      <c r="BI86" s="2048"/>
      <c r="BJ86" s="1994"/>
      <c r="BK86" s="1994"/>
      <c r="BL86" s="2048"/>
      <c r="BM86" s="2048"/>
    </row>
    <row r="87" spans="8:8" ht="17.25" customHeight="1">
      <c r="B87" s="1988"/>
      <c r="C87" s="1989"/>
      <c r="D87" s="1819"/>
      <c r="E87" s="1819"/>
      <c r="F87" s="1990"/>
      <c r="G87" s="1990"/>
      <c r="H87" s="1990"/>
      <c r="I87" s="2049"/>
      <c r="J87" s="1818"/>
      <c r="M87" s="1973"/>
      <c r="N87" s="1973"/>
      <c r="O87" s="1973"/>
      <c r="P87" s="1973"/>
      <c r="S87" s="2043"/>
      <c r="T87" s="2043"/>
      <c r="U87" s="2043"/>
      <c r="V87" s="2043"/>
      <c r="X87" s="1952" t="s">
        <v>145</v>
      </c>
      <c r="Y87" s="1811"/>
      <c r="AA87" s="2040"/>
      <c r="AB87" s="2040"/>
      <c r="AC87" s="2040"/>
      <c r="AD87" s="2040"/>
      <c r="AE87" s="1966">
        <v>1944.0</v>
      </c>
      <c r="AF87" s="2041" t="s">
        <v>2022</v>
      </c>
      <c r="AG87" s="2041" t="s">
        <v>1792</v>
      </c>
      <c r="AH87" s="2041"/>
      <c r="AI87" s="1967" t="s">
        <v>88</v>
      </c>
      <c r="AJ87" s="1967"/>
      <c r="AK87" s="1967"/>
      <c r="AL87" s="1967" t="s">
        <v>1994</v>
      </c>
      <c r="AM87" s="1967" t="s">
        <v>2023</v>
      </c>
      <c r="AN87" s="1967" t="s">
        <v>2024</v>
      </c>
      <c r="AO87" s="2035" t="s">
        <v>2025</v>
      </c>
      <c r="AP87" s="1968" t="s">
        <v>1948</v>
      </c>
      <c r="AQ87" s="1967" t="s">
        <v>2026</v>
      </c>
      <c r="AR87" s="1968" t="s">
        <v>2027</v>
      </c>
      <c r="AS87" s="2035" t="s">
        <v>2028</v>
      </c>
      <c r="AT87" s="1966">
        <v>1944.0</v>
      </c>
      <c r="AV87" s="2039"/>
      <c r="AW87" s="2039"/>
      <c r="AX87" s="2025"/>
      <c r="AY87" s="2025"/>
      <c r="AZ87" s="2039"/>
      <c r="BA87" s="2039"/>
      <c r="BB87" s="1974"/>
      <c r="BC87" s="2025"/>
      <c r="BD87" s="2025"/>
      <c r="BE87" s="2025"/>
      <c r="BF87" s="1994"/>
      <c r="BG87" s="1994"/>
      <c r="BH87" s="2048"/>
      <c r="BI87" s="2048"/>
      <c r="BJ87" s="1994"/>
      <c r="BK87" s="1994"/>
      <c r="BL87" s="2048"/>
      <c r="BM87" s="2048"/>
    </row>
    <row r="88" spans="8:8" ht="17.25" customHeight="1">
      <c r="B88" s="1989"/>
      <c r="C88" s="1989"/>
      <c r="D88" s="1819"/>
      <c r="E88" s="1989"/>
      <c r="F88" s="1989"/>
      <c r="G88" s="1989"/>
      <c r="H88" s="1989"/>
      <c r="I88" s="1989"/>
      <c r="J88" s="1818"/>
      <c r="M88" s="1973"/>
      <c r="N88" s="1973"/>
      <c r="O88" s="1973"/>
      <c r="P88" s="1973"/>
      <c r="S88" s="1833"/>
      <c r="T88" s="1833"/>
      <c r="U88" s="1833"/>
      <c r="V88" s="1833"/>
      <c r="X88" s="1952" t="s">
        <v>147</v>
      </c>
      <c r="Y88" s="1811"/>
      <c r="AA88" s="2040"/>
      <c r="AB88" s="2040"/>
      <c r="AC88" s="2040"/>
      <c r="AD88" s="2040"/>
      <c r="AE88" s="1966">
        <v>1945.0</v>
      </c>
      <c r="AF88" s="2041" t="s">
        <v>1986</v>
      </c>
      <c r="AG88" s="2041"/>
      <c r="AH88" s="2041"/>
      <c r="AI88" s="2038" t="s">
        <v>2029</v>
      </c>
      <c r="AJ88" s="2038" t="s">
        <v>2030</v>
      </c>
      <c r="AK88" s="2038" t="s">
        <v>2031</v>
      </c>
      <c r="AL88" s="1967" t="s">
        <v>1994</v>
      </c>
      <c r="AM88" s="1967" t="s">
        <v>2032</v>
      </c>
      <c r="AN88" s="1967" t="s">
        <v>2033</v>
      </c>
      <c r="AO88" s="2035" t="s">
        <v>2034</v>
      </c>
      <c r="AP88" s="1968" t="s">
        <v>2035</v>
      </c>
      <c r="AQ88" s="1967" t="s">
        <v>2036</v>
      </c>
      <c r="AR88" s="1968" t="s">
        <v>2037</v>
      </c>
      <c r="AS88" s="2038" t="s">
        <v>2038</v>
      </c>
      <c r="AT88" s="1966">
        <v>1945.0</v>
      </c>
      <c r="AV88" s="2039"/>
      <c r="AW88" s="2039"/>
      <c r="AX88" s="2025"/>
      <c r="AY88" s="2025"/>
      <c r="AZ88" s="2039"/>
      <c r="BA88" s="2039"/>
      <c r="BB88" s="1974"/>
      <c r="BC88" s="2025"/>
      <c r="BD88" s="2025"/>
      <c r="BE88" s="2025"/>
      <c r="BF88" s="1994"/>
      <c r="BG88" s="1994"/>
      <c r="BH88" s="2048"/>
      <c r="BI88" s="2048"/>
      <c r="BJ88" s="1994"/>
      <c r="BK88" s="1994"/>
      <c r="BL88" s="2048"/>
      <c r="BM88" s="2048"/>
    </row>
    <row r="89" spans="8:8" ht="17.25" customHeight="1">
      <c r="B89" s="1984"/>
      <c r="C89" s="1989"/>
      <c r="F89" s="2050"/>
      <c r="G89" s="1990"/>
      <c r="H89" s="1990"/>
      <c r="I89" s="1984"/>
      <c r="J89" s="1818"/>
      <c r="M89" s="1973"/>
      <c r="N89" s="1973"/>
      <c r="O89" s="1973"/>
      <c r="P89" s="1973"/>
      <c r="S89" s="1833"/>
      <c r="T89" s="1833"/>
      <c r="U89" s="1833"/>
      <c r="V89" s="1833"/>
      <c r="X89" s="1952" t="s">
        <v>149</v>
      </c>
      <c r="Y89" s="1811"/>
      <c r="AA89" s="2040"/>
      <c r="AB89" s="2040"/>
      <c r="AC89" s="2040"/>
      <c r="AD89" s="2040"/>
      <c r="AE89" s="1966">
        <v>1946.0</v>
      </c>
      <c r="AF89" s="1967" t="s">
        <v>88</v>
      </c>
      <c r="AG89" s="1967"/>
      <c r="AH89" s="1967"/>
      <c r="AI89" s="1967" t="s">
        <v>2039</v>
      </c>
      <c r="AJ89" s="1967"/>
      <c r="AK89" s="1967"/>
      <c r="AL89" s="1967" t="s">
        <v>1994</v>
      </c>
      <c r="AM89" s="1967" t="s">
        <v>2040</v>
      </c>
      <c r="AN89" s="1967" t="s">
        <v>2041</v>
      </c>
      <c r="AO89" s="1968" t="s">
        <v>2042</v>
      </c>
      <c r="AP89" s="1968" t="s">
        <v>2043</v>
      </c>
      <c r="AQ89" s="1967" t="s">
        <v>2044</v>
      </c>
      <c r="AR89" s="1968" t="s">
        <v>2045</v>
      </c>
      <c r="AS89" s="1968" t="s">
        <v>2046</v>
      </c>
      <c r="AT89" s="1966">
        <v>1946.0</v>
      </c>
      <c r="AV89" s="1819"/>
      <c r="AW89" s="1819"/>
      <c r="AX89" s="1819"/>
      <c r="AY89" s="1819"/>
      <c r="AZ89" s="1819"/>
      <c r="BA89" s="1819"/>
      <c r="BB89" s="1974"/>
      <c r="BC89" s="1819"/>
      <c r="BD89" s="1819"/>
      <c r="BE89" s="2025"/>
      <c r="BF89" s="1994"/>
      <c r="BG89" s="1994"/>
      <c r="BH89" s="2048"/>
      <c r="BI89" s="2048"/>
      <c r="BJ89" s="1994"/>
      <c r="BK89" s="1994"/>
      <c r="BL89" s="2048"/>
      <c r="BM89" s="2048"/>
    </row>
    <row r="90" spans="8:8" ht="17.25" customHeight="1">
      <c r="B90" s="1984"/>
      <c r="C90" s="1984"/>
      <c r="D90" s="1984"/>
      <c r="E90" s="1984"/>
      <c r="F90" s="1984"/>
      <c r="G90" s="1984"/>
      <c r="H90" s="1984"/>
      <c r="I90" s="1984"/>
      <c r="J90" s="1818"/>
      <c r="M90" s="1973"/>
      <c r="N90" s="1973"/>
      <c r="O90" s="1973"/>
      <c r="P90" s="1973"/>
      <c r="S90" s="1833"/>
      <c r="T90" s="1833"/>
      <c r="U90" s="1833"/>
      <c r="V90" s="1833"/>
      <c r="X90" s="1952" t="s">
        <v>151</v>
      </c>
      <c r="Y90" s="1811"/>
      <c r="AA90" s="2040"/>
      <c r="AB90" s="2040"/>
      <c r="AC90" s="2040"/>
      <c r="AD90" s="2040"/>
      <c r="AE90" s="1966">
        <v>1947.0</v>
      </c>
      <c r="AF90" s="2038" t="s">
        <v>2047</v>
      </c>
      <c r="AG90" s="2038"/>
      <c r="AH90" s="2038"/>
      <c r="AI90" s="1967" t="s">
        <v>88</v>
      </c>
      <c r="AJ90" s="1967"/>
      <c r="AK90" s="1967"/>
      <c r="AL90" s="1967" t="s">
        <v>1994</v>
      </c>
      <c r="AM90" s="1967" t="s">
        <v>2048</v>
      </c>
      <c r="AN90" s="1967" t="s">
        <v>2049</v>
      </c>
      <c r="AO90" s="1968" t="s">
        <v>2050</v>
      </c>
      <c r="AP90" s="1968" t="s">
        <v>2043</v>
      </c>
      <c r="AQ90" s="1967" t="s">
        <v>2051</v>
      </c>
      <c r="AR90" s="1968" t="s">
        <v>2052</v>
      </c>
      <c r="AS90" s="1968" t="s">
        <v>2053</v>
      </c>
      <c r="AT90" s="1966">
        <v>1947.0</v>
      </c>
      <c r="AV90" s="1819"/>
      <c r="AW90" s="1819"/>
      <c r="AX90" s="1819"/>
      <c r="AY90" s="1819"/>
      <c r="AZ90" s="1819"/>
      <c r="BA90" s="1819"/>
      <c r="BB90" s="1974"/>
      <c r="BC90" s="1819"/>
      <c r="BD90" s="1819"/>
      <c r="BE90" s="2025"/>
      <c r="BF90" s="1994"/>
      <c r="BG90" s="1994"/>
      <c r="BH90" s="2048"/>
      <c r="BI90" s="2048"/>
      <c r="BJ90" s="1994"/>
      <c r="BK90" s="1994"/>
      <c r="BL90" s="2048"/>
      <c r="BM90" s="2048"/>
    </row>
    <row r="91" spans="8:8" ht="17.25" customHeight="1">
      <c r="H91" s="1901"/>
      <c r="M91" s="1973"/>
      <c r="N91" s="1973"/>
      <c r="O91" s="1973"/>
      <c r="P91" s="1973"/>
      <c r="S91" s="1833"/>
      <c r="T91" s="1833"/>
      <c r="U91" s="1833"/>
      <c r="V91" s="1833"/>
      <c r="X91" s="1817" t="str">
        <f>IF(ISBLANK(人物卡!AB48),"",人物卡!AB48)</f>
        <v>自定义技能</v>
      </c>
      <c r="Y91" s="1811"/>
      <c r="AA91" s="2040"/>
      <c r="AB91" s="2040"/>
      <c r="AC91" s="2040"/>
      <c r="AD91" s="2040"/>
      <c r="AE91" s="1966">
        <v>1948.0</v>
      </c>
      <c r="AF91" s="2038" t="s">
        <v>2054</v>
      </c>
      <c r="AG91" s="2038" t="s">
        <v>1725</v>
      </c>
      <c r="AH91" s="2038"/>
      <c r="AI91" s="1967" t="s">
        <v>2055</v>
      </c>
      <c r="AJ91" s="1967"/>
      <c r="AK91" s="1967"/>
      <c r="AL91" s="1967" t="s">
        <v>1994</v>
      </c>
      <c r="AM91" s="1967" t="s">
        <v>2056</v>
      </c>
      <c r="AN91" s="1967" t="s">
        <v>2057</v>
      </c>
      <c r="AO91" s="1968" t="s">
        <v>2058</v>
      </c>
      <c r="AP91" s="1968" t="s">
        <v>2043</v>
      </c>
      <c r="AQ91" s="1967" t="s">
        <v>2059</v>
      </c>
      <c r="AR91" s="1968" t="s">
        <v>2060</v>
      </c>
      <c r="AS91" s="1968" t="s">
        <v>2061</v>
      </c>
      <c r="AT91" s="1966">
        <v>1948.0</v>
      </c>
      <c r="AV91" s="1819"/>
      <c r="AW91" s="1819"/>
      <c r="AX91" s="1819"/>
      <c r="AY91" s="1819"/>
      <c r="AZ91" s="1819"/>
      <c r="BA91" s="1819"/>
      <c r="BB91" s="1974"/>
      <c r="BC91" s="1819"/>
      <c r="BD91" s="1819"/>
      <c r="BE91" s="2025"/>
      <c r="BF91" s="1994"/>
      <c r="BG91" s="1994"/>
      <c r="BH91" s="2048"/>
      <c r="BI91" s="2048"/>
      <c r="BJ91" s="1994"/>
      <c r="BK91" s="1994"/>
      <c r="BL91" s="2048"/>
      <c r="BM91" s="2048"/>
    </row>
    <row r="92" spans="8:8" ht="17.25" customHeight="1">
      <c r="H92" s="1901"/>
      <c r="M92" s="1973"/>
      <c r="N92" s="1973"/>
      <c r="O92" s="1973"/>
      <c r="P92" s="1973"/>
      <c r="S92" s="1833"/>
      <c r="T92" s="1833"/>
      <c r="U92" s="1833"/>
      <c r="V92" s="1833"/>
      <c r="X92" s="1841" t="str">
        <f>IF(ISBLANK(人物卡!AB49),"",人物卡!AB49)</f>
        <v/>
      </c>
      <c r="Y92" s="1843"/>
      <c r="AA92" s="2040"/>
      <c r="AE92" s="1966">
        <v>1949.0</v>
      </c>
      <c r="AF92" s="1967" t="s">
        <v>2062</v>
      </c>
      <c r="AG92" s="1967"/>
      <c r="AH92" s="1967"/>
      <c r="AI92" s="1967" t="s">
        <v>2063</v>
      </c>
      <c r="AJ92" s="1967"/>
      <c r="AK92" s="1967"/>
      <c r="AL92" s="1967" t="s">
        <v>1994</v>
      </c>
      <c r="AM92" s="1967" t="s">
        <v>2064</v>
      </c>
      <c r="AN92" s="1967" t="s">
        <v>2065</v>
      </c>
      <c r="AO92" s="1968" t="s">
        <v>2066</v>
      </c>
      <c r="AP92" s="1968" t="s">
        <v>2043</v>
      </c>
      <c r="AQ92" s="1967" t="s">
        <v>2067</v>
      </c>
      <c r="AR92" s="1968" t="s">
        <v>2068</v>
      </c>
      <c r="AS92" s="1968" t="s">
        <v>2069</v>
      </c>
      <c r="AT92" s="1966">
        <v>1949.0</v>
      </c>
      <c r="AV92" s="1819"/>
      <c r="AW92" s="1819"/>
      <c r="AX92" s="1819"/>
      <c r="AY92" s="1819"/>
      <c r="AZ92" s="1819"/>
      <c r="BA92" s="1819"/>
      <c r="BB92" s="1974"/>
      <c r="BC92" s="1819"/>
      <c r="BD92" s="1819"/>
      <c r="BE92" s="2025"/>
      <c r="BF92" s="1994"/>
      <c r="BG92" s="1994"/>
      <c r="BH92" s="2048"/>
      <c r="BI92" s="2048"/>
      <c r="BJ92" s="1994"/>
      <c r="BK92" s="1994"/>
      <c r="BL92" s="2048"/>
      <c r="BM92" s="2048"/>
    </row>
    <row r="93" spans="8:8" ht="17.25" customHeight="1">
      <c r="B93" s="2051"/>
      <c r="C93" s="2052">
        <v>2.0</v>
      </c>
      <c r="D93" s="2052">
        <v>3.0</v>
      </c>
      <c r="E93" s="1804">
        <v>4.0</v>
      </c>
      <c r="F93" s="1804">
        <v>5.0</v>
      </c>
      <c r="G93" s="2052">
        <v>6.0</v>
      </c>
      <c r="H93" s="2052">
        <v>7.0</v>
      </c>
      <c r="I93" s="1804">
        <v>8.0</v>
      </c>
      <c r="J93" s="1804">
        <v>9.0</v>
      </c>
      <c r="K93" s="1805">
        <v>10.0</v>
      </c>
      <c r="M93" s="1973"/>
      <c r="N93" s="1973"/>
      <c r="O93" s="1973"/>
      <c r="P93" s="1973"/>
      <c r="S93" s="1833"/>
      <c r="T93" s="1833"/>
      <c r="U93" s="1833"/>
      <c r="V93" s="1833"/>
      <c r="X93" s="2053"/>
      <c r="Y93" s="2053"/>
      <c r="AA93" s="2040"/>
      <c r="AE93" s="1966">
        <v>1950.0</v>
      </c>
      <c r="AF93" s="1967" t="s">
        <v>2070</v>
      </c>
      <c r="AG93" s="1967"/>
      <c r="AH93" s="1967"/>
      <c r="AI93" s="1967" t="s">
        <v>2071</v>
      </c>
      <c r="AJ93" s="1967" t="s">
        <v>2072</v>
      </c>
      <c r="AK93" s="1967"/>
      <c r="AL93" s="1967" t="s">
        <v>2073</v>
      </c>
      <c r="AM93" s="1967" t="s">
        <v>1499</v>
      </c>
      <c r="AN93" s="1967" t="s">
        <v>2074</v>
      </c>
      <c r="AO93" s="1968" t="s">
        <v>2075</v>
      </c>
      <c r="AP93" s="1968" t="s">
        <v>2043</v>
      </c>
      <c r="AQ93" s="1967" t="s">
        <v>2076</v>
      </c>
      <c r="AR93" s="1968" t="s">
        <v>2077</v>
      </c>
      <c r="AS93" s="1968" t="s">
        <v>2078</v>
      </c>
      <c r="AT93" s="1966">
        <v>1950.0</v>
      </c>
      <c r="AV93" s="1819"/>
      <c r="AW93" s="1819"/>
      <c r="AX93" s="1819"/>
      <c r="AY93" s="1819"/>
      <c r="AZ93" s="1819"/>
      <c r="BA93" s="1819"/>
      <c r="BB93" s="1974"/>
      <c r="BC93" s="1819"/>
      <c r="BD93" s="1819"/>
      <c r="BE93" s="2025"/>
      <c r="BF93" s="2033"/>
      <c r="BG93" s="2033"/>
      <c r="BH93" s="2033"/>
      <c r="BI93" s="2033"/>
      <c r="BJ93" s="2033"/>
      <c r="BK93" s="2033"/>
      <c r="BL93" s="2033"/>
      <c r="BM93" s="2033"/>
    </row>
    <row r="94" spans="8:8" ht="17.25" customHeight="1">
      <c r="B94" s="1940" t="s">
        <v>51</v>
      </c>
      <c r="C94" s="1919" t="s">
        <v>85</v>
      </c>
      <c r="D94" s="1919" t="s">
        <v>2079</v>
      </c>
      <c r="E94" s="1919" t="s">
        <v>2080</v>
      </c>
      <c r="F94" s="1919" t="s">
        <v>2081</v>
      </c>
      <c r="G94" s="1919" t="s">
        <v>2082</v>
      </c>
      <c r="H94" s="1919" t="s">
        <v>2083</v>
      </c>
      <c r="I94" s="1919" t="s">
        <v>2084</v>
      </c>
      <c r="J94" s="1919" t="s">
        <v>2085</v>
      </c>
      <c r="K94" s="1811" t="s">
        <v>2086</v>
      </c>
      <c r="L94" s="1914"/>
      <c r="M94" s="1973"/>
      <c r="N94" s="1973"/>
      <c r="O94" s="1973"/>
      <c r="P94" s="1973"/>
      <c r="S94" s="1833"/>
      <c r="T94" s="1833"/>
      <c r="U94" s="1833"/>
      <c r="V94" s="1833"/>
      <c r="AA94" s="2040"/>
      <c r="AE94" s="1966">
        <v>1951.0</v>
      </c>
      <c r="AF94" s="1967" t="s">
        <v>2070</v>
      </c>
      <c r="AG94" s="1967"/>
      <c r="AH94" s="1967"/>
      <c r="AI94" s="1967" t="s">
        <v>2087</v>
      </c>
      <c r="AJ94" s="1967" t="s">
        <v>2088</v>
      </c>
      <c r="AK94" s="1967"/>
      <c r="AL94" s="1967" t="s">
        <v>2073</v>
      </c>
      <c r="AM94" s="1967" t="s">
        <v>1508</v>
      </c>
      <c r="AN94" s="1967" t="s">
        <v>2089</v>
      </c>
      <c r="AO94" s="1968" t="s">
        <v>2090</v>
      </c>
      <c r="AP94" s="1968" t="s">
        <v>2043</v>
      </c>
      <c r="AQ94" s="1967" t="s">
        <v>2091</v>
      </c>
      <c r="AR94" s="1968" t="s">
        <v>2092</v>
      </c>
      <c r="AS94" s="1968" t="s">
        <v>2093</v>
      </c>
      <c r="AT94" s="1966">
        <v>1951.0</v>
      </c>
      <c r="AV94" s="1819"/>
      <c r="AW94" s="1819"/>
      <c r="AX94" s="1819"/>
      <c r="AY94" s="1819"/>
      <c r="AZ94" s="1819"/>
      <c r="BA94" s="1819"/>
      <c r="BB94" s="1974"/>
      <c r="BC94" s="1819"/>
      <c r="BD94" s="1819"/>
      <c r="BE94" s="2025"/>
      <c r="BF94" s="2033"/>
      <c r="BG94" s="2033"/>
      <c r="BH94" s="2033"/>
      <c r="BI94" s="2033"/>
      <c r="BJ94" s="2033"/>
      <c r="BK94" s="2033"/>
      <c r="BL94" s="2033"/>
      <c r="BM94" s="2033"/>
    </row>
    <row r="95" spans="8:8" ht="17.25" customHeight="1">
      <c r="B95" s="1940" t="s">
        <v>57</v>
      </c>
      <c r="C95" s="2054" t="s">
        <v>2094</v>
      </c>
      <c r="D95" s="1791" t="s">
        <v>88</v>
      </c>
      <c r="E95" s="1791" t="s">
        <v>2095</v>
      </c>
      <c r="F95" s="1791" t="s">
        <v>2096</v>
      </c>
      <c r="G95" s="1791" t="s">
        <v>2097</v>
      </c>
      <c r="H95" s="1791" t="s">
        <v>2098</v>
      </c>
      <c r="I95" s="1791" t="s">
        <v>2099</v>
      </c>
      <c r="J95" s="1791" t="s">
        <v>2100</v>
      </c>
      <c r="K95" s="1816" t="s">
        <v>2101</v>
      </c>
      <c r="L95" s="1914"/>
      <c r="M95" s="1973"/>
      <c r="N95" s="1973"/>
      <c r="O95" s="1973"/>
      <c r="P95" s="1973"/>
      <c r="S95" s="1833"/>
      <c r="T95" s="1833"/>
      <c r="U95" s="1833"/>
      <c r="V95" s="1833"/>
      <c r="AE95" s="1966">
        <v>1952.0</v>
      </c>
      <c r="AF95" s="1967" t="s">
        <v>2070</v>
      </c>
      <c r="AG95" s="1967" t="s">
        <v>2102</v>
      </c>
      <c r="AH95" s="1967"/>
      <c r="AI95" s="1967" t="s">
        <v>88</v>
      </c>
      <c r="AJ95" s="1967"/>
      <c r="AK95" s="1967"/>
      <c r="AL95" s="1967" t="s">
        <v>2073</v>
      </c>
      <c r="AM95" s="1967" t="s">
        <v>1515</v>
      </c>
      <c r="AN95" s="1967" t="s">
        <v>2103</v>
      </c>
      <c r="AO95" s="1968" t="s">
        <v>2104</v>
      </c>
      <c r="AP95" s="1967" t="s">
        <v>2105</v>
      </c>
      <c r="AQ95" s="1967" t="s">
        <v>2106</v>
      </c>
      <c r="AR95" s="1968" t="s">
        <v>2107</v>
      </c>
      <c r="AS95" s="1968" t="s">
        <v>2108</v>
      </c>
      <c r="AT95" s="1966">
        <v>1952.0</v>
      </c>
      <c r="AV95" s="1819"/>
      <c r="AW95" s="1819"/>
      <c r="AX95" s="1819"/>
      <c r="AY95" s="1819"/>
      <c r="AZ95" s="1819"/>
      <c r="BA95" s="1819"/>
      <c r="BB95" s="1974"/>
      <c r="BC95" s="1819"/>
      <c r="BD95" s="1819"/>
      <c r="BE95" s="2025"/>
      <c r="BF95" s="2033"/>
      <c r="BG95" s="2033"/>
      <c r="BH95" s="2033"/>
      <c r="BI95" s="2033"/>
      <c r="BJ95" s="2033"/>
      <c r="BK95" s="2033"/>
      <c r="BL95" s="2033"/>
      <c r="BM95" s="2033"/>
    </row>
    <row r="96" spans="8:8" ht="17.25" customHeight="1">
      <c r="B96" s="1940" t="s">
        <v>59</v>
      </c>
      <c r="C96" s="2054" t="s">
        <v>2109</v>
      </c>
      <c r="D96" s="1791" t="s">
        <v>88</v>
      </c>
      <c r="E96" s="1791" t="s">
        <v>88</v>
      </c>
      <c r="F96" s="1791" t="s">
        <v>2110</v>
      </c>
      <c r="G96" s="1791" t="s">
        <v>2111</v>
      </c>
      <c r="H96" s="1791" t="s">
        <v>2112</v>
      </c>
      <c r="I96" s="1791" t="s">
        <v>2113</v>
      </c>
      <c r="J96" s="1791" t="s">
        <v>2114</v>
      </c>
      <c r="K96" s="1811" t="s">
        <v>2115</v>
      </c>
      <c r="L96" s="1914"/>
      <c r="M96" s="1973"/>
      <c r="N96" s="1973"/>
      <c r="O96" s="1973"/>
      <c r="P96" s="1973"/>
      <c r="S96" s="1833"/>
      <c r="T96" s="1833"/>
      <c r="U96" s="1833"/>
      <c r="V96" s="1833"/>
      <c r="AE96" s="1966">
        <v>1953.0</v>
      </c>
      <c r="AF96" s="1967" t="s">
        <v>88</v>
      </c>
      <c r="AG96" s="1967"/>
      <c r="AH96" s="1967"/>
      <c r="AI96" s="1967" t="s">
        <v>2116</v>
      </c>
      <c r="AJ96" s="1967"/>
      <c r="AK96" s="1967"/>
      <c r="AL96" s="1967" t="s">
        <v>2073</v>
      </c>
      <c r="AM96" s="1967" t="s">
        <v>1526</v>
      </c>
      <c r="AN96" s="1967" t="s">
        <v>2117</v>
      </c>
      <c r="AO96" s="1968" t="s">
        <v>2118</v>
      </c>
      <c r="AP96" s="1968" t="s">
        <v>2119</v>
      </c>
      <c r="AQ96" s="1967" t="s">
        <v>2120</v>
      </c>
      <c r="AR96" s="1968" t="s">
        <v>2121</v>
      </c>
      <c r="AS96" s="1968" t="s">
        <v>2122</v>
      </c>
      <c r="AT96" s="1966">
        <v>1953.0</v>
      </c>
      <c r="AV96" s="1819"/>
      <c r="AW96" s="1819"/>
      <c r="AX96" s="1819"/>
      <c r="AY96" s="1819"/>
      <c r="AZ96" s="1819"/>
      <c r="BA96" s="1819"/>
      <c r="BB96" s="1974"/>
      <c r="BC96" s="1819"/>
      <c r="BD96" s="1819"/>
      <c r="BE96" s="2025"/>
      <c r="BF96" s="2033"/>
      <c r="BG96" s="2033"/>
      <c r="BH96" s="2033"/>
      <c r="BI96" s="2033"/>
      <c r="BJ96" s="2033"/>
      <c r="BK96" s="2033"/>
      <c r="BL96" s="2033"/>
      <c r="BM96" s="2033"/>
    </row>
    <row r="97" spans="8:8" ht="17.25" customHeight="1">
      <c r="B97" s="1940" t="s">
        <v>63</v>
      </c>
      <c r="C97" s="2054" t="s">
        <v>2094</v>
      </c>
      <c r="D97" s="1791" t="s">
        <v>88</v>
      </c>
      <c r="E97" s="1791" t="s">
        <v>88</v>
      </c>
      <c r="F97" s="1791" t="s">
        <v>2123</v>
      </c>
      <c r="G97" s="1791" t="s">
        <v>2124</v>
      </c>
      <c r="H97" s="2013" t="s">
        <v>2125</v>
      </c>
      <c r="I97" s="1791" t="s">
        <v>2126</v>
      </c>
      <c r="J97" s="2026" t="s">
        <v>2127</v>
      </c>
      <c r="K97" s="2055" t="s">
        <v>2128</v>
      </c>
      <c r="L97" s="1914"/>
      <c r="M97" s="1973"/>
      <c r="N97" s="1973"/>
      <c r="O97" s="1973"/>
      <c r="P97" s="1973"/>
      <c r="S97" s="1833"/>
      <c r="T97" s="1833"/>
      <c r="U97" s="1833"/>
      <c r="V97" s="1833"/>
      <c r="AE97" s="1966">
        <v>1954.0</v>
      </c>
      <c r="AF97" s="1967" t="s">
        <v>88</v>
      </c>
      <c r="AG97" s="1967"/>
      <c r="AH97" s="1967"/>
      <c r="AI97" s="1967" t="s">
        <v>88</v>
      </c>
      <c r="AJ97" s="1967"/>
      <c r="AK97" s="1967"/>
      <c r="AL97" s="1967" t="s">
        <v>2073</v>
      </c>
      <c r="AM97" s="1967" t="s">
        <v>1542</v>
      </c>
      <c r="AN97" s="1967" t="s">
        <v>2129</v>
      </c>
      <c r="AO97" s="1968" t="s">
        <v>2130</v>
      </c>
      <c r="AP97" s="1968" t="s">
        <v>2131</v>
      </c>
      <c r="AQ97" s="1967" t="s">
        <v>2132</v>
      </c>
      <c r="AR97" s="1968" t="s">
        <v>2133</v>
      </c>
      <c r="AS97" s="1968" t="s">
        <v>2134</v>
      </c>
      <c r="AT97" s="1966">
        <v>1954.0</v>
      </c>
      <c r="AV97" s="1819"/>
      <c r="AW97" s="1819"/>
      <c r="AX97" s="1819"/>
      <c r="AY97" s="1819"/>
      <c r="AZ97" s="1819"/>
      <c r="BA97" s="1819"/>
      <c r="BB97" s="1974"/>
      <c r="BC97" s="1819"/>
      <c r="BD97" s="1819"/>
      <c r="BE97" s="2025"/>
      <c r="BF97" s="2033"/>
      <c r="BG97" s="2033"/>
      <c r="BH97" s="2033"/>
      <c r="BI97" s="2033"/>
      <c r="BJ97" s="2033"/>
      <c r="BK97" s="2033"/>
      <c r="BL97" s="2033"/>
      <c r="BM97" s="2033"/>
    </row>
    <row r="98" spans="8:8" ht="17.25" customHeight="1">
      <c r="B98" s="1940" t="s">
        <v>66</v>
      </c>
      <c r="C98" s="2054" t="s">
        <v>2109</v>
      </c>
      <c r="D98" s="1791" t="s">
        <v>88</v>
      </c>
      <c r="E98" s="1791" t="s">
        <v>88</v>
      </c>
      <c r="F98" s="1791" t="s">
        <v>2135</v>
      </c>
      <c r="G98" s="2013" t="s">
        <v>2136</v>
      </c>
      <c r="H98" s="2026" t="s">
        <v>2137</v>
      </c>
      <c r="I98" s="2025" t="s">
        <v>2138</v>
      </c>
      <c r="J98" s="2025" t="s">
        <v>2139</v>
      </c>
      <c r="K98" s="1816" t="s">
        <v>2140</v>
      </c>
      <c r="L98" s="1914"/>
      <c r="M98" s="1973"/>
      <c r="N98" s="1973"/>
      <c r="O98" s="1973"/>
      <c r="P98" s="1973"/>
      <c r="S98" s="1833"/>
      <c r="T98" s="1833"/>
      <c r="U98" s="1833"/>
      <c r="V98" s="1833"/>
      <c r="AE98" s="1966">
        <v>1955.0</v>
      </c>
      <c r="AF98" s="1967" t="s">
        <v>2141</v>
      </c>
      <c r="AG98" s="1967"/>
      <c r="AH98" s="1967"/>
      <c r="AI98" s="1967" t="s">
        <v>2142</v>
      </c>
      <c r="AJ98" s="1967"/>
      <c r="AK98" s="1967"/>
      <c r="AL98" s="1967" t="s">
        <v>2073</v>
      </c>
      <c r="AM98" s="1967" t="s">
        <v>1558</v>
      </c>
      <c r="AN98" s="1967" t="s">
        <v>2143</v>
      </c>
      <c r="AO98" s="1968" t="s">
        <v>2144</v>
      </c>
      <c r="AP98" s="1968" t="s">
        <v>2131</v>
      </c>
      <c r="AQ98" s="1967" t="s">
        <v>2145</v>
      </c>
      <c r="AR98" s="1968" t="s">
        <v>2146</v>
      </c>
      <c r="AS98" s="1968" t="s">
        <v>2147</v>
      </c>
      <c r="AT98" s="1966">
        <v>1955.0</v>
      </c>
      <c r="AV98" s="1819"/>
      <c r="AW98" s="1819"/>
      <c r="AX98" s="1819"/>
      <c r="AY98" s="1819"/>
      <c r="AZ98" s="1819"/>
      <c r="BA98" s="1819"/>
      <c r="BB98" s="1974"/>
      <c r="BC98" s="1819"/>
      <c r="BD98" s="1819"/>
      <c r="BE98" s="2025"/>
      <c r="BF98" s="2033"/>
      <c r="BG98" s="2033"/>
      <c r="BH98" s="2033"/>
      <c r="BI98" s="2033"/>
      <c r="BJ98" s="2033"/>
      <c r="BK98" s="2033"/>
      <c r="BL98" s="2033"/>
      <c r="BM98" s="2033"/>
    </row>
    <row r="99" spans="8:8" ht="17.25" customHeight="1">
      <c r="B99" s="1817" t="s">
        <v>2148</v>
      </c>
      <c r="C99" s="2054" t="s">
        <v>206</v>
      </c>
      <c r="D99" s="1791" t="s">
        <v>206</v>
      </c>
      <c r="E99" s="1791" t="s">
        <v>206</v>
      </c>
      <c r="F99" s="1791" t="s">
        <v>206</v>
      </c>
      <c r="G99" s="1791" t="s">
        <v>206</v>
      </c>
      <c r="H99" s="1791" t="s">
        <v>206</v>
      </c>
      <c r="I99" s="1791" t="s">
        <v>206</v>
      </c>
      <c r="J99" s="1791" t="s">
        <v>206</v>
      </c>
      <c r="K99" s="1811" t="s">
        <v>206</v>
      </c>
      <c r="L99" s="1914"/>
      <c r="M99" s="1973"/>
      <c r="N99" s="1973"/>
      <c r="O99" s="1973"/>
      <c r="P99" s="1973"/>
      <c r="S99" s="1833"/>
      <c r="T99" s="1833"/>
      <c r="U99" s="1833"/>
      <c r="V99" s="1833"/>
      <c r="AE99" s="1966">
        <v>1956.0</v>
      </c>
      <c r="AF99" s="1967" t="s">
        <v>2149</v>
      </c>
      <c r="AG99" s="1967"/>
      <c r="AH99" s="1967"/>
      <c r="AI99" s="1967" t="s">
        <v>2150</v>
      </c>
      <c r="AJ99" s="1967"/>
      <c r="AK99" s="1967"/>
      <c r="AL99" s="1967" t="s">
        <v>2073</v>
      </c>
      <c r="AM99" s="1967" t="s">
        <v>1573</v>
      </c>
      <c r="AN99" s="1967" t="s">
        <v>2151</v>
      </c>
      <c r="AO99" s="1968" t="s">
        <v>2152</v>
      </c>
      <c r="AP99" s="1968" t="s">
        <v>2131</v>
      </c>
      <c r="AQ99" s="1967" t="s">
        <v>2153</v>
      </c>
      <c r="AR99" s="1968" t="s">
        <v>2154</v>
      </c>
      <c r="AS99" s="1968" t="s">
        <v>2155</v>
      </c>
      <c r="AT99" s="1966">
        <v>1956.0</v>
      </c>
      <c r="AV99" s="1819"/>
      <c r="AW99" s="1819"/>
      <c r="AX99" s="1819"/>
      <c r="AY99" s="1819"/>
      <c r="AZ99" s="1819"/>
      <c r="BA99" s="1819"/>
      <c r="BB99" s="1974"/>
      <c r="BC99" s="1819"/>
      <c r="BD99" s="1819"/>
      <c r="BE99" s="2025"/>
      <c r="BF99" s="2033"/>
      <c r="BG99" s="2033"/>
      <c r="BH99" s="2033"/>
      <c r="BI99" s="2033"/>
      <c r="BJ99" s="2033"/>
      <c r="BK99" s="2033"/>
      <c r="BL99" s="2033"/>
      <c r="BM99" s="2033"/>
    </row>
    <row r="100" spans="8:8" ht="17.25" customHeight="1">
      <c r="B100" s="1940" t="s">
        <v>2156</v>
      </c>
      <c r="C100" s="2054" t="s">
        <v>88</v>
      </c>
      <c r="D100" s="1791" t="s">
        <v>2157</v>
      </c>
      <c r="E100" s="1791" t="s">
        <v>88</v>
      </c>
      <c r="F100" s="1819" t="s">
        <v>2158</v>
      </c>
      <c r="G100" s="2036" t="s">
        <v>2159</v>
      </c>
      <c r="H100" s="1919" t="s">
        <v>2160</v>
      </c>
      <c r="I100" s="2056" t="s">
        <v>2161</v>
      </c>
      <c r="J100" s="1819" t="s">
        <v>2162</v>
      </c>
      <c r="K100" s="1816" t="s">
        <v>2163</v>
      </c>
      <c r="L100" s="1914"/>
      <c r="M100" s="1973"/>
      <c r="N100" s="1973"/>
      <c r="O100" s="1973"/>
      <c r="P100" s="1973"/>
      <c r="S100" s="1833"/>
      <c r="T100" s="1833"/>
      <c r="U100" s="1833"/>
      <c r="V100" s="1833"/>
      <c r="AE100" s="1966">
        <v>1957.0</v>
      </c>
      <c r="AF100" s="1967" t="s">
        <v>2164</v>
      </c>
      <c r="AG100" s="1967" t="s">
        <v>2165</v>
      </c>
      <c r="AH100" s="1967"/>
      <c r="AI100" s="1967" t="s">
        <v>88</v>
      </c>
      <c r="AJ100" s="1967"/>
      <c r="AK100" s="1967"/>
      <c r="AL100" s="1967" t="s">
        <v>2073</v>
      </c>
      <c r="AM100" s="1967" t="s">
        <v>1585</v>
      </c>
      <c r="AN100" s="1967" t="s">
        <v>2166</v>
      </c>
      <c r="AO100" s="1968" t="s">
        <v>2167</v>
      </c>
      <c r="AP100" s="1968" t="s">
        <v>2131</v>
      </c>
      <c r="AQ100" s="1967" t="s">
        <v>2168</v>
      </c>
      <c r="AR100" s="1968" t="s">
        <v>2169</v>
      </c>
      <c r="AS100" s="1968" t="s">
        <v>2170</v>
      </c>
      <c r="AT100" s="1966">
        <v>1957.0</v>
      </c>
      <c r="AV100" s="1819"/>
      <c r="AW100" s="1819"/>
      <c r="AX100" s="1819"/>
      <c r="AY100" s="1819"/>
      <c r="AZ100" s="1819"/>
      <c r="BA100" s="1819"/>
      <c r="BB100" s="1974"/>
      <c r="BC100" s="1819"/>
      <c r="BD100" s="1819"/>
      <c r="BE100" s="2025"/>
      <c r="BF100" s="2057"/>
      <c r="BG100" s="2057"/>
      <c r="BH100" s="2057"/>
      <c r="BI100" s="2057"/>
      <c r="BJ100" s="2057"/>
      <c r="BK100" s="2057"/>
      <c r="BL100" s="2057"/>
      <c r="BM100" s="2057"/>
    </row>
    <row r="101" spans="8:8" ht="17.25" customHeight="1">
      <c r="A101" s="2058" t="s">
        <v>1330</v>
      </c>
      <c r="B101" s="2058" t="s">
        <v>1330</v>
      </c>
      <c r="C101" s="2054" t="s">
        <v>2094</v>
      </c>
      <c r="D101" s="1919" t="s">
        <v>2171</v>
      </c>
      <c r="E101" s="1791" t="s">
        <v>88</v>
      </c>
      <c r="F101" s="1819" t="s">
        <v>2172</v>
      </c>
      <c r="G101" s="2036" t="s">
        <v>2159</v>
      </c>
      <c r="H101" s="1919" t="s">
        <v>2160</v>
      </c>
      <c r="I101" s="2056" t="s">
        <v>2161</v>
      </c>
      <c r="J101" s="1819" t="s">
        <v>2162</v>
      </c>
      <c r="K101" s="1816" t="s">
        <v>2163</v>
      </c>
      <c r="L101" s="1914"/>
      <c r="M101" s="1819"/>
      <c r="S101" s="1833"/>
      <c r="T101" s="1833"/>
      <c r="U101" s="1833"/>
      <c r="V101" s="1833"/>
      <c r="AE101" s="1966">
        <v>1958.0</v>
      </c>
      <c r="AF101" s="1967" t="s">
        <v>88</v>
      </c>
      <c r="AG101" s="1967"/>
      <c r="AH101" s="1967"/>
      <c r="AI101" s="1967" t="s">
        <v>2173</v>
      </c>
      <c r="AJ101" s="1967"/>
      <c r="AK101" s="1967"/>
      <c r="AL101" s="1967" t="s">
        <v>2073</v>
      </c>
      <c r="AM101" s="1967" t="s">
        <v>1602</v>
      </c>
      <c r="AN101" s="1967" t="s">
        <v>2174</v>
      </c>
      <c r="AO101" s="1968" t="s">
        <v>2175</v>
      </c>
      <c r="AP101" s="1967" t="s">
        <v>5838</v>
      </c>
      <c r="AQ101" s="1967" t="s">
        <v>2176</v>
      </c>
      <c r="AR101" s="1968" t="s">
        <v>2177</v>
      </c>
      <c r="AS101" s="1968" t="s">
        <v>2178</v>
      </c>
      <c r="AT101" s="1966">
        <v>1958.0</v>
      </c>
      <c r="AV101" s="1819"/>
      <c r="AW101" s="1819"/>
      <c r="AX101" s="1819"/>
      <c r="AY101" s="1819"/>
      <c r="AZ101" s="1819"/>
      <c r="BA101" s="1819"/>
      <c r="BB101" s="1974"/>
      <c r="BC101" s="1819"/>
      <c r="BD101" s="1819"/>
      <c r="BE101" s="2025"/>
      <c r="BF101" s="2057"/>
      <c r="BG101" s="2057"/>
      <c r="BH101" s="2057"/>
      <c r="BI101" s="2057"/>
      <c r="BJ101" s="2057"/>
      <c r="BK101" s="2057"/>
      <c r="BL101" s="2057"/>
      <c r="BM101" s="2057"/>
    </row>
    <row r="102" spans="8:8" ht="17.25" customHeight="1">
      <c r="A102" s="2058" t="s">
        <v>2179</v>
      </c>
      <c r="B102" s="2058" t="s">
        <v>2179</v>
      </c>
      <c r="C102" s="2054" t="s">
        <v>2094</v>
      </c>
      <c r="D102" s="1919" t="s">
        <v>2171</v>
      </c>
      <c r="E102" s="1791" t="s">
        <v>88</v>
      </c>
      <c r="F102" s="1819" t="s">
        <v>2180</v>
      </c>
      <c r="G102" s="2036" t="s">
        <v>2159</v>
      </c>
      <c r="H102" s="1919" t="s">
        <v>2160</v>
      </c>
      <c r="I102" s="2056" t="s">
        <v>2161</v>
      </c>
      <c r="J102" s="1819" t="s">
        <v>2162</v>
      </c>
      <c r="K102" s="1816" t="s">
        <v>2163</v>
      </c>
      <c r="L102" s="1914"/>
      <c r="M102" s="2032"/>
      <c r="AE102" s="1966">
        <v>1959.0</v>
      </c>
      <c r="AF102" s="1967" t="s">
        <v>88</v>
      </c>
      <c r="AG102" s="1967"/>
      <c r="AH102" s="1967"/>
      <c r="AI102" s="1967" t="s">
        <v>2181</v>
      </c>
      <c r="AJ102" s="1967" t="s">
        <v>2182</v>
      </c>
      <c r="AK102" s="1967"/>
      <c r="AL102" s="1967" t="s">
        <v>2073</v>
      </c>
      <c r="AM102" s="1967" t="s">
        <v>1617</v>
      </c>
      <c r="AN102" s="1967" t="s">
        <v>2183</v>
      </c>
      <c r="AO102" s="1968" t="s">
        <v>2184</v>
      </c>
      <c r="AP102" s="1968" t="s">
        <v>2131</v>
      </c>
      <c r="AQ102" s="1967" t="s">
        <v>2185</v>
      </c>
      <c r="AR102" s="1968" t="s">
        <v>2186</v>
      </c>
      <c r="AS102" s="1968" t="s">
        <v>2187</v>
      </c>
      <c r="AT102" s="1966">
        <v>1959.0</v>
      </c>
      <c r="AV102" s="1819"/>
      <c r="AW102" s="1819"/>
      <c r="AX102" s="1819"/>
      <c r="AY102" s="1819"/>
      <c r="AZ102" s="1819"/>
      <c r="BA102" s="1819"/>
      <c r="BB102" s="1974"/>
      <c r="BC102" s="1819"/>
      <c r="BD102" s="1819"/>
      <c r="BE102" s="2025"/>
      <c r="BF102" s="2057"/>
      <c r="BG102" s="2057"/>
      <c r="BH102" s="2057"/>
      <c r="BI102" s="2057"/>
      <c r="BJ102" s="2057"/>
      <c r="BK102" s="2057"/>
      <c r="BL102" s="2057"/>
      <c r="BM102" s="2057"/>
    </row>
    <row r="103" spans="8:8" ht="17.25" customHeight="1">
      <c r="A103" s="1817" t="s">
        <v>1335</v>
      </c>
      <c r="B103" s="1817" t="s">
        <v>1335</v>
      </c>
      <c r="C103" s="2054" t="s">
        <v>2094</v>
      </c>
      <c r="D103" s="1919" t="s">
        <v>2171</v>
      </c>
      <c r="E103" s="1791" t="s">
        <v>88</v>
      </c>
      <c r="F103" s="1819" t="s">
        <v>2188</v>
      </c>
      <c r="G103" s="2036" t="s">
        <v>2159</v>
      </c>
      <c r="H103" s="1919" t="s">
        <v>2160</v>
      </c>
      <c r="I103" s="2056" t="s">
        <v>2161</v>
      </c>
      <c r="J103" s="1819" t="s">
        <v>2162</v>
      </c>
      <c r="K103" s="1816" t="s">
        <v>2163</v>
      </c>
      <c r="L103" s="1914"/>
      <c r="AE103" s="1966">
        <v>1960.0</v>
      </c>
      <c r="AF103" s="1967" t="s">
        <v>2189</v>
      </c>
      <c r="AG103" s="1967"/>
      <c r="AH103" s="1967"/>
      <c r="AI103" s="1967" t="s">
        <v>88</v>
      </c>
      <c r="AJ103" s="1967"/>
      <c r="AK103" s="1967"/>
      <c r="AL103" s="1967" t="s">
        <v>2190</v>
      </c>
      <c r="AM103" s="1967" t="s">
        <v>1634</v>
      </c>
      <c r="AN103" s="1967" t="s">
        <v>2191</v>
      </c>
      <c r="AO103" s="1968" t="s">
        <v>2192</v>
      </c>
      <c r="AP103" s="1968" t="s">
        <v>2131</v>
      </c>
      <c r="AQ103" s="1967" t="s">
        <v>2193</v>
      </c>
      <c r="AR103" s="1968" t="s">
        <v>2194</v>
      </c>
      <c r="AS103" s="1968" t="s">
        <v>2195</v>
      </c>
      <c r="AT103" s="1966">
        <v>1960.0</v>
      </c>
      <c r="AV103" s="1819"/>
      <c r="AW103" s="1819"/>
      <c r="AX103" s="1819"/>
      <c r="AY103" s="1819"/>
      <c r="AZ103" s="1819"/>
      <c r="BA103" s="1819"/>
      <c r="BB103" s="1974"/>
      <c r="BC103" s="1819"/>
      <c r="BD103" s="1819"/>
      <c r="BE103" s="2025"/>
      <c r="BF103" s="2057"/>
      <c r="BG103" s="2057"/>
      <c r="BH103" s="2057"/>
      <c r="BI103" s="2057"/>
      <c r="BJ103" s="2057"/>
      <c r="BK103" s="2057"/>
      <c r="BL103" s="2057"/>
      <c r="BM103" s="2057"/>
    </row>
    <row r="104" spans="8:8" ht="17.25" customHeight="1">
      <c r="A104" s="1817" t="s">
        <v>1334</v>
      </c>
      <c r="B104" s="1817" t="s">
        <v>1334</v>
      </c>
      <c r="C104" s="2054" t="s">
        <v>2094</v>
      </c>
      <c r="D104" s="1919" t="s">
        <v>2171</v>
      </c>
      <c r="E104" s="1791" t="s">
        <v>88</v>
      </c>
      <c r="F104" s="1819" t="s">
        <v>2196</v>
      </c>
      <c r="G104" s="2036" t="s">
        <v>2159</v>
      </c>
      <c r="H104" s="1919" t="s">
        <v>2160</v>
      </c>
      <c r="I104" s="2056" t="s">
        <v>2161</v>
      </c>
      <c r="J104" s="1819" t="s">
        <v>2162</v>
      </c>
      <c r="K104" s="1816" t="s">
        <v>2163</v>
      </c>
      <c r="L104" s="1914"/>
      <c r="AE104" s="1966">
        <v>1961.0</v>
      </c>
      <c r="AF104" s="1967" t="s">
        <v>2197</v>
      </c>
      <c r="AG104" s="1967"/>
      <c r="AH104" s="1967"/>
      <c r="AI104" s="1967" t="s">
        <v>88</v>
      </c>
      <c r="AJ104" s="1967"/>
      <c r="AK104" s="1967"/>
      <c r="AL104" s="1967" t="s">
        <v>2190</v>
      </c>
      <c r="AM104" s="1967" t="s">
        <v>1647</v>
      </c>
      <c r="AN104" s="1967" t="s">
        <v>2198</v>
      </c>
      <c r="AO104" s="1968" t="s">
        <v>2199</v>
      </c>
      <c r="AP104" s="1968" t="s">
        <v>2200</v>
      </c>
      <c r="AQ104" s="1967" t="s">
        <v>2201</v>
      </c>
      <c r="AR104" s="1968" t="s">
        <v>2202</v>
      </c>
      <c r="AS104" s="1968" t="s">
        <v>2203</v>
      </c>
      <c r="AT104" s="1966">
        <v>1961.0</v>
      </c>
      <c r="AV104" s="1819"/>
      <c r="AW104" s="1819"/>
      <c r="AX104" s="1819"/>
      <c r="AY104" s="1819"/>
      <c r="AZ104" s="1819"/>
      <c r="BA104" s="1819"/>
      <c r="BB104" s="1974"/>
      <c r="BC104" s="1819"/>
      <c r="BD104" s="1819"/>
      <c r="BE104" s="2025"/>
      <c r="BF104" s="2057"/>
      <c r="BG104" s="2057"/>
      <c r="BH104" s="2057"/>
      <c r="BI104" s="2057"/>
      <c r="BJ104" s="2057"/>
      <c r="BK104" s="2057"/>
      <c r="BL104" s="2057"/>
      <c r="BM104" s="2057"/>
    </row>
    <row r="105" spans="8:8" ht="17.25" customHeight="1">
      <c r="A105" s="1817" t="s">
        <v>1346</v>
      </c>
      <c r="B105" s="1817" t="s">
        <v>1346</v>
      </c>
      <c r="C105" s="2054" t="s">
        <v>2094</v>
      </c>
      <c r="D105" s="1919" t="s">
        <v>2171</v>
      </c>
      <c r="E105" s="1791" t="s">
        <v>88</v>
      </c>
      <c r="F105" s="1889" t="s">
        <v>2204</v>
      </c>
      <c r="G105" s="2036" t="s">
        <v>2159</v>
      </c>
      <c r="H105" s="1919" t="s">
        <v>2160</v>
      </c>
      <c r="I105" s="2056" t="s">
        <v>2161</v>
      </c>
      <c r="J105" s="1819" t="s">
        <v>2162</v>
      </c>
      <c r="K105" s="1816" t="s">
        <v>2163</v>
      </c>
      <c r="L105" s="1914"/>
      <c r="AE105" s="1966">
        <v>1962.0</v>
      </c>
      <c r="AF105" s="1967" t="s">
        <v>88</v>
      </c>
      <c r="AG105" s="1967"/>
      <c r="AH105" s="1967"/>
      <c r="AI105" s="1967" t="s">
        <v>2205</v>
      </c>
      <c r="AJ105" s="1967"/>
      <c r="AK105" s="1967"/>
      <c r="AL105" s="1967" t="s">
        <v>2190</v>
      </c>
      <c r="AM105" s="1967" t="s">
        <v>1661</v>
      </c>
      <c r="AN105" s="1967" t="s">
        <v>2206</v>
      </c>
      <c r="AO105" s="1968" t="s">
        <v>2207</v>
      </c>
      <c r="AP105" s="1968" t="s">
        <v>2208</v>
      </c>
      <c r="AQ105" s="1967" t="s">
        <v>2209</v>
      </c>
      <c r="AR105" s="1968" t="s">
        <v>2210</v>
      </c>
      <c r="AS105" s="1968" t="s">
        <v>2211</v>
      </c>
      <c r="AT105" s="1966">
        <v>1962.0</v>
      </c>
      <c r="AV105" s="1819"/>
      <c r="AW105" s="1819"/>
      <c r="AX105" s="1819"/>
      <c r="AY105" s="1819"/>
      <c r="AZ105" s="1819"/>
      <c r="BA105" s="1819"/>
      <c r="BB105" s="1974"/>
      <c r="BC105" s="1819"/>
      <c r="BD105" s="1819"/>
      <c r="BE105" s="2025"/>
      <c r="BF105" s="2057"/>
      <c r="BG105" s="2057"/>
      <c r="BH105" s="2057"/>
      <c r="BI105" s="2057"/>
      <c r="BJ105" s="2057"/>
      <c r="BK105" s="2057"/>
      <c r="BL105" s="2057"/>
      <c r="BM105" s="2057"/>
    </row>
    <row r="106" spans="8:8" ht="17.25" customHeight="1">
      <c r="A106" s="1817" t="s">
        <v>1341</v>
      </c>
      <c r="B106" s="1817" t="s">
        <v>1341</v>
      </c>
      <c r="C106" s="2054" t="s">
        <v>2094</v>
      </c>
      <c r="D106" s="1919" t="s">
        <v>2171</v>
      </c>
      <c r="E106" s="1791" t="s">
        <v>88</v>
      </c>
      <c r="F106" s="1819" t="s">
        <v>2212</v>
      </c>
      <c r="G106" s="2036" t="s">
        <v>2159</v>
      </c>
      <c r="H106" s="1919" t="s">
        <v>2160</v>
      </c>
      <c r="I106" s="2056" t="s">
        <v>2161</v>
      </c>
      <c r="J106" s="1819" t="s">
        <v>2162</v>
      </c>
      <c r="K106" s="1816" t="s">
        <v>2163</v>
      </c>
      <c r="L106" s="1914"/>
      <c r="AE106" s="1966">
        <v>1963.0</v>
      </c>
      <c r="AF106" s="1967" t="s">
        <v>88</v>
      </c>
      <c r="AG106" s="1967"/>
      <c r="AH106" s="1967"/>
      <c r="AI106" s="1967" t="s">
        <v>88</v>
      </c>
      <c r="AJ106" s="1967"/>
      <c r="AK106" s="1967"/>
      <c r="AL106" s="1967" t="s">
        <v>2190</v>
      </c>
      <c r="AM106" s="1967" t="s">
        <v>1676</v>
      </c>
      <c r="AN106" s="1967" t="s">
        <v>2213</v>
      </c>
      <c r="AO106" s="1968" t="s">
        <v>2214</v>
      </c>
      <c r="AP106" s="1968" t="s">
        <v>2215</v>
      </c>
      <c r="AQ106" s="1967" t="s">
        <v>2209</v>
      </c>
      <c r="AR106" s="1968" t="s">
        <v>2210</v>
      </c>
      <c r="AS106" s="1968"/>
      <c r="AT106" s="1966">
        <v>1963.0</v>
      </c>
      <c r="AV106" s="1819"/>
      <c r="AW106" s="1819"/>
      <c r="AX106" s="1819"/>
      <c r="AY106" s="1819"/>
      <c r="AZ106" s="1819"/>
      <c r="BA106" s="1819"/>
      <c r="BB106" s="1974"/>
      <c r="BC106" s="1819"/>
      <c r="BD106" s="1819"/>
      <c r="BE106" s="2025"/>
      <c r="BF106" s="2057"/>
      <c r="BG106" s="2057"/>
      <c r="BH106" s="2057"/>
      <c r="BI106" s="2057"/>
      <c r="BJ106" s="2057"/>
      <c r="BK106" s="2057"/>
      <c r="BL106" s="2057"/>
      <c r="BM106" s="2057"/>
    </row>
    <row r="107" spans="8:8" ht="17.25" customHeight="1">
      <c r="A107" s="1817" t="s">
        <v>2216</v>
      </c>
      <c r="B107" s="1817" t="s">
        <v>2216</v>
      </c>
      <c r="C107" s="2054" t="s">
        <v>2094</v>
      </c>
      <c r="D107" s="1919" t="s">
        <v>2171</v>
      </c>
      <c r="E107" s="1791" t="s">
        <v>88</v>
      </c>
      <c r="F107" s="1791" t="s">
        <v>2217</v>
      </c>
      <c r="G107" s="2036" t="s">
        <v>2159</v>
      </c>
      <c r="H107" s="1919" t="s">
        <v>2160</v>
      </c>
      <c r="I107" s="2056" t="s">
        <v>2161</v>
      </c>
      <c r="J107" s="1819" t="s">
        <v>2162</v>
      </c>
      <c r="K107" s="1816" t="s">
        <v>2163</v>
      </c>
      <c r="L107" s="1914"/>
      <c r="AE107" s="1966">
        <v>1964.0</v>
      </c>
      <c r="AF107" s="1967" t="s">
        <v>2218</v>
      </c>
      <c r="AG107" s="1967"/>
      <c r="AH107" s="1967"/>
      <c r="AI107" s="1967" t="s">
        <v>2219</v>
      </c>
      <c r="AJ107" s="1967"/>
      <c r="AK107" s="1967"/>
      <c r="AL107" s="1967" t="s">
        <v>2190</v>
      </c>
      <c r="AM107" s="1967" t="s">
        <v>1689</v>
      </c>
      <c r="AN107" s="1967" t="s">
        <v>2220</v>
      </c>
      <c r="AO107" s="1968" t="s">
        <v>2221</v>
      </c>
      <c r="AP107" s="1968" t="s">
        <v>2222</v>
      </c>
      <c r="AQ107" s="1967" t="s">
        <v>2223</v>
      </c>
      <c r="AR107" s="1968" t="s">
        <v>2224</v>
      </c>
      <c r="AS107" s="1968" t="s">
        <v>2225</v>
      </c>
      <c r="AT107" s="1966">
        <v>1964.0</v>
      </c>
      <c r="AV107" s="1819"/>
      <c r="AW107" s="1819"/>
      <c r="AX107" s="1819"/>
      <c r="AY107" s="1819"/>
      <c r="AZ107" s="1819"/>
      <c r="BA107" s="1819"/>
      <c r="BB107" s="1974"/>
      <c r="BC107" s="1819"/>
      <c r="BD107" s="1819"/>
      <c r="BE107" s="2025"/>
      <c r="BF107" s="2057"/>
      <c r="BG107" s="2057"/>
      <c r="BH107" s="2057"/>
      <c r="BI107" s="2057"/>
      <c r="BJ107" s="2057"/>
      <c r="BK107" s="2057"/>
      <c r="BL107" s="2057"/>
      <c r="BM107" s="2057"/>
    </row>
    <row r="108" spans="8:8" ht="17.25" customHeight="1">
      <c r="A108" s="1817" t="s">
        <v>1344</v>
      </c>
      <c r="B108" s="1817" t="s">
        <v>1344</v>
      </c>
      <c r="C108" s="2054" t="s">
        <v>2094</v>
      </c>
      <c r="D108" s="1919" t="s">
        <v>2171</v>
      </c>
      <c r="E108" s="1791" t="s">
        <v>88</v>
      </c>
      <c r="F108" s="1819" t="s">
        <v>2226</v>
      </c>
      <c r="G108" s="2036" t="s">
        <v>2159</v>
      </c>
      <c r="H108" s="1919" t="s">
        <v>2160</v>
      </c>
      <c r="I108" s="2056" t="s">
        <v>2161</v>
      </c>
      <c r="J108" s="1819" t="s">
        <v>2162</v>
      </c>
      <c r="K108" s="1816" t="s">
        <v>2163</v>
      </c>
      <c r="L108" s="1914"/>
      <c r="AE108" s="1966">
        <v>1965.0</v>
      </c>
      <c r="AF108" s="1967" t="s">
        <v>88</v>
      </c>
      <c r="AG108" s="1967"/>
      <c r="AH108" s="1967"/>
      <c r="AI108" s="1967" t="s">
        <v>88</v>
      </c>
      <c r="AJ108" s="1967" t="s">
        <v>2227</v>
      </c>
      <c r="AK108" s="1967"/>
      <c r="AL108" s="1967" t="s">
        <v>2190</v>
      </c>
      <c r="AM108" s="1967" t="s">
        <v>1701</v>
      </c>
      <c r="AN108" s="1967" t="s">
        <v>2228</v>
      </c>
      <c r="AO108" s="1968" t="s">
        <v>2229</v>
      </c>
      <c r="AP108" s="1968" t="s">
        <v>2222</v>
      </c>
      <c r="AQ108" s="1967" t="s">
        <v>2230</v>
      </c>
      <c r="AR108" s="1968" t="s">
        <v>2231</v>
      </c>
      <c r="AS108" s="1968" t="s">
        <v>2232</v>
      </c>
      <c r="AT108" s="1966">
        <v>1965.0</v>
      </c>
      <c r="AV108" s="1819"/>
      <c r="AW108" s="1819"/>
      <c r="AX108" s="1819"/>
      <c r="AY108" s="1819"/>
      <c r="AZ108" s="1819"/>
      <c r="BA108" s="1819"/>
      <c r="BB108" s="1974"/>
      <c r="BC108" s="1819"/>
      <c r="BD108" s="1819"/>
      <c r="BE108" s="2025"/>
      <c r="BF108" s="2057"/>
      <c r="BG108" s="2057"/>
      <c r="BH108" s="2057"/>
      <c r="BI108" s="2057"/>
      <c r="BJ108" s="2057"/>
      <c r="BK108" s="2057"/>
      <c r="BL108" s="2057"/>
      <c r="BM108" s="2057"/>
    </row>
    <row r="109" spans="8:8" ht="17.25" customHeight="1">
      <c r="A109" s="1817" t="s">
        <v>2233</v>
      </c>
      <c r="B109" s="1817" t="s">
        <v>2233</v>
      </c>
      <c r="C109" s="2054" t="s">
        <v>2094</v>
      </c>
      <c r="D109" s="1919" t="s">
        <v>2171</v>
      </c>
      <c r="E109" s="1791" t="s">
        <v>88</v>
      </c>
      <c r="F109" s="1819" t="s">
        <v>2234</v>
      </c>
      <c r="G109" s="2036" t="s">
        <v>2159</v>
      </c>
      <c r="H109" s="1919" t="s">
        <v>2160</v>
      </c>
      <c r="I109" s="2056" t="s">
        <v>2161</v>
      </c>
      <c r="J109" s="1819" t="s">
        <v>2162</v>
      </c>
      <c r="K109" s="1816" t="s">
        <v>2163</v>
      </c>
      <c r="L109" s="1914"/>
      <c r="AE109" s="1966">
        <v>1966.0</v>
      </c>
      <c r="AF109" s="1967" t="s">
        <v>88</v>
      </c>
      <c r="AG109" s="1967"/>
      <c r="AH109" s="1967"/>
      <c r="AI109" s="1967" t="s">
        <v>2235</v>
      </c>
      <c r="AJ109" s="1967" t="s">
        <v>2236</v>
      </c>
      <c r="AK109" s="1967"/>
      <c r="AL109" s="1967" t="s">
        <v>2190</v>
      </c>
      <c r="AM109" s="1967" t="s">
        <v>1711</v>
      </c>
      <c r="AN109" s="1967" t="s">
        <v>2237</v>
      </c>
      <c r="AO109" s="1968" t="s">
        <v>2238</v>
      </c>
      <c r="AP109" s="1968" t="s">
        <v>2222</v>
      </c>
      <c r="AQ109" s="1967" t="s">
        <v>2239</v>
      </c>
      <c r="AR109" s="1968" t="s">
        <v>2240</v>
      </c>
      <c r="AS109" s="1968" t="s">
        <v>2241</v>
      </c>
      <c r="AT109" s="1966">
        <v>1966.0</v>
      </c>
      <c r="AV109" s="1819"/>
      <c r="AW109" s="1819"/>
      <c r="AX109" s="1819"/>
      <c r="AY109" s="1819"/>
      <c r="AZ109" s="1819"/>
      <c r="BA109" s="1819"/>
      <c r="BB109" s="1974"/>
      <c r="BC109" s="1819"/>
      <c r="BD109" s="1819"/>
      <c r="BE109" s="2025"/>
      <c r="BF109" s="2033"/>
      <c r="BG109" s="2033"/>
      <c r="BH109" s="2033"/>
      <c r="BI109" s="2033"/>
      <c r="BJ109" s="2033"/>
      <c r="BK109" s="2033"/>
      <c r="BL109" s="2033"/>
      <c r="BM109" s="2033"/>
    </row>
    <row r="110" spans="8:8" ht="17.25" customHeight="1">
      <c r="A110" s="1817" t="s">
        <v>2242</v>
      </c>
      <c r="B110" s="1817" t="s">
        <v>2242</v>
      </c>
      <c r="C110" s="2054" t="s">
        <v>2094</v>
      </c>
      <c r="D110" s="1919" t="s">
        <v>2171</v>
      </c>
      <c r="E110" s="1791" t="s">
        <v>88</v>
      </c>
      <c r="F110" s="1819" t="s">
        <v>2243</v>
      </c>
      <c r="G110" s="2036" t="s">
        <v>2159</v>
      </c>
      <c r="H110" s="1919" t="s">
        <v>2160</v>
      </c>
      <c r="I110" s="2056" t="s">
        <v>2161</v>
      </c>
      <c r="J110" s="1819" t="s">
        <v>2162</v>
      </c>
      <c r="K110" s="1816" t="s">
        <v>2163</v>
      </c>
      <c r="L110" s="1914"/>
      <c r="AE110" s="1966">
        <v>1967.0</v>
      </c>
      <c r="AF110" s="1967" t="s">
        <v>88</v>
      </c>
      <c r="AG110" s="1967"/>
      <c r="AH110" s="1967"/>
      <c r="AI110" s="1967" t="s">
        <v>88</v>
      </c>
      <c r="AJ110" s="1967"/>
      <c r="AK110" s="1967"/>
      <c r="AL110" s="1967" t="s">
        <v>2190</v>
      </c>
      <c r="AM110" s="1967" t="s">
        <v>1718</v>
      </c>
      <c r="AN110" s="1967" t="s">
        <v>2244</v>
      </c>
      <c r="AO110" s="1968" t="s">
        <v>2245</v>
      </c>
      <c r="AP110" s="1968" t="s">
        <v>2222</v>
      </c>
      <c r="AQ110" s="1967" t="s">
        <v>2246</v>
      </c>
      <c r="AR110" s="1968" t="s">
        <v>2247</v>
      </c>
      <c r="AS110" s="1968" t="s">
        <v>2248</v>
      </c>
      <c r="AT110" s="1966">
        <v>1967.0</v>
      </c>
      <c r="AV110" s="1819"/>
      <c r="AW110" s="1819"/>
      <c r="AX110" s="1819"/>
      <c r="AY110" s="1819"/>
      <c r="AZ110" s="1819"/>
      <c r="BA110" s="1819"/>
      <c r="BB110" s="1974"/>
      <c r="BC110" s="1819"/>
      <c r="BD110" s="1819"/>
      <c r="BE110" s="2025"/>
      <c r="BF110" s="2033"/>
      <c r="BG110" s="2033"/>
      <c r="BH110" s="2033"/>
      <c r="BI110" s="2033"/>
      <c r="BJ110" s="2033"/>
      <c r="BK110" s="2033"/>
      <c r="BL110" s="2033"/>
      <c r="BM110" s="2033"/>
    </row>
    <row r="111" spans="8:8" ht="17.25" customHeight="1">
      <c r="A111" s="1817" t="s">
        <v>2249</v>
      </c>
      <c r="B111" s="1817" t="s">
        <v>2249</v>
      </c>
      <c r="C111" s="2054" t="s">
        <v>2094</v>
      </c>
      <c r="D111" s="1919" t="s">
        <v>2171</v>
      </c>
      <c r="E111" s="1791" t="s">
        <v>88</v>
      </c>
      <c r="F111" s="1819" t="s">
        <v>2250</v>
      </c>
      <c r="G111" s="2036" t="s">
        <v>2159</v>
      </c>
      <c r="H111" s="1919" t="s">
        <v>2160</v>
      </c>
      <c r="I111" s="2056" t="s">
        <v>2161</v>
      </c>
      <c r="J111" s="1819" t="s">
        <v>2162</v>
      </c>
      <c r="K111" s="1816" t="s">
        <v>2163</v>
      </c>
      <c r="L111" s="1914"/>
      <c r="AE111" s="1966">
        <v>1968.0</v>
      </c>
      <c r="AF111" s="1967" t="s">
        <v>2251</v>
      </c>
      <c r="AG111" s="1967"/>
      <c r="AH111" s="1967"/>
      <c r="AI111" s="1967" t="s">
        <v>88</v>
      </c>
      <c r="AJ111" s="1967"/>
      <c r="AK111" s="1967"/>
      <c r="AL111" s="1967" t="s">
        <v>2190</v>
      </c>
      <c r="AM111" s="1967" t="s">
        <v>1726</v>
      </c>
      <c r="AN111" s="1967" t="s">
        <v>2252</v>
      </c>
      <c r="AO111" s="2035" t="s">
        <v>2253</v>
      </c>
      <c r="AP111" s="1968" t="s">
        <v>2222</v>
      </c>
      <c r="AQ111" s="1967" t="s">
        <v>2254</v>
      </c>
      <c r="AR111" s="1968" t="s">
        <v>2255</v>
      </c>
      <c r="AS111" s="2035" t="s">
        <v>2256</v>
      </c>
      <c r="AT111" s="1966">
        <v>1968.0</v>
      </c>
      <c r="AV111" s="2039"/>
      <c r="AW111" s="2039"/>
      <c r="AX111" s="2025"/>
      <c r="AY111" s="2025"/>
      <c r="AZ111" s="2039"/>
      <c r="BA111" s="2039"/>
      <c r="BB111" s="1974"/>
      <c r="BC111" s="2025"/>
      <c r="BD111" s="2025"/>
      <c r="BE111" s="2025"/>
      <c r="BF111" s="2033"/>
      <c r="BG111" s="2033"/>
      <c r="BH111" s="2033"/>
      <c r="BI111" s="2033"/>
      <c r="BJ111" s="2033"/>
      <c r="BK111" s="2033"/>
      <c r="BL111" s="2033"/>
      <c r="BM111" s="2033"/>
    </row>
    <row r="112" spans="8:8" ht="17.25" customHeight="1">
      <c r="A112" s="1817" t="s">
        <v>1350</v>
      </c>
      <c r="B112" s="1817" t="s">
        <v>1350</v>
      </c>
      <c r="C112" s="2054" t="s">
        <v>2094</v>
      </c>
      <c r="D112" s="1919" t="s">
        <v>2171</v>
      </c>
      <c r="E112" s="1791" t="s">
        <v>88</v>
      </c>
      <c r="F112" s="1819" t="s">
        <v>2257</v>
      </c>
      <c r="G112" s="2036" t="s">
        <v>2159</v>
      </c>
      <c r="H112" s="1919" t="s">
        <v>2160</v>
      </c>
      <c r="I112" s="2056" t="s">
        <v>2161</v>
      </c>
      <c r="J112" s="1819" t="s">
        <v>2162</v>
      </c>
      <c r="K112" s="1816" t="s">
        <v>2163</v>
      </c>
      <c r="L112" s="1914"/>
      <c r="M112" s="2059"/>
      <c r="N112" s="2060" t="s">
        <v>2258</v>
      </c>
      <c r="O112" s="2060"/>
      <c r="P112" s="2060"/>
      <c r="Q112" s="2060"/>
      <c r="R112" s="2061"/>
      <c r="S112" s="2062"/>
      <c r="T112" s="2060" t="s">
        <v>2259</v>
      </c>
      <c r="U112" s="2060"/>
      <c r="V112" s="2060"/>
      <c r="W112" s="2060"/>
      <c r="X112" s="2061"/>
      <c r="AE112" s="1966">
        <v>1969.0</v>
      </c>
      <c r="AF112" s="1967" t="s">
        <v>2260</v>
      </c>
      <c r="AG112" s="1967" t="s">
        <v>2261</v>
      </c>
      <c r="AH112" s="1967"/>
      <c r="AI112" s="1967" t="s">
        <v>88</v>
      </c>
      <c r="AJ112" s="1967"/>
      <c r="AK112" s="1967"/>
      <c r="AL112" s="1967" t="s">
        <v>2190</v>
      </c>
      <c r="AM112" s="1967" t="s">
        <v>1735</v>
      </c>
      <c r="AN112" s="1967" t="s">
        <v>2262</v>
      </c>
      <c r="AO112" s="2035" t="s">
        <v>2263</v>
      </c>
      <c r="AP112" s="1968" t="s">
        <v>2264</v>
      </c>
      <c r="AQ112" s="1967" t="s">
        <v>2265</v>
      </c>
      <c r="AR112" s="1968" t="s">
        <v>2266</v>
      </c>
      <c r="AS112" s="2035" t="s">
        <v>2267</v>
      </c>
      <c r="AT112" s="1966">
        <v>1969.0</v>
      </c>
      <c r="AV112" s="2039"/>
      <c r="AW112" s="2039"/>
      <c r="AX112" s="2025"/>
      <c r="AY112" s="2025"/>
      <c r="AZ112" s="2039"/>
      <c r="BA112" s="2039"/>
      <c r="BB112" s="1974"/>
      <c r="BC112" s="2025"/>
      <c r="BD112" s="2025"/>
      <c r="BE112" s="2025"/>
      <c r="BF112" s="2033"/>
      <c r="BG112" s="2033"/>
      <c r="BH112" s="2033"/>
      <c r="BI112" s="2033"/>
      <c r="BJ112" s="2033"/>
      <c r="BK112" s="2033"/>
      <c r="BL112" s="2033"/>
      <c r="BM112" s="2033"/>
    </row>
    <row r="113" spans="8:8" ht="17.25" customHeight="1">
      <c r="A113" s="1817" t="s">
        <v>2268</v>
      </c>
      <c r="B113" s="1817" t="s">
        <v>2268</v>
      </c>
      <c r="C113" s="2054" t="s">
        <v>2094</v>
      </c>
      <c r="D113" s="1919" t="s">
        <v>2171</v>
      </c>
      <c r="E113" s="1791" t="s">
        <v>88</v>
      </c>
      <c r="F113" s="1819" t="s">
        <v>2269</v>
      </c>
      <c r="G113" s="2036" t="s">
        <v>2159</v>
      </c>
      <c r="H113" s="1919" t="s">
        <v>2160</v>
      </c>
      <c r="I113" s="2056" t="s">
        <v>2161</v>
      </c>
      <c r="J113" s="1819" t="s">
        <v>2162</v>
      </c>
      <c r="K113" s="1816" t="s">
        <v>2163</v>
      </c>
      <c r="L113" s="1914"/>
      <c r="M113" s="2063">
        <v>0.0</v>
      </c>
      <c r="N113" s="2064" t="s">
        <v>2270</v>
      </c>
      <c r="O113" s="2064"/>
      <c r="P113" s="2064"/>
      <c r="Q113" s="2064"/>
      <c r="R113" s="2065"/>
      <c r="S113" s="2066">
        <v>0.0</v>
      </c>
      <c r="T113" s="2064" t="s">
        <v>2271</v>
      </c>
      <c r="U113" s="2064"/>
      <c r="V113" s="2064"/>
      <c r="W113" s="2064"/>
      <c r="X113" s="2065"/>
      <c r="AE113" s="1966">
        <v>1970.0</v>
      </c>
      <c r="AF113" s="1967" t="s">
        <v>88</v>
      </c>
      <c r="AG113" s="1967"/>
      <c r="AH113" s="1967"/>
      <c r="AI113" s="1967" t="s">
        <v>2272</v>
      </c>
      <c r="AJ113" s="1967"/>
      <c r="AK113" s="1967"/>
      <c r="AL113" s="1967" t="s">
        <v>2273</v>
      </c>
      <c r="AM113" s="1967" t="s">
        <v>1744</v>
      </c>
      <c r="AN113" s="1967" t="s">
        <v>2274</v>
      </c>
      <c r="AO113" s="2035" t="s">
        <v>2275</v>
      </c>
      <c r="AP113" s="1968" t="s">
        <v>2276</v>
      </c>
      <c r="AQ113" s="1967" t="s">
        <v>2277</v>
      </c>
      <c r="AR113" s="1968" t="s">
        <v>2278</v>
      </c>
      <c r="AS113" s="2035" t="s">
        <v>2279</v>
      </c>
      <c r="AT113" s="1966">
        <v>1970.0</v>
      </c>
      <c r="AV113" s="2033"/>
      <c r="AW113" s="2033"/>
      <c r="AX113" s="2067"/>
      <c r="AY113" s="2067"/>
      <c r="AZ113" s="2033"/>
      <c r="BA113" s="2033"/>
      <c r="BB113" s="1974"/>
      <c r="BC113" s="2067"/>
      <c r="BD113" s="2067"/>
      <c r="BE113" s="2067"/>
      <c r="BF113" s="2033"/>
      <c r="BG113" s="2033"/>
      <c r="BH113" s="2033"/>
      <c r="BI113" s="2033"/>
      <c r="BJ113" s="2033"/>
      <c r="BK113" s="2033"/>
      <c r="BL113" s="2033"/>
      <c r="BM113" s="2033"/>
    </row>
    <row r="114" spans="8:8" ht="17.25" customHeight="1">
      <c r="A114" s="1817" t="s">
        <v>2280</v>
      </c>
      <c r="B114" s="1817" t="s">
        <v>2280</v>
      </c>
      <c r="C114" s="2054" t="s">
        <v>2094</v>
      </c>
      <c r="D114" s="1919" t="s">
        <v>2171</v>
      </c>
      <c r="E114" s="1791" t="s">
        <v>88</v>
      </c>
      <c r="F114" s="1819" t="s">
        <v>2281</v>
      </c>
      <c r="G114" s="2036" t="s">
        <v>2159</v>
      </c>
      <c r="H114" s="1919" t="s">
        <v>2160</v>
      </c>
      <c r="I114" s="2056" t="s">
        <v>2161</v>
      </c>
      <c r="J114" s="1819" t="s">
        <v>2162</v>
      </c>
      <c r="K114" s="1816" t="s">
        <v>2163</v>
      </c>
      <c r="L114" s="1914"/>
      <c r="M114" s="2063">
        <v>1.0</v>
      </c>
      <c r="N114" s="2064" t="s">
        <v>2282</v>
      </c>
      <c r="O114" s="2064"/>
      <c r="P114" s="2064"/>
      <c r="Q114" s="2064"/>
      <c r="R114" s="2065"/>
      <c r="S114" s="2066">
        <v>1.0</v>
      </c>
      <c r="T114" s="2064" t="s">
        <v>2283</v>
      </c>
      <c r="U114" s="2064"/>
      <c r="V114" s="2064"/>
      <c r="W114" s="2064"/>
      <c r="X114" s="2065"/>
      <c r="AE114" s="1966">
        <v>1971.0</v>
      </c>
      <c r="AF114" s="1967" t="s">
        <v>88</v>
      </c>
      <c r="AG114" s="1967"/>
      <c r="AH114" s="1967"/>
      <c r="AI114" s="1967" t="s">
        <v>2284</v>
      </c>
      <c r="AJ114" s="1967"/>
      <c r="AK114" s="1967"/>
      <c r="AL114" s="1967" t="s">
        <v>2273</v>
      </c>
      <c r="AM114" s="1967" t="s">
        <v>1754</v>
      </c>
      <c r="AN114" s="1967" t="s">
        <v>2285</v>
      </c>
      <c r="AO114" s="2035" t="s">
        <v>2286</v>
      </c>
      <c r="AP114" s="1968" t="s">
        <v>2276</v>
      </c>
      <c r="AQ114" s="1967" t="s">
        <v>2287</v>
      </c>
      <c r="AR114" s="1968" t="s">
        <v>2288</v>
      </c>
      <c r="AS114" s="2035" t="s">
        <v>2289</v>
      </c>
      <c r="AT114" s="1966">
        <v>1971.0</v>
      </c>
      <c r="AV114" s="2033"/>
      <c r="AW114" s="2033"/>
      <c r="AX114" s="2067"/>
      <c r="AY114" s="2067"/>
      <c r="AZ114" s="2033"/>
      <c r="BA114" s="2033"/>
      <c r="BB114" s="1974"/>
      <c r="BC114" s="2067"/>
      <c r="BD114" s="2067"/>
      <c r="BE114" s="2067"/>
      <c r="BF114" s="2033"/>
      <c r="BG114" s="2033"/>
      <c r="BH114" s="2033"/>
      <c r="BI114" s="2033"/>
      <c r="BJ114" s="2033"/>
      <c r="BK114" s="2033"/>
      <c r="BL114" s="2033"/>
      <c r="BM114" s="2033"/>
    </row>
    <row r="115" spans="8:8" ht="17.25" customHeight="1">
      <c r="A115" s="1817" t="s">
        <v>1343</v>
      </c>
      <c r="B115" s="1817" t="s">
        <v>1343</v>
      </c>
      <c r="C115" s="2054" t="s">
        <v>2094</v>
      </c>
      <c r="D115" s="1919" t="s">
        <v>2171</v>
      </c>
      <c r="E115" s="1791" t="s">
        <v>88</v>
      </c>
      <c r="F115" s="1819" t="s">
        <v>2290</v>
      </c>
      <c r="G115" s="2036" t="s">
        <v>2159</v>
      </c>
      <c r="H115" s="1919" t="s">
        <v>2160</v>
      </c>
      <c r="I115" s="2056" t="s">
        <v>2161</v>
      </c>
      <c r="J115" s="1819" t="s">
        <v>2162</v>
      </c>
      <c r="K115" s="1816" t="s">
        <v>2163</v>
      </c>
      <c r="L115" s="1914"/>
      <c r="M115" s="2063">
        <v>2.0</v>
      </c>
      <c r="N115" s="2064" t="s">
        <v>2291</v>
      </c>
      <c r="O115" s="2064"/>
      <c r="P115" s="2064"/>
      <c r="Q115" s="2064"/>
      <c r="R115" s="2065"/>
      <c r="S115" s="2066">
        <v>2.0</v>
      </c>
      <c r="T115" s="2064" t="s">
        <v>2292</v>
      </c>
      <c r="U115" s="2064"/>
      <c r="V115" s="2064"/>
      <c r="W115" s="2064"/>
      <c r="X115" s="2065"/>
      <c r="AE115" s="1966">
        <v>1972.0</v>
      </c>
      <c r="AF115" s="1967" t="s">
        <v>2293</v>
      </c>
      <c r="AG115" s="1967"/>
      <c r="AH115" s="1967"/>
      <c r="AI115" s="1967" t="s">
        <v>2294</v>
      </c>
      <c r="AJ115" s="1967"/>
      <c r="AK115" s="1967"/>
      <c r="AL115" s="1967" t="s">
        <v>2273</v>
      </c>
      <c r="AM115" s="1967" t="s">
        <v>1767</v>
      </c>
      <c r="AN115" s="1967" t="s">
        <v>2295</v>
      </c>
      <c r="AO115" s="2035" t="s">
        <v>2296</v>
      </c>
      <c r="AP115" s="1968" t="s">
        <v>2276</v>
      </c>
      <c r="AQ115" s="1967" t="s">
        <v>2297</v>
      </c>
      <c r="AR115" s="1968" t="s">
        <v>2298</v>
      </c>
      <c r="AS115" s="2035" t="s">
        <v>2299</v>
      </c>
      <c r="AT115" s="1966">
        <v>1972.0</v>
      </c>
      <c r="AV115" s="2033"/>
      <c r="AW115" s="2033"/>
      <c r="AX115" s="2067"/>
      <c r="AY115" s="2067"/>
      <c r="AZ115" s="2033"/>
      <c r="BA115" s="2033"/>
      <c r="BB115" s="1974"/>
      <c r="BC115" s="2067"/>
      <c r="BD115" s="2067"/>
      <c r="BE115" s="2067"/>
      <c r="BF115" s="2033"/>
      <c r="BG115" s="2033"/>
      <c r="BH115" s="2033"/>
      <c r="BI115" s="2033"/>
      <c r="BJ115" s="2033"/>
      <c r="BK115" s="2033"/>
      <c r="BL115" s="2033"/>
      <c r="BM115" s="2033"/>
    </row>
    <row r="116" spans="8:8" ht="17.25" customHeight="1">
      <c r="A116" s="1817" t="s">
        <v>2300</v>
      </c>
      <c r="B116" s="1817" t="s">
        <v>2300</v>
      </c>
      <c r="C116" s="2054" t="s">
        <v>2094</v>
      </c>
      <c r="D116" s="1919" t="s">
        <v>2171</v>
      </c>
      <c r="E116" s="1791" t="s">
        <v>88</v>
      </c>
      <c r="F116" s="1819" t="s">
        <v>2301</v>
      </c>
      <c r="G116" s="2036" t="s">
        <v>2159</v>
      </c>
      <c r="H116" s="1919" t="s">
        <v>2160</v>
      </c>
      <c r="I116" s="2056" t="s">
        <v>2161</v>
      </c>
      <c r="J116" s="1819" t="s">
        <v>2162</v>
      </c>
      <c r="K116" s="1816" t="s">
        <v>2163</v>
      </c>
      <c r="L116" s="1914"/>
      <c r="M116" s="2063">
        <v>3.0</v>
      </c>
      <c r="N116" s="2064" t="s">
        <v>2302</v>
      </c>
      <c r="O116" s="2064"/>
      <c r="P116" s="2064"/>
      <c r="Q116" s="2064"/>
      <c r="R116" s="2065"/>
      <c r="S116" s="2066">
        <v>3.0</v>
      </c>
      <c r="T116" s="2064" t="s">
        <v>2303</v>
      </c>
      <c r="U116" s="2064"/>
      <c r="V116" s="2064"/>
      <c r="W116" s="2064"/>
      <c r="X116" s="2065"/>
      <c r="AE116" s="1966">
        <v>1973.0</v>
      </c>
      <c r="AF116" s="1967" t="s">
        <v>88</v>
      </c>
      <c r="AG116" s="1967"/>
      <c r="AH116" s="1967"/>
      <c r="AI116" s="1967" t="s">
        <v>2304</v>
      </c>
      <c r="AJ116" s="1967"/>
      <c r="AK116" s="1967"/>
      <c r="AL116" s="1967" t="s">
        <v>2273</v>
      </c>
      <c r="AM116" s="1967" t="s">
        <v>1776</v>
      </c>
      <c r="AN116" s="1967" t="s">
        <v>2305</v>
      </c>
      <c r="AO116" s="2035" t="s">
        <v>2306</v>
      </c>
      <c r="AP116" s="1968" t="s">
        <v>2276</v>
      </c>
      <c r="AQ116" s="1967" t="s">
        <v>2307</v>
      </c>
      <c r="AR116" s="1968" t="s">
        <v>2308</v>
      </c>
      <c r="AS116" s="2035" t="s">
        <v>2309</v>
      </c>
      <c r="AT116" s="1966">
        <v>1973.0</v>
      </c>
      <c r="AV116" s="2033"/>
      <c r="AW116" s="2033"/>
      <c r="AX116" s="2067"/>
      <c r="AY116" s="2067"/>
      <c r="AZ116" s="2033"/>
      <c r="BA116" s="2033"/>
      <c r="BB116" s="1974"/>
      <c r="BC116" s="2067"/>
      <c r="BD116" s="2067"/>
      <c r="BE116" s="2067"/>
      <c r="BF116" s="2033"/>
      <c r="BG116" s="2033"/>
      <c r="BH116" s="2033"/>
      <c r="BI116" s="2033"/>
      <c r="BJ116" s="2033"/>
      <c r="BK116" s="2033"/>
      <c r="BL116" s="2033"/>
      <c r="BM116" s="2033"/>
    </row>
    <row r="117" spans="8:8" ht="17.25" customHeight="1">
      <c r="A117" s="1817" t="s">
        <v>2310</v>
      </c>
      <c r="B117" s="1817" t="s">
        <v>2310</v>
      </c>
      <c r="C117" s="2054" t="s">
        <v>2094</v>
      </c>
      <c r="D117" s="1919" t="s">
        <v>2171</v>
      </c>
      <c r="E117" s="1791" t="s">
        <v>88</v>
      </c>
      <c r="F117" s="1819" t="s">
        <v>2311</v>
      </c>
      <c r="G117" s="2036" t="s">
        <v>2159</v>
      </c>
      <c r="H117" s="1919" t="s">
        <v>2160</v>
      </c>
      <c r="I117" s="2056" t="s">
        <v>2161</v>
      </c>
      <c r="J117" s="1819" t="s">
        <v>2162</v>
      </c>
      <c r="K117" s="1816" t="s">
        <v>2163</v>
      </c>
      <c r="L117" s="1914"/>
      <c r="M117" s="2063">
        <v>4.0</v>
      </c>
      <c r="N117" s="2064" t="s">
        <v>2312</v>
      </c>
      <c r="O117" s="2064"/>
      <c r="P117" s="2064"/>
      <c r="Q117" s="2064"/>
      <c r="R117" s="2065"/>
      <c r="S117" s="2066">
        <v>4.0</v>
      </c>
      <c r="T117" s="2064" t="s">
        <v>2313</v>
      </c>
      <c r="U117" s="2064"/>
      <c r="V117" s="2064"/>
      <c r="W117" s="2064"/>
      <c r="X117" s="2065"/>
      <c r="AE117" s="1966">
        <v>1974.0</v>
      </c>
      <c r="AF117" s="1967" t="s">
        <v>88</v>
      </c>
      <c r="AG117" s="1967"/>
      <c r="AH117" s="1967"/>
      <c r="AI117" s="1967" t="s">
        <v>88</v>
      </c>
      <c r="AJ117" s="1967"/>
      <c r="AK117" s="1967"/>
      <c r="AL117" s="1967" t="s">
        <v>2273</v>
      </c>
      <c r="AM117" s="1967" t="s">
        <v>1782</v>
      </c>
      <c r="AN117" s="1967" t="s">
        <v>2314</v>
      </c>
      <c r="AO117" s="1968" t="s">
        <v>2315</v>
      </c>
      <c r="AP117" s="1968" t="s">
        <v>2316</v>
      </c>
      <c r="AQ117" s="1967" t="s">
        <v>2307</v>
      </c>
      <c r="AR117" s="1968" t="s">
        <v>2308</v>
      </c>
      <c r="AS117" s="1968"/>
      <c r="AT117" s="1966">
        <v>1974.0</v>
      </c>
      <c r="AV117" s="1819"/>
      <c r="AW117" s="1819"/>
      <c r="AX117" s="1819"/>
      <c r="AY117" s="1819"/>
      <c r="AZ117" s="1819"/>
      <c r="BA117" s="1819"/>
      <c r="BB117" s="1974"/>
      <c r="BC117" s="1819"/>
      <c r="BD117" s="1819"/>
      <c r="BE117" s="1819"/>
      <c r="BF117" s="1819"/>
      <c r="BG117" s="1819"/>
      <c r="BH117" s="1819"/>
      <c r="BI117" s="1819"/>
      <c r="BJ117" s="1819"/>
      <c r="BK117" s="1819"/>
      <c r="BL117" s="1819"/>
      <c r="BM117" s="1819"/>
    </row>
    <row r="118" spans="8:8" ht="17.25" customHeight="1">
      <c r="A118" s="1817" t="s">
        <v>1355</v>
      </c>
      <c r="B118" s="1817" t="s">
        <v>1355</v>
      </c>
      <c r="C118" s="2054" t="s">
        <v>2094</v>
      </c>
      <c r="D118" s="1919" t="s">
        <v>2171</v>
      </c>
      <c r="E118" s="1791" t="s">
        <v>88</v>
      </c>
      <c r="F118" s="1819" t="s">
        <v>2317</v>
      </c>
      <c r="G118" s="2036" t="s">
        <v>2159</v>
      </c>
      <c r="H118" s="1919" t="s">
        <v>2160</v>
      </c>
      <c r="I118" s="2056" t="s">
        <v>2161</v>
      </c>
      <c r="J118" s="1819" t="s">
        <v>2162</v>
      </c>
      <c r="K118" s="1816" t="s">
        <v>2163</v>
      </c>
      <c r="L118" s="1914"/>
      <c r="M118" s="2063">
        <v>5.0</v>
      </c>
      <c r="N118" s="2064" t="s">
        <v>2318</v>
      </c>
      <c r="O118" s="2064"/>
      <c r="P118" s="2064"/>
      <c r="Q118" s="2064"/>
      <c r="R118" s="2065"/>
      <c r="S118" s="2066">
        <v>5.0</v>
      </c>
      <c r="T118" s="2064" t="s">
        <v>2319</v>
      </c>
      <c r="U118" s="2064"/>
      <c r="V118" s="2064"/>
      <c r="W118" s="2064"/>
      <c r="X118" s="2065"/>
      <c r="AE118" s="1966">
        <v>1975.0</v>
      </c>
      <c r="AF118" s="1967" t="s">
        <v>2320</v>
      </c>
      <c r="AG118" s="1967"/>
      <c r="AH118" s="1967"/>
      <c r="AI118" s="1967" t="s">
        <v>2321</v>
      </c>
      <c r="AJ118" s="1967"/>
      <c r="AK118" s="1967"/>
      <c r="AL118" s="1967" t="s">
        <v>2273</v>
      </c>
      <c r="AM118" s="1967" t="s">
        <v>1787</v>
      </c>
      <c r="AN118" s="1967" t="s">
        <v>2322</v>
      </c>
      <c r="AO118" s="1968" t="s">
        <v>2323</v>
      </c>
      <c r="AP118" s="1968" t="s">
        <v>2324</v>
      </c>
      <c r="AQ118" s="1967" t="s">
        <v>2325</v>
      </c>
      <c r="AR118" s="1968" t="s">
        <v>2326</v>
      </c>
      <c r="AS118" s="1968" t="s">
        <v>2327</v>
      </c>
      <c r="AT118" s="1966">
        <v>1975.0</v>
      </c>
      <c r="AV118" s="1819"/>
      <c r="AW118" s="1819"/>
      <c r="AX118" s="1819"/>
      <c r="AY118" s="1819"/>
      <c r="AZ118" s="1819"/>
      <c r="BA118" s="1819"/>
      <c r="BB118" s="1974"/>
      <c r="BC118" s="1819"/>
      <c r="BD118" s="1819"/>
      <c r="BE118" s="1819"/>
      <c r="BF118" s="1819"/>
      <c r="BG118" s="1819"/>
      <c r="BH118" s="1819"/>
      <c r="BI118" s="1819"/>
      <c r="BJ118" s="1819"/>
      <c r="BK118" s="1819"/>
      <c r="BL118" s="1819"/>
      <c r="BM118" s="1819"/>
    </row>
    <row r="119" spans="8:8" ht="17.25" customHeight="1">
      <c r="A119" s="1817" t="s">
        <v>2328</v>
      </c>
      <c r="B119" s="1817" t="s">
        <v>2328</v>
      </c>
      <c r="C119" s="2054" t="s">
        <v>2094</v>
      </c>
      <c r="D119" s="1919" t="s">
        <v>2171</v>
      </c>
      <c r="E119" s="1791" t="s">
        <v>88</v>
      </c>
      <c r="F119" s="1819" t="s">
        <v>2329</v>
      </c>
      <c r="G119" s="2036" t="s">
        <v>2159</v>
      </c>
      <c r="H119" s="1919" t="s">
        <v>2160</v>
      </c>
      <c r="I119" s="2056" t="s">
        <v>2161</v>
      </c>
      <c r="J119" s="1819" t="s">
        <v>2162</v>
      </c>
      <c r="K119" s="1816" t="s">
        <v>2163</v>
      </c>
      <c r="L119" s="1914"/>
      <c r="M119" s="2063">
        <v>6.0</v>
      </c>
      <c r="N119" s="2064" t="s">
        <v>2330</v>
      </c>
      <c r="O119" s="2064"/>
      <c r="P119" s="2064"/>
      <c r="Q119" s="2064"/>
      <c r="R119" s="2065"/>
      <c r="S119" s="2066">
        <v>6.0</v>
      </c>
      <c r="T119" s="2064" t="s">
        <v>2331</v>
      </c>
      <c r="U119" s="2064"/>
      <c r="V119" s="2064"/>
      <c r="W119" s="2064"/>
      <c r="X119" s="2065"/>
      <c r="AE119" s="1966">
        <v>1976.0</v>
      </c>
      <c r="AF119" s="1967" t="s">
        <v>2332</v>
      </c>
      <c r="AG119" s="1967"/>
      <c r="AH119" s="1967"/>
      <c r="AI119" s="1967" t="s">
        <v>2333</v>
      </c>
      <c r="AJ119" s="1967" t="s">
        <v>2334</v>
      </c>
      <c r="AK119" s="1967" t="s">
        <v>2335</v>
      </c>
      <c r="AL119" s="1967" t="s">
        <v>2273</v>
      </c>
      <c r="AM119" s="1967" t="s">
        <v>1794</v>
      </c>
      <c r="AN119" s="1967" t="s">
        <v>2336</v>
      </c>
      <c r="AO119" s="1968" t="s">
        <v>2337</v>
      </c>
      <c r="AP119" s="1968" t="s">
        <v>2324</v>
      </c>
      <c r="AQ119" s="1967" t="s">
        <v>2338</v>
      </c>
      <c r="AR119" s="1968" t="s">
        <v>2339</v>
      </c>
      <c r="AS119" s="1968" t="s">
        <v>2340</v>
      </c>
      <c r="AT119" s="1966">
        <v>1976.0</v>
      </c>
      <c r="AV119" s="1819"/>
      <c r="AW119" s="1819"/>
      <c r="AX119" s="1819"/>
      <c r="AY119" s="1819"/>
      <c r="AZ119" s="1819"/>
      <c r="BA119" s="1819"/>
      <c r="BB119" s="1974"/>
      <c r="BC119" s="1819"/>
      <c r="BD119" s="1819"/>
      <c r="BE119" s="1819"/>
      <c r="BF119" s="1819"/>
      <c r="BG119" s="1819"/>
      <c r="BH119" s="1819"/>
      <c r="BI119" s="1819"/>
      <c r="BJ119" s="1819"/>
      <c r="BK119" s="1819"/>
      <c r="BL119" s="1819"/>
      <c r="BM119" s="1819"/>
    </row>
    <row r="120" spans="8:8" ht="17.25" customHeight="1">
      <c r="A120" s="1817" t="s">
        <v>2341</v>
      </c>
      <c r="B120" s="1817" t="s">
        <v>2341</v>
      </c>
      <c r="C120" s="2054" t="s">
        <v>2094</v>
      </c>
      <c r="D120" s="1919" t="s">
        <v>2171</v>
      </c>
      <c r="E120" s="1791" t="s">
        <v>88</v>
      </c>
      <c r="F120" s="1819" t="s">
        <v>2342</v>
      </c>
      <c r="G120" s="2036" t="s">
        <v>2159</v>
      </c>
      <c r="H120" s="1919" t="s">
        <v>2160</v>
      </c>
      <c r="I120" s="2056" t="s">
        <v>2161</v>
      </c>
      <c r="J120" s="1819" t="s">
        <v>2162</v>
      </c>
      <c r="K120" s="1816" t="s">
        <v>2163</v>
      </c>
      <c r="L120" s="1914"/>
      <c r="M120" s="2063">
        <v>7.0</v>
      </c>
      <c r="N120" s="2064" t="s">
        <v>2343</v>
      </c>
      <c r="O120" s="2064"/>
      <c r="P120" s="2064"/>
      <c r="Q120" s="2064"/>
      <c r="R120" s="2065"/>
      <c r="S120" s="2066">
        <v>7.0</v>
      </c>
      <c r="T120" s="2064" t="s">
        <v>2344</v>
      </c>
      <c r="U120" s="2064"/>
      <c r="V120" s="2064"/>
      <c r="W120" s="2064"/>
      <c r="X120" s="2065"/>
      <c r="AE120" s="1966">
        <v>1977.0</v>
      </c>
      <c r="AF120" s="1967" t="s">
        <v>88</v>
      </c>
      <c r="AG120" s="1967"/>
      <c r="AH120" s="1967"/>
      <c r="AI120" s="1967" t="s">
        <v>88</v>
      </c>
      <c r="AJ120" s="1967"/>
      <c r="AK120" s="1967"/>
      <c r="AL120" s="1967" t="s">
        <v>2273</v>
      </c>
      <c r="AM120" s="1967" t="s">
        <v>1803</v>
      </c>
      <c r="AN120" s="1967" t="s">
        <v>2345</v>
      </c>
      <c r="AO120" s="1968" t="s">
        <v>2346</v>
      </c>
      <c r="AP120" s="1968" t="s">
        <v>2347</v>
      </c>
      <c r="AQ120" s="1967" t="s">
        <v>2348</v>
      </c>
      <c r="AR120" s="1968" t="s">
        <v>2349</v>
      </c>
      <c r="AS120" s="1968" t="s">
        <v>2350</v>
      </c>
      <c r="AT120" s="1966">
        <v>1977.0</v>
      </c>
      <c r="AV120" s="1819"/>
      <c r="AW120" s="1819"/>
      <c r="AX120" s="1819"/>
      <c r="AY120" s="1819"/>
      <c r="AZ120" s="1819"/>
      <c r="BA120" s="1819"/>
      <c r="BB120" s="1974"/>
      <c r="BC120" s="1819"/>
      <c r="BD120" s="1819"/>
      <c r="BE120" s="1819"/>
      <c r="BF120" s="1819"/>
      <c r="BG120" s="1819"/>
      <c r="BH120" s="1819"/>
      <c r="BI120" s="1819"/>
      <c r="BJ120" s="1819"/>
      <c r="BK120" s="1819"/>
      <c r="BL120" s="1819"/>
      <c r="BM120" s="1819"/>
    </row>
    <row r="121" spans="8:8" ht="17.25" customHeight="1">
      <c r="A121" s="1817" t="s">
        <v>1337</v>
      </c>
      <c r="B121" s="1817" t="s">
        <v>1337</v>
      </c>
      <c r="C121" s="2054" t="s">
        <v>2094</v>
      </c>
      <c r="D121" s="1919" t="s">
        <v>2171</v>
      </c>
      <c r="E121" s="1791" t="s">
        <v>88</v>
      </c>
      <c r="F121" s="1819" t="s">
        <v>2351</v>
      </c>
      <c r="G121" s="2036" t="s">
        <v>2159</v>
      </c>
      <c r="H121" s="1919" t="s">
        <v>2160</v>
      </c>
      <c r="I121" s="2056" t="s">
        <v>2161</v>
      </c>
      <c r="J121" s="1819" t="s">
        <v>2162</v>
      </c>
      <c r="K121" s="1816" t="s">
        <v>2163</v>
      </c>
      <c r="L121" s="1914"/>
      <c r="M121" s="2063">
        <v>8.0</v>
      </c>
      <c r="N121" s="2064" t="s">
        <v>2352</v>
      </c>
      <c r="O121" s="2064"/>
      <c r="P121" s="2064"/>
      <c r="Q121" s="2064"/>
      <c r="R121" s="2065"/>
      <c r="S121" s="2066">
        <v>8.0</v>
      </c>
      <c r="T121" s="2064" t="s">
        <v>2353</v>
      </c>
      <c r="U121" s="2064"/>
      <c r="V121" s="2064"/>
      <c r="W121" s="2064"/>
      <c r="X121" s="2065"/>
      <c r="AE121" s="1966">
        <v>1978.0</v>
      </c>
      <c r="AF121" s="1967" t="s">
        <v>88</v>
      </c>
      <c r="AG121" s="1967"/>
      <c r="AH121" s="1967"/>
      <c r="AI121" s="1967" t="s">
        <v>88</v>
      </c>
      <c r="AJ121" s="1967"/>
      <c r="AK121" s="1967"/>
      <c r="AL121" s="1967" t="s">
        <v>2273</v>
      </c>
      <c r="AM121" s="1967" t="s">
        <v>1809</v>
      </c>
      <c r="AN121" s="1967" t="s">
        <v>2354</v>
      </c>
      <c r="AO121" s="1968" t="s">
        <v>2355</v>
      </c>
      <c r="AP121" s="1968" t="s">
        <v>2356</v>
      </c>
      <c r="AQ121" s="1967" t="s">
        <v>2357</v>
      </c>
      <c r="AR121" s="1968" t="s">
        <v>2358</v>
      </c>
      <c r="AS121" s="1968" t="s">
        <v>2359</v>
      </c>
      <c r="AT121" s="1966">
        <v>1978.0</v>
      </c>
      <c r="AV121" s="1819"/>
      <c r="AW121" s="1819"/>
      <c r="AX121" s="1819"/>
      <c r="AY121" s="1819"/>
      <c r="AZ121" s="1819"/>
      <c r="BA121" s="1819"/>
      <c r="BB121" s="1974"/>
      <c r="BC121" s="1819"/>
      <c r="BD121" s="1819"/>
      <c r="BE121" s="1819"/>
      <c r="BF121" s="1819"/>
      <c r="BG121" s="1819"/>
      <c r="BH121" s="1819"/>
      <c r="BI121" s="1819"/>
      <c r="BJ121" s="1819"/>
      <c r="BK121" s="1819"/>
      <c r="BL121" s="1819"/>
      <c r="BM121" s="1819"/>
    </row>
    <row r="122" spans="8:8" ht="17.25" customHeight="1">
      <c r="A122" s="1817" t="s">
        <v>2360</v>
      </c>
      <c r="B122" s="1817" t="s">
        <v>2360</v>
      </c>
      <c r="C122" s="2054" t="s">
        <v>2094</v>
      </c>
      <c r="D122" s="1919" t="s">
        <v>2171</v>
      </c>
      <c r="E122" s="1791" t="s">
        <v>88</v>
      </c>
      <c r="F122" s="1819" t="s">
        <v>2361</v>
      </c>
      <c r="G122" s="2036" t="s">
        <v>2159</v>
      </c>
      <c r="H122" s="1919" t="s">
        <v>2160</v>
      </c>
      <c r="I122" s="2056" t="s">
        <v>2161</v>
      </c>
      <c r="J122" s="1819" t="s">
        <v>2162</v>
      </c>
      <c r="K122" s="1816" t="s">
        <v>2163</v>
      </c>
      <c r="L122" s="1914"/>
      <c r="M122" s="2063">
        <v>9.0</v>
      </c>
      <c r="N122" s="2064" t="s">
        <v>2362</v>
      </c>
      <c r="O122" s="2064"/>
      <c r="P122" s="2064"/>
      <c r="Q122" s="2064"/>
      <c r="R122" s="2065"/>
      <c r="S122" s="2066">
        <v>9.0</v>
      </c>
      <c r="T122" s="2064" t="s">
        <v>2363</v>
      </c>
      <c r="U122" s="2064"/>
      <c r="V122" s="2064"/>
      <c r="W122" s="2064"/>
      <c r="X122" s="2065"/>
      <c r="AE122" s="1966">
        <v>1979.0</v>
      </c>
      <c r="AF122" s="1967" t="s">
        <v>88</v>
      </c>
      <c r="AG122" s="1967"/>
      <c r="AH122" s="1967"/>
      <c r="AI122" s="1967" t="s">
        <v>88</v>
      </c>
      <c r="AJ122" s="1967"/>
      <c r="AK122" s="1967"/>
      <c r="AL122" s="1967" t="s">
        <v>2273</v>
      </c>
      <c r="AM122" s="1967" t="s">
        <v>1817</v>
      </c>
      <c r="AN122" s="1967" t="s">
        <v>2364</v>
      </c>
      <c r="AO122" s="1968" t="s">
        <v>2365</v>
      </c>
      <c r="AP122" s="1968" t="s">
        <v>2356</v>
      </c>
      <c r="AQ122" s="1967" t="s">
        <v>2366</v>
      </c>
      <c r="AR122" s="1968" t="s">
        <v>2367</v>
      </c>
      <c r="AS122" s="1968" t="s">
        <v>2368</v>
      </c>
      <c r="AT122" s="1966">
        <v>1979.0</v>
      </c>
      <c r="BB122" s="1974"/>
    </row>
    <row r="123" spans="8:8" ht="17.25" customHeight="1">
      <c r="A123" s="1817" t="s">
        <v>2369</v>
      </c>
      <c r="B123" s="1817" t="s">
        <v>2369</v>
      </c>
      <c r="C123" s="2054" t="s">
        <v>2094</v>
      </c>
      <c r="D123" s="1919" t="s">
        <v>2171</v>
      </c>
      <c r="E123" s="1791" t="s">
        <v>88</v>
      </c>
      <c r="F123" s="1819" t="s">
        <v>2370</v>
      </c>
      <c r="G123" s="2036" t="s">
        <v>2159</v>
      </c>
      <c r="H123" s="1919" t="s">
        <v>2160</v>
      </c>
      <c r="I123" s="2056" t="s">
        <v>2161</v>
      </c>
      <c r="J123" s="1819" t="s">
        <v>2162</v>
      </c>
      <c r="K123" s="1816" t="s">
        <v>2163</v>
      </c>
      <c r="L123" s="1914"/>
      <c r="M123" s="2063">
        <v>10.0</v>
      </c>
      <c r="N123" s="2064" t="s">
        <v>2371</v>
      </c>
      <c r="O123" s="2064"/>
      <c r="P123" s="2064"/>
      <c r="Q123" s="2064"/>
      <c r="R123" s="2065"/>
      <c r="S123" s="2066">
        <v>10.0</v>
      </c>
      <c r="T123" s="2064" t="s">
        <v>2372</v>
      </c>
      <c r="U123" s="2064"/>
      <c r="V123" s="2064"/>
      <c r="W123" s="2064"/>
      <c r="X123" s="2065"/>
      <c r="AE123" s="1966">
        <v>1980.0</v>
      </c>
      <c r="AF123" s="1967" t="s">
        <v>2373</v>
      </c>
      <c r="AG123" s="1967"/>
      <c r="AH123" s="1967"/>
      <c r="AI123" s="1967" t="s">
        <v>88</v>
      </c>
      <c r="AJ123" s="1967"/>
      <c r="AK123" s="1967"/>
      <c r="AL123" s="1967" t="s">
        <v>2374</v>
      </c>
      <c r="AM123" s="1967" t="s">
        <v>1828</v>
      </c>
      <c r="AN123" s="1967" t="s">
        <v>2375</v>
      </c>
      <c r="AO123" s="1968" t="s">
        <v>2376</v>
      </c>
      <c r="AP123" s="1968" t="s">
        <v>2356</v>
      </c>
      <c r="AQ123" s="1967" t="s">
        <v>2377</v>
      </c>
      <c r="AR123" s="1968" t="s">
        <v>2378</v>
      </c>
      <c r="AS123" s="1968" t="s">
        <v>2379</v>
      </c>
      <c r="AT123" s="1966">
        <v>1980.0</v>
      </c>
      <c r="BB123" s="1974"/>
    </row>
    <row r="124" spans="8:8" ht="17.25" customHeight="1">
      <c r="A124" s="1817" t="s">
        <v>1342</v>
      </c>
      <c r="B124" s="1817" t="s">
        <v>1342</v>
      </c>
      <c r="C124" s="2054" t="s">
        <v>2094</v>
      </c>
      <c r="D124" s="1919" t="s">
        <v>2171</v>
      </c>
      <c r="E124" s="1791" t="s">
        <v>88</v>
      </c>
      <c r="F124" s="1819" t="s">
        <v>2380</v>
      </c>
      <c r="G124" s="2036" t="s">
        <v>2159</v>
      </c>
      <c r="H124" s="1919" t="s">
        <v>2160</v>
      </c>
      <c r="I124" s="2056" t="s">
        <v>2161</v>
      </c>
      <c r="J124" s="1819" t="s">
        <v>2162</v>
      </c>
      <c r="K124" s="1816" t="s">
        <v>2163</v>
      </c>
      <c r="L124" s="1914"/>
      <c r="M124" s="2063">
        <v>11.0</v>
      </c>
      <c r="N124" s="2064" t="s">
        <v>2381</v>
      </c>
      <c r="O124" s="2064"/>
      <c r="P124" s="2064"/>
      <c r="Q124" s="2064"/>
      <c r="R124" s="2065"/>
      <c r="S124" s="2066">
        <v>11.0</v>
      </c>
      <c r="T124" s="2064" t="s">
        <v>2382</v>
      </c>
      <c r="U124" s="2064"/>
      <c r="V124" s="2064"/>
      <c r="W124" s="2064"/>
      <c r="X124" s="2065"/>
      <c r="AE124" s="1966">
        <v>1981.0</v>
      </c>
      <c r="AF124" s="1967" t="s">
        <v>88</v>
      </c>
      <c r="AG124" s="1967"/>
      <c r="AH124" s="1967"/>
      <c r="AI124" s="1967" t="s">
        <v>2383</v>
      </c>
      <c r="AJ124" s="1967"/>
      <c r="AK124" s="1967"/>
      <c r="AL124" s="1967" t="s">
        <v>2374</v>
      </c>
      <c r="AM124" s="1967" t="s">
        <v>1836</v>
      </c>
      <c r="AN124" s="1967" t="s">
        <v>2384</v>
      </c>
      <c r="AO124" s="1968" t="s">
        <v>2385</v>
      </c>
      <c r="AP124" s="1968" t="s">
        <v>2386</v>
      </c>
      <c r="AQ124" s="1967" t="s">
        <v>2377</v>
      </c>
      <c r="AR124" s="1968" t="s">
        <v>2378</v>
      </c>
      <c r="AS124" s="1968"/>
      <c r="AT124" s="1966">
        <v>1981.0</v>
      </c>
      <c r="BB124" s="1974"/>
    </row>
    <row r="125" spans="8:8" ht="17.25" customHeight="1">
      <c r="A125" s="1817" t="s">
        <v>2387</v>
      </c>
      <c r="B125" s="1817" t="s">
        <v>2387</v>
      </c>
      <c r="C125" s="2054" t="s">
        <v>2094</v>
      </c>
      <c r="D125" s="1919" t="s">
        <v>2171</v>
      </c>
      <c r="E125" s="1791" t="s">
        <v>88</v>
      </c>
      <c r="F125" s="1889" t="s">
        <v>2388</v>
      </c>
      <c r="G125" s="2036" t="s">
        <v>2159</v>
      </c>
      <c r="H125" s="1919" t="s">
        <v>2160</v>
      </c>
      <c r="I125" s="2056" t="s">
        <v>2161</v>
      </c>
      <c r="J125" s="1819" t="s">
        <v>2162</v>
      </c>
      <c r="K125" s="1816" t="s">
        <v>2163</v>
      </c>
      <c r="L125" s="1914"/>
      <c r="M125" s="2063">
        <v>12.0</v>
      </c>
      <c r="N125" s="2064" t="s">
        <v>2389</v>
      </c>
      <c r="O125" s="2064"/>
      <c r="P125" s="2064"/>
      <c r="Q125" s="2064"/>
      <c r="R125" s="2065"/>
      <c r="S125" s="2066">
        <v>12.0</v>
      </c>
      <c r="T125" s="2064" t="s">
        <v>2390</v>
      </c>
      <c r="U125" s="2064"/>
      <c r="V125" s="2064"/>
      <c r="W125" s="2064"/>
      <c r="X125" s="2065"/>
      <c r="AE125" s="1966">
        <v>1982.0</v>
      </c>
      <c r="AF125" s="1967" t="s">
        <v>88</v>
      </c>
      <c r="AG125" s="1967"/>
      <c r="AH125" s="1967"/>
      <c r="AI125" s="1967" t="s">
        <v>88</v>
      </c>
      <c r="AJ125" s="1967"/>
      <c r="AK125" s="1967"/>
      <c r="AL125" s="1967" t="s">
        <v>2374</v>
      </c>
      <c r="AM125" s="1967" t="s">
        <v>1843</v>
      </c>
      <c r="AN125" s="1967" t="s">
        <v>2391</v>
      </c>
      <c r="AO125" s="1968" t="s">
        <v>2392</v>
      </c>
      <c r="AP125" s="1968" t="s">
        <v>2393</v>
      </c>
      <c r="AQ125" s="1967" t="s">
        <v>2377</v>
      </c>
      <c r="AR125" s="1968" t="s">
        <v>2378</v>
      </c>
      <c r="AS125" s="1968"/>
      <c r="AT125" s="1966">
        <v>1982.0</v>
      </c>
      <c r="BB125" s="1974"/>
    </row>
    <row r="126" spans="8:8" ht="17.25" customHeight="1">
      <c r="A126" s="1817" t="s">
        <v>2394</v>
      </c>
      <c r="B126" s="1817" t="s">
        <v>2394</v>
      </c>
      <c r="C126" s="2054" t="s">
        <v>2094</v>
      </c>
      <c r="D126" s="1919" t="s">
        <v>2171</v>
      </c>
      <c r="E126" s="1791" t="s">
        <v>88</v>
      </c>
      <c r="F126" s="1819" t="s">
        <v>2395</v>
      </c>
      <c r="G126" s="2036" t="s">
        <v>2159</v>
      </c>
      <c r="H126" s="1919" t="s">
        <v>2160</v>
      </c>
      <c r="I126" s="2056" t="s">
        <v>2161</v>
      </c>
      <c r="J126" s="1819" t="s">
        <v>2162</v>
      </c>
      <c r="K126" s="1816" t="s">
        <v>2163</v>
      </c>
      <c r="L126" s="1914"/>
      <c r="M126" s="2063">
        <v>13.0</v>
      </c>
      <c r="N126" s="2064" t="s">
        <v>2396</v>
      </c>
      <c r="O126" s="2064"/>
      <c r="P126" s="2064"/>
      <c r="Q126" s="2064"/>
      <c r="R126" s="2065"/>
      <c r="S126" s="2066">
        <v>13.0</v>
      </c>
      <c r="T126" s="2064" t="s">
        <v>2397</v>
      </c>
      <c r="U126" s="2064"/>
      <c r="V126" s="2064"/>
      <c r="W126" s="2064"/>
      <c r="X126" s="2065"/>
      <c r="AE126" s="1966">
        <v>1983.0</v>
      </c>
      <c r="AF126" s="1967" t="s">
        <v>88</v>
      </c>
      <c r="AG126" s="1967"/>
      <c r="AH126" s="1967"/>
      <c r="AI126" s="1967" t="s">
        <v>2398</v>
      </c>
      <c r="AJ126" s="1967"/>
      <c r="AK126" s="1967"/>
      <c r="AL126" s="1967" t="s">
        <v>2374</v>
      </c>
      <c r="AM126" s="1967" t="s">
        <v>1850</v>
      </c>
      <c r="AN126" s="1967" t="s">
        <v>2399</v>
      </c>
      <c r="AO126" s="1968" t="s">
        <v>2400</v>
      </c>
      <c r="AP126" s="1968" t="s">
        <v>2393</v>
      </c>
      <c r="AQ126" s="1967" t="s">
        <v>2377</v>
      </c>
      <c r="AR126" s="1968" t="s">
        <v>2378</v>
      </c>
      <c r="AS126" s="1968"/>
      <c r="AT126" s="1966">
        <v>1983.0</v>
      </c>
      <c r="BB126" s="1974"/>
    </row>
    <row r="127" spans="8:8" ht="17.25" customHeight="1">
      <c r="A127" s="1817" t="s">
        <v>2401</v>
      </c>
      <c r="B127" s="1817" t="s">
        <v>2401</v>
      </c>
      <c r="C127" s="2054" t="s">
        <v>2094</v>
      </c>
      <c r="D127" s="1919" t="s">
        <v>2171</v>
      </c>
      <c r="E127" s="1791" t="s">
        <v>88</v>
      </c>
      <c r="F127" s="1819" t="s">
        <v>2402</v>
      </c>
      <c r="G127" s="2036" t="s">
        <v>2159</v>
      </c>
      <c r="H127" s="1919" t="s">
        <v>2160</v>
      </c>
      <c r="I127" s="2056" t="s">
        <v>2161</v>
      </c>
      <c r="J127" s="1819" t="s">
        <v>2162</v>
      </c>
      <c r="K127" s="1816" t="s">
        <v>2163</v>
      </c>
      <c r="L127" s="1914"/>
      <c r="M127" s="2063">
        <v>14.0</v>
      </c>
      <c r="N127" s="2064" t="s">
        <v>2403</v>
      </c>
      <c r="O127" s="2064"/>
      <c r="P127" s="2064"/>
      <c r="Q127" s="2064"/>
      <c r="R127" s="2065"/>
      <c r="S127" s="2066">
        <v>14.0</v>
      </c>
      <c r="T127" s="2064" t="s">
        <v>2404</v>
      </c>
      <c r="U127" s="2064"/>
      <c r="V127" s="2064"/>
      <c r="W127" s="2064"/>
      <c r="X127" s="2065"/>
      <c r="AE127" s="1966">
        <v>1984.0</v>
      </c>
      <c r="AF127" s="1967" t="s">
        <v>1925</v>
      </c>
      <c r="AG127" s="1967"/>
      <c r="AH127" s="1967"/>
      <c r="AI127" s="1967" t="s">
        <v>88</v>
      </c>
      <c r="AJ127" s="1967"/>
      <c r="AK127" s="1967"/>
      <c r="AL127" s="1967" t="s">
        <v>2374</v>
      </c>
      <c r="AM127" s="1967" t="s">
        <v>1858</v>
      </c>
      <c r="AN127" s="1967" t="s">
        <v>2405</v>
      </c>
      <c r="AO127" s="1968" t="s">
        <v>2406</v>
      </c>
      <c r="AP127" s="1968" t="s">
        <v>2393</v>
      </c>
      <c r="AQ127" s="1967" t="s">
        <v>2407</v>
      </c>
      <c r="AR127" s="1968" t="s">
        <v>2408</v>
      </c>
      <c r="AS127" s="1968" t="s">
        <v>2409</v>
      </c>
      <c r="AT127" s="1966">
        <v>1984.0</v>
      </c>
      <c r="BB127" s="1974"/>
    </row>
    <row r="128" spans="8:8" ht="17.25" customHeight="1">
      <c r="A128" s="1817" t="s">
        <v>2410</v>
      </c>
      <c r="B128" s="1817" t="s">
        <v>2410</v>
      </c>
      <c r="C128" s="2054" t="s">
        <v>2094</v>
      </c>
      <c r="D128" s="1919" t="s">
        <v>2171</v>
      </c>
      <c r="E128" s="1791" t="s">
        <v>88</v>
      </c>
      <c r="F128" s="1889" t="s">
        <v>2411</v>
      </c>
      <c r="G128" s="2036" t="s">
        <v>2159</v>
      </c>
      <c r="H128" s="1919" t="s">
        <v>2160</v>
      </c>
      <c r="I128" s="2056" t="s">
        <v>2161</v>
      </c>
      <c r="J128" s="1819" t="s">
        <v>2162</v>
      </c>
      <c r="K128" s="1816" t="s">
        <v>2163</v>
      </c>
      <c r="L128" s="1914"/>
      <c r="M128" s="2063">
        <v>15.0</v>
      </c>
      <c r="N128" s="2064" t="s">
        <v>2412</v>
      </c>
      <c r="O128" s="2064"/>
      <c r="P128" s="2064"/>
      <c r="Q128" s="2064"/>
      <c r="R128" s="2065"/>
      <c r="S128" s="2066">
        <v>15.0</v>
      </c>
      <c r="T128" s="2064" t="s">
        <v>2413</v>
      </c>
      <c r="U128" s="2064"/>
      <c r="V128" s="2064"/>
      <c r="W128" s="2064"/>
      <c r="X128" s="2065"/>
      <c r="AE128" s="1966">
        <v>1985.0</v>
      </c>
      <c r="AF128" s="1967" t="s">
        <v>88</v>
      </c>
      <c r="AG128" s="1967"/>
      <c r="AH128" s="1967"/>
      <c r="AI128" s="1967" t="s">
        <v>88</v>
      </c>
      <c r="AJ128" s="1967"/>
      <c r="AK128" s="1967"/>
      <c r="AL128" s="1967" t="s">
        <v>2374</v>
      </c>
      <c r="AM128" s="1967" t="s">
        <v>1866</v>
      </c>
      <c r="AN128" s="1967" t="s">
        <v>2414</v>
      </c>
      <c r="AO128" s="1968" t="s">
        <v>2415</v>
      </c>
      <c r="AP128" s="1968" t="s">
        <v>2393</v>
      </c>
      <c r="AQ128" s="1967" t="s">
        <v>2407</v>
      </c>
      <c r="AR128" s="1968" t="s">
        <v>2408</v>
      </c>
      <c r="AS128" s="1968"/>
      <c r="AT128" s="1966">
        <v>1985.0</v>
      </c>
      <c r="BB128" s="1974"/>
    </row>
    <row r="129" spans="8:8" ht="17.25" customHeight="1">
      <c r="A129" s="1791" t="str">
        <f>Q226</f>
        <v/>
      </c>
      <c r="B129" s="1817" t="s">
        <v>2148</v>
      </c>
      <c r="C129" s="2054" t="s">
        <v>206</v>
      </c>
      <c r="D129" s="1791" t="s">
        <v>206</v>
      </c>
      <c r="E129" s="1791" t="s">
        <v>206</v>
      </c>
      <c r="F129" s="1791" t="s">
        <v>206</v>
      </c>
      <c r="G129" s="1791" t="s">
        <v>206</v>
      </c>
      <c r="H129" s="1791" t="s">
        <v>206</v>
      </c>
      <c r="I129" s="1791" t="s">
        <v>206</v>
      </c>
      <c r="J129" s="1791" t="s">
        <v>206</v>
      </c>
      <c r="K129" s="1811" t="s">
        <v>206</v>
      </c>
      <c r="L129" s="1914"/>
      <c r="M129" s="2063">
        <v>16.0</v>
      </c>
      <c r="N129" s="2064" t="s">
        <v>2416</v>
      </c>
      <c r="O129" s="2064"/>
      <c r="P129" s="2064"/>
      <c r="Q129" s="2064"/>
      <c r="R129" s="2065"/>
      <c r="S129" s="2066">
        <v>16.0</v>
      </c>
      <c r="T129" s="2064" t="s">
        <v>2417</v>
      </c>
      <c r="U129" s="2064"/>
      <c r="V129" s="2064"/>
      <c r="W129" s="2064"/>
      <c r="X129" s="2065"/>
      <c r="AE129" s="1966">
        <v>1986.0</v>
      </c>
      <c r="AF129" s="1967" t="s">
        <v>2418</v>
      </c>
      <c r="AG129" s="1967"/>
      <c r="AH129" s="1967"/>
      <c r="AI129" s="1967" t="s">
        <v>88</v>
      </c>
      <c r="AJ129" s="1967"/>
      <c r="AK129" s="1967"/>
      <c r="AL129" s="1967" t="s">
        <v>2374</v>
      </c>
      <c r="AM129" s="1967" t="s">
        <v>1875</v>
      </c>
      <c r="AN129" s="1967" t="s">
        <v>2419</v>
      </c>
      <c r="AO129" s="1968" t="s">
        <v>2420</v>
      </c>
      <c r="AP129" s="1968" t="s">
        <v>2393</v>
      </c>
      <c r="AQ129" s="1967" t="s">
        <v>2421</v>
      </c>
      <c r="AR129" s="1968" t="s">
        <v>2422</v>
      </c>
      <c r="AS129" s="1968" t="s">
        <v>2423</v>
      </c>
      <c r="AT129" s="1966">
        <v>1986.0</v>
      </c>
      <c r="BB129" s="1974"/>
    </row>
    <row r="130" spans="8:8" ht="17.25" customHeight="1">
      <c r="B130" s="1817" t="s">
        <v>74</v>
      </c>
      <c r="C130" s="2054" t="s">
        <v>2424</v>
      </c>
      <c r="D130" s="1791" t="s">
        <v>2425</v>
      </c>
      <c r="E130" s="1791" t="s">
        <v>2426</v>
      </c>
      <c r="F130" s="1974" t="s">
        <v>2427</v>
      </c>
      <c r="G130" s="1791" t="s">
        <v>2428</v>
      </c>
      <c r="H130" s="1791" t="s">
        <v>2429</v>
      </c>
      <c r="I130" s="1791" t="s">
        <v>2430</v>
      </c>
      <c r="J130" s="1791" t="s">
        <v>2431</v>
      </c>
      <c r="K130" s="1811" t="s">
        <v>2432</v>
      </c>
      <c r="L130" s="1914"/>
      <c r="M130" s="2063">
        <v>17.0</v>
      </c>
      <c r="N130" s="2064" t="s">
        <v>2433</v>
      </c>
      <c r="O130" s="2064"/>
      <c r="P130" s="2064"/>
      <c r="Q130" s="2064"/>
      <c r="R130" s="2065"/>
      <c r="S130" s="2066">
        <v>17.0</v>
      </c>
      <c r="T130" s="2064" t="s">
        <v>2434</v>
      </c>
      <c r="U130" s="2064"/>
      <c r="V130" s="2064"/>
      <c r="W130" s="2064"/>
      <c r="X130" s="2065"/>
      <c r="AE130" s="1966">
        <v>1987.0</v>
      </c>
      <c r="AF130" s="1967" t="s">
        <v>2418</v>
      </c>
      <c r="AG130" s="2068"/>
      <c r="AH130" s="2068"/>
      <c r="AI130" s="1967" t="s">
        <v>88</v>
      </c>
      <c r="AJ130" s="1967"/>
      <c r="AK130" s="1967"/>
      <c r="AL130" s="1967" t="s">
        <v>2374</v>
      </c>
      <c r="AM130" s="1967" t="s">
        <v>1884</v>
      </c>
      <c r="AN130" s="1967" t="s">
        <v>2435</v>
      </c>
      <c r="AO130" s="1968" t="s">
        <v>2436</v>
      </c>
      <c r="AP130" s="1968" t="s">
        <v>2393</v>
      </c>
      <c r="AQ130" s="1967" t="s">
        <v>2421</v>
      </c>
      <c r="AR130" s="1968" t="s">
        <v>2422</v>
      </c>
      <c r="AS130" s="1968"/>
      <c r="AT130" s="1966">
        <v>1987.0</v>
      </c>
      <c r="BB130" s="1974"/>
    </row>
    <row r="131" spans="8:8" ht="17.25" customHeight="1">
      <c r="B131" s="1817" t="s">
        <v>77</v>
      </c>
      <c r="C131" s="2054" t="s">
        <v>2437</v>
      </c>
      <c r="D131" s="1791" t="s">
        <v>88</v>
      </c>
      <c r="E131" s="1791" t="s">
        <v>2438</v>
      </c>
      <c r="F131" s="1791" t="s">
        <v>2439</v>
      </c>
      <c r="G131" s="1791" t="s">
        <v>2440</v>
      </c>
      <c r="H131" s="1791" t="s">
        <v>2441</v>
      </c>
      <c r="I131" s="1791" t="s">
        <v>2442</v>
      </c>
      <c r="J131" s="1791" t="s">
        <v>2443</v>
      </c>
      <c r="K131" s="1811" t="s">
        <v>2444</v>
      </c>
      <c r="L131" s="1914"/>
      <c r="M131" s="2063">
        <v>18.0</v>
      </c>
      <c r="N131" s="2064" t="s">
        <v>2445</v>
      </c>
      <c r="O131" s="2064"/>
      <c r="P131" s="2064"/>
      <c r="Q131" s="2064"/>
      <c r="R131" s="2065"/>
      <c r="S131" s="2066">
        <v>18.0</v>
      </c>
      <c r="T131" s="2064" t="s">
        <v>2446</v>
      </c>
      <c r="U131" s="2064"/>
      <c r="V131" s="2064"/>
      <c r="W131" s="2064"/>
      <c r="X131" s="2065"/>
      <c r="AE131" s="1966">
        <v>1988.0</v>
      </c>
      <c r="AF131" s="1967" t="s">
        <v>2418</v>
      </c>
      <c r="AG131" s="2068" t="s">
        <v>2447</v>
      </c>
      <c r="AH131" s="2068"/>
      <c r="AI131" s="1967" t="s">
        <v>2448</v>
      </c>
      <c r="AJ131" s="1967" t="s">
        <v>2449</v>
      </c>
      <c r="AK131" s="1967"/>
      <c r="AL131" s="1967" t="s">
        <v>2374</v>
      </c>
      <c r="AM131" s="1967" t="s">
        <v>1893</v>
      </c>
      <c r="AN131" s="1967" t="s">
        <v>2450</v>
      </c>
      <c r="AO131" s="1967" t="s">
        <v>2451</v>
      </c>
      <c r="AP131" s="1968" t="s">
        <v>2393</v>
      </c>
      <c r="AQ131" s="1967" t="s">
        <v>2452</v>
      </c>
      <c r="AR131" s="1968" t="s">
        <v>2453</v>
      </c>
      <c r="AS131" s="1968" t="s">
        <v>2454</v>
      </c>
      <c r="AT131" s="1966">
        <v>1988.0</v>
      </c>
      <c r="BB131" s="1974"/>
    </row>
    <row r="132" spans="8:8" ht="17.25" customHeight="1">
      <c r="B132" s="1817" t="s">
        <v>2455</v>
      </c>
      <c r="C132" s="2054" t="s">
        <v>2094</v>
      </c>
      <c r="D132" s="1791" t="s">
        <v>2456</v>
      </c>
      <c r="E132" s="1791" t="s">
        <v>88</v>
      </c>
      <c r="F132" s="1791" t="s">
        <v>2457</v>
      </c>
      <c r="G132" s="1791" t="s">
        <v>2458</v>
      </c>
      <c r="H132" s="1791" t="s">
        <v>2459</v>
      </c>
      <c r="I132" s="1791" t="s">
        <v>2460</v>
      </c>
      <c r="J132" s="1791" t="s">
        <v>2461</v>
      </c>
      <c r="K132" s="1811" t="s">
        <v>2462</v>
      </c>
      <c r="L132" s="1914"/>
      <c r="M132" s="2063">
        <v>19.0</v>
      </c>
      <c r="N132" s="2064" t="s">
        <v>2463</v>
      </c>
      <c r="O132" s="2064"/>
      <c r="P132" s="2064"/>
      <c r="Q132" s="2064"/>
      <c r="R132" s="2065"/>
      <c r="S132" s="2066">
        <v>19.0</v>
      </c>
      <c r="T132" s="2064" t="s">
        <v>2464</v>
      </c>
      <c r="U132" s="2064"/>
      <c r="V132" s="2064"/>
      <c r="W132" s="2064"/>
      <c r="X132" s="2065"/>
      <c r="AE132" s="1966">
        <v>1989.0</v>
      </c>
      <c r="AF132" s="1967" t="s">
        <v>2418</v>
      </c>
      <c r="AG132" s="2068" t="s">
        <v>2465</v>
      </c>
      <c r="AH132" s="2068"/>
      <c r="AI132" s="1967" t="s">
        <v>88</v>
      </c>
      <c r="AJ132" s="1967"/>
      <c r="AK132" s="1967"/>
      <c r="AL132" s="1967" t="s">
        <v>2374</v>
      </c>
      <c r="AM132" s="1967" t="s">
        <v>1901</v>
      </c>
      <c r="AN132" s="1967" t="s">
        <v>2466</v>
      </c>
      <c r="AO132" s="1968" t="s">
        <v>2467</v>
      </c>
      <c r="AP132" s="1968" t="s">
        <v>2468</v>
      </c>
      <c r="AQ132" s="1968" t="s">
        <v>2469</v>
      </c>
      <c r="AR132" s="1968" t="s">
        <v>2470</v>
      </c>
      <c r="AS132" s="1968" t="s">
        <v>2471</v>
      </c>
      <c r="AT132" s="1966">
        <v>1989.0</v>
      </c>
      <c r="BB132" s="1974"/>
    </row>
    <row r="133" spans="8:8" ht="17.25" customHeight="1">
      <c r="B133" s="1817" t="s">
        <v>90</v>
      </c>
      <c r="C133" s="2054" t="s">
        <v>2472</v>
      </c>
      <c r="D133" s="1791" t="s">
        <v>88</v>
      </c>
      <c r="E133" s="1791" t="s">
        <v>88</v>
      </c>
      <c r="F133" s="1791" t="s">
        <v>2473</v>
      </c>
      <c r="G133" s="1791" t="s">
        <v>2474</v>
      </c>
      <c r="H133" s="1791" t="s">
        <v>2475</v>
      </c>
      <c r="I133" s="1791" t="s">
        <v>2476</v>
      </c>
      <c r="J133" s="1791" t="s">
        <v>2477</v>
      </c>
      <c r="K133" s="1811" t="s">
        <v>2478</v>
      </c>
      <c r="L133" s="1914"/>
      <c r="M133" s="2063">
        <v>20.0</v>
      </c>
      <c r="N133" s="2064" t="s">
        <v>2479</v>
      </c>
      <c r="O133" s="2064"/>
      <c r="P133" s="2064"/>
      <c r="Q133" s="2064"/>
      <c r="R133" s="2065"/>
      <c r="S133" s="2066">
        <v>20.0</v>
      </c>
      <c r="T133" s="2064" t="s">
        <v>2480</v>
      </c>
      <c r="U133" s="2064"/>
      <c r="V133" s="2064"/>
      <c r="W133" s="2064"/>
      <c r="X133" s="2065"/>
      <c r="AE133" s="1966">
        <v>1990.0</v>
      </c>
      <c r="AF133" s="1967" t="s">
        <v>2418</v>
      </c>
      <c r="AG133" s="2068"/>
      <c r="AH133" s="2068"/>
      <c r="AI133" s="1967" t="s">
        <v>2481</v>
      </c>
      <c r="AJ133" s="1967"/>
      <c r="AK133" s="1967"/>
      <c r="AL133" s="1967" t="s">
        <v>2482</v>
      </c>
      <c r="AM133" s="1967" t="s">
        <v>1909</v>
      </c>
      <c r="AN133" s="1967" t="s">
        <v>2483</v>
      </c>
      <c r="AO133" s="1968" t="s">
        <v>2484</v>
      </c>
      <c r="AP133" s="1968" t="s">
        <v>2485</v>
      </c>
      <c r="AQ133" s="1968" t="s">
        <v>2469</v>
      </c>
      <c r="AR133" s="1968" t="s">
        <v>2470</v>
      </c>
      <c r="AS133" s="1968"/>
      <c r="AT133" s="1966">
        <v>1990.0</v>
      </c>
      <c r="BB133" s="1974"/>
    </row>
    <row r="134" spans="8:8" ht="17.25" customHeight="1">
      <c r="B134" s="1817" t="s">
        <v>92</v>
      </c>
      <c r="C134" s="2054" t="s">
        <v>2472</v>
      </c>
      <c r="D134" s="1791" t="s">
        <v>88</v>
      </c>
      <c r="E134" s="1791" t="s">
        <v>88</v>
      </c>
      <c r="F134" s="1791" t="s">
        <v>2486</v>
      </c>
      <c r="G134" s="1791" t="s">
        <v>2487</v>
      </c>
      <c r="H134" s="1791" t="s">
        <v>2488</v>
      </c>
      <c r="I134" s="1791" t="s">
        <v>2489</v>
      </c>
      <c r="J134" s="1791" t="s">
        <v>2490</v>
      </c>
      <c r="K134" s="1811" t="s">
        <v>2491</v>
      </c>
      <c r="L134" s="1914"/>
      <c r="M134" s="2063">
        <v>21.0</v>
      </c>
      <c r="N134" s="2064" t="s">
        <v>2492</v>
      </c>
      <c r="O134" s="2064"/>
      <c r="P134" s="2064"/>
      <c r="Q134" s="2064"/>
      <c r="R134" s="2065"/>
      <c r="S134" s="2066">
        <v>21.0</v>
      </c>
      <c r="T134" s="2064" t="s">
        <v>2493</v>
      </c>
      <c r="U134" s="2064"/>
      <c r="V134" s="2064"/>
      <c r="W134" s="2064"/>
      <c r="X134" s="2065"/>
      <c r="AE134" s="1966">
        <v>1991.0</v>
      </c>
      <c r="AF134" s="1967" t="s">
        <v>88</v>
      </c>
      <c r="AG134" s="1967"/>
      <c r="AH134" s="1967"/>
      <c r="AI134" s="1967" t="s">
        <v>88</v>
      </c>
      <c r="AJ134" s="1967"/>
      <c r="AK134" s="1967"/>
      <c r="AL134" s="1967" t="s">
        <v>2482</v>
      </c>
      <c r="AM134" s="1967" t="s">
        <v>1918</v>
      </c>
      <c r="AN134" s="1967" t="s">
        <v>2494</v>
      </c>
      <c r="AO134" s="1968" t="s">
        <v>2495</v>
      </c>
      <c r="AP134" s="1968" t="s">
        <v>2485</v>
      </c>
      <c r="AQ134" s="1968" t="s">
        <v>2469</v>
      </c>
      <c r="AR134" s="1968" t="s">
        <v>2470</v>
      </c>
      <c r="AS134" s="1968"/>
      <c r="AT134" s="1966">
        <v>1991.0</v>
      </c>
      <c r="BB134" s="1974"/>
    </row>
    <row r="135" spans="8:8" ht="17.25" customHeight="1">
      <c r="B135" s="1817" t="s">
        <v>99</v>
      </c>
      <c r="C135" s="2054" t="s">
        <v>2094</v>
      </c>
      <c r="D135" s="1791" t="s">
        <v>88</v>
      </c>
      <c r="E135" s="1791" t="s">
        <v>88</v>
      </c>
      <c r="F135" s="1974" t="s">
        <v>2496</v>
      </c>
      <c r="G135" s="1791" t="s">
        <v>2497</v>
      </c>
      <c r="H135" s="1791" t="s">
        <v>2498</v>
      </c>
      <c r="I135" s="1791" t="s">
        <v>2499</v>
      </c>
      <c r="J135" s="1791" t="s">
        <v>2500</v>
      </c>
      <c r="K135" s="1811" t="s">
        <v>2501</v>
      </c>
      <c r="L135" s="1914"/>
      <c r="M135" s="2063">
        <v>22.0</v>
      </c>
      <c r="N135" s="2064" t="s">
        <v>2502</v>
      </c>
      <c r="O135" s="2064"/>
      <c r="P135" s="2064"/>
      <c r="Q135" s="2064"/>
      <c r="R135" s="2065"/>
      <c r="S135" s="2066">
        <v>22.0</v>
      </c>
      <c r="T135" s="2064" t="s">
        <v>2503</v>
      </c>
      <c r="U135" s="2064"/>
      <c r="V135" s="2064"/>
      <c r="W135" s="2064"/>
      <c r="X135" s="2065"/>
      <c r="AE135" s="1966">
        <v>1992.0</v>
      </c>
      <c r="AF135" s="1967" t="s">
        <v>2504</v>
      </c>
      <c r="AG135" s="1967"/>
      <c r="AH135" s="1967"/>
      <c r="AI135" s="1967" t="s">
        <v>2505</v>
      </c>
      <c r="AJ135" s="1967"/>
      <c r="AK135" s="1967"/>
      <c r="AL135" s="1967" t="s">
        <v>2482</v>
      </c>
      <c r="AM135" s="1967" t="s">
        <v>1928</v>
      </c>
      <c r="AN135" s="1967" t="s">
        <v>2506</v>
      </c>
      <c r="AO135" s="1968" t="s">
        <v>2507</v>
      </c>
      <c r="AP135" s="1968" t="s">
        <v>2485</v>
      </c>
      <c r="AQ135" s="1968" t="s">
        <v>2469</v>
      </c>
      <c r="AR135" s="1968" t="s">
        <v>2470</v>
      </c>
      <c r="AS135" s="1968"/>
      <c r="AT135" s="1966">
        <v>1992.0</v>
      </c>
      <c r="BB135" s="1974"/>
    </row>
    <row r="136" spans="8:8" ht="17.25" customHeight="1">
      <c r="B136" s="1817" t="s">
        <v>101</v>
      </c>
      <c r="C136" s="2054" t="s">
        <v>2508</v>
      </c>
      <c r="D136" s="1791" t="s">
        <v>88</v>
      </c>
      <c r="E136" s="1791" t="s">
        <v>2509</v>
      </c>
      <c r="F136" s="1791" t="s">
        <v>2510</v>
      </c>
      <c r="G136" s="1791" t="s">
        <v>88</v>
      </c>
      <c r="H136" s="1791" t="s">
        <v>88</v>
      </c>
      <c r="I136" s="1791" t="s">
        <v>2511</v>
      </c>
      <c r="J136" s="1791" t="s">
        <v>88</v>
      </c>
      <c r="K136" s="1811" t="s">
        <v>88</v>
      </c>
      <c r="L136" s="1914"/>
      <c r="M136" s="2063">
        <v>23.0</v>
      </c>
      <c r="N136" s="2064" t="s">
        <v>2512</v>
      </c>
      <c r="O136" s="2064"/>
      <c r="P136" s="2064"/>
      <c r="Q136" s="2064"/>
      <c r="R136" s="2065"/>
      <c r="S136" s="2066">
        <v>23.0</v>
      </c>
      <c r="T136" s="2064" t="s">
        <v>2513</v>
      </c>
      <c r="U136" s="2064"/>
      <c r="V136" s="2064"/>
      <c r="W136" s="2064"/>
      <c r="X136" s="2065"/>
      <c r="AE136" s="1966">
        <v>1993.0</v>
      </c>
      <c r="AF136" s="1967" t="s">
        <v>88</v>
      </c>
      <c r="AG136" s="1967"/>
      <c r="AH136" s="1967"/>
      <c r="AI136" s="1967" t="s">
        <v>2514</v>
      </c>
      <c r="AJ136" s="1967"/>
      <c r="AK136" s="1967"/>
      <c r="AL136" s="1967" t="s">
        <v>2482</v>
      </c>
      <c r="AM136" s="1967" t="s">
        <v>1937</v>
      </c>
      <c r="AN136" s="1967" t="s">
        <v>2515</v>
      </c>
      <c r="AO136" s="1968" t="s">
        <v>2516</v>
      </c>
      <c r="AP136" s="1968" t="s">
        <v>2517</v>
      </c>
      <c r="AQ136" s="1968" t="s">
        <v>2469</v>
      </c>
      <c r="AR136" s="1968" t="s">
        <v>2470</v>
      </c>
      <c r="AS136" s="1968"/>
      <c r="AT136" s="1966">
        <v>1993.0</v>
      </c>
      <c r="BB136" s="1974"/>
    </row>
    <row r="137" spans="8:8" ht="17.25" customHeight="1">
      <c r="B137" s="1817" t="s">
        <v>105</v>
      </c>
      <c r="C137" s="2054" t="s">
        <v>2437</v>
      </c>
      <c r="D137" s="1791" t="s">
        <v>2518</v>
      </c>
      <c r="E137" s="1791" t="s">
        <v>88</v>
      </c>
      <c r="F137" s="1791" t="s">
        <v>2519</v>
      </c>
      <c r="G137" s="1791" t="s">
        <v>2520</v>
      </c>
      <c r="H137" s="1791" t="s">
        <v>2521</v>
      </c>
      <c r="I137" s="1791" t="s">
        <v>2522</v>
      </c>
      <c r="J137" s="1791" t="s">
        <v>2523</v>
      </c>
      <c r="K137" s="1811" t="s">
        <v>2524</v>
      </c>
      <c r="L137" s="1914"/>
      <c r="M137" s="2063">
        <v>24.0</v>
      </c>
      <c r="N137" s="2064" t="s">
        <v>2525</v>
      </c>
      <c r="O137" s="2064"/>
      <c r="P137" s="2064"/>
      <c r="Q137" s="2064"/>
      <c r="R137" s="2065"/>
      <c r="S137" s="2066">
        <v>24.0</v>
      </c>
      <c r="T137" s="2064" t="s">
        <v>2526</v>
      </c>
      <c r="U137" s="2064"/>
      <c r="V137" s="2064"/>
      <c r="W137" s="2064"/>
      <c r="X137" s="2065"/>
      <c r="AE137" s="1966">
        <v>1994.0</v>
      </c>
      <c r="AF137" s="1967" t="s">
        <v>88</v>
      </c>
      <c r="AG137" s="1967"/>
      <c r="AH137" s="1967"/>
      <c r="AI137" s="1967" t="s">
        <v>88</v>
      </c>
      <c r="AJ137" s="1967"/>
      <c r="AK137" s="1967"/>
      <c r="AL137" s="1967" t="s">
        <v>2482</v>
      </c>
      <c r="AM137" s="1967" t="s">
        <v>1945</v>
      </c>
      <c r="AN137" s="1967" t="s">
        <v>2527</v>
      </c>
      <c r="AO137" s="1968" t="s">
        <v>2528</v>
      </c>
      <c r="AP137" s="1968" t="s">
        <v>2529</v>
      </c>
      <c r="AQ137" s="1968" t="s">
        <v>2469</v>
      </c>
      <c r="AR137" s="1968" t="s">
        <v>2470</v>
      </c>
      <c r="AS137" s="1968"/>
      <c r="AT137" s="1966">
        <v>1994.0</v>
      </c>
      <c r="BB137" s="1974"/>
    </row>
    <row r="138" spans="8:8" ht="17.25" customHeight="1">
      <c r="B138" s="1817" t="s">
        <v>107</v>
      </c>
      <c r="C138" s="2054" t="s">
        <v>2530</v>
      </c>
      <c r="D138" s="1791" t="s">
        <v>88</v>
      </c>
      <c r="E138" s="1791" t="s">
        <v>88</v>
      </c>
      <c r="F138" s="1791" t="s">
        <v>2531</v>
      </c>
      <c r="G138" s="1791" t="s">
        <v>2532</v>
      </c>
      <c r="H138" s="1791" t="s">
        <v>2533</v>
      </c>
      <c r="I138" s="1791" t="s">
        <v>2534</v>
      </c>
      <c r="J138" s="1791" t="s">
        <v>2535</v>
      </c>
      <c r="K138" s="1811" t="s">
        <v>2536</v>
      </c>
      <c r="L138" s="1914"/>
      <c r="M138" s="2063">
        <v>25.0</v>
      </c>
      <c r="N138" s="2064" t="s">
        <v>2537</v>
      </c>
      <c r="O138" s="2064"/>
      <c r="P138" s="2064"/>
      <c r="Q138" s="2064"/>
      <c r="R138" s="2065"/>
      <c r="S138" s="2066">
        <v>25.0</v>
      </c>
      <c r="T138" s="2064" t="s">
        <v>2538</v>
      </c>
      <c r="U138" s="2064"/>
      <c r="V138" s="2064"/>
      <c r="W138" s="2064"/>
      <c r="X138" s="2065"/>
      <c r="AE138" s="1966">
        <v>1995.0</v>
      </c>
      <c r="AF138" s="1967" t="s">
        <v>88</v>
      </c>
      <c r="AG138" s="1967"/>
      <c r="AH138" s="1967"/>
      <c r="AI138" s="1967" t="s">
        <v>88</v>
      </c>
      <c r="AJ138" s="1967"/>
      <c r="AK138" s="1967"/>
      <c r="AL138" s="1967" t="s">
        <v>2482</v>
      </c>
      <c r="AM138" s="1967" t="s">
        <v>1954</v>
      </c>
      <c r="AN138" s="1967" t="s">
        <v>2539</v>
      </c>
      <c r="AO138" s="1968" t="s">
        <v>2540</v>
      </c>
      <c r="AP138" s="1968" t="s">
        <v>2529</v>
      </c>
      <c r="AQ138" s="1968" t="s">
        <v>2469</v>
      </c>
      <c r="AR138" s="1968" t="s">
        <v>2470</v>
      </c>
      <c r="AS138" s="1968"/>
      <c r="AT138" s="1966">
        <v>1995.0</v>
      </c>
      <c r="BB138" s="1974"/>
    </row>
    <row r="139" spans="8:8" ht="17.25" customHeight="1">
      <c r="B139" s="1817" t="s">
        <v>110</v>
      </c>
      <c r="C139" s="2054" t="s">
        <v>2109</v>
      </c>
      <c r="D139" s="1791" t="s">
        <v>2456</v>
      </c>
      <c r="E139" s="1791" t="s">
        <v>2541</v>
      </c>
      <c r="F139" s="1791" t="s">
        <v>2542</v>
      </c>
      <c r="G139" s="1791" t="s">
        <v>2543</v>
      </c>
      <c r="H139" s="1791" t="s">
        <v>2544</v>
      </c>
      <c r="I139" s="1791" t="s">
        <v>2545</v>
      </c>
      <c r="J139" s="1791" t="s">
        <v>2546</v>
      </c>
      <c r="K139" s="1811" t="s">
        <v>2547</v>
      </c>
      <c r="L139" s="1914"/>
      <c r="M139" s="2063">
        <v>26.0</v>
      </c>
      <c r="N139" s="2064" t="s">
        <v>2548</v>
      </c>
      <c r="O139" s="2064"/>
      <c r="P139" s="2064"/>
      <c r="Q139" s="2064"/>
      <c r="R139" s="2065"/>
      <c r="S139" s="2066">
        <v>26.0</v>
      </c>
      <c r="T139" s="2064" t="s">
        <v>2549</v>
      </c>
      <c r="U139" s="2064"/>
      <c r="V139" s="2064"/>
      <c r="W139" s="2064"/>
      <c r="X139" s="2065"/>
      <c r="AE139" s="1966">
        <v>1996.0</v>
      </c>
      <c r="AF139" s="1967" t="s">
        <v>2550</v>
      </c>
      <c r="AG139" s="1967"/>
      <c r="AH139" s="1967"/>
      <c r="AI139" s="1967" t="s">
        <v>88</v>
      </c>
      <c r="AJ139" s="1967"/>
      <c r="AK139" s="1967"/>
      <c r="AL139" s="1967" t="s">
        <v>2482</v>
      </c>
      <c r="AM139" s="1967" t="s">
        <v>1963</v>
      </c>
      <c r="AN139" s="1967" t="s">
        <v>2551</v>
      </c>
      <c r="AO139" s="1968" t="s">
        <v>2552</v>
      </c>
      <c r="AP139" s="1968" t="s">
        <v>2529</v>
      </c>
      <c r="AQ139" s="1968" t="s">
        <v>2469</v>
      </c>
      <c r="AR139" s="1968" t="s">
        <v>2470</v>
      </c>
      <c r="AS139" s="1968"/>
      <c r="AT139" s="1966">
        <v>1996.0</v>
      </c>
      <c r="BB139" s="1974"/>
    </row>
    <row r="140" spans="8:8" ht="17.25" customHeight="1">
      <c r="B140" s="1817" t="s">
        <v>112</v>
      </c>
      <c r="C140" s="2054" t="s">
        <v>2094</v>
      </c>
      <c r="D140" s="1791" t="s">
        <v>2425</v>
      </c>
      <c r="E140" s="1791" t="s">
        <v>2426</v>
      </c>
      <c r="F140" s="1791" t="s">
        <v>2553</v>
      </c>
      <c r="G140" s="1791" t="s">
        <v>2428</v>
      </c>
      <c r="H140" s="1791" t="s">
        <v>2429</v>
      </c>
      <c r="I140" s="1791" t="s">
        <v>2554</v>
      </c>
      <c r="J140" s="1791" t="s">
        <v>2555</v>
      </c>
      <c r="K140" s="1811" t="s">
        <v>2556</v>
      </c>
      <c r="L140" s="1914"/>
      <c r="M140" s="2063">
        <v>27.0</v>
      </c>
      <c r="N140" s="2064" t="s">
        <v>2557</v>
      </c>
      <c r="O140" s="2064"/>
      <c r="P140" s="2064"/>
      <c r="Q140" s="2064"/>
      <c r="R140" s="2065"/>
      <c r="S140" s="2066">
        <v>27.0</v>
      </c>
      <c r="T140" s="2064" t="s">
        <v>2558</v>
      </c>
      <c r="U140" s="2064"/>
      <c r="V140" s="2064"/>
      <c r="W140" s="2064"/>
      <c r="X140" s="2065"/>
      <c r="AE140" s="1966">
        <v>1997.0</v>
      </c>
      <c r="AF140" s="1967" t="s">
        <v>88</v>
      </c>
      <c r="AG140" s="1967"/>
      <c r="AH140" s="1967"/>
      <c r="AI140" s="1967" t="s">
        <v>2559</v>
      </c>
      <c r="AJ140" s="1967"/>
      <c r="AK140" s="1967"/>
      <c r="AL140" s="1967" t="s">
        <v>2482</v>
      </c>
      <c r="AM140" s="1967" t="s">
        <v>1972</v>
      </c>
      <c r="AN140" s="1967" t="s">
        <v>2560</v>
      </c>
      <c r="AO140" s="1968" t="s">
        <v>2561</v>
      </c>
      <c r="AP140" s="1968" t="s">
        <v>2529</v>
      </c>
      <c r="AQ140" s="1968" t="s">
        <v>2469</v>
      </c>
      <c r="AR140" s="1968" t="s">
        <v>2470</v>
      </c>
      <c r="AS140" s="1968"/>
      <c r="AT140" s="1966">
        <v>1997.0</v>
      </c>
      <c r="BB140" s="1974"/>
    </row>
    <row r="141" spans="8:8" ht="17.25" customHeight="1">
      <c r="B141" s="1817" t="s">
        <v>2148</v>
      </c>
      <c r="C141" s="2054" t="s">
        <v>206</v>
      </c>
      <c r="D141" s="1791" t="s">
        <v>206</v>
      </c>
      <c r="E141" s="1791" t="s">
        <v>206</v>
      </c>
      <c r="F141" s="1791" t="s">
        <v>206</v>
      </c>
      <c r="G141" s="1791" t="s">
        <v>206</v>
      </c>
      <c r="H141" s="1791" t="s">
        <v>206</v>
      </c>
      <c r="I141" s="1791" t="s">
        <v>206</v>
      </c>
      <c r="J141" s="1791" t="s">
        <v>206</v>
      </c>
      <c r="K141" s="1811" t="s">
        <v>206</v>
      </c>
      <c r="L141" s="1914"/>
      <c r="M141" s="2063">
        <v>28.0</v>
      </c>
      <c r="N141" s="2064" t="s">
        <v>2562</v>
      </c>
      <c r="O141" s="2064"/>
      <c r="P141" s="2064"/>
      <c r="Q141" s="2064"/>
      <c r="R141" s="2065"/>
      <c r="S141" s="2066">
        <v>28.0</v>
      </c>
      <c r="T141" s="2064" t="s">
        <v>2563</v>
      </c>
      <c r="U141" s="2064"/>
      <c r="V141" s="2064"/>
      <c r="W141" s="2064"/>
      <c r="X141" s="2065"/>
      <c r="AE141" s="1966">
        <v>1998.0</v>
      </c>
      <c r="AF141" s="1967" t="s">
        <v>88</v>
      </c>
      <c r="AG141" s="1967"/>
      <c r="AH141" s="1967"/>
      <c r="AI141" s="1967" t="s">
        <v>2564</v>
      </c>
      <c r="AJ141" s="1967"/>
      <c r="AK141" s="1967"/>
      <c r="AL141" s="1967" t="s">
        <v>2482</v>
      </c>
      <c r="AM141" s="1967" t="s">
        <v>1980</v>
      </c>
      <c r="AN141" s="1967" t="s">
        <v>2565</v>
      </c>
      <c r="AO141" s="1968" t="s">
        <v>2566</v>
      </c>
      <c r="AP141" s="1968" t="s">
        <v>2529</v>
      </c>
      <c r="AQ141" s="1968" t="s">
        <v>2469</v>
      </c>
      <c r="AR141" s="1968" t="s">
        <v>2470</v>
      </c>
      <c r="AS141" s="1968"/>
      <c r="AT141" s="1966">
        <v>1998.0</v>
      </c>
      <c r="BB141" s="1974"/>
    </row>
    <row r="142" spans="8:8" ht="17.25" customHeight="1">
      <c r="B142" s="1817" t="s">
        <v>156</v>
      </c>
      <c r="C142" s="2054" t="s">
        <v>88</v>
      </c>
      <c r="D142" s="1791" t="s">
        <v>2567</v>
      </c>
      <c r="E142" s="1791" t="s">
        <v>88</v>
      </c>
      <c r="F142" s="1791" t="s">
        <v>2568</v>
      </c>
      <c r="G142" s="1791" t="s">
        <v>88</v>
      </c>
      <c r="H142" s="1791" t="s">
        <v>88</v>
      </c>
      <c r="I142" s="1791" t="s">
        <v>2569</v>
      </c>
      <c r="J142" s="1791" t="s">
        <v>88</v>
      </c>
      <c r="K142" s="1811" t="s">
        <v>88</v>
      </c>
      <c r="L142" s="1914"/>
      <c r="M142" s="2063">
        <v>29.0</v>
      </c>
      <c r="N142" s="2064" t="s">
        <v>2570</v>
      </c>
      <c r="O142" s="2064"/>
      <c r="P142" s="2064"/>
      <c r="Q142" s="2064"/>
      <c r="R142" s="2065"/>
      <c r="S142" s="2066">
        <v>29.0</v>
      </c>
      <c r="T142" s="2064" t="s">
        <v>2571</v>
      </c>
      <c r="U142" s="2064"/>
      <c r="V142" s="2064"/>
      <c r="W142" s="2064"/>
      <c r="X142" s="2065"/>
      <c r="AE142" s="1966">
        <v>1999.0</v>
      </c>
      <c r="AF142" s="1967" t="s">
        <v>2572</v>
      </c>
      <c r="AG142" s="1967"/>
      <c r="AH142" s="1967"/>
      <c r="AI142" s="1967" t="s">
        <v>2573</v>
      </c>
      <c r="AJ142" s="1967" t="s">
        <v>2574</v>
      </c>
      <c r="AK142" s="1967"/>
      <c r="AL142" s="1967" t="s">
        <v>2482</v>
      </c>
      <c r="AM142" s="1967" t="s">
        <v>1987</v>
      </c>
      <c r="AN142" s="1967" t="s">
        <v>2575</v>
      </c>
      <c r="AO142" s="1967" t="s">
        <v>2576</v>
      </c>
      <c r="AP142" s="1968" t="s">
        <v>2529</v>
      </c>
      <c r="AQ142" s="1968" t="s">
        <v>2469</v>
      </c>
      <c r="AR142" s="1968" t="s">
        <v>2470</v>
      </c>
      <c r="AS142" s="1968"/>
      <c r="AT142" s="1966">
        <v>1999.0</v>
      </c>
      <c r="BB142" s="1974"/>
    </row>
    <row r="143" spans="8:8" ht="17.25" customHeight="1">
      <c r="A143" s="1817" t="s">
        <v>2577</v>
      </c>
      <c r="B143" s="1817" t="s">
        <v>2577</v>
      </c>
      <c r="C143" s="2054" t="s">
        <v>2094</v>
      </c>
      <c r="D143" s="1791" t="s">
        <v>2578</v>
      </c>
      <c r="E143" s="1791" t="s">
        <v>88</v>
      </c>
      <c r="F143" s="1791" t="s">
        <v>2579</v>
      </c>
      <c r="G143" s="1791" t="s">
        <v>88</v>
      </c>
      <c r="H143" s="1791" t="s">
        <v>88</v>
      </c>
      <c r="I143" s="1791" t="s">
        <v>2569</v>
      </c>
      <c r="J143" s="1791" t="s">
        <v>88</v>
      </c>
      <c r="K143" s="1811" t="s">
        <v>88</v>
      </c>
      <c r="L143" s="1914"/>
      <c r="M143" s="2063">
        <v>30.0</v>
      </c>
      <c r="N143" s="2064" t="s">
        <v>2580</v>
      </c>
      <c r="O143" s="2064"/>
      <c r="P143" s="2064"/>
      <c r="Q143" s="2064"/>
      <c r="R143" s="2065"/>
      <c r="S143" s="2066">
        <v>30.0</v>
      </c>
      <c r="T143" s="2064" t="s">
        <v>2581</v>
      </c>
      <c r="U143" s="2064"/>
      <c r="V143" s="2064"/>
      <c r="W143" s="2064"/>
      <c r="X143" s="2065"/>
      <c r="AE143" s="1966">
        <v>2000.0</v>
      </c>
      <c r="AF143" s="1967" t="s">
        <v>2582</v>
      </c>
      <c r="AG143" s="1967" t="s">
        <v>2583</v>
      </c>
      <c r="AH143" s="1967"/>
      <c r="AI143" s="1967" t="s">
        <v>2584</v>
      </c>
      <c r="AJ143" s="1967"/>
      <c r="AK143" s="1967"/>
      <c r="AL143" s="1967" t="s">
        <v>2585</v>
      </c>
      <c r="AM143" s="1967" t="s">
        <v>1995</v>
      </c>
      <c r="AN143" s="1967" t="s">
        <v>2586</v>
      </c>
      <c r="AO143" s="1968" t="s">
        <v>2587</v>
      </c>
      <c r="AP143" s="1968" t="s">
        <v>2529</v>
      </c>
      <c r="AQ143" s="1968" t="s">
        <v>2469</v>
      </c>
      <c r="AR143" s="1968" t="s">
        <v>2470</v>
      </c>
      <c r="AS143" s="1968"/>
      <c r="AT143" s="1966">
        <v>2000.0</v>
      </c>
      <c r="BB143" s="1974"/>
    </row>
    <row r="144" spans="8:8" ht="17.25" customHeight="1">
      <c r="A144" s="1817" t="s">
        <v>2588</v>
      </c>
      <c r="B144" s="1817" t="s">
        <v>2588</v>
      </c>
      <c r="C144" s="2054" t="s">
        <v>2530</v>
      </c>
      <c r="D144" s="1791" t="s">
        <v>2578</v>
      </c>
      <c r="E144" s="1791" t="s">
        <v>88</v>
      </c>
      <c r="F144" s="1791" t="s">
        <v>2589</v>
      </c>
      <c r="G144" s="1791" t="s">
        <v>88</v>
      </c>
      <c r="H144" s="1791" t="s">
        <v>88</v>
      </c>
      <c r="I144" s="1791" t="s">
        <v>2569</v>
      </c>
      <c r="J144" s="1791" t="s">
        <v>88</v>
      </c>
      <c r="K144" s="1811" t="s">
        <v>88</v>
      </c>
      <c r="L144" s="1914"/>
      <c r="M144" s="2063">
        <v>31.0</v>
      </c>
      <c r="N144" s="2064" t="s">
        <v>2590</v>
      </c>
      <c r="O144" s="2064"/>
      <c r="P144" s="2064"/>
      <c r="Q144" s="2064"/>
      <c r="R144" s="2065"/>
      <c r="S144" s="2066">
        <v>31.0</v>
      </c>
      <c r="T144" s="2064" t="s">
        <v>2591</v>
      </c>
      <c r="U144" s="2064"/>
      <c r="V144" s="2064"/>
      <c r="W144" s="2064"/>
      <c r="X144" s="2065"/>
      <c r="AE144" s="1966">
        <v>2001.0</v>
      </c>
      <c r="AF144" s="1967" t="s">
        <v>88</v>
      </c>
      <c r="AG144" s="1967"/>
      <c r="AH144" s="1967"/>
      <c r="AI144" s="1967" t="s">
        <v>2592</v>
      </c>
      <c r="AJ144" s="1967"/>
      <c r="AK144" s="1967"/>
      <c r="AL144" s="1967" t="s">
        <v>2585</v>
      </c>
      <c r="AM144" s="1967" t="s">
        <v>2003</v>
      </c>
      <c r="AN144" s="1967" t="s">
        <v>2593</v>
      </c>
      <c r="AO144" s="1968" t="s">
        <v>2594</v>
      </c>
      <c r="AP144" s="1968" t="s">
        <v>2595</v>
      </c>
      <c r="AQ144" s="1967" t="s">
        <v>2596</v>
      </c>
      <c r="AR144" s="1968" t="s">
        <v>2597</v>
      </c>
      <c r="AS144" s="1968" t="s">
        <v>2598</v>
      </c>
      <c r="AT144" s="1966">
        <v>2001.0</v>
      </c>
      <c r="BB144" s="1974"/>
    </row>
    <row r="145" spans="8:8" ht="17.25" customHeight="1">
      <c r="A145" s="1817" t="s">
        <v>2599</v>
      </c>
      <c r="B145" s="1817" t="s">
        <v>116</v>
      </c>
      <c r="C145" s="2054" t="s">
        <v>2600</v>
      </c>
      <c r="D145" s="1791" t="s">
        <v>2578</v>
      </c>
      <c r="E145" s="1791" t="s">
        <v>88</v>
      </c>
      <c r="F145" s="1791" t="s">
        <v>2601</v>
      </c>
      <c r="G145" s="1791" t="s">
        <v>88</v>
      </c>
      <c r="H145" s="1791" t="s">
        <v>88</v>
      </c>
      <c r="I145" s="1791" t="s">
        <v>2569</v>
      </c>
      <c r="J145" s="1791" t="s">
        <v>88</v>
      </c>
      <c r="K145" s="1811" t="s">
        <v>88</v>
      </c>
      <c r="L145" s="1914"/>
      <c r="M145" s="2063">
        <v>32.0</v>
      </c>
      <c r="N145" s="2064" t="s">
        <v>2602</v>
      </c>
      <c r="O145" s="2064"/>
      <c r="P145" s="2064"/>
      <c r="Q145" s="2064"/>
      <c r="R145" s="2065"/>
      <c r="S145" s="2066">
        <v>32.0</v>
      </c>
      <c r="T145" s="2064" t="s">
        <v>2603</v>
      </c>
      <c r="U145" s="2064"/>
      <c r="V145" s="2064"/>
      <c r="W145" s="2064"/>
      <c r="X145" s="2065"/>
      <c r="AE145" s="1966">
        <v>2002.0</v>
      </c>
      <c r="AF145" s="1967" t="s">
        <v>2604</v>
      </c>
      <c r="AG145" s="1967"/>
      <c r="AH145" s="1967"/>
      <c r="AI145" s="1967" t="s">
        <v>2605</v>
      </c>
      <c r="AJ145" s="1967"/>
      <c r="AK145" s="1967"/>
      <c r="AL145" s="1967" t="s">
        <v>2585</v>
      </c>
      <c r="AM145" s="1967" t="s">
        <v>2009</v>
      </c>
      <c r="AN145" s="1967" t="s">
        <v>2606</v>
      </c>
      <c r="AO145" s="1968" t="s">
        <v>2607</v>
      </c>
      <c r="AP145" s="1968" t="s">
        <v>2608</v>
      </c>
      <c r="AQ145" s="1967" t="s">
        <v>2596</v>
      </c>
      <c r="AR145" s="1968" t="s">
        <v>2597</v>
      </c>
      <c r="AS145" s="1968"/>
      <c r="AT145" s="1966">
        <v>2002.0</v>
      </c>
      <c r="BB145" s="1974"/>
    </row>
    <row r="146" spans="8:8" ht="17.25" customHeight="1">
      <c r="A146" s="1817" t="s">
        <v>1360</v>
      </c>
      <c r="B146" s="1817" t="s">
        <v>2599</v>
      </c>
      <c r="C146" s="2054" t="s">
        <v>2424</v>
      </c>
      <c r="D146" s="1791" t="s">
        <v>2578</v>
      </c>
      <c r="E146" s="1791" t="s">
        <v>88</v>
      </c>
      <c r="F146" s="1791" t="s">
        <v>2609</v>
      </c>
      <c r="G146" s="1791" t="s">
        <v>88</v>
      </c>
      <c r="H146" s="1791" t="s">
        <v>88</v>
      </c>
      <c r="I146" s="1791" t="s">
        <v>2569</v>
      </c>
      <c r="J146" s="1791" t="s">
        <v>88</v>
      </c>
      <c r="K146" s="1811" t="s">
        <v>88</v>
      </c>
      <c r="L146" s="1914"/>
      <c r="M146" s="2063">
        <v>33.0</v>
      </c>
      <c r="N146" s="2064" t="s">
        <v>2610</v>
      </c>
      <c r="O146" s="2064"/>
      <c r="P146" s="2064"/>
      <c r="Q146" s="2064"/>
      <c r="R146" s="2065"/>
      <c r="S146" s="2066">
        <v>33.0</v>
      </c>
      <c r="T146" s="2064" t="s">
        <v>2611</v>
      </c>
      <c r="U146" s="2064"/>
      <c r="V146" s="2064"/>
      <c r="W146" s="2064"/>
      <c r="X146" s="2065"/>
      <c r="AE146" s="1966">
        <v>2003.0</v>
      </c>
      <c r="AF146" s="1967" t="s">
        <v>88</v>
      </c>
      <c r="AG146" s="1967"/>
      <c r="AH146" s="1967"/>
      <c r="AI146" s="1967" t="s">
        <v>2612</v>
      </c>
      <c r="AJ146" s="1967" t="s">
        <v>2613</v>
      </c>
      <c r="AK146" s="1967"/>
      <c r="AL146" s="1967" t="s">
        <v>2585</v>
      </c>
      <c r="AM146" s="1967" t="s">
        <v>2015</v>
      </c>
      <c r="AN146" s="1967" t="s">
        <v>2614</v>
      </c>
      <c r="AO146" s="1968" t="s">
        <v>2615</v>
      </c>
      <c r="AP146" s="1968" t="s">
        <v>2608</v>
      </c>
      <c r="AQ146" s="1967" t="s">
        <v>2596</v>
      </c>
      <c r="AR146" s="1968" t="s">
        <v>2597</v>
      </c>
      <c r="AS146" s="1968"/>
      <c r="AT146" s="1966">
        <v>2003.0</v>
      </c>
      <c r="BB146" s="1974"/>
    </row>
    <row r="147" spans="8:8" ht="17.25" customHeight="1">
      <c r="A147" s="1817" t="s">
        <v>2616</v>
      </c>
      <c r="B147" s="1817" t="s">
        <v>1360</v>
      </c>
      <c r="C147" s="2054" t="s">
        <v>2437</v>
      </c>
      <c r="D147" s="1791" t="s">
        <v>2578</v>
      </c>
      <c r="E147" s="1791" t="s">
        <v>88</v>
      </c>
      <c r="F147" s="1791" t="s">
        <v>2617</v>
      </c>
      <c r="G147" s="1791" t="s">
        <v>88</v>
      </c>
      <c r="H147" s="1791" t="s">
        <v>88</v>
      </c>
      <c r="I147" s="1791" t="s">
        <v>2569</v>
      </c>
      <c r="J147" s="1791" t="s">
        <v>88</v>
      </c>
      <c r="K147" s="1811" t="s">
        <v>88</v>
      </c>
      <c r="L147" s="1914"/>
      <c r="M147" s="2063">
        <v>34.0</v>
      </c>
      <c r="N147" s="2064" t="s">
        <v>2618</v>
      </c>
      <c r="O147" s="2064"/>
      <c r="P147" s="2064"/>
      <c r="Q147" s="2064"/>
      <c r="R147" s="2065"/>
      <c r="S147" s="2066">
        <v>34.0</v>
      </c>
      <c r="T147" s="2064" t="s">
        <v>2619</v>
      </c>
      <c r="U147" s="2064"/>
      <c r="V147" s="2064"/>
      <c r="W147" s="2064"/>
      <c r="X147" s="2065"/>
      <c r="AE147" s="1966">
        <v>2004.0</v>
      </c>
      <c r="AF147" s="1967" t="s">
        <v>1571</v>
      </c>
      <c r="AG147" s="1967"/>
      <c r="AH147" s="1967"/>
      <c r="AI147" s="1967" t="s">
        <v>88</v>
      </c>
      <c r="AJ147" s="1967"/>
      <c r="AK147" s="1967"/>
      <c r="AL147" s="1967" t="s">
        <v>2585</v>
      </c>
      <c r="AM147" s="1967" t="s">
        <v>2023</v>
      </c>
      <c r="AN147" s="1967" t="s">
        <v>2620</v>
      </c>
      <c r="AO147" s="1968" t="s">
        <v>2621</v>
      </c>
      <c r="AP147" s="1968" t="s">
        <v>2608</v>
      </c>
      <c r="AQ147" s="1967" t="s">
        <v>2596</v>
      </c>
      <c r="AR147" s="1968" t="s">
        <v>2597</v>
      </c>
      <c r="AS147" s="1968"/>
      <c r="AT147" s="1966">
        <v>2004.0</v>
      </c>
    </row>
    <row r="148" spans="8:8" ht="17.25" customHeight="1">
      <c r="A148" s="1817" t="s">
        <v>2622</v>
      </c>
      <c r="B148" s="1817" t="s">
        <v>2616</v>
      </c>
      <c r="C148" s="2054" t="s">
        <v>2424</v>
      </c>
      <c r="D148" s="1791" t="s">
        <v>2578</v>
      </c>
      <c r="E148" s="1791" t="s">
        <v>88</v>
      </c>
      <c r="F148" s="1791" t="s">
        <v>2623</v>
      </c>
      <c r="G148" s="1791" t="s">
        <v>88</v>
      </c>
      <c r="H148" s="1791" t="s">
        <v>88</v>
      </c>
      <c r="I148" s="1791" t="s">
        <v>2569</v>
      </c>
      <c r="J148" s="1791" t="s">
        <v>88</v>
      </c>
      <c r="K148" s="1811" t="s">
        <v>88</v>
      </c>
      <c r="L148" s="1914"/>
      <c r="M148" s="2063">
        <v>35.0</v>
      </c>
      <c r="N148" s="2064" t="s">
        <v>2624</v>
      </c>
      <c r="O148" s="2064"/>
      <c r="P148" s="2064"/>
      <c r="Q148" s="2064"/>
      <c r="R148" s="2065"/>
      <c r="S148" s="2066">
        <v>35.0</v>
      </c>
      <c r="T148" s="2064" t="s">
        <v>2625</v>
      </c>
      <c r="U148" s="2064"/>
      <c r="V148" s="2064"/>
      <c r="W148" s="2064"/>
      <c r="X148" s="2065"/>
      <c r="AE148" s="1966">
        <v>2005.0</v>
      </c>
      <c r="AF148" s="1967" t="s">
        <v>88</v>
      </c>
      <c r="AG148" s="1967"/>
      <c r="AH148" s="1967"/>
      <c r="AI148" s="1967" t="s">
        <v>88</v>
      </c>
      <c r="AJ148" s="1967"/>
      <c r="AK148" s="1967"/>
      <c r="AL148" s="1967" t="s">
        <v>2585</v>
      </c>
      <c r="AM148" s="1967" t="s">
        <v>2032</v>
      </c>
      <c r="AN148" s="1967" t="s">
        <v>2626</v>
      </c>
      <c r="AO148" s="1968" t="s">
        <v>2627</v>
      </c>
      <c r="AP148" s="1968" t="s">
        <v>2608</v>
      </c>
      <c r="AQ148" s="1967" t="s">
        <v>2596</v>
      </c>
      <c r="AR148" s="1968" t="s">
        <v>2597</v>
      </c>
      <c r="AS148" s="1968"/>
      <c r="AT148" s="1966">
        <v>2005.0</v>
      </c>
    </row>
    <row r="149" spans="8:8" ht="17.25" customHeight="1">
      <c r="A149" s="1817" t="s">
        <v>1359</v>
      </c>
      <c r="B149" s="1817" t="s">
        <v>2622</v>
      </c>
      <c r="C149" s="2054" t="s">
        <v>2530</v>
      </c>
      <c r="D149" s="1791" t="s">
        <v>2578</v>
      </c>
      <c r="E149" s="1791" t="s">
        <v>88</v>
      </c>
      <c r="F149" s="1791" t="s">
        <v>2628</v>
      </c>
      <c r="G149" s="1791" t="s">
        <v>88</v>
      </c>
      <c r="H149" s="1791" t="s">
        <v>88</v>
      </c>
      <c r="I149" s="1791" t="s">
        <v>2569</v>
      </c>
      <c r="J149" s="1791" t="s">
        <v>88</v>
      </c>
      <c r="K149" s="1811" t="s">
        <v>88</v>
      </c>
      <c r="L149" s="1914"/>
      <c r="M149" s="2063">
        <v>36.0</v>
      </c>
      <c r="N149" s="2064" t="s">
        <v>2629</v>
      </c>
      <c r="O149" s="2064"/>
      <c r="P149" s="2064"/>
      <c r="Q149" s="2064"/>
      <c r="R149" s="2065"/>
      <c r="S149" s="2066">
        <v>36.0</v>
      </c>
      <c r="T149" s="2064" t="s">
        <v>2630</v>
      </c>
      <c r="U149" s="2064"/>
      <c r="V149" s="2064"/>
      <c r="W149" s="2064"/>
      <c r="X149" s="2065"/>
      <c r="AE149" s="1966">
        <v>2006.0</v>
      </c>
      <c r="AF149" s="1967" t="s">
        <v>88</v>
      </c>
      <c r="AG149" s="1967"/>
      <c r="AH149" s="1967"/>
      <c r="AI149" s="1967" t="s">
        <v>2631</v>
      </c>
      <c r="AJ149" s="1967"/>
      <c r="AK149" s="1967"/>
      <c r="AL149" s="1967" t="s">
        <v>2585</v>
      </c>
      <c r="AM149" s="1967" t="s">
        <v>2040</v>
      </c>
      <c r="AN149" s="1967" t="s">
        <v>2632</v>
      </c>
      <c r="AO149" s="1967" t="s">
        <v>2633</v>
      </c>
      <c r="AP149" s="1968" t="s">
        <v>2608</v>
      </c>
      <c r="AQ149" s="1967" t="s">
        <v>2596</v>
      </c>
      <c r="AR149" s="1968" t="s">
        <v>2597</v>
      </c>
      <c r="AS149" s="1968"/>
      <c r="AT149" s="1966">
        <v>2006.0</v>
      </c>
      <c r="BC149" s="1819"/>
      <c r="BD149" s="1819"/>
      <c r="BE149" s="1819"/>
      <c r="BF149" s="1819"/>
      <c r="BG149" s="1819"/>
      <c r="BH149" s="1819"/>
      <c r="BI149" s="1819"/>
      <c r="BJ149" s="1819"/>
      <c r="BK149" s="1819"/>
      <c r="BL149" s="1819"/>
      <c r="BM149" s="1819"/>
      <c r="BN149" s="1819"/>
      <c r="BO149" s="1819"/>
      <c r="BP149" s="1819"/>
      <c r="BQ149" s="1819"/>
      <c r="BR149" s="1819"/>
      <c r="BS149" s="1819"/>
    </row>
    <row r="150" spans="8:8" ht="17.25" customHeight="1">
      <c r="B150" s="1817" t="s">
        <v>1359</v>
      </c>
      <c r="C150" s="2054" t="s">
        <v>2437</v>
      </c>
      <c r="D150" s="1791" t="s">
        <v>2578</v>
      </c>
      <c r="E150" s="1791" t="s">
        <v>88</v>
      </c>
      <c r="F150" s="1791" t="s">
        <v>2634</v>
      </c>
      <c r="G150" s="1791" t="s">
        <v>88</v>
      </c>
      <c r="H150" s="1791" t="s">
        <v>88</v>
      </c>
      <c r="I150" s="1791" t="s">
        <v>2569</v>
      </c>
      <c r="J150" s="1791" t="s">
        <v>88</v>
      </c>
      <c r="K150" s="1811" t="s">
        <v>88</v>
      </c>
      <c r="L150" s="1914"/>
      <c r="M150" s="2063">
        <v>37.0</v>
      </c>
      <c r="N150" s="2064" t="s">
        <v>2635</v>
      </c>
      <c r="O150" s="2064"/>
      <c r="P150" s="2064"/>
      <c r="Q150" s="2064"/>
      <c r="R150" s="2065"/>
      <c r="S150" s="2066">
        <v>37.0</v>
      </c>
      <c r="T150" s="2064" t="s">
        <v>2636</v>
      </c>
      <c r="U150" s="2064"/>
      <c r="V150" s="2064"/>
      <c r="W150" s="2064"/>
      <c r="X150" s="2065"/>
      <c r="AE150" s="1966">
        <v>2007.0</v>
      </c>
      <c r="AF150" s="1967" t="s">
        <v>88</v>
      </c>
      <c r="AG150" s="1967"/>
      <c r="AH150" s="1967"/>
      <c r="AI150" s="1967" t="s">
        <v>88</v>
      </c>
      <c r="AJ150" s="1967"/>
      <c r="AK150" s="1967"/>
      <c r="AL150" s="1967" t="s">
        <v>2585</v>
      </c>
      <c r="AM150" s="1967" t="s">
        <v>2048</v>
      </c>
      <c r="AN150" s="1967" t="s">
        <v>2637</v>
      </c>
      <c r="AO150" s="1968" t="s">
        <v>2638</v>
      </c>
      <c r="AP150" s="1968" t="s">
        <v>2608</v>
      </c>
      <c r="AQ150" s="1967" t="s">
        <v>2596</v>
      </c>
      <c r="AR150" s="1968" t="s">
        <v>2597</v>
      </c>
      <c r="AS150" s="1968"/>
      <c r="AT150" s="1966">
        <v>2007.0</v>
      </c>
      <c r="BC150" s="1819"/>
      <c r="BD150" s="1819"/>
      <c r="BE150" s="1819"/>
      <c r="BF150" s="1819"/>
      <c r="BG150" s="1819"/>
      <c r="BH150" s="1819"/>
      <c r="BI150" s="1819"/>
      <c r="BJ150" s="1819"/>
      <c r="BK150" s="1819"/>
      <c r="BL150" s="1819"/>
      <c r="BM150" s="1819"/>
      <c r="BN150" s="1819"/>
      <c r="BO150" s="1819"/>
      <c r="BP150" s="1819"/>
      <c r="BQ150" s="1819"/>
      <c r="BR150" s="1819"/>
      <c r="BS150" s="1819"/>
    </row>
    <row r="151" spans="8:8" ht="17.25" customHeight="1">
      <c r="B151" s="1817" t="s">
        <v>2148</v>
      </c>
      <c r="C151" s="2054" t="s">
        <v>206</v>
      </c>
      <c r="D151" s="1791" t="s">
        <v>206</v>
      </c>
      <c r="E151" s="1791" t="s">
        <v>206</v>
      </c>
      <c r="F151" s="1791" t="s">
        <v>206</v>
      </c>
      <c r="G151" s="1791" t="s">
        <v>206</v>
      </c>
      <c r="H151" s="1791" t="s">
        <v>206</v>
      </c>
      <c r="I151" s="1791" t="s">
        <v>206</v>
      </c>
      <c r="J151" s="1791" t="s">
        <v>206</v>
      </c>
      <c r="K151" s="1811" t="s">
        <v>206</v>
      </c>
      <c r="L151" s="1914"/>
      <c r="M151" s="2063">
        <v>38.0</v>
      </c>
      <c r="N151" s="2064" t="s">
        <v>2639</v>
      </c>
      <c r="O151" s="2064"/>
      <c r="P151" s="2064"/>
      <c r="Q151" s="2064"/>
      <c r="R151" s="2065"/>
      <c r="S151" s="2066">
        <v>38.0</v>
      </c>
      <c r="T151" s="2064" t="s">
        <v>2640</v>
      </c>
      <c r="U151" s="2064"/>
      <c r="V151" s="2064"/>
      <c r="W151" s="2064"/>
      <c r="X151" s="2065"/>
      <c r="AE151" s="1966">
        <v>2008.0</v>
      </c>
      <c r="AF151" s="1967" t="s">
        <v>2641</v>
      </c>
      <c r="AG151" s="1967"/>
      <c r="AH151" s="1967"/>
      <c r="AI151" s="1967" t="s">
        <v>2641</v>
      </c>
      <c r="AJ151" s="1967" t="s">
        <v>2642</v>
      </c>
      <c r="AK151" s="1967"/>
      <c r="AL151" s="1967" t="s">
        <v>2585</v>
      </c>
      <c r="AM151" s="1967" t="s">
        <v>2056</v>
      </c>
      <c r="AN151" s="1967" t="s">
        <v>2643</v>
      </c>
      <c r="AO151" s="1968" t="s">
        <v>2644</v>
      </c>
      <c r="AP151" s="1968" t="s">
        <v>2608</v>
      </c>
      <c r="AQ151" s="1967" t="s">
        <v>2596</v>
      </c>
      <c r="AR151" s="1968" t="s">
        <v>2645</v>
      </c>
      <c r="AS151" s="1968"/>
      <c r="AT151" s="1966">
        <v>2008.0</v>
      </c>
      <c r="BC151" s="1819"/>
      <c r="BD151" s="1819"/>
      <c r="BE151" s="1819"/>
      <c r="BF151" s="1819"/>
      <c r="BG151" s="1819"/>
      <c r="BH151" s="1819"/>
      <c r="BI151" s="1819"/>
      <c r="BJ151" s="1819"/>
      <c r="BK151" s="1819"/>
      <c r="BL151" s="1819"/>
      <c r="BM151" s="1819"/>
      <c r="BN151" s="1819"/>
      <c r="BO151" s="1819"/>
      <c r="BP151" s="1819"/>
      <c r="BQ151" s="1819"/>
      <c r="BR151" s="1819"/>
      <c r="BS151" s="1819"/>
    </row>
    <row r="152" spans="8:8" ht="17.25" customHeight="1">
      <c r="B152" s="1942" t="s">
        <v>2646</v>
      </c>
      <c r="C152" s="2054" t="s">
        <v>88</v>
      </c>
      <c r="D152" s="1791" t="s">
        <v>2567</v>
      </c>
      <c r="E152" s="1791" t="s">
        <v>2647</v>
      </c>
      <c r="F152" s="1791" t="s">
        <v>2648</v>
      </c>
      <c r="G152" s="1791" t="s">
        <v>88</v>
      </c>
      <c r="H152" s="1791" t="s">
        <v>88</v>
      </c>
      <c r="I152" s="1791" t="s">
        <v>2569</v>
      </c>
      <c r="J152" s="1791" t="s">
        <v>88</v>
      </c>
      <c r="K152" s="1811" t="s">
        <v>88</v>
      </c>
      <c r="L152" s="1914"/>
      <c r="M152" s="2063">
        <v>39.0</v>
      </c>
      <c r="N152" s="2064" t="s">
        <v>2649</v>
      </c>
      <c r="O152" s="2064"/>
      <c r="P152" s="2064"/>
      <c r="Q152" s="2064"/>
      <c r="R152" s="2065"/>
      <c r="S152" s="2066">
        <v>39.0</v>
      </c>
      <c r="T152" s="2064" t="s">
        <v>2650</v>
      </c>
      <c r="U152" s="2064"/>
      <c r="V152" s="2064"/>
      <c r="W152" s="2064"/>
      <c r="X152" s="2065"/>
      <c r="AE152" s="1966">
        <v>2009.0</v>
      </c>
      <c r="AF152" s="1967" t="s">
        <v>88</v>
      </c>
      <c r="AG152" s="1967"/>
      <c r="AH152" s="1967"/>
      <c r="AI152" s="1967" t="s">
        <v>88</v>
      </c>
      <c r="AJ152" s="1967"/>
      <c r="AK152" s="1967"/>
      <c r="AL152" s="1967" t="s">
        <v>2585</v>
      </c>
      <c r="AM152" s="1967" t="s">
        <v>2064</v>
      </c>
      <c r="AN152" s="1967" t="s">
        <v>2651</v>
      </c>
      <c r="AO152" s="1967" t="s">
        <v>2652</v>
      </c>
      <c r="AP152" s="1967" t="s">
        <v>2653</v>
      </c>
      <c r="AQ152" s="1967" t="s">
        <v>2654</v>
      </c>
      <c r="AR152" s="1968" t="s">
        <v>2645</v>
      </c>
      <c r="AS152" s="1968" t="s">
        <v>2655</v>
      </c>
      <c r="AT152" s="1966">
        <v>2009.0</v>
      </c>
      <c r="BC152" s="1819"/>
      <c r="BD152" s="1819"/>
      <c r="BE152" s="1819"/>
      <c r="BF152" s="1819"/>
      <c r="BG152" s="1819"/>
      <c r="BH152" s="1819"/>
      <c r="BI152" s="1819"/>
      <c r="BJ152" s="1819"/>
      <c r="BK152" s="1819"/>
      <c r="BL152" s="1819"/>
      <c r="BM152" s="1819"/>
      <c r="BN152" s="1819"/>
      <c r="BO152" s="1819"/>
      <c r="BP152" s="1819"/>
      <c r="BQ152" s="1819"/>
      <c r="BR152" s="1819"/>
      <c r="BS152" s="1819"/>
    </row>
    <row r="153" spans="8:8" ht="17.25" customHeight="1">
      <c r="A153" s="1817" t="s">
        <v>352</v>
      </c>
      <c r="B153" s="1817" t="s">
        <v>352</v>
      </c>
      <c r="C153" s="2054" t="s">
        <v>2600</v>
      </c>
      <c r="D153" s="1791" t="s">
        <v>2656</v>
      </c>
      <c r="E153" s="1791" t="s">
        <v>2647</v>
      </c>
      <c r="F153" s="1791" t="s">
        <v>2657</v>
      </c>
      <c r="G153" s="1791" t="s">
        <v>88</v>
      </c>
      <c r="H153" s="1791" t="s">
        <v>88</v>
      </c>
      <c r="I153" s="1791" t="s">
        <v>2569</v>
      </c>
      <c r="J153" s="1791" t="s">
        <v>88</v>
      </c>
      <c r="K153" s="1811" t="s">
        <v>88</v>
      </c>
      <c r="L153" s="1914"/>
      <c r="M153" s="2063">
        <v>40.0</v>
      </c>
      <c r="N153" s="2064" t="s">
        <v>2658</v>
      </c>
      <c r="O153" s="2064"/>
      <c r="P153" s="2064"/>
      <c r="Q153" s="2064"/>
      <c r="R153" s="2065"/>
      <c r="S153" s="2066">
        <v>40.0</v>
      </c>
      <c r="T153" s="2064" t="s">
        <v>2659</v>
      </c>
      <c r="U153" s="2064"/>
      <c r="V153" s="2064"/>
      <c r="W153" s="2064"/>
      <c r="X153" s="2065"/>
      <c r="AE153" s="1966">
        <v>2010.0</v>
      </c>
      <c r="AF153" s="1967" t="s">
        <v>88</v>
      </c>
      <c r="AG153" s="1967"/>
      <c r="AH153" s="1967"/>
      <c r="AI153" s="1967" t="s">
        <v>2660</v>
      </c>
      <c r="AJ153" s="1967" t="s">
        <v>2661</v>
      </c>
      <c r="AK153" s="1967"/>
      <c r="AL153" s="1967" t="s">
        <v>2662</v>
      </c>
      <c r="AM153" s="1967" t="s">
        <v>1499</v>
      </c>
      <c r="AN153" s="1967" t="s">
        <v>2663</v>
      </c>
      <c r="AO153" s="1968" t="s">
        <v>2664</v>
      </c>
      <c r="AP153" s="1968" t="s">
        <v>2665</v>
      </c>
      <c r="AQ153" s="1967" t="s">
        <v>2654</v>
      </c>
      <c r="AR153" s="1968" t="s">
        <v>2645</v>
      </c>
      <c r="AS153" s="1968"/>
      <c r="AT153" s="1966">
        <v>2010.0</v>
      </c>
      <c r="BC153" s="1819"/>
      <c r="BD153" s="1819"/>
      <c r="BE153" s="1819"/>
      <c r="BF153" s="1819"/>
      <c r="BG153" s="1819"/>
      <c r="BH153" s="1819"/>
      <c r="BI153" s="1819"/>
      <c r="BJ153" s="1819"/>
      <c r="BK153" s="1819"/>
      <c r="BL153" s="1819"/>
      <c r="BM153" s="1819"/>
      <c r="BN153" s="1819"/>
      <c r="BO153" s="1819"/>
      <c r="BP153" s="1819"/>
      <c r="BQ153" s="1819"/>
      <c r="BR153" s="1819"/>
      <c r="BS153" s="1819"/>
    </row>
    <row r="154" spans="8:8" ht="17.25" customHeight="1">
      <c r="A154" s="1817" t="s">
        <v>2666</v>
      </c>
      <c r="B154" s="1817" t="s">
        <v>2666</v>
      </c>
      <c r="C154" s="2054" t="s">
        <v>2424</v>
      </c>
      <c r="D154" s="1791" t="s">
        <v>2656</v>
      </c>
      <c r="E154" s="1791" t="s">
        <v>2647</v>
      </c>
      <c r="F154" s="1791" t="s">
        <v>2667</v>
      </c>
      <c r="G154" s="1791" t="s">
        <v>88</v>
      </c>
      <c r="H154" s="1791" t="s">
        <v>88</v>
      </c>
      <c r="I154" s="1791" t="s">
        <v>2569</v>
      </c>
      <c r="J154" s="1791" t="s">
        <v>88</v>
      </c>
      <c r="K154" s="1811" t="s">
        <v>88</v>
      </c>
      <c r="L154" s="1914"/>
      <c r="M154" s="2063">
        <v>41.0</v>
      </c>
      <c r="N154" s="2064" t="s">
        <v>2668</v>
      </c>
      <c r="O154" s="2064"/>
      <c r="P154" s="2064"/>
      <c r="Q154" s="2064"/>
      <c r="R154" s="2065"/>
      <c r="S154" s="2066">
        <v>41.0</v>
      </c>
      <c r="T154" s="2064" t="s">
        <v>2669</v>
      </c>
      <c r="U154" s="2064"/>
      <c r="V154" s="2064"/>
      <c r="W154" s="2064"/>
      <c r="X154" s="2065"/>
      <c r="AE154" s="1966">
        <v>2011.0</v>
      </c>
      <c r="AF154" s="1967" t="s">
        <v>2670</v>
      </c>
      <c r="AG154" s="1967"/>
      <c r="AH154" s="1967"/>
      <c r="AI154" s="1967" t="s">
        <v>88</v>
      </c>
      <c r="AJ154" s="1967"/>
      <c r="AK154" s="1967"/>
      <c r="AL154" s="1967" t="s">
        <v>2662</v>
      </c>
      <c r="AM154" s="1967" t="s">
        <v>1508</v>
      </c>
      <c r="AN154" s="1967" t="s">
        <v>2671</v>
      </c>
      <c r="AO154" s="1968" t="s">
        <v>2672</v>
      </c>
      <c r="AP154" s="1968" t="s">
        <v>2665</v>
      </c>
      <c r="AQ154" s="1967" t="s">
        <v>2654</v>
      </c>
      <c r="AR154" s="1968" t="s">
        <v>2645</v>
      </c>
      <c r="AS154" s="1968"/>
      <c r="AT154" s="1966">
        <v>2011.0</v>
      </c>
      <c r="BC154" s="1819"/>
      <c r="BD154" s="1819"/>
      <c r="BE154" s="1819"/>
      <c r="BF154" s="1819"/>
      <c r="BG154" s="1819"/>
      <c r="BH154" s="1819"/>
      <c r="BI154" s="1819"/>
      <c r="BJ154" s="1819"/>
      <c r="BK154" s="1819"/>
      <c r="BL154" s="1819"/>
      <c r="BM154" s="1819"/>
      <c r="BN154" s="1819"/>
      <c r="BO154" s="1819"/>
      <c r="BP154" s="1819"/>
      <c r="BQ154" s="1819"/>
      <c r="BR154" s="1819"/>
      <c r="BS154" s="1819"/>
    </row>
    <row r="155" spans="8:8" ht="17.25" customHeight="1">
      <c r="A155" s="1817" t="s">
        <v>2673</v>
      </c>
      <c r="B155" s="1817" t="s">
        <v>1362</v>
      </c>
      <c r="C155" s="2054" t="s">
        <v>2424</v>
      </c>
      <c r="D155" s="1791" t="s">
        <v>2656</v>
      </c>
      <c r="E155" s="1791" t="s">
        <v>2647</v>
      </c>
      <c r="F155" s="1791" t="s">
        <v>2674</v>
      </c>
      <c r="G155" s="1791" t="s">
        <v>88</v>
      </c>
      <c r="H155" s="1791" t="s">
        <v>88</v>
      </c>
      <c r="I155" s="1791" t="s">
        <v>2569</v>
      </c>
      <c r="J155" s="1791" t="s">
        <v>88</v>
      </c>
      <c r="K155" s="1811" t="s">
        <v>88</v>
      </c>
      <c r="L155" s="1914"/>
      <c r="M155" s="2063">
        <v>42.0</v>
      </c>
      <c r="N155" s="2064" t="s">
        <v>2675</v>
      </c>
      <c r="O155" s="2064"/>
      <c r="P155" s="2064"/>
      <c r="Q155" s="2064"/>
      <c r="R155" s="2065"/>
      <c r="S155" s="2066">
        <v>42.0</v>
      </c>
      <c r="T155" s="2064" t="s">
        <v>2676</v>
      </c>
      <c r="U155" s="2064"/>
      <c r="V155" s="2064"/>
      <c r="W155" s="2064"/>
      <c r="X155" s="2065"/>
      <c r="AE155" s="1966">
        <v>2012.0</v>
      </c>
      <c r="AF155" s="1967" t="s">
        <v>1725</v>
      </c>
      <c r="AG155" s="1967" t="s">
        <v>2677</v>
      </c>
      <c r="AH155" s="1967" t="s">
        <v>2678</v>
      </c>
      <c r="AI155" s="1967" t="s">
        <v>2679</v>
      </c>
      <c r="AJ155" s="1967"/>
      <c r="AK155" s="1967"/>
      <c r="AL155" s="1967" t="s">
        <v>2662</v>
      </c>
      <c r="AM155" s="1967" t="s">
        <v>1515</v>
      </c>
      <c r="AN155" s="1967" t="s">
        <v>2680</v>
      </c>
      <c r="AO155" s="1968" t="s">
        <v>2681</v>
      </c>
      <c r="AP155" s="1968" t="s">
        <v>2665</v>
      </c>
      <c r="AQ155" s="1967" t="s">
        <v>2682</v>
      </c>
      <c r="AR155" s="1967" t="s">
        <v>2683</v>
      </c>
      <c r="AS155" s="1968" t="s">
        <v>2684</v>
      </c>
      <c r="AT155" s="1966">
        <v>2012.0</v>
      </c>
      <c r="BC155" s="1819"/>
      <c r="BD155" s="1819"/>
      <c r="BE155" s="1819"/>
      <c r="BF155" s="1819"/>
      <c r="BG155" s="1819"/>
      <c r="BH155" s="1819"/>
      <c r="BI155" s="1819"/>
      <c r="BJ155" s="1819"/>
      <c r="BK155" s="1819"/>
      <c r="BL155" s="1819"/>
      <c r="BM155" s="1819"/>
      <c r="BN155" s="1819"/>
      <c r="BO155" s="1819"/>
      <c r="BP155" s="1819"/>
      <c r="BQ155" s="1819"/>
      <c r="BR155" s="1819"/>
      <c r="BS155" s="1819"/>
    </row>
    <row r="156" spans="8:8" ht="17.25" customHeight="1">
      <c r="A156" s="1817" t="s">
        <v>2685</v>
      </c>
      <c r="B156" s="1817" t="s">
        <v>2685</v>
      </c>
      <c r="C156" s="2054" t="s">
        <v>2530</v>
      </c>
      <c r="D156" s="1791" t="s">
        <v>2656</v>
      </c>
      <c r="E156" s="1791" t="s">
        <v>2647</v>
      </c>
      <c r="F156" s="1791" t="s">
        <v>2686</v>
      </c>
      <c r="G156" s="1791" t="s">
        <v>88</v>
      </c>
      <c r="H156" s="1791" t="s">
        <v>88</v>
      </c>
      <c r="I156" s="1791" t="s">
        <v>2569</v>
      </c>
      <c r="J156" s="1791" t="s">
        <v>88</v>
      </c>
      <c r="K156" s="1811" t="s">
        <v>88</v>
      </c>
      <c r="L156" s="1914"/>
      <c r="M156" s="2063">
        <v>43.0</v>
      </c>
      <c r="N156" s="2064" t="s">
        <v>2687</v>
      </c>
      <c r="O156" s="2064"/>
      <c r="P156" s="2064"/>
      <c r="Q156" s="2064"/>
      <c r="R156" s="2065"/>
      <c r="S156" s="2066">
        <v>43.0</v>
      </c>
      <c r="T156" s="2064" t="s">
        <v>2688</v>
      </c>
      <c r="U156" s="2064"/>
      <c r="V156" s="2064"/>
      <c r="W156" s="2064"/>
      <c r="X156" s="2065"/>
      <c r="AE156" s="1966">
        <v>2013.0</v>
      </c>
      <c r="AF156" s="2069" t="s">
        <v>2689</v>
      </c>
      <c r="AG156" s="2069" t="s">
        <v>2690</v>
      </c>
      <c r="AH156" s="2069"/>
      <c r="AI156" s="2069" t="s">
        <v>2691</v>
      </c>
      <c r="AJ156" s="1968" t="s">
        <v>2692</v>
      </c>
      <c r="AK156" s="2069" t="s">
        <v>2693</v>
      </c>
      <c r="AL156" s="1967" t="s">
        <v>2662</v>
      </c>
      <c r="AM156" s="1967" t="s">
        <v>1526</v>
      </c>
      <c r="AN156" s="1967" t="s">
        <v>2694</v>
      </c>
      <c r="AO156" s="2070" t="s">
        <v>2695</v>
      </c>
      <c r="AP156" s="1968" t="s">
        <v>2665</v>
      </c>
      <c r="AQ156" s="2069" t="s">
        <v>2682</v>
      </c>
      <c r="AR156" s="1967" t="s">
        <v>2696</v>
      </c>
      <c r="AS156" s="1968"/>
      <c r="AT156" s="1966">
        <v>2013.0</v>
      </c>
      <c r="BC156" s="1819"/>
      <c r="BD156" s="2071"/>
      <c r="BE156" s="2071"/>
      <c r="BF156" s="2071"/>
      <c r="BG156" s="2071"/>
      <c r="BH156" s="2071"/>
      <c r="BI156" s="2071"/>
      <c r="BJ156" s="1819"/>
      <c r="BK156" s="1819"/>
      <c r="BL156" s="1819"/>
      <c r="BM156" s="1819"/>
      <c r="BN156" s="1819"/>
      <c r="BO156" s="1819"/>
      <c r="BP156" s="1819"/>
      <c r="BQ156" s="1819"/>
      <c r="BR156" s="1819"/>
      <c r="BS156" s="1819"/>
    </row>
    <row r="157" spans="8:8" ht="17.25" customHeight="1">
      <c r="A157" s="1817" t="s">
        <v>2697</v>
      </c>
      <c r="B157" s="1817" t="s">
        <v>2697</v>
      </c>
      <c r="C157" s="2054" t="s">
        <v>2530</v>
      </c>
      <c r="D157" s="1791" t="s">
        <v>2656</v>
      </c>
      <c r="E157" s="1791" t="s">
        <v>2647</v>
      </c>
      <c r="F157" s="1791" t="s">
        <v>2698</v>
      </c>
      <c r="G157" s="1791" t="s">
        <v>88</v>
      </c>
      <c r="H157" s="1791" t="s">
        <v>88</v>
      </c>
      <c r="I157" s="1791" t="s">
        <v>2569</v>
      </c>
      <c r="J157" s="1791" t="s">
        <v>88</v>
      </c>
      <c r="K157" s="1811" t="s">
        <v>88</v>
      </c>
      <c r="L157" s="1914"/>
      <c r="M157" s="2063">
        <v>44.0</v>
      </c>
      <c r="N157" s="2064" t="s">
        <v>2699</v>
      </c>
      <c r="O157" s="2064"/>
      <c r="P157" s="2064"/>
      <c r="Q157" s="2064"/>
      <c r="R157" s="2065"/>
      <c r="S157" s="2066">
        <v>44.0</v>
      </c>
      <c r="T157" s="2064" t="s">
        <v>2700</v>
      </c>
      <c r="U157" s="2064"/>
      <c r="V157" s="2064"/>
      <c r="W157" s="2064"/>
      <c r="X157" s="2065"/>
      <c r="AE157" s="1966">
        <v>2014.0</v>
      </c>
      <c r="AF157" s="1968" t="s">
        <v>2701</v>
      </c>
      <c r="AG157" s="1968" t="s">
        <v>2702</v>
      </c>
      <c r="AH157" s="1968" t="s">
        <v>2703</v>
      </c>
      <c r="AI157" s="1968" t="s">
        <v>2704</v>
      </c>
      <c r="AJ157" s="1968" t="s">
        <v>2705</v>
      </c>
      <c r="AK157" s="1968" t="s">
        <v>2706</v>
      </c>
      <c r="AL157" s="1967" t="s">
        <v>2662</v>
      </c>
      <c r="AM157" s="1967" t="s">
        <v>1542</v>
      </c>
      <c r="AN157" s="1967" t="s">
        <v>2707</v>
      </c>
      <c r="AO157" s="1967" t="s">
        <v>2708</v>
      </c>
      <c r="AP157" s="1968" t="s">
        <v>2665</v>
      </c>
      <c r="AQ157" s="1968" t="s">
        <v>2682</v>
      </c>
      <c r="AR157" s="1967" t="s">
        <v>2709</v>
      </c>
      <c r="AS157" s="1968"/>
      <c r="AT157" s="1966">
        <v>2014.0</v>
      </c>
      <c r="BB157" s="2072"/>
      <c r="BC157" s="2073"/>
      <c r="BD157" s="2073"/>
      <c r="BE157" s="2073"/>
      <c r="BF157" s="2073"/>
      <c r="BG157" s="2073"/>
      <c r="BH157" s="2073"/>
      <c r="BI157" s="2073"/>
      <c r="BJ157" s="1819"/>
      <c r="BK157" s="2074"/>
      <c r="BL157" s="2074"/>
      <c r="BM157" s="2074"/>
      <c r="BN157" s="2074"/>
      <c r="BO157" s="2074"/>
      <c r="BP157" s="2074"/>
      <c r="BQ157" s="2074"/>
      <c r="BR157" s="2074"/>
      <c r="BS157" s="1819"/>
    </row>
    <row r="158" spans="8:8" ht="17.25" customHeight="1">
      <c r="A158" s="1817" t="s">
        <v>2710</v>
      </c>
      <c r="B158" s="1817" t="s">
        <v>130</v>
      </c>
      <c r="C158" s="2054" t="s">
        <v>2437</v>
      </c>
      <c r="D158" s="1791" t="s">
        <v>2656</v>
      </c>
      <c r="E158" s="1791" t="s">
        <v>2647</v>
      </c>
      <c r="F158" s="1791" t="s">
        <v>2711</v>
      </c>
      <c r="G158" s="1791" t="s">
        <v>88</v>
      </c>
      <c r="H158" s="1791" t="s">
        <v>88</v>
      </c>
      <c r="I158" s="1791" t="s">
        <v>2569</v>
      </c>
      <c r="J158" s="1791" t="s">
        <v>88</v>
      </c>
      <c r="K158" s="1811" t="s">
        <v>88</v>
      </c>
      <c r="L158" s="1914"/>
      <c r="M158" s="2063">
        <v>45.0</v>
      </c>
      <c r="N158" s="2064" t="s">
        <v>2712</v>
      </c>
      <c r="O158" s="2064"/>
      <c r="P158" s="2064"/>
      <c r="Q158" s="2064"/>
      <c r="R158" s="2065"/>
      <c r="S158" s="2066">
        <v>45.0</v>
      </c>
      <c r="T158" s="2064" t="s">
        <v>2713</v>
      </c>
      <c r="U158" s="2064"/>
      <c r="V158" s="2064"/>
      <c r="W158" s="2064"/>
      <c r="X158" s="2065"/>
      <c r="AE158" s="1966">
        <v>2015.0</v>
      </c>
      <c r="AF158" s="1968" t="s">
        <v>2714</v>
      </c>
      <c r="AG158" s="1968"/>
      <c r="AH158" s="1968"/>
      <c r="AI158" s="1968" t="s">
        <v>2715</v>
      </c>
      <c r="AJ158" s="1968" t="s">
        <v>2716</v>
      </c>
      <c r="AK158" s="1968"/>
      <c r="AL158" s="1967" t="s">
        <v>2662</v>
      </c>
      <c r="AM158" s="1967" t="s">
        <v>1558</v>
      </c>
      <c r="AN158" s="1967" t="s">
        <v>2717</v>
      </c>
      <c r="AO158" s="1967" t="s">
        <v>2718</v>
      </c>
      <c r="AP158" s="1968" t="s">
        <v>2665</v>
      </c>
      <c r="AQ158" s="1968" t="s">
        <v>2682</v>
      </c>
      <c r="AR158" s="1967" t="s">
        <v>2719</v>
      </c>
      <c r="AS158" s="1968"/>
      <c r="AT158" s="1966">
        <v>2015.0</v>
      </c>
      <c r="BB158" s="2072"/>
      <c r="BC158" s="2073"/>
      <c r="BD158" s="2073"/>
      <c r="BE158" s="2073"/>
      <c r="BF158" s="2073"/>
      <c r="BG158" s="2073"/>
      <c r="BH158" s="2073"/>
      <c r="BI158" s="2073"/>
      <c r="BJ158" s="2074"/>
      <c r="BK158" s="2074"/>
      <c r="BL158" s="2074"/>
      <c r="BM158" s="2074"/>
      <c r="BN158" s="2074"/>
      <c r="BO158" s="2074"/>
      <c r="BP158" s="2074"/>
      <c r="BQ158" s="2074"/>
      <c r="BR158" s="2074"/>
      <c r="BS158" s="1819"/>
    </row>
    <row r="159" spans="8:8" ht="17.25" customHeight="1">
      <c r="B159" s="1817" t="s">
        <v>2710</v>
      </c>
      <c r="C159" s="2054" t="s">
        <v>2530</v>
      </c>
      <c r="D159" s="1791" t="s">
        <v>2656</v>
      </c>
      <c r="E159" s="1791" t="s">
        <v>2647</v>
      </c>
      <c r="F159" s="1791" t="s">
        <v>2720</v>
      </c>
      <c r="G159" s="1791" t="s">
        <v>88</v>
      </c>
      <c r="H159" s="1791" t="s">
        <v>88</v>
      </c>
      <c r="I159" s="1791" t="s">
        <v>2569</v>
      </c>
      <c r="J159" s="1791" t="s">
        <v>88</v>
      </c>
      <c r="K159" s="1811" t="s">
        <v>88</v>
      </c>
      <c r="L159" s="1914"/>
      <c r="M159" s="2063">
        <v>46.0</v>
      </c>
      <c r="N159" s="2064" t="s">
        <v>2721</v>
      </c>
      <c r="O159" s="2064"/>
      <c r="P159" s="2064"/>
      <c r="Q159" s="2064"/>
      <c r="R159" s="2065"/>
      <c r="S159" s="2066">
        <v>46.0</v>
      </c>
      <c r="T159" s="2064" t="s">
        <v>2722</v>
      </c>
      <c r="U159" s="2064"/>
      <c r="V159" s="2064"/>
      <c r="W159" s="2064"/>
      <c r="X159" s="2065"/>
      <c r="AE159" s="1966">
        <v>2016.0</v>
      </c>
      <c r="AF159" s="1968" t="s">
        <v>2723</v>
      </c>
      <c r="AG159" s="1968"/>
      <c r="AH159" s="1968"/>
      <c r="AI159" s="1968" t="s">
        <v>88</v>
      </c>
      <c r="AJ159" s="1968"/>
      <c r="AK159" s="1968"/>
      <c r="AL159" s="1967" t="s">
        <v>2662</v>
      </c>
      <c r="AM159" s="1967" t="s">
        <v>1573</v>
      </c>
      <c r="AN159" s="1967" t="s">
        <v>2724</v>
      </c>
      <c r="AO159" s="1967" t="s">
        <v>2725</v>
      </c>
      <c r="AP159" s="1968" t="s">
        <v>2665</v>
      </c>
      <c r="AQ159" s="1968"/>
      <c r="AR159" s="1967" t="s">
        <v>2726</v>
      </c>
      <c r="AS159" s="1968" t="s">
        <v>2682</v>
      </c>
      <c r="AT159" s="1966">
        <v>2016.0</v>
      </c>
      <c r="BB159" s="2072"/>
      <c r="BC159" s="2073"/>
      <c r="BD159" s="2073"/>
      <c r="BE159" s="2073"/>
      <c r="BF159" s="2073"/>
      <c r="BG159" s="2073"/>
      <c r="BH159" s="2073"/>
      <c r="BI159" s="2073"/>
      <c r="BJ159" s="2074"/>
      <c r="BK159" s="2074"/>
      <c r="BL159" s="2074"/>
      <c r="BM159" s="2074"/>
      <c r="BN159" s="2074"/>
      <c r="BO159" s="2074"/>
      <c r="BP159" s="2074"/>
      <c r="BQ159" s="2074"/>
      <c r="BR159" s="2074"/>
      <c r="BS159" s="1819"/>
    </row>
    <row r="160" spans="8:8" ht="17.25" customHeight="1">
      <c r="B160" s="1817" t="s">
        <v>2148</v>
      </c>
      <c r="C160" s="2054" t="s">
        <v>206</v>
      </c>
      <c r="D160" s="1791" t="s">
        <v>206</v>
      </c>
      <c r="E160" s="1791" t="s">
        <v>206</v>
      </c>
      <c r="F160" s="1791" t="s">
        <v>206</v>
      </c>
      <c r="G160" s="1791" t="s">
        <v>206</v>
      </c>
      <c r="H160" s="1791" t="s">
        <v>206</v>
      </c>
      <c r="I160" s="1791" t="s">
        <v>206</v>
      </c>
      <c r="J160" s="1791" t="s">
        <v>206</v>
      </c>
      <c r="K160" s="1811" t="s">
        <v>206</v>
      </c>
      <c r="L160" s="1914"/>
      <c r="M160" s="2063">
        <v>47.0</v>
      </c>
      <c r="N160" s="2064" t="s">
        <v>2727</v>
      </c>
      <c r="O160" s="2064"/>
      <c r="P160" s="2064"/>
      <c r="Q160" s="2064"/>
      <c r="R160" s="2065"/>
      <c r="S160" s="2066">
        <v>47.0</v>
      </c>
      <c r="T160" s="2064" t="s">
        <v>2728</v>
      </c>
      <c r="U160" s="2064"/>
      <c r="V160" s="2064"/>
      <c r="W160" s="2064"/>
      <c r="X160" s="2065"/>
      <c r="AE160" s="1966">
        <v>2017.0</v>
      </c>
      <c r="AF160" s="1968" t="s">
        <v>2729</v>
      </c>
      <c r="AG160" s="1968" t="s">
        <v>2730</v>
      </c>
      <c r="AH160" s="1968"/>
      <c r="AI160" s="1968" t="s">
        <v>88</v>
      </c>
      <c r="AJ160" s="1968"/>
      <c r="AK160" s="1968"/>
      <c r="AL160" s="1967" t="s">
        <v>2662</v>
      </c>
      <c r="AM160" s="1967" t="s">
        <v>1585</v>
      </c>
      <c r="AN160" s="1967" t="s">
        <v>2731</v>
      </c>
      <c r="AO160" s="1967" t="s">
        <v>2732</v>
      </c>
      <c r="AP160" s="1967" t="s">
        <v>2733</v>
      </c>
      <c r="AQ160" s="1968" t="s">
        <v>5899</v>
      </c>
      <c r="AR160" s="1967" t="s">
        <v>2726</v>
      </c>
      <c r="AS160" s="1968" t="s">
        <v>5899</v>
      </c>
      <c r="AT160" s="1966">
        <v>2017.0</v>
      </c>
      <c r="BB160" s="2072"/>
      <c r="BC160" s="2073"/>
      <c r="BD160" s="2073"/>
      <c r="BE160" s="2073"/>
      <c r="BF160" s="2073"/>
      <c r="BG160" s="2073"/>
      <c r="BH160" s="2073"/>
      <c r="BI160" s="2073"/>
      <c r="BJ160" s="2074"/>
      <c r="BK160" s="2074"/>
      <c r="BL160" s="2074"/>
      <c r="BM160" s="2074"/>
      <c r="BN160" s="2074"/>
      <c r="BO160" s="2074"/>
      <c r="BP160" s="2074"/>
      <c r="BQ160" s="2074"/>
      <c r="BR160" s="2074"/>
      <c r="BS160" s="1819"/>
    </row>
    <row r="161" spans="8:8" ht="17.25" customHeight="1">
      <c r="B161" s="1942" t="s">
        <v>139</v>
      </c>
      <c r="C161" s="2054" t="s">
        <v>2734</v>
      </c>
      <c r="D161" s="1791" t="s">
        <v>88</v>
      </c>
      <c r="E161" s="1791" t="s">
        <v>2735</v>
      </c>
      <c r="F161" s="1791" t="s">
        <v>2736</v>
      </c>
      <c r="G161" s="1791" t="s">
        <v>88</v>
      </c>
      <c r="H161" s="1791" t="s">
        <v>88</v>
      </c>
      <c r="I161" s="1791" t="s">
        <v>2737</v>
      </c>
      <c r="J161" s="1791" t="s">
        <v>2738</v>
      </c>
      <c r="K161" s="1811" t="s">
        <v>2739</v>
      </c>
      <c r="L161" s="1914"/>
      <c r="M161" s="2063">
        <v>48.0</v>
      </c>
      <c r="N161" s="2064" t="s">
        <v>2740</v>
      </c>
      <c r="O161" s="2064"/>
      <c r="P161" s="2064"/>
      <c r="Q161" s="2064"/>
      <c r="R161" s="2065"/>
      <c r="S161" s="2066">
        <v>48.0</v>
      </c>
      <c r="T161" s="2064" t="s">
        <v>2741</v>
      </c>
      <c r="U161" s="2064"/>
      <c r="V161" s="2064"/>
      <c r="W161" s="2064"/>
      <c r="X161" s="2065"/>
      <c r="AE161" s="1966">
        <v>2018.0</v>
      </c>
      <c r="AF161" s="1968" t="s">
        <v>2742</v>
      </c>
      <c r="AG161" s="1968" t="s">
        <v>2743</v>
      </c>
      <c r="AH161" s="1968"/>
      <c r="AI161" s="1968" t="s">
        <v>2744</v>
      </c>
      <c r="AJ161" s="1968"/>
      <c r="AK161" s="1968"/>
      <c r="AL161" s="1967" t="s">
        <v>2662</v>
      </c>
      <c r="AM161" s="1967" t="s">
        <v>1602</v>
      </c>
      <c r="AN161" s="1967" t="s">
        <v>2745</v>
      </c>
      <c r="AO161" s="1967" t="s">
        <v>2746</v>
      </c>
      <c r="AP161" s="1967" t="s">
        <v>2747</v>
      </c>
      <c r="AQ161" s="1968" t="s">
        <v>5899</v>
      </c>
      <c r="AR161" s="1967" t="s">
        <v>2726</v>
      </c>
      <c r="AS161" s="1968" t="s">
        <v>5899</v>
      </c>
      <c r="AT161" s="1966">
        <v>2018.0</v>
      </c>
      <c r="BB161" s="2072"/>
      <c r="BC161" s="2073"/>
      <c r="BD161" s="2073"/>
      <c r="BE161" s="2073"/>
      <c r="BF161" s="2073"/>
      <c r="BG161" s="2073"/>
      <c r="BH161" s="2073"/>
      <c r="BI161" s="2073"/>
      <c r="BJ161" s="2074"/>
      <c r="BK161" s="2074"/>
      <c r="BL161" s="2074"/>
      <c r="BM161" s="2074"/>
      <c r="BN161" s="2074"/>
      <c r="BO161" s="2074"/>
      <c r="BP161" s="2074"/>
      <c r="BQ161" s="2074"/>
      <c r="BR161" s="2074"/>
      <c r="BS161" s="1819"/>
    </row>
    <row r="162" spans="8:8" ht="17.25" customHeight="1">
      <c r="B162" s="1942" t="s">
        <v>141</v>
      </c>
      <c r="C162" s="2054" t="s">
        <v>2094</v>
      </c>
      <c r="D162" s="1791" t="s">
        <v>88</v>
      </c>
      <c r="E162" s="1791" t="s">
        <v>88</v>
      </c>
      <c r="F162" s="1791" t="s">
        <v>2748</v>
      </c>
      <c r="G162" s="1791" t="s">
        <v>2749</v>
      </c>
      <c r="H162" s="1791" t="s">
        <v>2750</v>
      </c>
      <c r="I162" s="1791" t="s">
        <v>2751</v>
      </c>
      <c r="J162" s="1791" t="s">
        <v>2752</v>
      </c>
      <c r="K162" s="1811" t="s">
        <v>2753</v>
      </c>
      <c r="L162" s="1914"/>
      <c r="M162" s="2063">
        <v>49.0</v>
      </c>
      <c r="N162" s="2064" t="s">
        <v>2754</v>
      </c>
      <c r="O162" s="2064"/>
      <c r="P162" s="2064"/>
      <c r="Q162" s="2064"/>
      <c r="R162" s="2065"/>
      <c r="S162" s="2066">
        <v>49.0</v>
      </c>
      <c r="T162" s="2064" t="s">
        <v>2755</v>
      </c>
      <c r="U162" s="2064"/>
      <c r="V162" s="2064"/>
      <c r="W162" s="2064"/>
      <c r="X162" s="2065"/>
      <c r="AE162" s="1966">
        <v>2019.0</v>
      </c>
      <c r="AF162" s="1968" t="s">
        <v>2756</v>
      </c>
      <c r="AG162" s="1968" t="s">
        <v>2757</v>
      </c>
      <c r="AH162" s="1968" t="s">
        <v>2758</v>
      </c>
      <c r="AI162" s="1968" t="s">
        <v>2759</v>
      </c>
      <c r="AJ162" s="1968"/>
      <c r="AK162" s="1968"/>
      <c r="AL162" s="1967" t="s">
        <v>2662</v>
      </c>
      <c r="AM162" s="1967" t="s">
        <v>1954</v>
      </c>
      <c r="AN162" s="1967" t="s">
        <v>2760</v>
      </c>
      <c r="AO162" s="1967" t="s">
        <v>2761</v>
      </c>
      <c r="AP162" s="1967" t="s">
        <v>2747</v>
      </c>
      <c r="AQ162" s="1968" t="s">
        <v>5899</v>
      </c>
      <c r="AR162" s="1967" t="s">
        <v>2726</v>
      </c>
      <c r="AS162" s="1968" t="s">
        <v>5899</v>
      </c>
      <c r="AT162" s="1966">
        <v>2019.0</v>
      </c>
      <c r="BB162" s="2072"/>
      <c r="BC162" s="2073"/>
      <c r="BD162" s="2073"/>
      <c r="BE162" s="2073"/>
      <c r="BF162" s="2073"/>
      <c r="BG162" s="2073"/>
      <c r="BH162" s="2073"/>
      <c r="BI162" s="2073"/>
      <c r="BJ162" s="2074"/>
      <c r="BK162" s="2074"/>
      <c r="BL162" s="2074"/>
      <c r="BM162" s="2074"/>
      <c r="BN162" s="2074"/>
      <c r="BO162" s="2074"/>
      <c r="BP162" s="2074"/>
      <c r="BQ162" s="2074"/>
      <c r="BR162" s="2074"/>
      <c r="BS162" s="1819"/>
    </row>
    <row r="163" spans="8:8" ht="17.25" customHeight="1">
      <c r="B163" s="1942" t="s">
        <v>144</v>
      </c>
      <c r="C163" s="2054" t="s">
        <v>2424</v>
      </c>
      <c r="D163" s="1791" t="s">
        <v>2425</v>
      </c>
      <c r="E163" s="1791" t="s">
        <v>2426</v>
      </c>
      <c r="F163" s="1791" t="s">
        <v>2762</v>
      </c>
      <c r="G163" s="1791" t="s">
        <v>2428</v>
      </c>
      <c r="H163" s="1791" t="s">
        <v>2429</v>
      </c>
      <c r="I163" s="1974" t="s">
        <v>2763</v>
      </c>
      <c r="J163" s="1791" t="s">
        <v>2764</v>
      </c>
      <c r="K163" s="1811" t="s">
        <v>2765</v>
      </c>
      <c r="L163" s="1914"/>
      <c r="M163" s="2063">
        <v>50.0</v>
      </c>
      <c r="N163" s="2064" t="s">
        <v>2766</v>
      </c>
      <c r="O163" s="2064"/>
      <c r="P163" s="2064"/>
      <c r="Q163" s="2064"/>
      <c r="R163" s="2065"/>
      <c r="S163" s="2066">
        <v>50.0</v>
      </c>
      <c r="T163" s="2064" t="s">
        <v>2767</v>
      </c>
      <c r="U163" s="2064"/>
      <c r="V163" s="2064"/>
      <c r="W163" s="2064"/>
      <c r="X163" s="2065"/>
      <c r="AE163" s="1966">
        <v>2020.0</v>
      </c>
      <c r="AF163" s="1968" t="s">
        <v>2768</v>
      </c>
      <c r="AG163" s="1968" t="s">
        <v>2769</v>
      </c>
      <c r="AH163" s="1968" t="s">
        <v>2770</v>
      </c>
      <c r="AI163" s="1968" t="s">
        <v>2771</v>
      </c>
      <c r="AJ163" s="1968" t="s">
        <v>2772</v>
      </c>
      <c r="AK163" s="1968" t="s">
        <v>2773</v>
      </c>
      <c r="AL163" s="1967" t="s">
        <v>2774</v>
      </c>
      <c r="AM163" s="1967" t="s">
        <v>1634</v>
      </c>
      <c r="AN163" s="1967" t="s">
        <v>2775</v>
      </c>
      <c r="AO163" s="1967" t="s">
        <v>2776</v>
      </c>
      <c r="AP163" s="1967" t="s">
        <v>2747</v>
      </c>
      <c r="AQ163" s="1968" t="s">
        <v>5899</v>
      </c>
      <c r="AR163" s="1967" t="s">
        <v>5839</v>
      </c>
      <c r="AS163" s="1968" t="s">
        <v>5899</v>
      </c>
      <c r="AT163" s="1966">
        <v>2020.0</v>
      </c>
      <c r="AU163" s="2075"/>
      <c r="AV163" s="2076"/>
      <c r="AW163" s="2076"/>
      <c r="AX163" s="2076"/>
      <c r="AY163" s="2076"/>
      <c r="AZ163" s="2076"/>
      <c r="BA163" s="2076"/>
      <c r="BB163" s="2077"/>
      <c r="BC163" s="2073"/>
      <c r="BD163" s="2073"/>
      <c r="BE163" s="2073"/>
      <c r="BF163" s="2073"/>
      <c r="BG163" s="2073"/>
      <c r="BH163" s="2073"/>
      <c r="BI163" s="2073"/>
      <c r="BJ163" s="2074"/>
      <c r="BK163" s="2074"/>
      <c r="BL163" s="2074"/>
      <c r="BM163" s="2074"/>
      <c r="BN163" s="2074"/>
      <c r="BO163" s="2074"/>
      <c r="BP163" s="2074"/>
      <c r="BQ163" s="2074"/>
      <c r="BR163" s="2074"/>
      <c r="BS163" s="1819"/>
    </row>
    <row r="164" spans="8:8" ht="15.6" customHeight="1">
      <c r="B164" s="1942" t="s">
        <v>146</v>
      </c>
      <c r="C164" s="2054" t="s">
        <v>2437</v>
      </c>
      <c r="D164" s="1791" t="s">
        <v>88</v>
      </c>
      <c r="E164" s="1791" t="s">
        <v>88</v>
      </c>
      <c r="F164" s="1791" t="s">
        <v>2777</v>
      </c>
      <c r="G164" s="1791" t="s">
        <v>2778</v>
      </c>
      <c r="H164" s="1791" t="s">
        <v>2779</v>
      </c>
      <c r="I164" s="1791" t="s">
        <v>2780</v>
      </c>
      <c r="J164" s="1791" t="s">
        <v>2781</v>
      </c>
      <c r="K164" s="1811" t="s">
        <v>2782</v>
      </c>
      <c r="L164" s="1914"/>
      <c r="M164" s="2063">
        <v>51.0</v>
      </c>
      <c r="N164" s="2064" t="s">
        <v>2783</v>
      </c>
      <c r="O164" s="2064"/>
      <c r="P164" s="2064"/>
      <c r="Q164" s="2064"/>
      <c r="R164" s="2065"/>
      <c r="S164" s="2066">
        <v>51.0</v>
      </c>
      <c r="T164" s="2064" t="s">
        <v>2784</v>
      </c>
      <c r="U164" s="2064"/>
      <c r="V164" s="2064"/>
      <c r="W164" s="2064"/>
      <c r="X164" s="2065"/>
      <c r="AE164" s="1968">
        <v>2021.0</v>
      </c>
      <c r="AF164" s="1968" t="s">
        <v>2785</v>
      </c>
      <c r="AG164" s="1968" t="s">
        <v>2786</v>
      </c>
      <c r="AH164" s="1968" t="s">
        <v>5896</v>
      </c>
      <c r="AI164" s="1968" t="s">
        <v>5895</v>
      </c>
      <c r="AJ164" s="1968" t="s">
        <v>5897</v>
      </c>
      <c r="AK164" s="1968" t="s">
        <v>5898</v>
      </c>
      <c r="AL164" s="1967" t="s">
        <v>2774</v>
      </c>
      <c r="AM164" s="2078" t="s">
        <v>1647</v>
      </c>
      <c r="AN164" s="1968" t="s">
        <v>2787</v>
      </c>
      <c r="AO164" s="2079" t="s">
        <v>5840</v>
      </c>
      <c r="AP164" s="1967" t="s">
        <v>2747</v>
      </c>
      <c r="AQ164" s="1968" t="s">
        <v>5899</v>
      </c>
      <c r="AR164" s="1967" t="s">
        <v>5839</v>
      </c>
      <c r="AS164" s="1968" t="s">
        <v>5899</v>
      </c>
      <c r="AT164" s="1968">
        <v>2021.0</v>
      </c>
      <c r="BC164" s="1819"/>
      <c r="BD164" s="1819"/>
      <c r="BE164" s="1819"/>
      <c r="BF164" s="1819"/>
      <c r="BG164" s="1819"/>
      <c r="BH164" s="1819"/>
      <c r="BI164" s="1819"/>
      <c r="BJ164" s="1819"/>
      <c r="BK164" s="1819"/>
      <c r="BL164" s="1819"/>
      <c r="BM164" s="1819"/>
      <c r="BN164" s="1819"/>
      <c r="BO164" s="1819"/>
      <c r="BP164" s="1819"/>
      <c r="BQ164" s="1819"/>
      <c r="BR164" s="1819"/>
      <c r="BS164" s="1819"/>
    </row>
    <row r="165" spans="8:8" ht="15.6" customHeight="1">
      <c r="B165" s="1942" t="s">
        <v>2788</v>
      </c>
      <c r="C165" s="2054" t="s">
        <v>2109</v>
      </c>
      <c r="D165" s="1791" t="s">
        <v>2157</v>
      </c>
      <c r="E165" s="1791" t="s">
        <v>88</v>
      </c>
      <c r="F165" s="1791" t="s">
        <v>2789</v>
      </c>
      <c r="G165" s="1791" t="s">
        <v>2790</v>
      </c>
      <c r="H165" s="1791" t="s">
        <v>2791</v>
      </c>
      <c r="I165" s="1791" t="s">
        <v>2792</v>
      </c>
      <c r="J165" s="1791" t="s">
        <v>2793</v>
      </c>
      <c r="K165" s="1811" t="s">
        <v>2794</v>
      </c>
      <c r="L165" s="1914"/>
      <c r="M165" s="2063">
        <v>52.0</v>
      </c>
      <c r="N165" s="2064" t="s">
        <v>2795</v>
      </c>
      <c r="O165" s="2064"/>
      <c r="P165" s="2064"/>
      <c r="Q165" s="2064"/>
      <c r="R165" s="2065"/>
      <c r="S165" s="2066">
        <v>52.0</v>
      </c>
      <c r="T165" s="2064" t="s">
        <v>2796</v>
      </c>
      <c r="U165" s="2064"/>
      <c r="V165" s="2064"/>
      <c r="W165" s="2064"/>
      <c r="X165" s="2065"/>
      <c r="AE165" s="1791">
        <v>2022.0</v>
      </c>
      <c r="AF165" s="2080" t="s">
        <v>5901</v>
      </c>
      <c r="AG165" s="2080" t="s">
        <v>5902</v>
      </c>
      <c r="AH165" s="2081" t="s">
        <v>5904</v>
      </c>
      <c r="AI165" s="1791" t="s">
        <v>5911</v>
      </c>
      <c r="AJ165" s="1791" t="s">
        <v>5910</v>
      </c>
      <c r="AK165" s="1791" t="s">
        <v>5906</v>
      </c>
      <c r="AL165" s="1967" t="s">
        <v>2774</v>
      </c>
      <c r="AM165" s="1974" t="s">
        <v>1661</v>
      </c>
      <c r="AN165" s="1968" t="s">
        <v>5907</v>
      </c>
      <c r="AO165" s="2081" t="s">
        <v>5905</v>
      </c>
      <c r="AP165" s="1967" t="s">
        <v>2747</v>
      </c>
      <c r="AQ165" s="1968" t="s">
        <v>5899</v>
      </c>
      <c r="AS165" s="1968" t="s">
        <v>5899</v>
      </c>
      <c r="AT165" s="1791">
        <v>2022.0</v>
      </c>
      <c r="AW165" s="1893"/>
      <c r="AY165" s="1804"/>
      <c r="AZ165" s="1804"/>
      <c r="BA165" s="1804"/>
      <c r="BB165" s="1804"/>
      <c r="BC165" s="1804"/>
      <c r="BD165" s="2082"/>
      <c r="BE165" s="1819"/>
      <c r="BF165" s="1819"/>
      <c r="BG165" s="1819"/>
      <c r="BH165" s="1819"/>
      <c r="BI165" s="1819"/>
      <c r="BJ165" s="1819"/>
      <c r="BK165" s="1819"/>
      <c r="BL165" s="1819"/>
      <c r="BM165" s="1819"/>
      <c r="BN165" s="1819"/>
      <c r="BO165" s="1819"/>
      <c r="BP165" s="1819"/>
      <c r="BQ165" s="1819"/>
      <c r="BR165" s="1819"/>
      <c r="BS165" s="1819"/>
    </row>
    <row r="166" spans="8:8" ht="15.6" customHeight="1">
      <c r="B166" s="1942" t="s">
        <v>154</v>
      </c>
      <c r="C166" s="2054" t="s">
        <v>2797</v>
      </c>
      <c r="D166" s="1791" t="s">
        <v>88</v>
      </c>
      <c r="E166" s="1791" t="s">
        <v>88</v>
      </c>
      <c r="F166" s="1791" t="s">
        <v>2798</v>
      </c>
      <c r="G166" s="1791" t="s">
        <v>88</v>
      </c>
      <c r="H166" s="1791" t="s">
        <v>88</v>
      </c>
      <c r="I166" s="1791" t="s">
        <v>2792</v>
      </c>
      <c r="J166" s="1791" t="s">
        <v>2793</v>
      </c>
      <c r="K166" s="1811" t="s">
        <v>2794</v>
      </c>
      <c r="L166" s="1914"/>
      <c r="M166" s="2063">
        <v>53.0</v>
      </c>
      <c r="N166" s="2064" t="s">
        <v>2799</v>
      </c>
      <c r="O166" s="2064"/>
      <c r="P166" s="2064"/>
      <c r="Q166" s="2064"/>
      <c r="R166" s="2065"/>
      <c r="S166" s="2066">
        <v>53.0</v>
      </c>
      <c r="T166" s="2064" t="s">
        <v>2800</v>
      </c>
      <c r="U166" s="2064"/>
      <c r="V166" s="2064"/>
      <c r="W166" s="2064"/>
      <c r="X166" s="2065"/>
      <c r="AE166" s="1791">
        <v>2023.0</v>
      </c>
      <c r="AF166" s="1967" t="s">
        <v>88</v>
      </c>
      <c r="AI166" s="1791" t="s">
        <v>5912</v>
      </c>
      <c r="AJ166" s="1791" t="s">
        <v>5908</v>
      </c>
      <c r="AL166" s="1967" t="s">
        <v>2774</v>
      </c>
      <c r="AM166" s="2083" t="s">
        <v>1676</v>
      </c>
      <c r="AN166" s="1968" t="s">
        <v>5909</v>
      </c>
      <c r="AO166" s="1967" t="s">
        <v>88</v>
      </c>
      <c r="AP166" s="1967" t="s">
        <v>5900</v>
      </c>
      <c r="AQ166" s="1968" t="s">
        <v>5899</v>
      </c>
      <c r="AS166" s="1968" t="s">
        <v>5899</v>
      </c>
      <c r="AT166" s="1791">
        <v>2023.0</v>
      </c>
      <c r="AW166" s="1817"/>
      <c r="AX166" s="1818" t="s">
        <v>2809</v>
      </c>
      <c r="BA166" s="1968" t="s">
        <v>2810</v>
      </c>
      <c r="BC166" s="2084" t="s">
        <v>2811</v>
      </c>
      <c r="BD166" s="2085"/>
      <c r="BE166" s="1819"/>
      <c r="BF166" s="1819"/>
      <c r="BG166" s="1819"/>
      <c r="BH166" s="1819"/>
      <c r="BI166" s="1819"/>
      <c r="BJ166" s="1819"/>
      <c r="BK166" s="1819"/>
      <c r="BL166" s="1819"/>
      <c r="BM166" s="1819"/>
      <c r="BN166" s="1819"/>
      <c r="BO166" s="1819"/>
      <c r="BP166" s="1819"/>
      <c r="BQ166" s="1819"/>
      <c r="BR166" s="1819"/>
      <c r="BS166" s="1819"/>
    </row>
    <row r="167" spans="8:8" ht="15.6" customHeight="1">
      <c r="B167" s="1942" t="s">
        <v>58</v>
      </c>
      <c r="C167" s="2054" t="s">
        <v>2094</v>
      </c>
      <c r="D167" s="1791" t="s">
        <v>88</v>
      </c>
      <c r="E167" s="1791" t="s">
        <v>88</v>
      </c>
      <c r="F167" s="1791" t="s">
        <v>2801</v>
      </c>
      <c r="G167" s="1791" t="s">
        <v>2802</v>
      </c>
      <c r="H167" s="1791" t="s">
        <v>2803</v>
      </c>
      <c r="I167" s="1791" t="s">
        <v>2804</v>
      </c>
      <c r="J167" s="1791" t="s">
        <v>2805</v>
      </c>
      <c r="K167" s="1811" t="s">
        <v>2806</v>
      </c>
      <c r="L167" s="1914"/>
      <c r="M167" s="2063">
        <v>54.0</v>
      </c>
      <c r="N167" s="2064" t="s">
        <v>2807</v>
      </c>
      <c r="O167" s="2064"/>
      <c r="P167" s="2064"/>
      <c r="Q167" s="2064"/>
      <c r="R167" s="2065"/>
      <c r="S167" s="2066">
        <v>54.0</v>
      </c>
      <c r="T167" s="2064" t="s">
        <v>2808</v>
      </c>
      <c r="U167" s="2064"/>
      <c r="V167" s="2064"/>
      <c r="W167" s="2064"/>
      <c r="X167" s="2065"/>
      <c r="AM167" s="2083" t="s">
        <v>1689</v>
      </c>
      <c r="AP167" s="1967"/>
      <c r="AQ167" s="1968"/>
      <c r="AS167" s="1968"/>
      <c r="AW167" s="1817"/>
      <c r="AX167" s="1818" t="s">
        <v>2818</v>
      </c>
      <c r="BA167" s="1968" t="s">
        <v>2819</v>
      </c>
      <c r="BC167" s="2086" t="s">
        <v>2820</v>
      </c>
      <c r="BD167" s="1811"/>
    </row>
    <row r="168" spans="8:8" ht="15.6" customHeight="1">
      <c r="B168" s="1942" t="s">
        <v>60</v>
      </c>
      <c r="C168" s="2054" t="s">
        <v>2437</v>
      </c>
      <c r="D168" s="1791" t="s">
        <v>88</v>
      </c>
      <c r="E168" s="1791" t="s">
        <v>88</v>
      </c>
      <c r="F168" s="1974" t="s">
        <v>2812</v>
      </c>
      <c r="G168" s="1791" t="s">
        <v>2802</v>
      </c>
      <c r="H168" s="1791" t="s">
        <v>2803</v>
      </c>
      <c r="I168" s="1791" t="s">
        <v>2813</v>
      </c>
      <c r="J168" s="1791" t="s">
        <v>2814</v>
      </c>
      <c r="K168" s="1811" t="s">
        <v>2815</v>
      </c>
      <c r="L168" s="1914"/>
      <c r="M168" s="2063">
        <v>55.0</v>
      </c>
      <c r="N168" s="2064" t="s">
        <v>2816</v>
      </c>
      <c r="O168" s="2064"/>
      <c r="P168" s="2064"/>
      <c r="Q168" s="2064"/>
      <c r="R168" s="2065"/>
      <c r="S168" s="2066">
        <v>55.0</v>
      </c>
      <c r="T168" s="2064" t="s">
        <v>2817</v>
      </c>
      <c r="U168" s="2064"/>
      <c r="V168" s="2064"/>
      <c r="W168" s="2064"/>
      <c r="X168" s="2065"/>
      <c r="AM168" s="2083" t="s">
        <v>1701</v>
      </c>
      <c r="AW168" s="1817"/>
      <c r="AX168" s="1791" t="s">
        <v>2830</v>
      </c>
      <c r="BA168" s="1968"/>
      <c r="BC168" s="2086" t="s">
        <v>2831</v>
      </c>
      <c r="BD168" s="2085"/>
    </row>
    <row r="169" spans="8:8" ht="15.6" customHeight="1">
      <c r="B169" s="1942" t="s">
        <v>64</v>
      </c>
      <c r="C169" s="2054" t="s">
        <v>2437</v>
      </c>
      <c r="D169" s="1791" t="s">
        <v>88</v>
      </c>
      <c r="E169" s="1791" t="s">
        <v>2821</v>
      </c>
      <c r="F169" s="1915" t="s">
        <v>2822</v>
      </c>
      <c r="G169" s="1915" t="s">
        <v>2823</v>
      </c>
      <c r="H169" s="1915" t="s">
        <v>2824</v>
      </c>
      <c r="I169" s="1915" t="s">
        <v>2825</v>
      </c>
      <c r="J169" s="1915" t="s">
        <v>2826</v>
      </c>
      <c r="K169" s="1816" t="s">
        <v>2827</v>
      </c>
      <c r="L169" s="1914"/>
      <c r="M169" s="2063">
        <v>56.0</v>
      </c>
      <c r="N169" s="2064" t="s">
        <v>2828</v>
      </c>
      <c r="O169" s="2064"/>
      <c r="P169" s="2064"/>
      <c r="Q169" s="2064"/>
      <c r="R169" s="2065"/>
      <c r="S169" s="2066">
        <v>56.0</v>
      </c>
      <c r="T169" s="2064" t="s">
        <v>2829</v>
      </c>
      <c r="U169" s="2064"/>
      <c r="V169" s="2064"/>
      <c r="W169" s="2064"/>
      <c r="X169" s="2065"/>
      <c r="AM169" s="2083" t="s">
        <v>1711</v>
      </c>
      <c r="AW169" s="1817"/>
      <c r="AX169" s="2087" t="s">
        <v>2840</v>
      </c>
      <c r="BA169" s="1968" t="s">
        <v>2841</v>
      </c>
      <c r="BC169" s="2086" t="s">
        <v>2842</v>
      </c>
      <c r="BD169" s="2085"/>
    </row>
    <row r="170" spans="8:8" ht="15.6" customHeight="1">
      <c r="B170" s="1942" t="s">
        <v>67</v>
      </c>
      <c r="C170" s="2054" t="s">
        <v>2109</v>
      </c>
      <c r="D170" s="1791" t="s">
        <v>88</v>
      </c>
      <c r="E170" s="1791" t="s">
        <v>88</v>
      </c>
      <c r="F170" s="1915" t="s">
        <v>2832</v>
      </c>
      <c r="G170" s="1915" t="s">
        <v>2833</v>
      </c>
      <c r="H170" s="1915" t="s">
        <v>2834</v>
      </c>
      <c r="I170" s="1915" t="s">
        <v>2835</v>
      </c>
      <c r="J170" s="2088" t="s">
        <v>2836</v>
      </c>
      <c r="K170" s="1816" t="s">
        <v>2837</v>
      </c>
      <c r="L170" s="1914"/>
      <c r="M170" s="2063">
        <v>57.0</v>
      </c>
      <c r="N170" s="2064" t="s">
        <v>2838</v>
      </c>
      <c r="O170" s="2064"/>
      <c r="P170" s="2064"/>
      <c r="Q170" s="2064"/>
      <c r="R170" s="2065"/>
      <c r="S170" s="2066">
        <v>57.0</v>
      </c>
      <c r="T170" s="2064" t="s">
        <v>2839</v>
      </c>
      <c r="U170" s="2064"/>
      <c r="V170" s="2064"/>
      <c r="W170" s="2064"/>
      <c r="X170" s="2065"/>
      <c r="AM170" s="2083" t="s">
        <v>1718</v>
      </c>
      <c r="AW170" s="1817"/>
      <c r="AX170" s="2087" t="s">
        <v>2850</v>
      </c>
      <c r="BA170" s="1968" t="s">
        <v>2851</v>
      </c>
      <c r="BC170" s="2086" t="s">
        <v>2852</v>
      </c>
      <c r="BD170" s="2085"/>
    </row>
    <row r="171" spans="8:8" ht="15.6" customHeight="1">
      <c r="B171" s="1942" t="s">
        <v>69</v>
      </c>
      <c r="C171" s="2054" t="s">
        <v>2530</v>
      </c>
      <c r="D171" s="1791" t="s">
        <v>88</v>
      </c>
      <c r="E171" s="1791" t="s">
        <v>88</v>
      </c>
      <c r="F171" s="1915" t="s">
        <v>2843</v>
      </c>
      <c r="G171" s="1915" t="s">
        <v>2844</v>
      </c>
      <c r="H171" s="1915" t="s">
        <v>2844</v>
      </c>
      <c r="I171" s="1915" t="s">
        <v>2845</v>
      </c>
      <c r="J171" s="2088" t="s">
        <v>2846</v>
      </c>
      <c r="K171" s="1816" t="s">
        <v>2847</v>
      </c>
      <c r="L171" s="1914"/>
      <c r="M171" s="2063">
        <v>58.0</v>
      </c>
      <c r="N171" s="2064" t="s">
        <v>2848</v>
      </c>
      <c r="O171" s="2064"/>
      <c r="P171" s="2064"/>
      <c r="Q171" s="2064"/>
      <c r="R171" s="2065"/>
      <c r="S171" s="2066">
        <v>58.0</v>
      </c>
      <c r="T171" s="2064" t="s">
        <v>2849</v>
      </c>
      <c r="U171" s="2064"/>
      <c r="V171" s="2064"/>
      <c r="W171" s="2064"/>
      <c r="X171" s="2065"/>
      <c r="AM171" s="2083" t="s">
        <v>1726</v>
      </c>
      <c r="AW171" s="1817"/>
      <c r="AX171" s="2089" t="s">
        <v>2861</v>
      </c>
      <c r="BA171" s="1968" t="s">
        <v>2862</v>
      </c>
      <c r="BC171" s="2086" t="s">
        <v>2863</v>
      </c>
      <c r="BD171" s="2085"/>
    </row>
    <row r="172" spans="8:8" ht="15.6" customHeight="1">
      <c r="B172" s="1942" t="s">
        <v>71</v>
      </c>
      <c r="C172" s="2054" t="s">
        <v>2109</v>
      </c>
      <c r="D172" s="1791" t="s">
        <v>88</v>
      </c>
      <c r="E172" s="1791" t="s">
        <v>88</v>
      </c>
      <c r="F172" s="1915" t="s">
        <v>2853</v>
      </c>
      <c r="G172" s="1915" t="s">
        <v>2854</v>
      </c>
      <c r="H172" s="1915" t="s">
        <v>2855</v>
      </c>
      <c r="I172" s="1915" t="s">
        <v>2856</v>
      </c>
      <c r="J172" s="2088" t="s">
        <v>2857</v>
      </c>
      <c r="K172" s="1816" t="s">
        <v>2858</v>
      </c>
      <c r="L172" s="1914"/>
      <c r="M172" s="2063">
        <v>59.0</v>
      </c>
      <c r="N172" s="2064" t="s">
        <v>2859</v>
      </c>
      <c r="O172" s="2064"/>
      <c r="P172" s="2064"/>
      <c r="Q172" s="2064"/>
      <c r="R172" s="2065"/>
      <c r="S172" s="2066">
        <v>59.0</v>
      </c>
      <c r="T172" s="2064" t="s">
        <v>2860</v>
      </c>
      <c r="U172" s="2064"/>
      <c r="V172" s="2064"/>
      <c r="W172" s="2064"/>
      <c r="X172" s="2065"/>
      <c r="AM172" s="2083" t="s">
        <v>1735</v>
      </c>
      <c r="AW172" s="1817"/>
      <c r="AX172" s="1791" t="s">
        <v>2872</v>
      </c>
      <c r="BA172" s="1968" t="s">
        <v>2873</v>
      </c>
      <c r="BC172" s="2086" t="s">
        <v>206</v>
      </c>
      <c r="BD172" s="2085"/>
    </row>
    <row r="173" spans="8:8" ht="15.6" customHeight="1">
      <c r="B173" s="1942" t="s">
        <v>73</v>
      </c>
      <c r="C173" s="2054" t="s">
        <v>2530</v>
      </c>
      <c r="D173" s="1791" t="s">
        <v>88</v>
      </c>
      <c r="E173" s="1791" t="s">
        <v>88</v>
      </c>
      <c r="F173" s="1915" t="s">
        <v>2864</v>
      </c>
      <c r="G173" s="1915" t="s">
        <v>2865</v>
      </c>
      <c r="H173" s="1915" t="s">
        <v>2866</v>
      </c>
      <c r="I173" s="1915" t="s">
        <v>2867</v>
      </c>
      <c r="J173" s="2088" t="s">
        <v>2868</v>
      </c>
      <c r="K173" s="1816" t="s">
        <v>2869</v>
      </c>
      <c r="L173" s="1914"/>
      <c r="M173" s="2063">
        <v>60.0</v>
      </c>
      <c r="N173" s="2064" t="s">
        <v>2870</v>
      </c>
      <c r="O173" s="2064"/>
      <c r="P173" s="2064"/>
      <c r="Q173" s="2064"/>
      <c r="R173" s="2065"/>
      <c r="S173" s="2066">
        <v>60.0</v>
      </c>
      <c r="T173" s="2064" t="s">
        <v>2871</v>
      </c>
      <c r="U173" s="2064"/>
      <c r="V173" s="2064"/>
      <c r="W173" s="2064"/>
      <c r="X173" s="2065"/>
      <c r="AM173" s="2083" t="s">
        <v>1744</v>
      </c>
      <c r="AW173" s="1817"/>
      <c r="AX173" s="1791" t="s">
        <v>2882</v>
      </c>
      <c r="BA173" s="1968"/>
      <c r="BC173" s="2086" t="s">
        <v>2883</v>
      </c>
      <c r="BD173" s="2085"/>
    </row>
    <row r="174" spans="8:8" ht="15.6" customHeight="1">
      <c r="B174" s="1942" t="s">
        <v>75</v>
      </c>
      <c r="C174" s="2054" t="s">
        <v>2530</v>
      </c>
      <c r="D174" s="1791" t="s">
        <v>88</v>
      </c>
      <c r="E174" s="1791" t="s">
        <v>88</v>
      </c>
      <c r="F174" s="2083" t="s">
        <v>2874</v>
      </c>
      <c r="G174" s="1915" t="s">
        <v>2875</v>
      </c>
      <c r="H174" s="1915" t="s">
        <v>2876</v>
      </c>
      <c r="I174" s="2088" t="s">
        <v>2877</v>
      </c>
      <c r="J174" s="2088" t="s">
        <v>2878</v>
      </c>
      <c r="K174" s="1816" t="s">
        <v>2879</v>
      </c>
      <c r="L174" s="1914"/>
      <c r="M174" s="2063">
        <v>61.0</v>
      </c>
      <c r="N174" s="2064" t="s">
        <v>2880</v>
      </c>
      <c r="O174" s="2064"/>
      <c r="P174" s="2064"/>
      <c r="Q174" s="2064"/>
      <c r="R174" s="2065"/>
      <c r="S174" s="2066">
        <v>61.0</v>
      </c>
      <c r="T174" s="2064" t="s">
        <v>2881</v>
      </c>
      <c r="U174" s="2064"/>
      <c r="V174" s="2064"/>
      <c r="W174" s="2064"/>
      <c r="X174" s="2065"/>
      <c r="AM174" s="1974" t="s">
        <v>1754</v>
      </c>
      <c r="AW174" s="1817"/>
      <c r="AX174" s="1791" t="s">
        <v>2892</v>
      </c>
      <c r="BA174" s="1968" t="s">
        <v>2893</v>
      </c>
      <c r="BC174" s="2086" t="s">
        <v>2894</v>
      </c>
      <c r="BD174" s="2085"/>
    </row>
    <row r="175" spans="8:8" ht="15.6" customHeight="1">
      <c r="B175" s="1942" t="s">
        <v>78</v>
      </c>
      <c r="C175" s="2054" t="s">
        <v>2094</v>
      </c>
      <c r="D175" s="1791" t="s">
        <v>88</v>
      </c>
      <c r="E175" s="1791" t="s">
        <v>88</v>
      </c>
      <c r="F175" s="1791" t="s">
        <v>2884</v>
      </c>
      <c r="G175" s="1791" t="s">
        <v>2885</v>
      </c>
      <c r="H175" s="1791" t="s">
        <v>2886</v>
      </c>
      <c r="I175" s="2090" t="s">
        <v>2887</v>
      </c>
      <c r="J175" s="1791" t="s">
        <v>2888</v>
      </c>
      <c r="K175" s="1811" t="s">
        <v>2889</v>
      </c>
      <c r="L175" s="1914"/>
      <c r="M175" s="2063">
        <v>62.0</v>
      </c>
      <c r="N175" s="2064" t="s">
        <v>2890</v>
      </c>
      <c r="O175" s="2064"/>
      <c r="P175" s="2064"/>
      <c r="Q175" s="2064"/>
      <c r="R175" s="2065"/>
      <c r="S175" s="2066">
        <v>62.0</v>
      </c>
      <c r="T175" s="2064" t="s">
        <v>2891</v>
      </c>
      <c r="U175" s="2064"/>
      <c r="V175" s="2064"/>
      <c r="W175" s="2064"/>
      <c r="X175" s="2065"/>
      <c r="AM175" s="1974" t="s">
        <v>1767</v>
      </c>
      <c r="AW175" s="1817"/>
      <c r="AX175" s="1791" t="s">
        <v>2903</v>
      </c>
      <c r="BA175" s="1968" t="s">
        <v>2904</v>
      </c>
      <c r="BC175" s="2086" t="s">
        <v>2905</v>
      </c>
      <c r="BD175" s="2085"/>
    </row>
    <row r="176" spans="8:8" ht="15.6" customHeight="1">
      <c r="B176" s="1942" t="s">
        <v>83</v>
      </c>
      <c r="C176" s="2054" t="s">
        <v>2109</v>
      </c>
      <c r="D176" s="1791" t="s">
        <v>88</v>
      </c>
      <c r="E176" s="1791" t="s">
        <v>88</v>
      </c>
      <c r="F176" s="1791" t="s">
        <v>2895</v>
      </c>
      <c r="G176" s="1791" t="s">
        <v>2896</v>
      </c>
      <c r="H176" s="2090" t="s">
        <v>2897</v>
      </c>
      <c r="I176" s="2090" t="s">
        <v>2898</v>
      </c>
      <c r="J176" s="1791" t="s">
        <v>2899</v>
      </c>
      <c r="K176" s="1811" t="s">
        <v>2900</v>
      </c>
      <c r="L176" s="1914"/>
      <c r="M176" s="2063">
        <v>63.0</v>
      </c>
      <c r="N176" s="2064" t="s">
        <v>2901</v>
      </c>
      <c r="O176" s="2064"/>
      <c r="P176" s="2064"/>
      <c r="Q176" s="2064"/>
      <c r="R176" s="2065"/>
      <c r="S176" s="2066">
        <v>63.0</v>
      </c>
      <c r="T176" s="2064" t="s">
        <v>2902</v>
      </c>
      <c r="U176" s="2064"/>
      <c r="V176" s="2064"/>
      <c r="W176" s="2064"/>
      <c r="X176" s="2065"/>
      <c r="AM176" s="2083" t="s">
        <v>1776</v>
      </c>
      <c r="AW176" s="1817"/>
      <c r="AX176" s="1791" t="s">
        <v>2912</v>
      </c>
      <c r="BA176" s="1968" t="s">
        <v>2913</v>
      </c>
      <c r="BC176" s="2086" t="s">
        <v>2914</v>
      </c>
      <c r="BD176" s="2085"/>
    </row>
    <row r="177" spans="8:8" ht="15.6" customHeight="1">
      <c r="B177" s="1942" t="s">
        <v>91</v>
      </c>
      <c r="C177" s="2054" t="s">
        <v>2530</v>
      </c>
      <c r="D177" s="1791" t="s">
        <v>2425</v>
      </c>
      <c r="E177" s="1791" t="s">
        <v>2426</v>
      </c>
      <c r="F177" s="1791" t="s">
        <v>2906</v>
      </c>
      <c r="G177" s="1791" t="s">
        <v>2428</v>
      </c>
      <c r="H177" s="1791" t="s">
        <v>2429</v>
      </c>
      <c r="I177" s="1974" t="s">
        <v>2907</v>
      </c>
      <c r="J177" s="1791" t="s">
        <v>2908</v>
      </c>
      <c r="K177" s="1811" t="s">
        <v>2909</v>
      </c>
      <c r="L177" s="1914"/>
      <c r="M177" s="2063">
        <v>64.0</v>
      </c>
      <c r="N177" s="2064" t="s">
        <v>2910</v>
      </c>
      <c r="O177" s="2064"/>
      <c r="P177" s="2064"/>
      <c r="Q177" s="2064"/>
      <c r="R177" s="2065"/>
      <c r="S177" s="2066">
        <v>64.0</v>
      </c>
      <c r="T177" s="2064" t="s">
        <v>2911</v>
      </c>
      <c r="U177" s="2064"/>
      <c r="V177" s="2064"/>
      <c r="W177" s="2064"/>
      <c r="X177" s="2065"/>
      <c r="AM177" s="2083" t="s">
        <v>1782</v>
      </c>
      <c r="AW177" s="1817"/>
      <c r="AX177" s="2087" t="s">
        <v>2918</v>
      </c>
      <c r="BA177" s="1968" t="s">
        <v>2919</v>
      </c>
      <c r="BC177" s="2086" t="s">
        <v>2920</v>
      </c>
      <c r="BD177" s="2085"/>
    </row>
    <row r="178" spans="8:8" ht="15.6" customHeight="1">
      <c r="B178" s="1942" t="s">
        <v>343</v>
      </c>
      <c r="C178" s="2054" t="s">
        <v>2109</v>
      </c>
      <c r="D178" s="1791" t="s">
        <v>2157</v>
      </c>
      <c r="E178" s="1791" t="s">
        <v>88</v>
      </c>
      <c r="F178" s="1791" t="s">
        <v>2915</v>
      </c>
      <c r="G178" s="1791" t="s">
        <v>88</v>
      </c>
      <c r="H178" s="1791" t="s">
        <v>88</v>
      </c>
      <c r="I178" s="1791" t="s">
        <v>88</v>
      </c>
      <c r="J178" s="1791" t="s">
        <v>88</v>
      </c>
      <c r="K178" s="1811" t="s">
        <v>88</v>
      </c>
      <c r="L178" s="1914"/>
      <c r="M178" s="2063">
        <v>65.0</v>
      </c>
      <c r="N178" s="2064" t="s">
        <v>2916</v>
      </c>
      <c r="O178" s="2064"/>
      <c r="P178" s="2064"/>
      <c r="Q178" s="2064"/>
      <c r="R178" s="2065"/>
      <c r="S178" s="2066">
        <v>65.0</v>
      </c>
      <c r="T178" s="2064" t="s">
        <v>2917</v>
      </c>
      <c r="U178" s="2064"/>
      <c r="V178" s="2064"/>
      <c r="W178" s="2064"/>
      <c r="X178" s="2065"/>
      <c r="AM178" s="2083" t="s">
        <v>1787</v>
      </c>
      <c r="AW178" s="1817"/>
      <c r="AX178" s="2087" t="s">
        <v>2929</v>
      </c>
      <c r="BA178" s="1968" t="s">
        <v>2930</v>
      </c>
      <c r="BC178" s="2086" t="s">
        <v>2931</v>
      </c>
      <c r="BD178" s="2085"/>
    </row>
    <row r="179" spans="8:8" ht="15.6" customHeight="1">
      <c r="B179" s="1942" t="s">
        <v>100</v>
      </c>
      <c r="C179" s="2054" t="s">
        <v>2109</v>
      </c>
      <c r="D179" s="1791" t="s">
        <v>88</v>
      </c>
      <c r="E179" s="1791" t="s">
        <v>88</v>
      </c>
      <c r="F179" s="1791" t="s">
        <v>2921</v>
      </c>
      <c r="G179" s="1791" t="s">
        <v>2922</v>
      </c>
      <c r="H179" s="1791" t="s">
        <v>2923</v>
      </c>
      <c r="I179" s="1791" t="s">
        <v>2924</v>
      </c>
      <c r="J179" s="1791" t="s">
        <v>2925</v>
      </c>
      <c r="K179" s="1811" t="s">
        <v>2926</v>
      </c>
      <c r="L179" s="1914"/>
      <c r="M179" s="2063">
        <v>66.0</v>
      </c>
      <c r="N179" s="2064" t="s">
        <v>2927</v>
      </c>
      <c r="O179" s="2064"/>
      <c r="P179" s="2064"/>
      <c r="Q179" s="2064"/>
      <c r="R179" s="2065"/>
      <c r="S179" s="2066">
        <v>66.0</v>
      </c>
      <c r="T179" s="2064" t="s">
        <v>2928</v>
      </c>
      <c r="U179" s="2064"/>
      <c r="V179" s="2064"/>
      <c r="W179" s="2064"/>
      <c r="X179" s="2065"/>
      <c r="AM179" s="2083" t="s">
        <v>1794</v>
      </c>
      <c r="AW179" s="1817"/>
      <c r="AX179" s="2087" t="s">
        <v>2939</v>
      </c>
      <c r="BA179" s="1968" t="s">
        <v>2940</v>
      </c>
      <c r="BC179" s="2086" t="s">
        <v>2941</v>
      </c>
      <c r="BD179" s="1811"/>
    </row>
    <row r="180" spans="8:8" ht="15.6" customHeight="1">
      <c r="B180" s="1942" t="s">
        <v>102</v>
      </c>
      <c r="C180" s="2054" t="s">
        <v>2530</v>
      </c>
      <c r="D180" s="1791" t="s">
        <v>2425</v>
      </c>
      <c r="E180" s="1974" t="s">
        <v>2932</v>
      </c>
      <c r="F180" s="1791" t="s">
        <v>2933</v>
      </c>
      <c r="G180" s="1791" t="s">
        <v>2428</v>
      </c>
      <c r="H180" s="1791" t="s">
        <v>2429</v>
      </c>
      <c r="I180" s="1791" t="s">
        <v>2934</v>
      </c>
      <c r="J180" s="1791" t="s">
        <v>2935</v>
      </c>
      <c r="K180" s="1811" t="s">
        <v>2936</v>
      </c>
      <c r="L180" s="1914"/>
      <c r="M180" s="2063">
        <v>67.0</v>
      </c>
      <c r="N180" s="2064" t="s">
        <v>2937</v>
      </c>
      <c r="O180" s="2064"/>
      <c r="P180" s="2064"/>
      <c r="Q180" s="2064"/>
      <c r="R180" s="2065"/>
      <c r="S180" s="2066">
        <v>67.0</v>
      </c>
      <c r="T180" s="2064" t="s">
        <v>2938</v>
      </c>
      <c r="U180" s="2064"/>
      <c r="V180" s="2064"/>
      <c r="W180" s="2064"/>
      <c r="X180" s="2065"/>
      <c r="AM180" s="2083" t="s">
        <v>1803</v>
      </c>
      <c r="AW180" s="1817"/>
      <c r="AX180" s="2087" t="s">
        <v>2951</v>
      </c>
      <c r="BA180" s="1968" t="s">
        <v>2952</v>
      </c>
      <c r="BC180" s="2086" t="s">
        <v>2953</v>
      </c>
      <c r="BD180" s="2085"/>
    </row>
    <row r="181" spans="8:8" ht="15.6" customHeight="1">
      <c r="B181" s="1942" t="s">
        <v>106</v>
      </c>
      <c r="C181" s="2054" t="s">
        <v>2094</v>
      </c>
      <c r="D181" s="1791" t="s">
        <v>88</v>
      </c>
      <c r="E181" s="1791" t="s">
        <v>2942</v>
      </c>
      <c r="F181" s="1791" t="s">
        <v>2943</v>
      </c>
      <c r="G181" s="1791" t="s">
        <v>2944</v>
      </c>
      <c r="H181" s="1791" t="s">
        <v>2945</v>
      </c>
      <c r="I181" s="1791" t="s">
        <v>2946</v>
      </c>
      <c r="J181" s="1791" t="s">
        <v>2947</v>
      </c>
      <c r="K181" s="1811" t="s">
        <v>2948</v>
      </c>
      <c r="L181" s="1914"/>
      <c r="M181" s="2063">
        <v>68.0</v>
      </c>
      <c r="N181" s="2064" t="s">
        <v>2949</v>
      </c>
      <c r="O181" s="2064"/>
      <c r="P181" s="2064"/>
      <c r="Q181" s="2064"/>
      <c r="R181" s="2065"/>
      <c r="S181" s="2066">
        <v>68.0</v>
      </c>
      <c r="T181" s="2064" t="s">
        <v>2950</v>
      </c>
      <c r="U181" s="2064"/>
      <c r="V181" s="2064"/>
      <c r="W181" s="2064"/>
      <c r="X181" s="2065"/>
      <c r="AM181" s="2083" t="s">
        <v>1809</v>
      </c>
      <c r="AW181" s="1817"/>
      <c r="AX181" s="2087" t="s">
        <v>2956</v>
      </c>
      <c r="BA181" s="1968"/>
      <c r="BC181" s="2086" t="s">
        <v>2957</v>
      </c>
      <c r="BD181" s="2085"/>
    </row>
    <row r="182" spans="8:8" ht="15.6" customHeight="1">
      <c r="B182" s="1817" t="s">
        <v>2148</v>
      </c>
      <c r="C182" s="2054" t="s">
        <v>206</v>
      </c>
      <c r="D182" s="1791" t="s">
        <v>206</v>
      </c>
      <c r="E182" s="1791" t="s">
        <v>206</v>
      </c>
      <c r="F182" s="1791" t="s">
        <v>206</v>
      </c>
      <c r="G182" s="1791" t="s">
        <v>206</v>
      </c>
      <c r="H182" s="1791" t="s">
        <v>206</v>
      </c>
      <c r="I182" s="1791" t="s">
        <v>206</v>
      </c>
      <c r="J182" s="1791" t="s">
        <v>206</v>
      </c>
      <c r="K182" s="1811" t="s">
        <v>206</v>
      </c>
      <c r="L182" s="1914"/>
      <c r="M182" s="2063">
        <v>69.0</v>
      </c>
      <c r="N182" s="2064" t="s">
        <v>2954</v>
      </c>
      <c r="O182" s="2064"/>
      <c r="P182" s="2064"/>
      <c r="Q182" s="2064"/>
      <c r="R182" s="2065"/>
      <c r="S182" s="2066">
        <v>69.0</v>
      </c>
      <c r="T182" s="2064" t="s">
        <v>2955</v>
      </c>
      <c r="U182" s="2064"/>
      <c r="V182" s="2064"/>
      <c r="W182" s="2064"/>
      <c r="X182" s="2065"/>
      <c r="AM182" s="2083" t="s">
        <v>1817</v>
      </c>
      <c r="AW182" s="1817"/>
      <c r="AX182" s="2087" t="s">
        <v>2967</v>
      </c>
      <c r="BA182" s="1968" t="s">
        <v>2968</v>
      </c>
      <c r="BC182" s="2086" t="s">
        <v>2969</v>
      </c>
      <c r="BD182" s="2085"/>
    </row>
    <row r="183" spans="8:8" ht="15.6" customHeight="1">
      <c r="B183" s="1952" t="s">
        <v>2958</v>
      </c>
      <c r="C183" s="2054" t="s">
        <v>2109</v>
      </c>
      <c r="D183" s="1791" t="s">
        <v>2157</v>
      </c>
      <c r="E183" s="1791" t="s">
        <v>88</v>
      </c>
      <c r="F183" s="1791" t="s">
        <v>2959</v>
      </c>
      <c r="G183" s="1791" t="s">
        <v>2960</v>
      </c>
      <c r="H183" s="1791" t="s">
        <v>2961</v>
      </c>
      <c r="I183" s="1791" t="s">
        <v>2962</v>
      </c>
      <c r="J183" s="1791" t="s">
        <v>2963</v>
      </c>
      <c r="K183" s="1811" t="s">
        <v>2964</v>
      </c>
      <c r="L183" s="1914"/>
      <c r="M183" s="2063">
        <v>70.0</v>
      </c>
      <c r="N183" s="2064" t="s">
        <v>2965</v>
      </c>
      <c r="O183" s="2064"/>
      <c r="P183" s="2064"/>
      <c r="Q183" s="2064"/>
      <c r="R183" s="2065"/>
      <c r="S183" s="2066">
        <v>70.0</v>
      </c>
      <c r="T183" s="2064" t="s">
        <v>2966</v>
      </c>
      <c r="U183" s="2064"/>
      <c r="V183" s="2064"/>
      <c r="W183" s="2064"/>
      <c r="X183" s="2065"/>
      <c r="AM183" s="2083" t="s">
        <v>1828</v>
      </c>
      <c r="AW183" s="1817"/>
      <c r="AX183" s="2087" t="s">
        <v>2975</v>
      </c>
      <c r="BA183" s="1968" t="s">
        <v>2976</v>
      </c>
      <c r="BC183" s="2086" t="s">
        <v>2977</v>
      </c>
      <c r="BD183" s="2085"/>
    </row>
    <row r="184" spans="8:8" ht="15.6" customHeight="1">
      <c r="B184" s="1817" t="s">
        <v>2970</v>
      </c>
      <c r="C184" s="2054" t="s">
        <v>2109</v>
      </c>
      <c r="D184" s="1791" t="s">
        <v>2971</v>
      </c>
      <c r="E184" s="1791" t="s">
        <v>88</v>
      </c>
      <c r="F184" s="1791" t="s">
        <v>2972</v>
      </c>
      <c r="G184" s="1791" t="s">
        <v>2960</v>
      </c>
      <c r="H184" s="1791" t="s">
        <v>2961</v>
      </c>
      <c r="I184" s="1791" t="s">
        <v>2962</v>
      </c>
      <c r="J184" s="1791" t="s">
        <v>2963</v>
      </c>
      <c r="K184" s="1811" t="s">
        <v>2964</v>
      </c>
      <c r="L184" s="1914"/>
      <c r="M184" s="2063">
        <v>71.0</v>
      </c>
      <c r="N184" s="2064" t="s">
        <v>2973</v>
      </c>
      <c r="O184" s="2064"/>
      <c r="P184" s="2064"/>
      <c r="Q184" s="2064"/>
      <c r="R184" s="2065"/>
      <c r="S184" s="2066">
        <v>71.0</v>
      </c>
      <c r="T184" s="2064" t="s">
        <v>2974</v>
      </c>
      <c r="U184" s="2064"/>
      <c r="V184" s="2064"/>
      <c r="W184" s="2064"/>
      <c r="X184" s="2065"/>
      <c r="AM184" s="1974" t="s">
        <v>1836</v>
      </c>
      <c r="AW184" s="1817"/>
      <c r="AX184" s="2087" t="s">
        <v>2981</v>
      </c>
      <c r="BA184" s="1968" t="s">
        <v>2982</v>
      </c>
      <c r="BC184" s="2086" t="s">
        <v>2983</v>
      </c>
      <c r="BD184" s="2085"/>
    </row>
    <row r="185" spans="8:8" ht="15.6" customHeight="1">
      <c r="B185" s="1817" t="s">
        <v>1378</v>
      </c>
      <c r="C185" s="2054" t="s">
        <v>2109</v>
      </c>
      <c r="D185" s="1791" t="s">
        <v>2971</v>
      </c>
      <c r="E185" s="1791" t="s">
        <v>88</v>
      </c>
      <c r="F185" s="1791" t="s">
        <v>2978</v>
      </c>
      <c r="G185" s="1791" t="s">
        <v>2960</v>
      </c>
      <c r="H185" s="1791" t="s">
        <v>2961</v>
      </c>
      <c r="I185" s="1791" t="s">
        <v>2962</v>
      </c>
      <c r="J185" s="1791" t="s">
        <v>2963</v>
      </c>
      <c r="K185" s="1811" t="s">
        <v>2964</v>
      </c>
      <c r="L185" s="1914"/>
      <c r="M185" s="2063">
        <v>72.0</v>
      </c>
      <c r="N185" s="2064" t="s">
        <v>2979</v>
      </c>
      <c r="O185" s="2064"/>
      <c r="P185" s="2064"/>
      <c r="Q185" s="2064"/>
      <c r="R185" s="2065"/>
      <c r="S185" s="2066">
        <v>72.0</v>
      </c>
      <c r="T185" s="2064" t="s">
        <v>2980</v>
      </c>
      <c r="U185" s="2064"/>
      <c r="V185" s="2064"/>
      <c r="W185" s="2064"/>
      <c r="X185" s="2065"/>
      <c r="AM185" s="1974" t="s">
        <v>1843</v>
      </c>
      <c r="AW185" s="1817"/>
      <c r="AX185" s="2087" t="s">
        <v>2988</v>
      </c>
      <c r="BA185" s="1968" t="s">
        <v>2989</v>
      </c>
      <c r="BC185" s="2086" t="s">
        <v>2990</v>
      </c>
      <c r="BD185" s="2085"/>
    </row>
    <row r="186" spans="8:8" ht="15.6" customHeight="1">
      <c r="B186" s="1817" t="s">
        <v>2984</v>
      </c>
      <c r="C186" s="2054" t="s">
        <v>2109</v>
      </c>
      <c r="D186" s="1791" t="s">
        <v>2971</v>
      </c>
      <c r="E186" s="1791" t="s">
        <v>88</v>
      </c>
      <c r="F186" s="1791" t="s">
        <v>2985</v>
      </c>
      <c r="G186" s="1791" t="s">
        <v>2960</v>
      </c>
      <c r="H186" s="1791" t="s">
        <v>2961</v>
      </c>
      <c r="I186" s="1791" t="s">
        <v>2962</v>
      </c>
      <c r="J186" s="1791" t="s">
        <v>2963</v>
      </c>
      <c r="K186" s="1811" t="s">
        <v>2964</v>
      </c>
      <c r="L186" s="1914"/>
      <c r="M186" s="2063">
        <v>73.0</v>
      </c>
      <c r="N186" s="2064" t="s">
        <v>2986</v>
      </c>
      <c r="O186" s="2064"/>
      <c r="P186" s="2064"/>
      <c r="Q186" s="2064"/>
      <c r="R186" s="2065"/>
      <c r="S186" s="2066">
        <v>73.0</v>
      </c>
      <c r="T186" s="2064" t="s">
        <v>2987</v>
      </c>
      <c r="U186" s="2064"/>
      <c r="V186" s="2064"/>
      <c r="W186" s="2064"/>
      <c r="X186" s="2065"/>
      <c r="AM186" s="2083" t="s">
        <v>1850</v>
      </c>
      <c r="AW186" s="1817"/>
      <c r="AX186" s="2087" t="s">
        <v>2994</v>
      </c>
      <c r="BA186" s="1968"/>
      <c r="BC186" s="2086" t="s">
        <v>206</v>
      </c>
      <c r="BD186" s="2085"/>
    </row>
    <row r="187" spans="8:8" ht="15.6" customHeight="1">
      <c r="B187" s="1817" t="s">
        <v>1376</v>
      </c>
      <c r="C187" s="2054" t="s">
        <v>2530</v>
      </c>
      <c r="D187" s="1791" t="s">
        <v>2971</v>
      </c>
      <c r="E187" s="1791" t="s">
        <v>88</v>
      </c>
      <c r="F187" s="1791" t="s">
        <v>2991</v>
      </c>
      <c r="G187" s="1791" t="s">
        <v>2960</v>
      </c>
      <c r="H187" s="1791" t="s">
        <v>2961</v>
      </c>
      <c r="I187" s="1791" t="s">
        <v>2962</v>
      </c>
      <c r="J187" s="1791" t="s">
        <v>2963</v>
      </c>
      <c r="K187" s="1811" t="s">
        <v>2964</v>
      </c>
      <c r="L187" s="1914"/>
      <c r="M187" s="2063">
        <v>74.0</v>
      </c>
      <c r="N187" s="2064" t="s">
        <v>2992</v>
      </c>
      <c r="O187" s="2064"/>
      <c r="P187" s="2064"/>
      <c r="Q187" s="2064"/>
      <c r="R187" s="2065"/>
      <c r="S187" s="2066">
        <v>74.0</v>
      </c>
      <c r="T187" s="2064" t="s">
        <v>2993</v>
      </c>
      <c r="U187" s="2064"/>
      <c r="V187" s="2064"/>
      <c r="W187" s="2064"/>
      <c r="X187" s="2065"/>
      <c r="AM187" s="2083" t="s">
        <v>1858</v>
      </c>
      <c r="AW187" s="1841"/>
      <c r="AX187" s="2087" t="s">
        <v>2998</v>
      </c>
      <c r="AY187" s="1842"/>
      <c r="AZ187" s="1842"/>
      <c r="BA187" s="1968" t="s">
        <v>2999</v>
      </c>
      <c r="BB187" s="1842"/>
      <c r="BC187" s="2086" t="s">
        <v>3000</v>
      </c>
      <c r="BD187" s="2091"/>
    </row>
    <row r="188" spans="8:8" ht="15.6" customHeight="1">
      <c r="B188" s="1817" t="s">
        <v>1381</v>
      </c>
      <c r="C188" s="2054" t="s">
        <v>2109</v>
      </c>
      <c r="D188" s="1791" t="s">
        <v>2971</v>
      </c>
      <c r="E188" s="1791" t="s">
        <v>88</v>
      </c>
      <c r="F188" s="1791" t="s">
        <v>2995</v>
      </c>
      <c r="G188" s="1791" t="s">
        <v>2960</v>
      </c>
      <c r="H188" s="1791" t="s">
        <v>2961</v>
      </c>
      <c r="I188" s="1791" t="s">
        <v>2962</v>
      </c>
      <c r="J188" s="1791" t="s">
        <v>2963</v>
      </c>
      <c r="K188" s="1811" t="s">
        <v>2964</v>
      </c>
      <c r="L188" s="1914"/>
      <c r="M188" s="2063">
        <v>75.0</v>
      </c>
      <c r="N188" s="2064" t="s">
        <v>2996</v>
      </c>
      <c r="O188" s="2064"/>
      <c r="P188" s="2064"/>
      <c r="Q188" s="2064"/>
      <c r="R188" s="2065"/>
      <c r="S188" s="2066">
        <v>75.0</v>
      </c>
      <c r="T188" s="2064" t="s">
        <v>2997</v>
      </c>
      <c r="U188" s="2064"/>
      <c r="V188" s="2064"/>
      <c r="W188" s="2064"/>
      <c r="X188" s="2065"/>
      <c r="AM188" s="2083" t="s">
        <v>1866</v>
      </c>
      <c r="AX188" s="1791" t="s">
        <v>294</v>
      </c>
      <c r="BA188" s="1968" t="s">
        <v>3005</v>
      </c>
      <c r="BC188" s="2086" t="s">
        <v>3006</v>
      </c>
      <c r="BD188" s="2083"/>
    </row>
    <row r="189" spans="8:8" ht="15.6" customHeight="1">
      <c r="B189" s="1817" t="s">
        <v>3001</v>
      </c>
      <c r="C189" s="2054" t="s">
        <v>2109</v>
      </c>
      <c r="D189" s="1791" t="s">
        <v>2971</v>
      </c>
      <c r="E189" s="1791" t="s">
        <v>88</v>
      </c>
      <c r="F189" s="1791" t="s">
        <v>3002</v>
      </c>
      <c r="G189" s="1791" t="s">
        <v>2960</v>
      </c>
      <c r="H189" s="1791" t="s">
        <v>2961</v>
      </c>
      <c r="I189" s="1791" t="s">
        <v>2962</v>
      </c>
      <c r="J189" s="1791" t="s">
        <v>2963</v>
      </c>
      <c r="K189" s="1811" t="s">
        <v>2964</v>
      </c>
      <c r="L189" s="1914"/>
      <c r="M189" s="2063">
        <v>76.0</v>
      </c>
      <c r="N189" s="2064" t="s">
        <v>3003</v>
      </c>
      <c r="O189" s="2064"/>
      <c r="P189" s="2064"/>
      <c r="Q189" s="2064"/>
      <c r="R189" s="2065"/>
      <c r="S189" s="2066">
        <v>76.0</v>
      </c>
      <c r="T189" s="2064" t="s">
        <v>3004</v>
      </c>
      <c r="U189" s="2064"/>
      <c r="V189" s="2064"/>
      <c r="W189" s="2064"/>
      <c r="X189" s="2065"/>
      <c r="AM189" s="2083" t="s">
        <v>1875</v>
      </c>
      <c r="BA189" s="1968" t="s">
        <v>3010</v>
      </c>
      <c r="BC189" s="2086" t="s">
        <v>3011</v>
      </c>
      <c r="BD189" s="2083"/>
    </row>
    <row r="190" spans="8:8" ht="15.6" customHeight="1">
      <c r="B190" s="1817" t="s">
        <v>1383</v>
      </c>
      <c r="C190" s="2054" t="s">
        <v>2109</v>
      </c>
      <c r="D190" s="1791" t="s">
        <v>2971</v>
      </c>
      <c r="E190" s="1791" t="s">
        <v>88</v>
      </c>
      <c r="F190" s="1791" t="s">
        <v>3007</v>
      </c>
      <c r="G190" s="1791" t="s">
        <v>2960</v>
      </c>
      <c r="H190" s="1791" t="s">
        <v>2961</v>
      </c>
      <c r="I190" s="1791" t="s">
        <v>2962</v>
      </c>
      <c r="J190" s="1791" t="s">
        <v>2963</v>
      </c>
      <c r="K190" s="1811" t="s">
        <v>2964</v>
      </c>
      <c r="L190" s="1914"/>
      <c r="M190" s="2063">
        <v>77.0</v>
      </c>
      <c r="N190" s="2064" t="s">
        <v>3008</v>
      </c>
      <c r="O190" s="2064"/>
      <c r="P190" s="2064"/>
      <c r="Q190" s="2064"/>
      <c r="R190" s="2065"/>
      <c r="S190" s="2066">
        <v>77.0</v>
      </c>
      <c r="T190" s="2064" t="s">
        <v>3009</v>
      </c>
      <c r="U190" s="2064"/>
      <c r="V190" s="2064"/>
      <c r="W190" s="2064"/>
      <c r="X190" s="2065"/>
      <c r="AM190" s="2083" t="s">
        <v>1884</v>
      </c>
      <c r="BA190" s="1968" t="s">
        <v>3016</v>
      </c>
      <c r="BC190" s="2086" t="s">
        <v>3017</v>
      </c>
      <c r="BD190" s="2083"/>
    </row>
    <row r="191" spans="8:8" ht="15.6" customHeight="1">
      <c r="B191" s="1817" t="s">
        <v>3012</v>
      </c>
      <c r="C191" s="2054" t="s">
        <v>2109</v>
      </c>
      <c r="D191" s="1791" t="s">
        <v>2971</v>
      </c>
      <c r="E191" s="1791" t="s">
        <v>88</v>
      </c>
      <c r="F191" s="1791" t="s">
        <v>3013</v>
      </c>
      <c r="G191" s="1791" t="s">
        <v>2960</v>
      </c>
      <c r="H191" s="1791" t="s">
        <v>2961</v>
      </c>
      <c r="I191" s="1791" t="s">
        <v>2962</v>
      </c>
      <c r="J191" s="1791" t="s">
        <v>2963</v>
      </c>
      <c r="K191" s="1811" t="s">
        <v>2964</v>
      </c>
      <c r="L191" s="1914"/>
      <c r="M191" s="2063">
        <v>78.0</v>
      </c>
      <c r="N191" s="2064" t="s">
        <v>3014</v>
      </c>
      <c r="O191" s="2064"/>
      <c r="P191" s="2064"/>
      <c r="Q191" s="2064"/>
      <c r="R191" s="2065"/>
      <c r="S191" s="2066">
        <v>78.0</v>
      </c>
      <c r="T191" s="2064" t="s">
        <v>3015</v>
      </c>
      <c r="U191" s="2064"/>
      <c r="V191" s="2064"/>
      <c r="W191" s="2064"/>
      <c r="X191" s="2065"/>
      <c r="AM191" s="2083" t="s">
        <v>1893</v>
      </c>
      <c r="BA191" s="1968" t="s">
        <v>3022</v>
      </c>
      <c r="BC191" s="2086" t="s">
        <v>3023</v>
      </c>
    </row>
    <row r="192" spans="8:8" ht="15.6" customHeight="1">
      <c r="B192" s="1817" t="s">
        <v>3018</v>
      </c>
      <c r="C192" s="2054" t="s">
        <v>2109</v>
      </c>
      <c r="D192" s="1791" t="s">
        <v>2971</v>
      </c>
      <c r="E192" s="1791" t="s">
        <v>88</v>
      </c>
      <c r="F192" s="1791" t="s">
        <v>3019</v>
      </c>
      <c r="G192" s="1791" t="s">
        <v>2960</v>
      </c>
      <c r="H192" s="1791" t="s">
        <v>2961</v>
      </c>
      <c r="I192" s="1791" t="s">
        <v>2962</v>
      </c>
      <c r="J192" s="1791" t="s">
        <v>2963</v>
      </c>
      <c r="K192" s="1811" t="s">
        <v>2964</v>
      </c>
      <c r="L192" s="1914"/>
      <c r="M192" s="2063">
        <v>79.0</v>
      </c>
      <c r="N192" s="2064" t="s">
        <v>3020</v>
      </c>
      <c r="O192" s="2064"/>
      <c r="P192" s="2064"/>
      <c r="Q192" s="2064"/>
      <c r="R192" s="2065"/>
      <c r="S192" s="2066">
        <v>79.0</v>
      </c>
      <c r="T192" s="2064" t="s">
        <v>3021</v>
      </c>
      <c r="U192" s="2064"/>
      <c r="V192" s="2064"/>
      <c r="W192" s="2064"/>
      <c r="X192" s="2065"/>
      <c r="AM192" s="2083" t="s">
        <v>1901</v>
      </c>
      <c r="BA192" s="1968" t="s">
        <v>3028</v>
      </c>
      <c r="BC192" s="2086" t="s">
        <v>3029</v>
      </c>
      <c r="BD192" s="2083"/>
    </row>
    <row r="193" spans="8:8" ht="15.6" customHeight="1">
      <c r="B193" s="1817" t="s">
        <v>3024</v>
      </c>
      <c r="C193" s="2054" t="s">
        <v>2109</v>
      </c>
      <c r="D193" s="1791" t="s">
        <v>2971</v>
      </c>
      <c r="E193" s="1791" t="s">
        <v>88</v>
      </c>
      <c r="F193" s="1791" t="s">
        <v>3025</v>
      </c>
      <c r="G193" s="1791" t="s">
        <v>2960</v>
      </c>
      <c r="H193" s="1791" t="s">
        <v>2961</v>
      </c>
      <c r="I193" s="1791" t="s">
        <v>2962</v>
      </c>
      <c r="J193" s="1791" t="s">
        <v>2963</v>
      </c>
      <c r="K193" s="1811" t="s">
        <v>2964</v>
      </c>
      <c r="L193" s="1914"/>
      <c r="M193" s="2063">
        <v>80.0</v>
      </c>
      <c r="N193" s="2064" t="s">
        <v>3026</v>
      </c>
      <c r="O193" s="2064"/>
      <c r="P193" s="2064"/>
      <c r="Q193" s="2064"/>
      <c r="R193" s="2065"/>
      <c r="S193" s="2066">
        <v>80.0</v>
      </c>
      <c r="T193" s="2064" t="s">
        <v>3027</v>
      </c>
      <c r="U193" s="2064"/>
      <c r="V193" s="2064"/>
      <c r="W193" s="2064"/>
      <c r="X193" s="2065"/>
      <c r="AM193" s="2083" t="s">
        <v>1909</v>
      </c>
      <c r="BA193" s="1968"/>
      <c r="BC193" s="2086" t="s">
        <v>3034</v>
      </c>
      <c r="BD193" s="2083"/>
    </row>
    <row r="194" spans="8:8" ht="15.6" customHeight="1">
      <c r="B194" s="1817" t="s">
        <v>3030</v>
      </c>
      <c r="C194" s="2054" t="s">
        <v>2109</v>
      </c>
      <c r="D194" s="1791" t="s">
        <v>2971</v>
      </c>
      <c r="E194" s="1791" t="s">
        <v>88</v>
      </c>
      <c r="F194" s="1791" t="s">
        <v>3031</v>
      </c>
      <c r="G194" s="1791" t="s">
        <v>2960</v>
      </c>
      <c r="H194" s="1791" t="s">
        <v>2961</v>
      </c>
      <c r="I194" s="1791" t="s">
        <v>2962</v>
      </c>
      <c r="J194" s="1791" t="s">
        <v>2963</v>
      </c>
      <c r="K194" s="1811" t="s">
        <v>2964</v>
      </c>
      <c r="L194" s="1914"/>
      <c r="M194" s="2063">
        <v>81.0</v>
      </c>
      <c r="N194" s="2064" t="s">
        <v>3032</v>
      </c>
      <c r="O194" s="2064"/>
      <c r="P194" s="2064"/>
      <c r="Q194" s="2064"/>
      <c r="R194" s="2065"/>
      <c r="S194" s="2066">
        <v>81.0</v>
      </c>
      <c r="T194" s="2064" t="s">
        <v>3033</v>
      </c>
      <c r="U194" s="2064"/>
      <c r="V194" s="2064"/>
      <c r="W194" s="2064"/>
      <c r="X194" s="2065"/>
      <c r="AM194" s="1974" t="s">
        <v>1918</v>
      </c>
      <c r="BA194" s="1968" t="s">
        <v>3039</v>
      </c>
      <c r="BC194" s="2086" t="s">
        <v>3040</v>
      </c>
      <c r="BD194" s="2083"/>
    </row>
    <row r="195" spans="8:8" ht="15.6" customHeight="1">
      <c r="B195" s="1817" t="s">
        <v>3035</v>
      </c>
      <c r="C195" s="2054" t="s">
        <v>2109</v>
      </c>
      <c r="D195" s="1791" t="s">
        <v>2971</v>
      </c>
      <c r="E195" s="1791" t="s">
        <v>88</v>
      </c>
      <c r="F195" s="1791" t="s">
        <v>3036</v>
      </c>
      <c r="G195" s="1791" t="s">
        <v>2960</v>
      </c>
      <c r="H195" s="1791" t="s">
        <v>2961</v>
      </c>
      <c r="I195" s="1791" t="s">
        <v>2962</v>
      </c>
      <c r="J195" s="1791" t="s">
        <v>2963</v>
      </c>
      <c r="K195" s="1811" t="s">
        <v>2964</v>
      </c>
      <c r="L195" s="1914"/>
      <c r="M195" s="2063">
        <v>82.0</v>
      </c>
      <c r="N195" s="2064" t="s">
        <v>3037</v>
      </c>
      <c r="O195" s="2064"/>
      <c r="P195" s="2064"/>
      <c r="Q195" s="2064"/>
      <c r="R195" s="2065"/>
      <c r="S195" s="2066">
        <v>82.0</v>
      </c>
      <c r="T195" s="2064" t="s">
        <v>3038</v>
      </c>
      <c r="U195" s="2064"/>
      <c r="V195" s="2064"/>
      <c r="W195" s="2064"/>
      <c r="X195" s="2065"/>
      <c r="AM195" s="1974" t="s">
        <v>1928</v>
      </c>
      <c r="BA195" s="1968" t="s">
        <v>3045</v>
      </c>
      <c r="BC195" s="2086" t="s">
        <v>3046</v>
      </c>
      <c r="BD195" s="2083"/>
    </row>
    <row r="196" spans="8:8" ht="15.6" customHeight="1">
      <c r="B196" s="1817" t="s">
        <v>3041</v>
      </c>
      <c r="C196" s="2054" t="s">
        <v>2109</v>
      </c>
      <c r="D196" s="1791" t="s">
        <v>2971</v>
      </c>
      <c r="E196" s="1791" t="s">
        <v>88</v>
      </c>
      <c r="F196" s="1791" t="s">
        <v>3042</v>
      </c>
      <c r="G196" s="1791" t="s">
        <v>2960</v>
      </c>
      <c r="H196" s="1791" t="s">
        <v>2961</v>
      </c>
      <c r="I196" s="1791" t="s">
        <v>2962</v>
      </c>
      <c r="J196" s="1791" t="s">
        <v>2963</v>
      </c>
      <c r="K196" s="1811" t="s">
        <v>2964</v>
      </c>
      <c r="L196" s="1914"/>
      <c r="M196" s="2063">
        <v>83.0</v>
      </c>
      <c r="N196" s="2064" t="s">
        <v>3043</v>
      </c>
      <c r="O196" s="2064"/>
      <c r="P196" s="2064"/>
      <c r="Q196" s="2064"/>
      <c r="R196" s="2065"/>
      <c r="S196" s="2066">
        <v>83.0</v>
      </c>
      <c r="T196" s="2064" t="s">
        <v>3044</v>
      </c>
      <c r="U196" s="2064"/>
      <c r="V196" s="2064"/>
      <c r="W196" s="2064"/>
      <c r="X196" s="2065"/>
      <c r="AM196" s="2083" t="s">
        <v>1937</v>
      </c>
      <c r="BA196" s="1968" t="s">
        <v>3049</v>
      </c>
      <c r="BC196" s="2086" t="s">
        <v>3050</v>
      </c>
      <c r="BD196" s="2083"/>
    </row>
    <row r="197" spans="8:8" ht="15.6" customHeight="1">
      <c r="B197" s="1817" t="s">
        <v>2148</v>
      </c>
      <c r="C197" s="2054" t="s">
        <v>206</v>
      </c>
      <c r="D197" s="1791" t="s">
        <v>206</v>
      </c>
      <c r="E197" s="1791" t="s">
        <v>206</v>
      </c>
      <c r="F197" s="1791" t="s">
        <v>206</v>
      </c>
      <c r="G197" s="1791" t="s">
        <v>206</v>
      </c>
      <c r="H197" s="1791" t="s">
        <v>206</v>
      </c>
      <c r="I197" s="1791" t="s">
        <v>206</v>
      </c>
      <c r="J197" s="1791" t="s">
        <v>206</v>
      </c>
      <c r="K197" s="1811" t="s">
        <v>206</v>
      </c>
      <c r="L197" s="1914"/>
      <c r="M197" s="2063">
        <v>84.0</v>
      </c>
      <c r="N197" s="2064" t="s">
        <v>3047</v>
      </c>
      <c r="O197" s="2064"/>
      <c r="P197" s="2064"/>
      <c r="Q197" s="2064"/>
      <c r="R197" s="2065"/>
      <c r="S197" s="2066">
        <v>84.0</v>
      </c>
      <c r="T197" s="2064" t="s">
        <v>3048</v>
      </c>
      <c r="U197" s="2064"/>
      <c r="V197" s="2064"/>
      <c r="W197" s="2064"/>
      <c r="X197" s="2065"/>
      <c r="AM197" s="2083" t="s">
        <v>1945</v>
      </c>
      <c r="BA197" s="1968" t="s">
        <v>3060</v>
      </c>
      <c r="BC197" s="2086" t="s">
        <v>3061</v>
      </c>
      <c r="BD197" s="2083"/>
    </row>
    <row r="198" spans="8:8" ht="15.6" customHeight="1">
      <c r="B198" s="1942" t="s">
        <v>117</v>
      </c>
      <c r="C198" s="2054" t="s">
        <v>2530</v>
      </c>
      <c r="D198" s="1791" t="s">
        <v>88</v>
      </c>
      <c r="E198" s="1791" t="s">
        <v>3051</v>
      </c>
      <c r="F198" s="2092" t="s">
        <v>6237</v>
      </c>
      <c r="G198" s="1791" t="s">
        <v>3053</v>
      </c>
      <c r="H198" s="1791" t="s">
        <v>3054</v>
      </c>
      <c r="I198" s="1791" t="s">
        <v>3055</v>
      </c>
      <c r="J198" s="1791" t="s">
        <v>3056</v>
      </c>
      <c r="K198" s="1811" t="s">
        <v>3057</v>
      </c>
      <c r="L198" s="1914"/>
      <c r="M198" s="2063">
        <v>85.0</v>
      </c>
      <c r="N198" s="2064" t="s">
        <v>3058</v>
      </c>
      <c r="O198" s="2064"/>
      <c r="P198" s="2064"/>
      <c r="Q198" s="2064"/>
      <c r="R198" s="2065"/>
      <c r="S198" s="2066">
        <v>85.0</v>
      </c>
      <c r="T198" s="2064" t="s">
        <v>3059</v>
      </c>
      <c r="U198" s="2064"/>
      <c r="V198" s="2064"/>
      <c r="W198" s="2064"/>
      <c r="X198" s="2065"/>
      <c r="AM198" s="2083" t="s">
        <v>1954</v>
      </c>
      <c r="BA198" s="1968" t="s">
        <v>3071</v>
      </c>
      <c r="BC198" s="2086" t="s">
        <v>3072</v>
      </c>
    </row>
    <row r="199" spans="8:8" ht="15.6" customHeight="1">
      <c r="B199" s="1942" t="s">
        <v>119</v>
      </c>
      <c r="C199" s="2054" t="s">
        <v>2600</v>
      </c>
      <c r="D199" s="1791" t="s">
        <v>88</v>
      </c>
      <c r="E199" s="1791" t="s">
        <v>3062</v>
      </c>
      <c r="F199" s="1791" t="s">
        <v>3063</v>
      </c>
      <c r="G199" s="1791" t="s">
        <v>3064</v>
      </c>
      <c r="H199" s="1791" t="s">
        <v>3065</v>
      </c>
      <c r="I199" s="1791" t="s">
        <v>3066</v>
      </c>
      <c r="J199" s="1791" t="s">
        <v>3067</v>
      </c>
      <c r="K199" s="1811" t="s">
        <v>3068</v>
      </c>
      <c r="L199" s="1914"/>
      <c r="M199" s="2063">
        <v>86.0</v>
      </c>
      <c r="N199" s="2064" t="s">
        <v>3069</v>
      </c>
      <c r="O199" s="2064"/>
      <c r="P199" s="2064"/>
      <c r="Q199" s="2064"/>
      <c r="R199" s="2065"/>
      <c r="S199" s="2066">
        <v>86.0</v>
      </c>
      <c r="T199" s="2064" t="s">
        <v>3070</v>
      </c>
      <c r="U199" s="2064"/>
      <c r="V199" s="2064"/>
      <c r="W199" s="2064"/>
      <c r="X199" s="2065"/>
      <c r="AM199" s="2083" t="s">
        <v>1963</v>
      </c>
      <c r="BA199" s="1968" t="s">
        <v>3082</v>
      </c>
      <c r="BC199" s="2086" t="s">
        <v>206</v>
      </c>
      <c r="BD199" s="2083"/>
    </row>
    <row r="200" spans="8:8" ht="15.6" customHeight="1">
      <c r="B200" s="1942" t="s">
        <v>123</v>
      </c>
      <c r="C200" s="2054" t="s">
        <v>2437</v>
      </c>
      <c r="D200" s="1791" t="s">
        <v>88</v>
      </c>
      <c r="E200" s="1791" t="s">
        <v>3073</v>
      </c>
      <c r="F200" s="1791" t="s">
        <v>3074</v>
      </c>
      <c r="G200" s="1791" t="s">
        <v>3075</v>
      </c>
      <c r="H200" s="1791" t="s">
        <v>3076</v>
      </c>
      <c r="I200" s="1791" t="s">
        <v>3077</v>
      </c>
      <c r="J200" s="1791" t="s">
        <v>3078</v>
      </c>
      <c r="K200" s="1811" t="s">
        <v>3079</v>
      </c>
      <c r="L200" s="1914"/>
      <c r="M200" s="2063">
        <v>87.0</v>
      </c>
      <c r="N200" s="2064" t="s">
        <v>3080</v>
      </c>
      <c r="O200" s="2064"/>
      <c r="P200" s="2064"/>
      <c r="Q200" s="2064"/>
      <c r="R200" s="2065"/>
      <c r="S200" s="2066">
        <v>87.0</v>
      </c>
      <c r="T200" s="2064" t="s">
        <v>3081</v>
      </c>
      <c r="U200" s="2064"/>
      <c r="V200" s="2064"/>
      <c r="W200" s="2064"/>
      <c r="X200" s="2065"/>
      <c r="AM200" s="2083" t="s">
        <v>1972</v>
      </c>
      <c r="BA200" s="1968" t="s">
        <v>3092</v>
      </c>
      <c r="BC200" s="2086" t="s">
        <v>3093</v>
      </c>
      <c r="BD200" s="2083"/>
    </row>
    <row r="201" spans="8:8" ht="15.6" customHeight="1">
      <c r="B201" s="1942" t="s">
        <v>128</v>
      </c>
      <c r="C201" s="2054" t="s">
        <v>2530</v>
      </c>
      <c r="D201" s="1791" t="s">
        <v>2157</v>
      </c>
      <c r="E201" s="1791" t="s">
        <v>3083</v>
      </c>
      <c r="F201" s="1791" t="s">
        <v>3084</v>
      </c>
      <c r="G201" s="1791" t="s">
        <v>3085</v>
      </c>
      <c r="H201" s="1791" t="s">
        <v>3086</v>
      </c>
      <c r="I201" s="1791" t="s">
        <v>3087</v>
      </c>
      <c r="J201" s="1791" t="s">
        <v>3088</v>
      </c>
      <c r="K201" s="2093" t="s">
        <v>3089</v>
      </c>
      <c r="L201" s="1914"/>
      <c r="M201" s="2063">
        <v>88.0</v>
      </c>
      <c r="N201" s="2064" t="s">
        <v>3090</v>
      </c>
      <c r="O201" s="2064"/>
      <c r="P201" s="2064"/>
      <c r="Q201" s="2064"/>
      <c r="R201" s="2065"/>
      <c r="S201" s="2066">
        <v>88.0</v>
      </c>
      <c r="T201" s="2064" t="s">
        <v>3091</v>
      </c>
      <c r="U201" s="2064"/>
      <c r="V201" s="2064"/>
      <c r="W201" s="2064"/>
      <c r="X201" s="2065"/>
      <c r="AM201" s="2083" t="s">
        <v>1980</v>
      </c>
      <c r="BA201" s="1968" t="s">
        <v>3103</v>
      </c>
      <c r="BC201" s="2086" t="s">
        <v>3104</v>
      </c>
      <c r="BD201" s="2083"/>
    </row>
    <row r="202" spans="8:8" ht="15.6" customHeight="1">
      <c r="B202" s="1942" t="s">
        <v>131</v>
      </c>
      <c r="C202" s="2054" t="s">
        <v>2437</v>
      </c>
      <c r="D202" s="1791" t="s">
        <v>88</v>
      </c>
      <c r="E202" s="1791" t="s">
        <v>3094</v>
      </c>
      <c r="F202" s="1791" t="s">
        <v>3095</v>
      </c>
      <c r="G202" s="1791" t="s">
        <v>3096</v>
      </c>
      <c r="H202" s="1791" t="s">
        <v>3097</v>
      </c>
      <c r="I202" s="1791" t="s">
        <v>3098</v>
      </c>
      <c r="J202" s="1791" t="s">
        <v>3099</v>
      </c>
      <c r="K202" s="1811" t="s">
        <v>3100</v>
      </c>
      <c r="L202" s="1914"/>
      <c r="M202" s="2063">
        <v>89.0</v>
      </c>
      <c r="N202" s="2064" t="s">
        <v>3101</v>
      </c>
      <c r="O202" s="2064"/>
      <c r="P202" s="2064"/>
      <c r="Q202" s="2064"/>
      <c r="R202" s="2065"/>
      <c r="S202" s="2066">
        <v>89.0</v>
      </c>
      <c r="T202" s="2064" t="s">
        <v>3102</v>
      </c>
      <c r="U202" s="2064"/>
      <c r="V202" s="2064"/>
      <c r="W202" s="2064"/>
      <c r="X202" s="2065"/>
      <c r="AM202" s="2083" t="s">
        <v>1987</v>
      </c>
      <c r="BA202" s="1968" t="s">
        <v>3114</v>
      </c>
      <c r="BC202" s="2086" t="s">
        <v>3115</v>
      </c>
      <c r="BD202" s="2083"/>
    </row>
    <row r="203" spans="8:8" ht="15.6" customHeight="1">
      <c r="B203" s="1942" t="s">
        <v>134</v>
      </c>
      <c r="C203" s="2054" t="s">
        <v>2437</v>
      </c>
      <c r="D203" s="1791" t="s">
        <v>88</v>
      </c>
      <c r="E203" s="1791" t="s">
        <v>3105</v>
      </c>
      <c r="F203" s="1791" t="s">
        <v>3106</v>
      </c>
      <c r="G203" s="2090" t="s">
        <v>3107</v>
      </c>
      <c r="H203" s="1791" t="s">
        <v>3108</v>
      </c>
      <c r="I203" s="1791" t="s">
        <v>3109</v>
      </c>
      <c r="J203" s="1791" t="s">
        <v>3110</v>
      </c>
      <c r="K203" s="1811" t="s">
        <v>3111</v>
      </c>
      <c r="L203" s="1914"/>
      <c r="M203" s="2063">
        <v>90.0</v>
      </c>
      <c r="N203" s="2064" t="s">
        <v>3112</v>
      </c>
      <c r="O203" s="2064"/>
      <c r="P203" s="2064"/>
      <c r="Q203" s="2064"/>
      <c r="R203" s="2065"/>
      <c r="S203" s="2066">
        <v>90.0</v>
      </c>
      <c r="T203" s="2064" t="s">
        <v>3113</v>
      </c>
      <c r="U203" s="2064"/>
      <c r="V203" s="2064"/>
      <c r="W203" s="2064"/>
      <c r="X203" s="2065"/>
      <c r="AM203" s="2083" t="s">
        <v>1995</v>
      </c>
      <c r="BA203" s="1968" t="s">
        <v>3125</v>
      </c>
      <c r="BC203" s="2086" t="s">
        <v>3126</v>
      </c>
    </row>
    <row r="204" spans="8:8" ht="15.6" customHeight="1">
      <c r="B204" s="1942" t="s">
        <v>136</v>
      </c>
      <c r="C204" s="2094" t="s">
        <v>2530</v>
      </c>
      <c r="D204" s="1915" t="s">
        <v>88</v>
      </c>
      <c r="E204" s="1915" t="s">
        <v>3116</v>
      </c>
      <c r="F204" s="1915" t="s">
        <v>3117</v>
      </c>
      <c r="G204" s="1915" t="s">
        <v>3118</v>
      </c>
      <c r="H204" s="1915" t="s">
        <v>3119</v>
      </c>
      <c r="I204" s="1915" t="s">
        <v>3120</v>
      </c>
      <c r="J204" s="1791" t="s">
        <v>3121</v>
      </c>
      <c r="K204" s="1811" t="s">
        <v>3122</v>
      </c>
      <c r="L204" s="1914"/>
      <c r="M204" s="2063">
        <v>91.0</v>
      </c>
      <c r="N204" s="2064" t="s">
        <v>3123</v>
      </c>
      <c r="O204" s="2064"/>
      <c r="P204" s="2064"/>
      <c r="Q204" s="2064"/>
      <c r="R204" s="2065"/>
      <c r="S204" s="2066">
        <v>91.0</v>
      </c>
      <c r="T204" s="2064" t="s">
        <v>3124</v>
      </c>
      <c r="U204" s="2064"/>
      <c r="V204" s="2064"/>
      <c r="W204" s="2064"/>
      <c r="X204" s="2065"/>
      <c r="AM204" s="1974" t="s">
        <v>2003</v>
      </c>
      <c r="BA204" s="1968" t="s">
        <v>3137</v>
      </c>
      <c r="BC204" s="2086" t="s">
        <v>3138</v>
      </c>
      <c r="BD204" s="2083"/>
    </row>
    <row r="205" spans="8:8" ht="15.6" customHeight="1">
      <c r="B205" s="1952" t="s">
        <v>3127</v>
      </c>
      <c r="C205" s="2054" t="s">
        <v>2094</v>
      </c>
      <c r="D205" s="1791" t="s">
        <v>3128</v>
      </c>
      <c r="E205" s="1791" t="s">
        <v>88</v>
      </c>
      <c r="F205" s="1791" t="s">
        <v>3129</v>
      </c>
      <c r="G205" s="1791" t="s">
        <v>3130</v>
      </c>
      <c r="H205" s="1791" t="s">
        <v>3131</v>
      </c>
      <c r="I205" s="1791" t="s">
        <v>3132</v>
      </c>
      <c r="J205" s="2013" t="s">
        <v>3133</v>
      </c>
      <c r="K205" s="1811" t="s">
        <v>3134</v>
      </c>
      <c r="L205" s="1914"/>
      <c r="M205" s="2063">
        <v>92.0</v>
      </c>
      <c r="N205" s="2064" t="s">
        <v>3135</v>
      </c>
      <c r="O205" s="2064"/>
      <c r="P205" s="2064"/>
      <c r="Q205" s="2064"/>
      <c r="R205" s="2065"/>
      <c r="S205" s="2066">
        <v>92.0</v>
      </c>
      <c r="T205" s="2064" t="s">
        <v>3136</v>
      </c>
      <c r="U205" s="2064"/>
      <c r="V205" s="2064"/>
      <c r="W205" s="2064"/>
      <c r="X205" s="2065"/>
      <c r="AM205" s="1974" t="s">
        <v>2009</v>
      </c>
      <c r="BA205" s="1968" t="s">
        <v>3147</v>
      </c>
      <c r="BC205" s="2086" t="s">
        <v>3148</v>
      </c>
      <c r="BD205" s="2083"/>
    </row>
    <row r="206" spans="8:8" ht="15.6" customHeight="1">
      <c r="B206" s="1952" t="s">
        <v>140</v>
      </c>
      <c r="C206" s="2054" t="s">
        <v>2109</v>
      </c>
      <c r="D206" s="1791" t="s">
        <v>3128</v>
      </c>
      <c r="E206" s="1791" t="s">
        <v>88</v>
      </c>
      <c r="F206" s="1791" t="s">
        <v>3139</v>
      </c>
      <c r="G206" s="1791" t="s">
        <v>3140</v>
      </c>
      <c r="H206" s="1791" t="s">
        <v>3141</v>
      </c>
      <c r="I206" s="1791" t="s">
        <v>3142</v>
      </c>
      <c r="J206" s="1791" t="s">
        <v>3143</v>
      </c>
      <c r="K206" s="1811" t="s">
        <v>3144</v>
      </c>
      <c r="L206" s="1914"/>
      <c r="M206" s="2063">
        <v>93.0</v>
      </c>
      <c r="N206" s="2064" t="s">
        <v>3145</v>
      </c>
      <c r="O206" s="2064"/>
      <c r="P206" s="2064"/>
      <c r="Q206" s="2064"/>
      <c r="R206" s="2065"/>
      <c r="S206" s="2066">
        <v>93.0</v>
      </c>
      <c r="T206" s="2064" t="s">
        <v>3146</v>
      </c>
      <c r="U206" s="2064"/>
      <c r="V206" s="2064"/>
      <c r="W206" s="2064"/>
      <c r="X206" s="2065"/>
      <c r="AM206" s="2083" t="s">
        <v>2015</v>
      </c>
      <c r="BA206" s="1968"/>
      <c r="BC206" s="2086" t="s">
        <v>3157</v>
      </c>
      <c r="BD206" s="2083"/>
    </row>
    <row r="207" spans="8:8" ht="15.6" customHeight="1">
      <c r="B207" s="1952" t="s">
        <v>142</v>
      </c>
      <c r="C207" s="2054" t="s">
        <v>2109</v>
      </c>
      <c r="D207" s="1791" t="s">
        <v>3128</v>
      </c>
      <c r="E207" s="1791" t="s">
        <v>88</v>
      </c>
      <c r="F207" s="1791" t="s">
        <v>3149</v>
      </c>
      <c r="G207" s="1791" t="s">
        <v>3150</v>
      </c>
      <c r="H207" s="2090" t="s">
        <v>3151</v>
      </c>
      <c r="I207" s="1791" t="s">
        <v>3152</v>
      </c>
      <c r="J207" s="1791" t="s">
        <v>3153</v>
      </c>
      <c r="K207" s="1811" t="s">
        <v>3154</v>
      </c>
      <c r="L207" s="1914"/>
      <c r="M207" s="2063">
        <v>94.0</v>
      </c>
      <c r="N207" s="2064" t="s">
        <v>3155</v>
      </c>
      <c r="O207" s="2064"/>
      <c r="P207" s="2064"/>
      <c r="Q207" s="2064"/>
      <c r="R207" s="2065"/>
      <c r="S207" s="2066">
        <v>94.0</v>
      </c>
      <c r="T207" s="2064" t="s">
        <v>3156</v>
      </c>
      <c r="U207" s="2064"/>
      <c r="V207" s="2064"/>
      <c r="W207" s="2064"/>
      <c r="X207" s="2065"/>
      <c r="AM207" s="2083" t="s">
        <v>2023</v>
      </c>
      <c r="BA207" s="1968" t="s">
        <v>3167</v>
      </c>
      <c r="BC207" s="2086" t="s">
        <v>3168</v>
      </c>
      <c r="BD207" s="2083"/>
    </row>
    <row r="208" spans="8:8" ht="15.6" customHeight="1">
      <c r="B208" s="1952" t="s">
        <v>145</v>
      </c>
      <c r="C208" s="2054" t="s">
        <v>2109</v>
      </c>
      <c r="D208" s="1791" t="s">
        <v>3128</v>
      </c>
      <c r="E208" s="1791" t="s">
        <v>3158</v>
      </c>
      <c r="F208" s="1791" t="s">
        <v>3159</v>
      </c>
      <c r="G208" s="1791" t="s">
        <v>3160</v>
      </c>
      <c r="H208" s="1791" t="s">
        <v>3161</v>
      </c>
      <c r="I208" s="1791" t="s">
        <v>3162</v>
      </c>
      <c r="J208" s="1791" t="s">
        <v>3163</v>
      </c>
      <c r="K208" s="1811" t="s">
        <v>3164</v>
      </c>
      <c r="L208" s="1914"/>
      <c r="M208" s="2063">
        <v>95.0</v>
      </c>
      <c r="N208" s="2064" t="s">
        <v>3165</v>
      </c>
      <c r="O208" s="2064"/>
      <c r="P208" s="2064"/>
      <c r="Q208" s="2064"/>
      <c r="R208" s="2065"/>
      <c r="S208" s="2066">
        <v>95.0</v>
      </c>
      <c r="T208" s="2064" t="s">
        <v>3166</v>
      </c>
      <c r="U208" s="2064"/>
      <c r="V208" s="2064"/>
      <c r="W208" s="2064"/>
      <c r="X208" s="2065"/>
      <c r="AM208" s="2083" t="s">
        <v>2032</v>
      </c>
      <c r="BA208" s="1968" t="s">
        <v>3176</v>
      </c>
      <c r="BC208" s="2086" t="s">
        <v>3177</v>
      </c>
      <c r="BD208" s="2083"/>
    </row>
    <row r="209" spans="8:8" ht="15.6" customHeight="1">
      <c r="B209" s="1952" t="s">
        <v>147</v>
      </c>
      <c r="C209" s="2054" t="s">
        <v>2109</v>
      </c>
      <c r="D209" s="1791" t="s">
        <v>3128</v>
      </c>
      <c r="E209" s="1791" t="s">
        <v>3169</v>
      </c>
      <c r="F209" s="1791" t="s">
        <v>3170</v>
      </c>
      <c r="G209" s="1791" t="s">
        <v>88</v>
      </c>
      <c r="H209" s="1791" t="s">
        <v>88</v>
      </c>
      <c r="I209" s="1791" t="s">
        <v>3171</v>
      </c>
      <c r="J209" s="1791" t="s">
        <v>3172</v>
      </c>
      <c r="K209" s="1811" t="s">
        <v>3173</v>
      </c>
      <c r="L209" s="1914"/>
      <c r="M209" s="2063">
        <v>96.0</v>
      </c>
      <c r="N209" s="2064" t="s">
        <v>3174</v>
      </c>
      <c r="O209" s="2064"/>
      <c r="P209" s="2064"/>
      <c r="Q209" s="2064"/>
      <c r="R209" s="2065"/>
      <c r="S209" s="2066">
        <v>96.0</v>
      </c>
      <c r="T209" s="2064" t="s">
        <v>3175</v>
      </c>
      <c r="U209" s="2064"/>
      <c r="V209" s="2064"/>
      <c r="W209" s="2064"/>
      <c r="X209" s="2065"/>
      <c r="AM209" s="2083" t="s">
        <v>2040</v>
      </c>
      <c r="BA209" s="1968" t="s">
        <v>3184</v>
      </c>
      <c r="BC209" s="2086" t="s">
        <v>206</v>
      </c>
      <c r="BD209" s="2083"/>
    </row>
    <row r="210" spans="8:8" ht="15.6" customHeight="1">
      <c r="B210" s="1952" t="s">
        <v>149</v>
      </c>
      <c r="C210" s="2054" t="s">
        <v>2109</v>
      </c>
      <c r="D210" s="1791" t="s">
        <v>3178</v>
      </c>
      <c r="E210" s="1791" t="s">
        <v>88</v>
      </c>
      <c r="F210" s="1791" t="s">
        <v>3179</v>
      </c>
      <c r="G210" s="1791" t="s">
        <v>3180</v>
      </c>
      <c r="H210" s="1791" t="s">
        <v>3181</v>
      </c>
      <c r="I210" s="1791" t="s">
        <v>2569</v>
      </c>
      <c r="J210" s="1791" t="s">
        <v>88</v>
      </c>
      <c r="K210" s="1811" t="s">
        <v>88</v>
      </c>
      <c r="L210" s="1914"/>
      <c r="M210" s="2063">
        <v>97.0</v>
      </c>
      <c r="N210" s="2064" t="s">
        <v>3182</v>
      </c>
      <c r="O210" s="2064"/>
      <c r="P210" s="2064"/>
      <c r="Q210" s="2064"/>
      <c r="R210" s="2065"/>
      <c r="S210" s="2066">
        <v>97.0</v>
      </c>
      <c r="T210" s="2064" t="s">
        <v>3183</v>
      </c>
      <c r="U210" s="2064"/>
      <c r="V210" s="2064"/>
      <c r="W210" s="2064"/>
      <c r="X210" s="2065"/>
      <c r="AM210" s="2083" t="s">
        <v>2048</v>
      </c>
      <c r="BA210" s="1968" t="s">
        <v>3189</v>
      </c>
      <c r="BC210" s="2086" t="s">
        <v>3190</v>
      </c>
      <c r="BD210" s="2083"/>
    </row>
    <row r="211" spans="8:8" ht="15.6" customHeight="1">
      <c r="B211" s="1952" t="s">
        <v>151</v>
      </c>
      <c r="C211" s="2054" t="s">
        <v>2109</v>
      </c>
      <c r="D211" s="1791" t="s">
        <v>3185</v>
      </c>
      <c r="E211" s="1791" t="s">
        <v>88</v>
      </c>
      <c r="F211" s="1974" t="s">
        <v>3186</v>
      </c>
      <c r="G211" s="1791" t="s">
        <v>88</v>
      </c>
      <c r="H211" s="1791" t="s">
        <v>88</v>
      </c>
      <c r="I211" s="1791" t="s">
        <v>88</v>
      </c>
      <c r="J211" s="1791" t="s">
        <v>88</v>
      </c>
      <c r="K211" s="1811" t="s">
        <v>88</v>
      </c>
      <c r="L211" s="1914"/>
      <c r="M211" s="2063">
        <v>98.0</v>
      </c>
      <c r="N211" s="2064" t="s">
        <v>3187</v>
      </c>
      <c r="O211" s="2064"/>
      <c r="P211" s="2064"/>
      <c r="Q211" s="2064"/>
      <c r="R211" s="2065"/>
      <c r="S211" s="2066">
        <v>98.0</v>
      </c>
      <c r="T211" s="2064" t="s">
        <v>3188</v>
      </c>
      <c r="U211" s="2064"/>
      <c r="V211" s="2064"/>
      <c r="W211" s="2064"/>
      <c r="X211" s="2065"/>
      <c r="AM211" s="2083" t="s">
        <v>2056</v>
      </c>
      <c r="BA211" s="1968" t="s">
        <v>294</v>
      </c>
      <c r="BC211" s="2086" t="s">
        <v>3193</v>
      </c>
      <c r="BD211" s="2083"/>
    </row>
    <row r="212" spans="8:8" ht="15.6" customHeight="1">
      <c r="B212" s="1841">
        <f>人物卡!AU26</f>
        <v>0.0</v>
      </c>
      <c r="C212" s="2095">
        <f>人物卡!BA26</f>
        <v>0.0</v>
      </c>
      <c r="D212" s="1842" t="s">
        <v>153</v>
      </c>
      <c r="E212" s="1842" t="s">
        <v>206</v>
      </c>
      <c r="F212" s="1842" t="str">
        <f>IF(ISBLANK(人物卡!BA29),"",人物卡!BA29)</f>
        <v>基础值</v>
      </c>
      <c r="G212" s="1842" t="s">
        <v>206</v>
      </c>
      <c r="H212" s="1842" t="s">
        <v>206</v>
      </c>
      <c r="I212" s="1842" t="s">
        <v>206</v>
      </c>
      <c r="J212" s="1842" t="s">
        <v>206</v>
      </c>
      <c r="K212" s="1843" t="s">
        <v>206</v>
      </c>
      <c r="L212" s="1914"/>
      <c r="M212" s="2063">
        <v>99.0</v>
      </c>
      <c r="N212" s="2064" t="s">
        <v>3191</v>
      </c>
      <c r="O212" s="2064"/>
      <c r="P212" s="2064"/>
      <c r="Q212" s="2064"/>
      <c r="R212" s="2065"/>
      <c r="S212" s="2066">
        <v>99.0</v>
      </c>
      <c r="T212" s="2064" t="s">
        <v>3192</v>
      </c>
      <c r="U212" s="2064"/>
      <c r="V212" s="2064"/>
      <c r="W212" s="2064"/>
      <c r="X212" s="2065"/>
      <c r="AM212" s="2083" t="s">
        <v>2064</v>
      </c>
      <c r="BA212" s="1968"/>
      <c r="BC212" s="2086" t="s">
        <v>3197</v>
      </c>
      <c r="BD212" s="2083"/>
    </row>
    <row r="213" spans="8:8" ht="15.6" customHeight="1">
      <c r="B213" s="1974" t="s">
        <v>3194</v>
      </c>
      <c r="C213" s="1791">
        <v>0.0</v>
      </c>
      <c r="D213" s="1791">
        <v>0.0</v>
      </c>
      <c r="E213" s="1791">
        <v>0.0</v>
      </c>
      <c r="F213" s="1791">
        <v>0.0</v>
      </c>
      <c r="G213" s="1791">
        <v>0.0</v>
      </c>
      <c r="H213" s="1791">
        <v>0.0</v>
      </c>
      <c r="I213" s="1791">
        <v>0.0</v>
      </c>
      <c r="J213" s="1791">
        <v>0.0</v>
      </c>
      <c r="K213" s="1791">
        <v>0.0</v>
      </c>
      <c r="L213" s="1914"/>
      <c r="M213" s="2063">
        <v>100.0</v>
      </c>
      <c r="N213" s="2064" t="s">
        <v>3195</v>
      </c>
      <c r="O213" s="2064"/>
      <c r="P213" s="2064"/>
      <c r="Q213" s="2064"/>
      <c r="R213" s="2065"/>
      <c r="S213" s="2066">
        <v>100.0</v>
      </c>
      <c r="T213" s="2064" t="s">
        <v>3196</v>
      </c>
      <c r="U213" s="2064"/>
      <c r="V213" s="2064"/>
      <c r="W213" s="2064"/>
      <c r="X213" s="2065"/>
      <c r="BC213" s="2086" t="s">
        <v>3199</v>
      </c>
      <c r="BD213" s="2083"/>
    </row>
    <row r="214" spans="8:8" ht="15.6" customHeight="1">
      <c r="L214" s="1914"/>
      <c r="M214" s="2063"/>
      <c r="N214" s="2064" t="s">
        <v>3198</v>
      </c>
      <c r="O214" s="2064"/>
      <c r="P214" s="2064"/>
      <c r="Q214" s="2064"/>
      <c r="R214" s="2065"/>
      <c r="S214" s="2096"/>
      <c r="T214" s="2097"/>
      <c r="U214" s="2097"/>
      <c r="V214" s="2097"/>
      <c r="W214" s="2097"/>
      <c r="X214" s="2098"/>
      <c r="BC214" s="2086" t="s">
        <v>3201</v>
      </c>
      <c r="BD214" s="2083"/>
    </row>
    <row r="215" spans="8:8" ht="15.6" customHeight="1">
      <c r="M215" s="2099"/>
      <c r="N215" s="2100" t="s">
        <v>3200</v>
      </c>
      <c r="O215" s="2100"/>
      <c r="P215" s="2100"/>
      <c r="Q215" s="2100"/>
      <c r="R215" s="2101"/>
      <c r="S215" s="2102"/>
      <c r="T215" s="2103"/>
      <c r="U215" s="2103"/>
      <c r="V215" s="2103"/>
      <c r="W215" s="2103"/>
      <c r="X215" s="2104"/>
      <c r="BC215" s="2086" t="s">
        <v>3202</v>
      </c>
    </row>
    <row r="216" spans="8:8" ht="15.75">
      <c r="BC216" s="2086" t="s">
        <v>3203</v>
      </c>
      <c r="BD216" s="2083"/>
    </row>
    <row r="217" spans="8:8" ht="15.75">
      <c r="M217" s="2105" t="s">
        <v>2156</v>
      </c>
      <c r="N217" s="2106"/>
      <c r="O217" s="2105" t="s">
        <v>2958</v>
      </c>
      <c r="P217" s="2106"/>
      <c r="Q217" s="2107" t="s">
        <v>2646</v>
      </c>
      <c r="R217" s="2108"/>
      <c r="S217" s="2109" t="s">
        <v>343</v>
      </c>
      <c r="T217" s="2108"/>
      <c r="U217" s="2110" t="s">
        <v>156</v>
      </c>
      <c r="V217" s="2111"/>
      <c r="BC217" s="2086" t="s">
        <v>3204</v>
      </c>
      <c r="BD217" s="2083"/>
    </row>
    <row r="218" spans="8:8" ht="15.75">
      <c r="M218" s="2112" t="s">
        <v>301</v>
      </c>
      <c r="N218" s="2113" t="s">
        <v>85</v>
      </c>
      <c r="O218" s="2112" t="s">
        <v>301</v>
      </c>
      <c r="P218" s="2113" t="s">
        <v>85</v>
      </c>
      <c r="Q218" s="2112" t="s">
        <v>301</v>
      </c>
      <c r="R218" s="2114" t="s">
        <v>85</v>
      </c>
      <c r="S218" s="2115" t="s">
        <v>301</v>
      </c>
      <c r="T218" s="2116" t="s">
        <v>85</v>
      </c>
      <c r="U218" s="2117" t="s">
        <v>301</v>
      </c>
      <c r="V218" s="2114" t="s">
        <v>85</v>
      </c>
      <c r="BC218" s="2086" t="s">
        <v>3207</v>
      </c>
      <c r="BD218" s="2083"/>
    </row>
    <row r="219" spans="8:8" ht="19.1" customHeight="1">
      <c r="M219" s="2118" t="s">
        <v>1330</v>
      </c>
      <c r="N219" s="2119">
        <v>5.0</v>
      </c>
      <c r="O219" s="2118" t="s">
        <v>2970</v>
      </c>
      <c r="P219" s="2119">
        <v>1.0</v>
      </c>
      <c r="Q219" s="2120" t="s">
        <v>130</v>
      </c>
      <c r="R219" s="2121">
        <v>20.0</v>
      </c>
      <c r="S219" s="2122" t="s">
        <v>3205</v>
      </c>
      <c r="T219" s="2123">
        <v>1.0</v>
      </c>
      <c r="U219" s="2124" t="s">
        <v>116</v>
      </c>
      <c r="V219" s="2125">
        <v>25.0</v>
      </c>
      <c r="Z219" s="2126" t="s">
        <v>3206</v>
      </c>
      <c r="AA219" s="2126"/>
      <c r="AB219" s="2126"/>
      <c r="AC219" s="2126"/>
      <c r="AD219" s="2126"/>
      <c r="AE219" s="2126"/>
      <c r="AF219" s="2126"/>
      <c r="AG219" s="2126"/>
      <c r="AH219" s="2126"/>
      <c r="BC219" s="2086" t="s">
        <v>206</v>
      </c>
      <c r="BD219" s="2083"/>
    </row>
    <row r="220" spans="8:8" ht="18.0" customHeight="1">
      <c r="M220" s="2120" t="s">
        <v>2179</v>
      </c>
      <c r="N220" s="2127">
        <v>5.0</v>
      </c>
      <c r="O220" s="2120" t="s">
        <v>1378</v>
      </c>
      <c r="P220" s="2127">
        <v>1.0</v>
      </c>
      <c r="Q220" s="2118" t="s">
        <v>352</v>
      </c>
      <c r="R220" s="2125">
        <v>25.0</v>
      </c>
      <c r="S220" s="2128" t="s">
        <v>1371</v>
      </c>
      <c r="T220" s="2129">
        <v>1.0</v>
      </c>
      <c r="U220" s="2124" t="s">
        <v>2577</v>
      </c>
      <c r="V220" s="2125">
        <v>5.0</v>
      </c>
      <c r="Z220" s="2130"/>
      <c r="AA220" s="2131"/>
      <c r="AB220" s="2132"/>
      <c r="AC220" s="2132"/>
      <c r="AD220" s="2132"/>
      <c r="AE220" s="2132"/>
      <c r="AF220" s="2132"/>
      <c r="AG220" s="2132"/>
      <c r="AH220" s="2132"/>
      <c r="AJ220" s="2071"/>
      <c r="BC220" s="2086" t="s">
        <v>3211</v>
      </c>
      <c r="BD220" s="2083"/>
    </row>
    <row r="221" spans="8:8" ht="18.0" customHeight="1">
      <c r="M221" s="2118" t="s">
        <v>1335</v>
      </c>
      <c r="N221" s="2119">
        <v>5.0</v>
      </c>
      <c r="O221" s="2118" t="s">
        <v>2984</v>
      </c>
      <c r="P221" s="2119">
        <v>1.0</v>
      </c>
      <c r="Q221" s="2120" t="s">
        <v>2666</v>
      </c>
      <c r="R221" s="2121">
        <v>15.0</v>
      </c>
      <c r="S221" s="2133" t="str">
        <f>IF(ISBLANK(人物卡!AU26),"",人物卡!AU26)</f>
        <v/>
      </c>
      <c r="T221" s="2129" t="str">
        <f>IF(ISBLANK(人物卡!BA26),"",人物卡!BA26)</f>
        <v/>
      </c>
      <c r="U221" s="2134" t="s">
        <v>2588</v>
      </c>
      <c r="V221" s="2121">
        <v>10.0</v>
      </c>
      <c r="Z221" s="2135" t="s">
        <v>3208</v>
      </c>
      <c r="AA221" s="2136"/>
      <c r="AB221" s="2137" t="str">
        <f>IF(AD222&lt;=0,"连贫穷都够不上的人才能够叫做身无分文。住所：大概只有睡大街。旅行：步行，扒车或逃票上火车轮船。",IF(AD222&lt;=9,"刚好买得起最廉价的屋顶，每天能够吃到一餐廉价食物住所：最最最廉价的出租屋或睡袋旅馆。旅行：最便宜的公众运输方式。反正只要赶便宜就对了，与之相伴的是不可靠。",IF(AD222&lt;=49,"舒适的生活水平，一日三餐，偶尔下馆子。住所：普通的家或公寓，并关租赁还是自购。外出住普通的旅馆。旅行：会使用普通的旅行方式，不会用最高级。在现代来看，大概会有一辆自己的小车。",IF(AD222&lt;=89,"小康级别已经可以享受奢侈品的舒适了。住所：真材实料的住地，也许会有一些仆人（管家，主妇，清洁工，园丁，等等）。乡下估计还有小别墅。会住昂贵的宾馆。旅行：头等舱。会买高档车或同等的交通工具。",IF(AD222&lt;=98,"富裕级别就是享受超级奢侈品的时候了。住所：豪华住所和有着大量仆人的庭院。乡下和别处有着别墅是定番。住总统套房。旅行：头等舱。现代社会估摸还会有很多豪车。",IF(AD222=99,"与富裕差不多，但钱已经只是一个代号了。你将是世界上最富有的人。","请正确分配您的技能点！"))))))</f>
        <v>连贫穷都够不上的人才能够叫做身无分文。住所：大概只有睡大街。旅行：步行，扒车或逃票上火车轮船。</v>
      </c>
      <c r="AC221" s="2138"/>
      <c r="AD221" s="2139" t="s">
        <v>3209</v>
      </c>
      <c r="AE221" s="2140" t="s">
        <v>3210</v>
      </c>
      <c r="AF221" s="2141"/>
      <c r="AG221" s="2142"/>
      <c r="AH221" s="2132"/>
      <c r="BC221" s="2086" t="s">
        <v>3213</v>
      </c>
      <c r="BD221" s="2083"/>
    </row>
    <row r="222" spans="8:8" ht="18.0" customHeight="1">
      <c r="M222" s="2120" t="s">
        <v>1334</v>
      </c>
      <c r="N222" s="2127">
        <v>5.0</v>
      </c>
      <c r="O222" s="2120" t="s">
        <v>1376</v>
      </c>
      <c r="P222" s="2127">
        <v>1.0</v>
      </c>
      <c r="Q222" s="2118" t="s">
        <v>1362</v>
      </c>
      <c r="R222" s="2125">
        <v>15.0</v>
      </c>
      <c r="T222" s="2143"/>
      <c r="U222" s="2124" t="s">
        <v>2622</v>
      </c>
      <c r="V222" s="2125">
        <v>10.0</v>
      </c>
      <c r="Z222" s="2144" t="s">
        <v>90</v>
      </c>
      <c r="AA222" s="2145"/>
      <c r="AB222" s="2146"/>
      <c r="AC222" s="2147"/>
      <c r="AD222" s="1904">
        <f>人物卡!R26</f>
        <v>0.0</v>
      </c>
      <c r="AE222" s="2148"/>
      <c r="AF222" s="2148" t="s">
        <v>3212</v>
      </c>
      <c r="AG222" s="2149">
        <v>1920.0</v>
      </c>
      <c r="AH222" s="2132"/>
      <c r="BC222" s="2086" t="s">
        <v>3214</v>
      </c>
      <c r="BD222" s="2083"/>
    </row>
    <row r="223" spans="8:8" ht="18.0" customHeight="1">
      <c r="M223" s="2118" t="s">
        <v>1346</v>
      </c>
      <c r="N223" s="2119">
        <v>5.0</v>
      </c>
      <c r="O223" s="2118" t="s">
        <v>1381</v>
      </c>
      <c r="P223" s="2119">
        <v>1.0</v>
      </c>
      <c r="Q223" s="2120" t="s">
        <v>2685</v>
      </c>
      <c r="R223" s="2121">
        <v>10.0</v>
      </c>
      <c r="T223" s="2143"/>
      <c r="U223" s="2134" t="s">
        <v>2616</v>
      </c>
      <c r="V223" s="2121">
        <v>15.0</v>
      </c>
      <c r="Z223" s="2150" t="str">
        <f>AD222&amp;"%/"&amp;AD223&amp;"%/"&amp;AD224&amp;"%"</f>
        <v>0%/0%/0%</v>
      </c>
      <c r="AA223" s="2151"/>
      <c r="AB223" s="2146"/>
      <c r="AC223" s="2147"/>
      <c r="AD223" s="1904">
        <f>人物卡!T26</f>
        <v>0.0</v>
      </c>
      <c r="AE223" s="2152" t="s">
        <v>177</v>
      </c>
      <c r="AF223" s="2153" t="str">
        <f>VLOOKUP(AF226,Z243:AC263,2,FALSE)</f>
        <v>0.5</v>
      </c>
      <c r="AG223" s="1904" t="str">
        <f>VLOOKUP(AF226,AE243:AH263,2,FALSE)</f>
        <v>0.5</v>
      </c>
      <c r="AH223" s="2132"/>
      <c r="BC223" s="2086" t="s">
        <v>3216</v>
      </c>
    </row>
    <row r="224" spans="8:8" ht="18.0" customHeight="1">
      <c r="M224" s="2120" t="s">
        <v>1341</v>
      </c>
      <c r="N224" s="2127">
        <v>5.0</v>
      </c>
      <c r="O224" s="2120" t="s">
        <v>3001</v>
      </c>
      <c r="P224" s="2127">
        <v>1.0</v>
      </c>
      <c r="Q224" s="2118" t="s">
        <v>2697</v>
      </c>
      <c r="R224" s="2125">
        <v>10.0</v>
      </c>
      <c r="T224" s="2143"/>
      <c r="U224" s="2134" t="s">
        <v>2599</v>
      </c>
      <c r="V224" s="2121">
        <v>15.0</v>
      </c>
      <c r="Z224" s="2154" t="s">
        <v>176</v>
      </c>
      <c r="AA224" s="2155"/>
      <c r="AB224" s="2146"/>
      <c r="AC224" s="2147"/>
      <c r="AD224" s="2156">
        <f>人物卡!V26</f>
        <v>0.0</v>
      </c>
      <c r="AE224" s="2152" t="s">
        <v>3215</v>
      </c>
      <c r="AF224" s="2153" t="str">
        <f>VLOOKUP(AF226,Z243:AC263,3,FALSE)</f>
        <v>0.5</v>
      </c>
      <c r="AG224" s="1904" t="str">
        <f>VLOOKUP(AF226,AE243:AH263,3,FALSE)</f>
        <v>0.5</v>
      </c>
      <c r="AH224" s="2132"/>
      <c r="BC224" s="2086" t="s">
        <v>3217</v>
      </c>
    </row>
    <row r="225" spans="8:8" ht="18.0" customHeight="1">
      <c r="M225" s="2118" t="s">
        <v>2216</v>
      </c>
      <c r="N225" s="2119">
        <v>5.0</v>
      </c>
      <c r="O225" s="2118" t="s">
        <v>1383</v>
      </c>
      <c r="P225" s="2119">
        <v>1.0</v>
      </c>
      <c r="Q225" s="2157" t="s">
        <v>2710</v>
      </c>
      <c r="R225" s="2158">
        <v>10.0</v>
      </c>
      <c r="T225" s="2143"/>
      <c r="U225" s="2124" t="s">
        <v>1360</v>
      </c>
      <c r="V225" s="2125">
        <v>20.0</v>
      </c>
      <c r="Z225" s="2159" t="str">
        <f>LOOKUP(AD222,{0,1,10,50,90,99},{"身无分文","贫穷","标准","小康","富裕","富豪"})</f>
        <v>身无分文</v>
      </c>
      <c r="AA225" s="2160"/>
      <c r="AB225" s="2146"/>
      <c r="AC225" s="2147"/>
      <c r="AD225" s="2132"/>
      <c r="AE225" s="2161" t="s">
        <v>178</v>
      </c>
      <c r="AF225" s="2162" t="str">
        <f>VLOOKUP(AF226,Z243:AC263,4,FALSE)</f>
        <v>没有</v>
      </c>
      <c r="AG225" s="2156" t="str">
        <f>VLOOKUP(AF226,AE243:AH263,4,FALSE)</f>
        <v>没有</v>
      </c>
      <c r="AH225" s="2132"/>
      <c r="BC225" s="2086" t="s">
        <v>3219</v>
      </c>
    </row>
    <row r="226" spans="8:8" ht="18.0" customHeight="1">
      <c r="M226" s="2120" t="s">
        <v>1344</v>
      </c>
      <c r="N226" s="2127">
        <v>5.0</v>
      </c>
      <c r="O226" s="2120" t="s">
        <v>3012</v>
      </c>
      <c r="P226" s="2127">
        <v>1.0</v>
      </c>
      <c r="Q226" s="2157" t="str">
        <f>IF(ISBLANK(人物卡!AU26),"",人物卡!AU26)</f>
        <v/>
      </c>
      <c r="R226" s="2163" t="str">
        <f>IF(ISBLANK(人物卡!BA26),"",人物卡!BA26)</f>
        <v/>
      </c>
      <c r="T226" s="2143"/>
      <c r="U226" s="2164" t="s">
        <v>1359</v>
      </c>
      <c r="V226" s="2165">
        <v>20.0</v>
      </c>
      <c r="Z226" s="2166" t="s">
        <v>177</v>
      </c>
      <c r="AA226" s="2167"/>
      <c r="AB226" s="2146"/>
      <c r="AC226" s="2147"/>
      <c r="AD226" s="2132"/>
      <c r="AE226" s="2168" t="s">
        <v>3218</v>
      </c>
      <c r="AF226" s="2169" t="str">
        <f>人物卡!S62</f>
        <v>美元</v>
      </c>
      <c r="AG226" s="2132"/>
      <c r="AH226" s="2132"/>
      <c r="BC226" s="2086" t="s">
        <v>206</v>
      </c>
    </row>
    <row r="227" spans="8:8" ht="18.0" customHeight="1">
      <c r="M227" s="2118" t="s">
        <v>2233</v>
      </c>
      <c r="N227" s="2119">
        <v>5.0</v>
      </c>
      <c r="O227" s="2118" t="s">
        <v>3018</v>
      </c>
      <c r="P227" s="2125">
        <v>1.0</v>
      </c>
      <c r="Q227" s="2143"/>
      <c r="T227" s="2143"/>
      <c r="U227" s="2170" t="str">
        <f>IF(ISBLANK(人物卡!AU26),"",人物卡!AU26)</f>
        <v/>
      </c>
      <c r="V227" s="2163" t="str">
        <f>IF(ISBLANK(人物卡!BA26),"",人物卡!BA26)</f>
        <v/>
      </c>
      <c r="Z227" s="2171" t="str">
        <f>IF(AF227="1920s",IF(AD222=0,"0.5",IF(AND(AD222&gt;0,AD222&lt;10),"2",IF(AND(AD222&gt;9,AD222&lt;50),"10",IF(AND(AD222&gt;49,AD222&lt;90),"50",IF(AND(AD222&gt;89,AD222&lt;99),"250",IF(AD222&gt;=99,"5000","信誉异常")))))),IF(AF227="现代",IF(AD222=0,"10",IF(AND(AD222&gt;0,AD222&lt;10),"40",IF(AND(AD222&gt;9,AD222&lt;50),"200",IF(AND(AD222&gt;49,AD222&lt;90),"1000",IF(AND(AD222&gt;89,AD222&lt;99),"5000",IF(AD222&gt;=99,"100000","信誉异常")))))),IF(AF227="其他","——","信誉异常")))</f>
        <v>0.5</v>
      </c>
      <c r="AA227" s="2172"/>
      <c r="AB227" s="2146"/>
      <c r="AC227" s="2147"/>
      <c r="AD227" s="2132"/>
      <c r="AE227" s="2173" t="s">
        <v>3220</v>
      </c>
      <c r="AF227" s="1895" t="str">
        <f>人物卡!M4</f>
        <v>1920s</v>
      </c>
      <c r="AG227" s="2132"/>
      <c r="AH227" s="2132"/>
      <c r="BC227" s="2086" t="s">
        <v>3222</v>
      </c>
    </row>
    <row r="228" spans="8:8" ht="18.0" customHeight="1">
      <c r="M228" s="2120" t="s">
        <v>2242</v>
      </c>
      <c r="N228" s="2127">
        <v>5.0</v>
      </c>
      <c r="O228" s="2120" t="s">
        <v>3024</v>
      </c>
      <c r="P228" s="2121">
        <v>1.0</v>
      </c>
      <c r="Q228" s="2143"/>
      <c r="T228" s="2143"/>
      <c r="U228" s="2119"/>
      <c r="V228" s="2119"/>
      <c r="Z228" s="2174" t="s">
        <v>178</v>
      </c>
      <c r="AA228" s="2175"/>
      <c r="AB228" s="2146"/>
      <c r="AC228" s="2147"/>
      <c r="AD228" s="2132"/>
      <c r="AE228" s="2176" t="s">
        <v>3221</v>
      </c>
      <c r="AF228" s="2177"/>
      <c r="AG228" s="2178"/>
      <c r="AH228" s="2132"/>
      <c r="BC228" s="2086" t="s">
        <v>3223</v>
      </c>
    </row>
    <row r="229" spans="8:8" ht="18.0" customHeight="1">
      <c r="M229" s="2118" t="s">
        <v>2249</v>
      </c>
      <c r="N229" s="2119">
        <v>5.0</v>
      </c>
      <c r="O229" s="2118" t="s">
        <v>3030</v>
      </c>
      <c r="P229" s="2125">
        <v>1.0</v>
      </c>
      <c r="Q229" s="2143"/>
      <c r="T229" s="2143"/>
      <c r="U229" s="2119"/>
      <c r="V229" s="2119"/>
      <c r="Z229" s="2179" t="str">
        <f>IF(AF227="1920s",IF(AD222=0,"没有",IF(AND(AD222&gt;0,AD222&lt;10),AD222*10,IF(AND(AD222&gt;9,AD222&lt;50),AD222*50,IF(AND(AD222&gt;49,AD222&lt;90),AD222*500,IF(AND(AD222&gt;89,AD222&lt;99),AD222*2000,IF(AD222&gt;=99,"5000000","信誉异常")))))),IF(AF227="现代",IF(AD222=0,"没有",IF(AND(AD222&gt;0,AD222&lt;10),AD222*200,IF(AND(AD222&gt;9,AD222&lt;50),AD222*1000,IF(AND(AD222&gt;49,AD222&lt;90),AD222*10000,IF(AND(AD222&gt;89,AD222&lt;99),AD222*40000,IF(AD222&gt;=99,"100000000","信誉异常")))))),IF(AF227="其他","——","信誉异常")))</f>
        <v>没有</v>
      </c>
      <c r="AA229" s="2180"/>
      <c r="AB229" s="2146"/>
      <c r="AC229" s="2147"/>
      <c r="AD229" s="2132"/>
      <c r="AE229" s="2181" t="s">
        <v>177</v>
      </c>
      <c r="AF229" s="2182" t="s">
        <v>3215</v>
      </c>
      <c r="AG229" s="2183" t="s">
        <v>178</v>
      </c>
      <c r="AH229" s="2132"/>
      <c r="BC229" s="2086" t="s">
        <v>3224</v>
      </c>
    </row>
    <row r="230" spans="8:8" ht="18.0" customHeight="1">
      <c r="M230" s="2120" t="s">
        <v>1350</v>
      </c>
      <c r="N230" s="2127">
        <v>5.0</v>
      </c>
      <c r="O230" s="2120" t="s">
        <v>3035</v>
      </c>
      <c r="P230" s="2121">
        <v>1.0</v>
      </c>
      <c r="Q230" s="2143"/>
      <c r="T230" s="2143"/>
      <c r="U230" s="2119"/>
      <c r="V230" s="2119"/>
      <c r="Z230" s="2144" t="s">
        <v>179</v>
      </c>
      <c r="AA230" s="2175"/>
      <c r="AB230" s="2146"/>
      <c r="AC230" s="2147"/>
      <c r="AD230" s="2132"/>
      <c r="AE230" s="2184" t="str">
        <f>IF(AF227="1920s",AG223,IF(AF227="现代",AF223,IF(AF227="其他","——")))</f>
        <v>0.5</v>
      </c>
      <c r="AF230" s="2162" t="str">
        <f>IF(AF227="1920s",AG224,IF(AF227="现代",AF224,IF(AF227="其他","——")))</f>
        <v>0.5</v>
      </c>
      <c r="AG230" s="2156" t="str">
        <f>IF(AF227="1920s",AG225,IF(AF227="现代",AF225,IF(AF227="其他","——")))</f>
        <v>没有</v>
      </c>
      <c r="AH230" s="2132"/>
      <c r="BC230" s="2086" t="s">
        <v>3225</v>
      </c>
    </row>
    <row r="231" spans="8:8" ht="18.0" customHeight="1">
      <c r="M231" s="2118" t="s">
        <v>2268</v>
      </c>
      <c r="N231" s="2119">
        <v>5.0</v>
      </c>
      <c r="O231" s="2157" t="s">
        <v>3041</v>
      </c>
      <c r="P231" s="2158">
        <v>1.0</v>
      </c>
      <c r="Q231" s="2143"/>
      <c r="T231" s="2143"/>
      <c r="U231" s="2119"/>
      <c r="V231" s="2119"/>
      <c r="Z231" s="2185" t="str">
        <f>IF(AF227="1920s",IF(AD222=0,"0.5",IF(AND(AD222&gt;0,AD222&lt;10),AD222,IF(AND(AD222&gt;9,AD222&lt;50),AD222*2,IF(AND(AD222&gt;49,AD222&lt;90),AD222*5,IF(AND(AD222&gt;89,AD222&lt;99),AD222*20,IF(AD222&gt;=99,"50000","信誉异常")))))),IF(AF227="现代",IF(AD222=0,"10",IF(AND(AD222&gt;0,AD222&lt;10),AD222*20,IF(AND(AD222&gt;9,AD222&lt;50),AD222*40,IF(AND(AD222&gt;49,AD222&lt;90),AD222*100,IF(AND(AD222&gt;89,AD222&lt;99),AD222*400,IF(AD222&gt;=99,"1000000","信誉异常")))))),IF(AF227="其他","——","信誉异常")))</f>
        <v>0.5</v>
      </c>
      <c r="AA231" s="2186"/>
      <c r="AB231" s="2187"/>
      <c r="AC231" s="2188"/>
      <c r="AD231" s="2132"/>
      <c r="AE231" s="2189">
        <f>ABS(AE230)</f>
        <v>0.5</v>
      </c>
      <c r="AF231" s="2189">
        <f>ABS(AF230)</f>
        <v>0.5</v>
      </c>
      <c r="AG231" s="2189">
        <f>IF(AG230="没有",0,ABS(AG230))</f>
        <v>0.0</v>
      </c>
      <c r="AH231" s="2132"/>
      <c r="BC231" s="2086" t="s">
        <v>3227</v>
      </c>
    </row>
    <row r="232" spans="8:8" ht="18.0" customHeight="1">
      <c r="M232" s="2120" t="s">
        <v>2280</v>
      </c>
      <c r="N232" s="2127">
        <v>5.0</v>
      </c>
      <c r="O232" s="2157" t="str">
        <f>IF(ISBLANK(人物卡!AU26),"",人物卡!AU26)</f>
        <v/>
      </c>
      <c r="P232" s="2163" t="str">
        <f>IF(ISBLANK(人物卡!BA26),"",人物卡!BA26)</f>
        <v/>
      </c>
      <c r="Q232" s="2143"/>
      <c r="T232" s="2143"/>
      <c r="U232" s="2119"/>
      <c r="V232" s="2119"/>
      <c r="Z232" s="2132"/>
      <c r="AA232" s="2132"/>
      <c r="AB232" s="2132"/>
      <c r="AC232" s="2132"/>
      <c r="AD232" s="2132"/>
      <c r="AE232" s="2176" t="s">
        <v>3226</v>
      </c>
      <c r="AF232" s="2177"/>
      <c r="AG232" s="2178"/>
      <c r="AH232" s="2132"/>
      <c r="BC232" s="2086" t="s">
        <v>3229</v>
      </c>
    </row>
    <row r="233" spans="8:8" ht="18.0" customHeight="1">
      <c r="M233" s="2118" t="s">
        <v>1343</v>
      </c>
      <c r="N233" s="2125">
        <v>5.0</v>
      </c>
      <c r="Q233" s="2143"/>
      <c r="T233" s="2143"/>
      <c r="Z233" s="2176" t="s">
        <v>3228</v>
      </c>
      <c r="AA233" s="2177"/>
      <c r="AB233" s="2177"/>
      <c r="AC233" s="2178"/>
      <c r="AD233" s="2132"/>
      <c r="AE233" s="2181" t="s">
        <v>177</v>
      </c>
      <c r="AF233" s="2182" t="s">
        <v>3215</v>
      </c>
      <c r="AG233" s="2183" t="s">
        <v>178</v>
      </c>
      <c r="AH233" s="2132"/>
      <c r="BC233" s="2086" t="s">
        <v>3230</v>
      </c>
    </row>
    <row r="234" spans="8:8" ht="18.0" customHeight="1">
      <c r="M234" s="2120" t="s">
        <v>2300</v>
      </c>
      <c r="N234" s="2121">
        <v>5.0</v>
      </c>
      <c r="Q234" s="2143"/>
      <c r="R234" s="2190"/>
      <c r="Z234" s="2191"/>
      <c r="AA234" s="2182" t="s">
        <v>177</v>
      </c>
      <c r="AB234" s="2182" t="s">
        <v>3215</v>
      </c>
      <c r="AC234" s="2183" t="s">
        <v>178</v>
      </c>
      <c r="AD234" s="1968"/>
      <c r="AE234" s="2184" t="str">
        <f>AE230/10000&amp;"万"</f>
        <v>0.00005万</v>
      </c>
      <c r="AF234" s="2162" t="str">
        <f>AF230/10000&amp;"万"</f>
        <v>0.00005万</v>
      </c>
      <c r="AG234" s="2156" t="str">
        <f>IF(AG230="没有","没有",AG230/10000&amp;"万")</f>
        <v>没有</v>
      </c>
      <c r="AH234" s="2132"/>
      <c r="BC234" s="2086" t="s">
        <v>3232</v>
      </c>
    </row>
    <row r="235" spans="8:8" ht="18.0" customHeight="1">
      <c r="M235" s="2118" t="s">
        <v>2310</v>
      </c>
      <c r="N235" s="2125">
        <v>5.0</v>
      </c>
      <c r="Q235" s="2143"/>
      <c r="R235" s="2190"/>
      <c r="S235" s="2192"/>
      <c r="T235" s="2143"/>
      <c r="Z235" s="2191" t="s">
        <v>3226</v>
      </c>
      <c r="AA235" s="2153">
        <f>IF((AE231&gt;=AA237),1,0)</f>
        <v>0.0</v>
      </c>
      <c r="AB235" s="2153">
        <f>IF(AF231&gt;=AA237,1,0)</f>
        <v>0.0</v>
      </c>
      <c r="AC235" s="1904">
        <f>IF(AG231&gt;=AA237,1,0)</f>
        <v>0.0</v>
      </c>
      <c r="AD235" s="2132"/>
      <c r="AE235" s="2176" t="s">
        <v>3231</v>
      </c>
      <c r="AF235" s="2177"/>
      <c r="AG235" s="2178"/>
      <c r="AH235" s="2132"/>
      <c r="BC235" s="2086" t="s">
        <v>206</v>
      </c>
    </row>
    <row r="236" spans="8:8" ht="18.0" customHeight="1">
      <c r="M236" s="2120" t="s">
        <v>1355</v>
      </c>
      <c r="N236" s="2121">
        <v>5.0</v>
      </c>
      <c r="Q236" s="2143"/>
      <c r="R236" s="2190"/>
      <c r="S236" s="2192"/>
      <c r="X236" s="2193"/>
      <c r="Z236" s="2194" t="s">
        <v>3231</v>
      </c>
      <c r="AA236" s="2162">
        <f>IF(AE231&gt;=AC237,1,0)</f>
        <v>0.0</v>
      </c>
      <c r="AB236" s="2162">
        <f>IF(AF231&gt;=AC237,1,0)</f>
        <v>0.0</v>
      </c>
      <c r="AC236" s="2156">
        <f>IF(AG231&gt;=AC237,1,0)</f>
        <v>0.0</v>
      </c>
      <c r="AD236" s="2132"/>
      <c r="AE236" s="2181" t="s">
        <v>177</v>
      </c>
      <c r="AF236" s="2182" t="s">
        <v>3215</v>
      </c>
      <c r="AG236" s="2183" t="s">
        <v>178</v>
      </c>
      <c r="AH236" s="2132"/>
      <c r="BC236" s="2086" t="s">
        <v>3233</v>
      </c>
    </row>
    <row r="237" spans="8:8" ht="18.0" customHeight="1">
      <c r="M237" s="2118" t="s">
        <v>2328</v>
      </c>
      <c r="N237" s="2125">
        <v>5.0</v>
      </c>
      <c r="Q237" s="2143"/>
      <c r="R237" s="2190"/>
      <c r="S237" s="2192"/>
      <c r="Z237" s="2132"/>
      <c r="AA237" s="2189">
        <v>10000.0</v>
      </c>
      <c r="AB237" s="2132"/>
      <c r="AC237" s="2195">
        <v>1.0E8</v>
      </c>
      <c r="AD237" s="2132"/>
      <c r="AE237" s="2184" t="str">
        <f>AE230/100000000&amp;"亿"</f>
        <v>0.000000005亿</v>
      </c>
      <c r="AF237" s="2162" t="str">
        <f>AF230/100000000&amp;"亿"</f>
        <v>0.000000005亿</v>
      </c>
      <c r="AG237" s="2156" t="str">
        <f>IF(AG230="没有","没有",AG230/100000000&amp;"亿")</f>
        <v>没有</v>
      </c>
      <c r="AH237" s="2132"/>
      <c r="BC237" s="2086" t="s">
        <v>3234</v>
      </c>
    </row>
    <row r="238" spans="8:8" ht="18.0" customHeight="1">
      <c r="M238" s="2120" t="s">
        <v>2341</v>
      </c>
      <c r="N238" s="2121">
        <v>5.0</v>
      </c>
      <c r="Q238" s="2143"/>
      <c r="R238" s="2190"/>
      <c r="S238" s="2192"/>
      <c r="Z238" s="2132"/>
      <c r="AA238" s="2132"/>
      <c r="AB238" s="2132"/>
      <c r="AC238" s="2132"/>
      <c r="AD238" s="2132"/>
      <c r="AE238" s="2176" t="s">
        <v>1446</v>
      </c>
      <c r="AF238" s="2177"/>
      <c r="AG238" s="2178"/>
      <c r="AH238" s="2132"/>
      <c r="BC238" s="2086" t="s">
        <v>3235</v>
      </c>
    </row>
    <row r="239" spans="8:8" ht="18.0" customHeight="1">
      <c r="M239" s="2118" t="s">
        <v>1337</v>
      </c>
      <c r="N239" s="2125">
        <v>5.0</v>
      </c>
      <c r="Q239" s="2143"/>
      <c r="R239" s="2190"/>
      <c r="S239" s="2192"/>
      <c r="Z239" s="2132"/>
      <c r="AA239" s="2132"/>
      <c r="AB239" s="2132"/>
      <c r="AC239" s="2132"/>
      <c r="AD239" s="2132"/>
      <c r="AE239" s="2181" t="s">
        <v>177</v>
      </c>
      <c r="AF239" s="2182" t="s">
        <v>3215</v>
      </c>
      <c r="AG239" s="2183" t="s">
        <v>178</v>
      </c>
      <c r="AH239" s="2132"/>
      <c r="BC239" s="2086" t="s">
        <v>3236</v>
      </c>
    </row>
    <row r="240" spans="8:8" ht="18.0" customHeight="1">
      <c r="M240" s="2120" t="s">
        <v>2360</v>
      </c>
      <c r="N240" s="2121">
        <v>5.0</v>
      </c>
      <c r="Q240" s="2143"/>
      <c r="R240" s="2190"/>
      <c r="S240" s="2192"/>
      <c r="AE240" s="2184" t="str">
        <f>IF(AF227="其他",AE230,IF(AA236=1,AE237,IF(AA235=1,AE234,AE230)))</f>
        <v>0.5</v>
      </c>
      <c r="AF240" s="2162" t="str">
        <f>IF(AF227="其他",AE230,IF(AB236=1,AF237,IF(AB235=1,AF234,AF230)))</f>
        <v>0.5</v>
      </c>
      <c r="AG240" s="2156" t="str">
        <f>IF(AF227="其他",AE230,IF(AC236=1,AG237,IF(AC235=1,AG234,AG230)))</f>
        <v>没有</v>
      </c>
      <c r="BC240" s="2086" t="s">
        <v>206</v>
      </c>
    </row>
    <row r="241" spans="8:8" ht="18.0" customHeight="1">
      <c r="M241" s="2118" t="s">
        <v>2369</v>
      </c>
      <c r="N241" s="2125">
        <v>5.0</v>
      </c>
      <c r="Q241" s="2143"/>
      <c r="R241" s="2190"/>
      <c r="S241" s="2192"/>
      <c r="Z241" s="2196" t="s">
        <v>3237</v>
      </c>
      <c r="AA241" s="2197"/>
      <c r="AB241" s="2197"/>
      <c r="AC241" s="2197"/>
      <c r="AD241" s="2197"/>
      <c r="AE241" s="2197"/>
      <c r="AF241" s="2197"/>
      <c r="AG241" s="2198"/>
      <c r="BC241" s="2086" t="s">
        <v>3238</v>
      </c>
    </row>
    <row r="242" spans="8:8" ht="18.0" customHeight="1">
      <c r="M242" s="2199" t="s">
        <v>1342</v>
      </c>
      <c r="N242" s="1840">
        <v>5.0</v>
      </c>
      <c r="Q242" s="2143"/>
      <c r="R242" s="2190"/>
      <c r="Z242" s="2200"/>
      <c r="AA242" s="1996" t="s">
        <v>177</v>
      </c>
      <c r="AB242" s="1996" t="s">
        <v>3215</v>
      </c>
      <c r="AC242" s="1996" t="s">
        <v>178</v>
      </c>
      <c r="AD242" s="2201"/>
      <c r="AE242" s="2202"/>
      <c r="AF242" s="1996" t="s">
        <v>177</v>
      </c>
      <c r="AG242" s="1996" t="s">
        <v>3215</v>
      </c>
      <c r="AH242" s="1997" t="s">
        <v>178</v>
      </c>
      <c r="BC242" s="2086" t="s">
        <v>3239</v>
      </c>
    </row>
    <row r="243" spans="8:8" ht="18.0" customHeight="1">
      <c r="M243" s="2118" t="s">
        <v>2387</v>
      </c>
      <c r="N243" s="1816">
        <v>5.0</v>
      </c>
      <c r="Q243" s="2143"/>
      <c r="R243" s="2190"/>
      <c r="S243" s="2192"/>
      <c r="Z243" s="1844" t="s">
        <v>182</v>
      </c>
      <c r="AA243" s="1848" t="str">
        <f>Z227</f>
        <v>0.5</v>
      </c>
      <c r="AB243" s="1848" t="str">
        <f>Z231</f>
        <v>0.5</v>
      </c>
      <c r="AC243" s="1848" t="str">
        <f>Z229</f>
        <v>没有</v>
      </c>
      <c r="AD243" s="1848"/>
      <c r="AE243" s="1844" t="s">
        <v>182</v>
      </c>
      <c r="AF243" s="1848" t="str">
        <f>Z227</f>
        <v>0.5</v>
      </c>
      <c r="AG243" s="1848" t="str">
        <f>Z231</f>
        <v>0.5</v>
      </c>
      <c r="AH243" s="1913" t="str">
        <f>Z229</f>
        <v>没有</v>
      </c>
      <c r="BC243" s="2086" t="s">
        <v>3242</v>
      </c>
    </row>
    <row r="244" spans="8:8" ht="18.0" customHeight="1">
      <c r="M244" s="2199" t="s">
        <v>2394</v>
      </c>
      <c r="N244" s="1840">
        <v>5.0</v>
      </c>
      <c r="Q244" s="2143"/>
      <c r="R244" s="2190"/>
      <c r="S244" s="2192"/>
      <c r="Z244" s="1817" t="s">
        <v>3240</v>
      </c>
      <c r="AE244" s="1817" t="s">
        <v>3241</v>
      </c>
      <c r="AH244" s="1811"/>
      <c r="BC244" s="2086" t="s">
        <v>206</v>
      </c>
    </row>
    <row r="245" spans="8:8" ht="18.0" customHeight="1">
      <c r="M245" s="2118" t="s">
        <v>2401</v>
      </c>
      <c r="N245" s="1816">
        <v>5.0</v>
      </c>
      <c r="Q245" s="2143"/>
      <c r="R245" s="2190"/>
      <c r="S245" s="2192"/>
      <c r="Y245" s="1818"/>
      <c r="Z245" s="2203" t="s">
        <v>3243</v>
      </c>
      <c r="AA245" s="2204">
        <f>Z227*AD245</f>
        <v>3.515</v>
      </c>
      <c r="AB245" s="2204">
        <f>Z231*AD245</f>
        <v>3.515</v>
      </c>
      <c r="AC245" s="2204" t="str">
        <f>IF(Z229="没有","没有",Z229*AD245)</f>
        <v>没有</v>
      </c>
      <c r="AD245" s="1818">
        <v>7.03</v>
      </c>
      <c r="AE245" s="2203" t="s">
        <v>3243</v>
      </c>
      <c r="AF245" s="2205">
        <f t="shared" si="4" ref="AF245:AH247">AA245</f>
        <v>3.515</v>
      </c>
      <c r="AG245" s="2205">
        <f t="shared" si="4"/>
        <v>3.515</v>
      </c>
      <c r="AH245" s="2206" t="str">
        <f t="shared" si="4"/>
        <v>没有</v>
      </c>
      <c r="AI245" s="1818"/>
      <c r="BC245" s="2086" t="s">
        <v>3245</v>
      </c>
    </row>
    <row r="246" spans="8:8" ht="18.0" customHeight="1">
      <c r="M246" s="2207" t="s">
        <v>2410</v>
      </c>
      <c r="N246" s="2208">
        <v>5.0</v>
      </c>
      <c r="Y246" s="1818"/>
      <c r="Z246" s="2209" t="s">
        <v>3244</v>
      </c>
      <c r="AA246" s="2210">
        <f>附表!Z227*AD246</f>
        <v>3.915</v>
      </c>
      <c r="AB246" s="2210">
        <f>附表!Z231*AD246</f>
        <v>3.915</v>
      </c>
      <c r="AC246" s="2205" t="str">
        <f>IF(Z229="没有","没有",Z229*AD246)</f>
        <v>没有</v>
      </c>
      <c r="AD246" s="1818">
        <v>7.83</v>
      </c>
      <c r="AE246" s="2209" t="s">
        <v>3244</v>
      </c>
      <c r="AF246" s="2205">
        <f t="shared" si="4"/>
        <v>3.915</v>
      </c>
      <c r="AG246" s="2205">
        <f t="shared" si="4"/>
        <v>3.915</v>
      </c>
      <c r="AH246" s="2206" t="str">
        <f t="shared" si="4"/>
        <v>没有</v>
      </c>
      <c r="AI246" s="1818"/>
      <c r="BC246" s="2086" t="s">
        <v>3247</v>
      </c>
    </row>
    <row r="247" spans="8:8" ht="18.0" customHeight="1">
      <c r="M247" s="2211" t="str">
        <f>IF(ISBLANK(人物卡!AU26),"",人物卡!AU26)</f>
        <v/>
      </c>
      <c r="N247" s="1843" t="str">
        <f>IF(ISBLANK(人物卡!BA26),"",人物卡!BA26)</f>
        <v/>
      </c>
      <c r="Y247" s="1818"/>
      <c r="Z247" s="2212" t="s">
        <v>3246</v>
      </c>
      <c r="AA247" s="2210">
        <f>Z227*AD247</f>
        <v>15.67</v>
      </c>
      <c r="AB247" s="2210">
        <f>Z231*AD247</f>
        <v>15.67</v>
      </c>
      <c r="AC247" s="2205" t="str">
        <f>IF(Z229="没有","没有",Z229*AD247)</f>
        <v>没有</v>
      </c>
      <c r="AD247" s="1818">
        <v>31.34</v>
      </c>
      <c r="AE247" s="2212" t="s">
        <v>3246</v>
      </c>
      <c r="AF247" s="2205">
        <f t="shared" si="4"/>
        <v>15.67</v>
      </c>
      <c r="AG247" s="2205">
        <f t="shared" si="4"/>
        <v>15.67</v>
      </c>
      <c r="AH247" s="2206" t="str">
        <f t="shared" si="4"/>
        <v>没有</v>
      </c>
      <c r="BC247" s="2086" t="s">
        <v>3249</v>
      </c>
    </row>
    <row r="248" spans="8:8" ht="18.0" customHeight="1">
      <c r="Y248" s="1818"/>
      <c r="Z248" s="2212" t="s">
        <v>3248</v>
      </c>
      <c r="AA248" s="2204">
        <f>Z227*AD248</f>
        <v>54.44</v>
      </c>
      <c r="AB248" s="2204">
        <f>Z231*AD248</f>
        <v>54.44</v>
      </c>
      <c r="AC248" s="2204" t="str">
        <f>IF(Z229="没有","没有",Z229*AD248)</f>
        <v>没有</v>
      </c>
      <c r="AD248" s="1818">
        <v>108.88</v>
      </c>
      <c r="AE248" s="2212" t="s">
        <v>3248</v>
      </c>
      <c r="AF248" s="2205">
        <f t="shared" si="5" ref="AF248:AH248">AA248</f>
        <v>54.44</v>
      </c>
      <c r="AG248" s="2205">
        <f t="shared" si="5"/>
        <v>54.44</v>
      </c>
      <c r="AH248" s="2206" t="str">
        <f t="shared" si="5"/>
        <v>没有</v>
      </c>
      <c r="AI248" s="1818"/>
      <c r="BC248" s="2086" t="s">
        <v>206</v>
      </c>
    </row>
    <row r="249" spans="8:8" ht="18.0" customHeight="1">
      <c r="Y249" s="1818"/>
      <c r="Z249" s="2212" t="s">
        <v>3250</v>
      </c>
      <c r="AA249" s="2210">
        <f>Z227*AD249</f>
        <v>586.705</v>
      </c>
      <c r="AB249" s="2210">
        <f>Z231*AD249</f>
        <v>586.705</v>
      </c>
      <c r="AC249" s="2205" t="str">
        <f>IF(Z229="没有","没有",Z229*AD249)</f>
        <v>没有</v>
      </c>
      <c r="AD249" s="1916">
        <v>1173.41</v>
      </c>
      <c r="AE249" s="2212" t="s">
        <v>3250</v>
      </c>
      <c r="AF249" s="2205">
        <f t="shared" si="6" ref="AF249:AH251">AA249</f>
        <v>586.705</v>
      </c>
      <c r="AG249" s="2205">
        <f t="shared" si="6"/>
        <v>586.705</v>
      </c>
      <c r="AH249" s="2206" t="str">
        <f t="shared" si="6"/>
        <v>没有</v>
      </c>
      <c r="AI249" s="1818"/>
      <c r="BC249" s="2086" t="s">
        <v>3252</v>
      </c>
    </row>
    <row r="250" spans="8:8" ht="18.0" customHeight="1">
      <c r="Y250" s="1818"/>
      <c r="Z250" s="2212" t="s">
        <v>3251</v>
      </c>
      <c r="AA250" s="2204">
        <f>Z227*AD250</f>
        <v>15.115</v>
      </c>
      <c r="AB250" s="2204">
        <f>Z231*AD250</f>
        <v>15.115</v>
      </c>
      <c r="AC250" s="2204" t="str">
        <f>IF(Z229="没有","没有",Z229*AD250)</f>
        <v>没有</v>
      </c>
      <c r="AD250" s="1818">
        <v>30.23</v>
      </c>
      <c r="AE250" s="2212" t="s">
        <v>3251</v>
      </c>
      <c r="AF250" s="2205">
        <f t="shared" si="6"/>
        <v>15.115</v>
      </c>
      <c r="AG250" s="2205">
        <f t="shared" si="6"/>
        <v>15.115</v>
      </c>
      <c r="AH250" s="2206" t="str">
        <f t="shared" si="6"/>
        <v>没有</v>
      </c>
      <c r="AI250" s="1818"/>
      <c r="BC250" s="2086" t="s">
        <v>3254</v>
      </c>
    </row>
    <row r="251" spans="8:8" ht="18.0" customHeight="1">
      <c r="Y251" s="1818"/>
      <c r="Z251" s="2209" t="s">
        <v>3253</v>
      </c>
      <c r="AA251" s="2204">
        <f>Z227*AD251</f>
        <v>0.685</v>
      </c>
      <c r="AB251" s="2204">
        <f>Z231*AD251</f>
        <v>0.685</v>
      </c>
      <c r="AC251" s="2204" t="str">
        <f>IF(Z229="没有","没有",Z229*AD251)</f>
        <v>没有</v>
      </c>
      <c r="AD251" s="1916">
        <v>1.37</v>
      </c>
      <c r="AE251" s="2209" t="s">
        <v>3253</v>
      </c>
      <c r="AF251" s="2205">
        <f t="shared" si="6"/>
        <v>0.685</v>
      </c>
      <c r="AG251" s="2205">
        <f t="shared" si="6"/>
        <v>0.685</v>
      </c>
      <c r="AH251" s="2206" t="str">
        <f t="shared" si="6"/>
        <v>没有</v>
      </c>
      <c r="AI251" s="1818"/>
      <c r="BC251" s="2086" t="s">
        <v>3257</v>
      </c>
    </row>
    <row r="252" spans="8:8" ht="18.0" customHeight="1">
      <c r="Y252" s="1818"/>
      <c r="Z252" s="1817" t="s">
        <v>3255</v>
      </c>
      <c r="AA252" s="1818"/>
      <c r="AB252" s="1818"/>
      <c r="AC252" s="1818"/>
      <c r="AD252" s="1818"/>
      <c r="AE252" s="1817" t="s">
        <v>3256</v>
      </c>
      <c r="AF252" s="1818"/>
      <c r="AG252" s="1818"/>
      <c r="AH252" s="1811"/>
      <c r="AI252" s="1818"/>
      <c r="BC252" s="2086" t="s">
        <v>206</v>
      </c>
    </row>
    <row r="253" spans="8:8" ht="18.0" customHeight="1">
      <c r="Y253" s="1818"/>
      <c r="Z253" s="2209" t="s">
        <v>3258</v>
      </c>
      <c r="AA253" s="2210">
        <f>附表!Z227*AD253</f>
        <v>0.455</v>
      </c>
      <c r="AB253" s="2210">
        <f>附表!Z231*AD253</f>
        <v>0.455</v>
      </c>
      <c r="AC253" s="2205" t="str">
        <f>IF(Z229="没有","没有",Z229*AD253)</f>
        <v>没有</v>
      </c>
      <c r="AD253" s="1818">
        <v>0.91</v>
      </c>
      <c r="AE253" s="2209" t="s">
        <v>3258</v>
      </c>
      <c r="AF253" s="2205">
        <f t="shared" si="7" ref="AF253:AH255">AA253</f>
        <v>0.455</v>
      </c>
      <c r="AG253" s="2205">
        <f t="shared" si="7"/>
        <v>0.455</v>
      </c>
      <c r="AH253" s="2206" t="str">
        <f t="shared" si="7"/>
        <v>没有</v>
      </c>
      <c r="AI253" s="2213"/>
      <c r="BC253" s="2086" t="s">
        <v>3260</v>
      </c>
    </row>
    <row r="254" spans="8:8" ht="18.0" customHeight="1">
      <c r="Z254" s="2212" t="s">
        <v>3259</v>
      </c>
      <c r="AA254" s="2210">
        <f>附表!Z227*AD254</f>
        <v>0.39</v>
      </c>
      <c r="AB254" s="2210">
        <f>附表!Z231*AD254</f>
        <v>0.39</v>
      </c>
      <c r="AC254" s="2205" t="str">
        <f>IF(Z229="没有","没有",Z229*AD254)</f>
        <v>没有</v>
      </c>
      <c r="AD254" s="1818">
        <v>0.78</v>
      </c>
      <c r="AE254" s="2212" t="s">
        <v>3259</v>
      </c>
      <c r="AF254" s="2205">
        <f t="shared" si="7"/>
        <v>0.39</v>
      </c>
      <c r="AG254" s="2205">
        <f t="shared" si="7"/>
        <v>0.39</v>
      </c>
      <c r="AH254" s="2206" t="str">
        <f t="shared" si="7"/>
        <v>没有</v>
      </c>
      <c r="BC254" s="2086" t="s">
        <v>3262</v>
      </c>
    </row>
    <row r="255" spans="8:8" ht="18.0" customHeight="1">
      <c r="Z255" s="2212" t="s">
        <v>3261</v>
      </c>
      <c r="AA255" s="2210">
        <f>附表!Z227*AD255</f>
        <v>31.95</v>
      </c>
      <c r="AB255" s="2210">
        <f>附表!Z231*AD255</f>
        <v>31.95</v>
      </c>
      <c r="AC255" s="2205" t="str">
        <f>IF(Z229="没有","没有",Z229*AD255)</f>
        <v>没有</v>
      </c>
      <c r="AD255" s="2214">
        <v>63.9</v>
      </c>
      <c r="AE255" s="2212" t="s">
        <v>3261</v>
      </c>
      <c r="AF255" s="2205">
        <f t="shared" si="7"/>
        <v>31.95</v>
      </c>
      <c r="AG255" s="2205">
        <f t="shared" si="7"/>
        <v>31.95</v>
      </c>
      <c r="AH255" s="2206" t="str">
        <f t="shared" si="7"/>
        <v>没有</v>
      </c>
      <c r="BC255" s="2086" t="s">
        <v>3265</v>
      </c>
    </row>
    <row r="256" spans="8:8" ht="18.0" customHeight="1">
      <c r="Z256" s="1817" t="s">
        <v>3263</v>
      </c>
      <c r="AA256" s="1818"/>
      <c r="AB256" s="1818"/>
      <c r="AC256" s="1818"/>
      <c r="AD256" s="1818"/>
      <c r="AE256" s="1817" t="s">
        <v>3264</v>
      </c>
      <c r="AF256" s="1818"/>
      <c r="AG256" s="1818"/>
      <c r="AH256" s="1811"/>
      <c r="BC256" s="2086" t="s">
        <v>3267</v>
      </c>
    </row>
    <row r="257" spans="8:8" ht="18.0" customHeight="1">
      <c r="Z257" s="2209" t="s">
        <v>3266</v>
      </c>
      <c r="AA257" s="2210">
        <f>Z227*AD257</f>
        <v>0.665</v>
      </c>
      <c r="AB257" s="2210">
        <f>Z231*AD257</f>
        <v>0.665</v>
      </c>
      <c r="AC257" s="2205" t="str">
        <f>IF(Z229="没有","没有",Z229*AD257)</f>
        <v>没有</v>
      </c>
      <c r="AD257" s="2215">
        <v>1.33</v>
      </c>
      <c r="AE257" s="2209" t="s">
        <v>3266</v>
      </c>
      <c r="AF257" s="2205">
        <f t="shared" si="8" ref="AF257:AH259">AA257</f>
        <v>0.665</v>
      </c>
      <c r="AG257" s="2205">
        <f t="shared" si="8"/>
        <v>0.665</v>
      </c>
      <c r="AH257" s="2206" t="str">
        <f t="shared" si="8"/>
        <v>没有</v>
      </c>
      <c r="BC257" s="2086" t="s">
        <v>3269</v>
      </c>
    </row>
    <row r="258" spans="8:8" ht="18.0" customHeight="1">
      <c r="Z258" s="2209" t="s">
        <v>3268</v>
      </c>
      <c r="AA258" s="2204">
        <f>Z227*AD258</f>
        <v>9.7</v>
      </c>
      <c r="AB258" s="2204">
        <f>Z231*AD258</f>
        <v>9.7</v>
      </c>
      <c r="AC258" s="2204" t="str">
        <f>IF(Z229="没有","没有",Z229*AD258)</f>
        <v>没有</v>
      </c>
      <c r="AD258" s="2216">
        <v>19.4</v>
      </c>
      <c r="AE258" s="2209" t="s">
        <v>3268</v>
      </c>
      <c r="AF258" s="2205">
        <f t="shared" si="8"/>
        <v>9.7</v>
      </c>
      <c r="AG258" s="2205">
        <f t="shared" si="8"/>
        <v>9.7</v>
      </c>
      <c r="AH258" s="2206" t="str">
        <f t="shared" si="8"/>
        <v>没有</v>
      </c>
      <c r="BC258" s="2086" t="s">
        <v>206</v>
      </c>
    </row>
    <row r="259" spans="8:8" ht="18.0" customHeight="1">
      <c r="Z259" s="2212" t="s">
        <v>3270</v>
      </c>
      <c r="AA259" s="2204">
        <f>Z227*AD259</f>
        <v>2.015</v>
      </c>
      <c r="AB259" s="2204">
        <f>Z231*AD259</f>
        <v>2.015</v>
      </c>
      <c r="AC259" s="2204" t="str">
        <f>IF(Z229="没有","没有",Z229*AD259)</f>
        <v>没有</v>
      </c>
      <c r="AD259" s="1818">
        <v>4.03</v>
      </c>
      <c r="AE259" s="2212" t="s">
        <v>3270</v>
      </c>
      <c r="AF259" s="2205">
        <f t="shared" si="8"/>
        <v>2.015</v>
      </c>
      <c r="AG259" s="2205">
        <f t="shared" si="8"/>
        <v>2.015</v>
      </c>
      <c r="AH259" s="2206" t="str">
        <f t="shared" si="8"/>
        <v>没有</v>
      </c>
      <c r="BC259" s="2086" t="s">
        <v>3272</v>
      </c>
    </row>
    <row r="260" spans="8:8" ht="18.0" customHeight="1">
      <c r="Z260" s="1817" t="s">
        <v>3271</v>
      </c>
      <c r="AA260" s="1818"/>
      <c r="AB260" s="1818"/>
      <c r="AC260" s="1818"/>
      <c r="AD260" s="1818"/>
      <c r="AE260" s="1817" t="s">
        <v>1773</v>
      </c>
      <c r="AF260" s="1818"/>
      <c r="AG260" s="1818"/>
      <c r="AH260" s="1811"/>
      <c r="BC260" s="2086" t="s">
        <v>3274</v>
      </c>
    </row>
    <row r="261" spans="8:8" ht="18.0" customHeight="1">
      <c r="Y261" s="1819"/>
      <c r="Z261" s="2209" t="s">
        <v>3273</v>
      </c>
      <c r="AA261" s="2204">
        <f>Z227*AD261</f>
        <v>0.74</v>
      </c>
      <c r="AB261" s="2204">
        <f>Z231*AD261</f>
        <v>0.74</v>
      </c>
      <c r="AC261" s="2204" t="str">
        <f>IF(Z229="没有","没有",Z229*AD261)</f>
        <v>没有</v>
      </c>
      <c r="AD261" s="1818">
        <v>1.48</v>
      </c>
      <c r="AE261" s="2209" t="s">
        <v>3273</v>
      </c>
      <c r="AF261" s="2205">
        <f t="shared" si="9" ref="AF261:AH262">AA261</f>
        <v>0.74</v>
      </c>
      <c r="AG261" s="2205">
        <f t="shared" si="9"/>
        <v>0.74</v>
      </c>
      <c r="AH261" s="2206" t="str">
        <f t="shared" si="9"/>
        <v>没有</v>
      </c>
      <c r="AI261" s="1819"/>
      <c r="BC261" s="2086" t="s">
        <v>3276</v>
      </c>
    </row>
    <row r="262" spans="8:8" ht="18.0" customHeight="1">
      <c r="Z262" s="2209" t="s">
        <v>3275</v>
      </c>
      <c r="AA262" s="2204">
        <f>Z227*AD262</f>
        <v>7.385</v>
      </c>
      <c r="AB262" s="2204">
        <f>Z231*AD262</f>
        <v>7.385</v>
      </c>
      <c r="AC262" s="2204" t="str">
        <f>IF(Z229="没有","没有",Z229*AD262)</f>
        <v>没有</v>
      </c>
      <c r="AD262" s="1916">
        <v>14.77</v>
      </c>
      <c r="AE262" s="2209" t="s">
        <v>3275</v>
      </c>
      <c r="AF262" s="2205">
        <f t="shared" si="9"/>
        <v>7.385</v>
      </c>
      <c r="AG262" s="2205">
        <f t="shared" si="9"/>
        <v>7.385</v>
      </c>
      <c r="AH262" s="2206" t="str">
        <f t="shared" si="9"/>
        <v>没有</v>
      </c>
      <c r="BC262" s="2086" t="s">
        <v>206</v>
      </c>
    </row>
    <row r="263" spans="8:8" ht="18.0" customHeight="1">
      <c r="Z263" s="2217" t="str">
        <f>IF(ISBLANK(人物卡!BK37),"",人物卡!BK37)</f>
        <v/>
      </c>
      <c r="AA263" s="2218">
        <f>Z227*AD263</f>
        <v>0.0</v>
      </c>
      <c r="AB263" s="2218">
        <f>Z231*AD263</f>
        <v>0.0</v>
      </c>
      <c r="AC263" s="2218" t="str">
        <f>IF(Z229="没有","没有",Z229*AD263)</f>
        <v>没有</v>
      </c>
      <c r="AD263" s="2003">
        <f>人物卡!BO37</f>
        <v>0.0</v>
      </c>
      <c r="AE263" s="2217" t="str">
        <f>IF(ISBLANK(人物卡!BK37),"",人物卡!BK37)</f>
        <v/>
      </c>
      <c r="AF263" s="2219">
        <f>AA263/20</f>
        <v>0.0</v>
      </c>
      <c r="AG263" s="2219">
        <f>AB263/20</f>
        <v>0.0</v>
      </c>
      <c r="AH263" s="2220" t="str">
        <f>AC263</f>
        <v>没有</v>
      </c>
      <c r="BC263" s="2086" t="s">
        <v>3277</v>
      </c>
    </row>
    <row r="264" spans="8:8" ht="18.0" customHeight="1">
      <c r="BC264" s="2086" t="s">
        <v>3278</v>
      </c>
    </row>
    <row r="265" spans="8:8" ht="18.0" customHeight="1">
      <c r="BC265" s="2086" t="s">
        <v>3279</v>
      </c>
    </row>
    <row r="266" spans="8:8" ht="18.0" customHeight="1">
      <c r="BC266" s="2086" t="s">
        <v>3280</v>
      </c>
      <c r="BD266" s="2083"/>
    </row>
    <row r="267" spans="8:8" ht="18.0" customHeight="1">
      <c r="Z267" s="1819"/>
      <c r="AA267" s="1916"/>
      <c r="AB267" s="1916"/>
      <c r="AC267" s="1916"/>
      <c r="AD267" s="2215"/>
      <c r="AE267" s="1819"/>
      <c r="AF267" s="1916"/>
      <c r="AG267" s="1916"/>
      <c r="AH267" s="1916"/>
      <c r="AI267" s="2215"/>
      <c r="AJ267" s="1819"/>
      <c r="BC267" s="2086" t="s">
        <v>206</v>
      </c>
      <c r="BD267" s="2083"/>
    </row>
    <row r="268" spans="8:8" ht="18.0" customHeight="1">
      <c r="Z268" s="1819"/>
      <c r="AJ268" s="1819"/>
      <c r="BC268" s="2086" t="s">
        <v>3281</v>
      </c>
      <c r="BD268" s="2083"/>
    </row>
    <row r="269" spans="8:8" ht="18.0" customHeight="1">
      <c r="Z269" s="1819"/>
      <c r="AA269" s="1916"/>
      <c r="AB269" s="1916"/>
      <c r="AC269" s="1916"/>
      <c r="AD269" s="1916"/>
      <c r="AE269" s="1916"/>
      <c r="AF269" s="1916"/>
      <c r="AG269" s="1916"/>
      <c r="AH269" s="1916"/>
      <c r="AI269" s="1916"/>
      <c r="AJ269" s="1819"/>
      <c r="AM269" s="2083"/>
      <c r="BC269" s="2086" t="s">
        <v>3282</v>
      </c>
      <c r="BD269" s="2083"/>
    </row>
    <row r="270" spans="8:8" ht="18.0" customHeight="1">
      <c r="AA270" s="1916"/>
      <c r="AB270" s="1916"/>
      <c r="AC270" s="1916"/>
      <c r="AD270" s="1916"/>
      <c r="AE270" s="1916"/>
      <c r="AF270" s="1916"/>
      <c r="AG270" s="1916"/>
      <c r="AH270" s="1916"/>
      <c r="AI270" s="1916"/>
      <c r="BC270" s="2086" t="s">
        <v>3283</v>
      </c>
      <c r="BD270" s="2083"/>
    </row>
    <row r="271" spans="8:8" ht="18.0" customHeight="1">
      <c r="AA271" s="1916"/>
      <c r="AB271" s="1916"/>
      <c r="AC271" s="1916"/>
      <c r="AD271" s="2215"/>
      <c r="AE271" s="1819"/>
      <c r="AF271" s="1916"/>
      <c r="AG271" s="1916"/>
      <c r="AH271" s="1916"/>
      <c r="AI271" s="2215"/>
      <c r="BC271" s="2086" t="s">
        <v>3284</v>
      </c>
      <c r="BD271" s="2083"/>
    </row>
    <row r="272" spans="8:8" ht="18.0" customHeight="1">
      <c r="AA272" s="2221"/>
      <c r="AB272" s="1916"/>
      <c r="AC272" s="1916"/>
      <c r="AD272" s="2215"/>
      <c r="AE272" s="1819"/>
      <c r="AF272" s="2221"/>
      <c r="AG272" s="1916"/>
      <c r="AH272" s="1916"/>
      <c r="AI272" s="2215"/>
      <c r="BC272" s="2086" t="s">
        <v>206</v>
      </c>
      <c r="BD272" s="2083"/>
    </row>
    <row r="273" spans="8:8" ht="18.0" customHeight="1">
      <c r="AA273" s="1916"/>
      <c r="AB273" s="1916"/>
      <c r="AC273" s="1916"/>
      <c r="AD273" s="2215"/>
      <c r="AE273" s="1819"/>
      <c r="AF273" s="1916"/>
      <c r="AG273" s="1916"/>
      <c r="AH273" s="1916"/>
      <c r="AI273" s="2215"/>
      <c r="BC273" s="2086" t="s">
        <v>3285</v>
      </c>
    </row>
    <row r="274" spans="8:8" ht="18.0" customHeight="1">
      <c r="AA274" s="2221"/>
      <c r="AB274" s="1916"/>
      <c r="AC274" s="1916"/>
      <c r="AD274" s="2215"/>
      <c r="AE274" s="1819"/>
      <c r="AF274" s="2221"/>
      <c r="AG274" s="1916"/>
      <c r="AH274" s="1916"/>
      <c r="AI274" s="2215"/>
      <c r="BC274" s="2086" t="s">
        <v>3286</v>
      </c>
    </row>
    <row r="275" spans="8:8" ht="18.0" customHeight="1">
      <c r="BC275" s="2086" t="s">
        <v>3287</v>
      </c>
    </row>
    <row r="276" spans="8:8" ht="18.0" customHeight="1">
      <c r="BC276" s="2086" t="s">
        <v>206</v>
      </c>
    </row>
    <row r="277" spans="8:8" ht="18.0" customHeight="1">
      <c r="BC277" s="2086" t="s">
        <v>3288</v>
      </c>
    </row>
    <row r="278" spans="8:8" ht="18.0" customHeight="1">
      <c r="BC278" s="2086" t="s">
        <v>3289</v>
      </c>
    </row>
    <row r="279" spans="8:8" ht="18.0" customHeight="1">
      <c r="BC279" s="2086" t="s">
        <v>3290</v>
      </c>
    </row>
    <row r="280" spans="8:8" ht="18.0" customHeight="1">
      <c r="BC280" s="2086" t="s">
        <v>206</v>
      </c>
    </row>
    <row r="281" spans="8:8" ht="18.0" customHeight="1">
      <c r="BC281" s="2086" t="s">
        <v>3291</v>
      </c>
    </row>
    <row r="282" spans="8:8" ht="18.0" customHeight="1">
      <c r="BC282" s="2086" t="s">
        <v>3292</v>
      </c>
    </row>
    <row r="283" spans="8:8" ht="18.0" customHeight="1">
      <c r="BC283" s="2086" t="s">
        <v>206</v>
      </c>
    </row>
    <row r="284" spans="8:8" ht="18.0" customHeight="1">
      <c r="BC284" s="2086" t="s">
        <v>3293</v>
      </c>
    </row>
    <row r="285" spans="8:8" ht="18.0" customHeight="1">
      <c r="BC285" s="2086" t="s">
        <v>3294</v>
      </c>
    </row>
    <row r="286" spans="8:8" ht="18.0" customHeight="1">
      <c r="BC286" s="2086" t="s">
        <v>206</v>
      </c>
    </row>
    <row r="287" spans="8:8" ht="18.0" customHeight="1">
      <c r="BC287" s="2086" t="s">
        <v>3295</v>
      </c>
    </row>
    <row r="288" spans="8:8" ht="18.0" customHeight="1">
      <c r="BC288" s="2086" t="s">
        <v>3296</v>
      </c>
    </row>
    <row r="289" spans="8:8" ht="18.0" customHeight="1">
      <c r="BC289" s="2086" t="s">
        <v>206</v>
      </c>
    </row>
    <row r="290" spans="8:8" ht="18.0" customHeight="1">
      <c r="BC290" s="2086" t="s">
        <v>3297</v>
      </c>
    </row>
    <row r="291" spans="8:8" ht="18.0" customHeight="1">
      <c r="BC291" s="2086" t="s">
        <v>3298</v>
      </c>
    </row>
    <row r="292" spans="8:8" ht="18.0" customHeight="1">
      <c r="BC292" s="2086" t="s">
        <v>206</v>
      </c>
    </row>
    <row r="293" spans="8:8" ht="18.0" customHeight="1">
      <c r="BC293" s="2086" t="s">
        <v>3299</v>
      </c>
    </row>
    <row r="294" spans="8:8" ht="18.0" customHeight="1">
      <c r="BC294" s="2086" t="s">
        <v>3300</v>
      </c>
    </row>
    <row r="295" spans="8:8" ht="18.0" customHeight="1">
      <c r="BC295" s="2086" t="s">
        <v>206</v>
      </c>
    </row>
    <row r="296" spans="8:8" ht="18.0" customHeight="1">
      <c r="BC296" s="2086" t="s">
        <v>3301</v>
      </c>
    </row>
    <row r="297" spans="8:8" ht="18.0" customHeight="1">
      <c r="BC297" s="2086" t="s">
        <v>3302</v>
      </c>
    </row>
    <row r="298" spans="8:8" ht="18.0" customHeight="1">
      <c r="BC298" s="2086" t="s">
        <v>206</v>
      </c>
    </row>
    <row r="299" spans="8:8" ht="18.0" customHeight="1">
      <c r="BC299" s="2086" t="s">
        <v>3303</v>
      </c>
    </row>
    <row r="300" spans="8:8" ht="18.0" customHeight="1">
      <c r="BC300" s="2086" t="s">
        <v>3304</v>
      </c>
    </row>
    <row r="301" spans="8:8" ht="18.0" customHeight="1">
      <c r="BC301" s="2086" t="s">
        <v>206</v>
      </c>
    </row>
    <row r="302" spans="8:8" ht="18.0" customHeight="1">
      <c r="BC302" s="2086" t="s">
        <v>3305</v>
      </c>
    </row>
    <row r="303" spans="8:8" ht="18.0" customHeight="1">
      <c r="BC303" s="2086" t="s">
        <v>3306</v>
      </c>
    </row>
    <row r="304" spans="8:8" ht="18.0" customHeight="1">
      <c r="BC304" s="2086" t="s">
        <v>206</v>
      </c>
    </row>
    <row r="305" spans="8:8" ht="18.0" customHeight="1">
      <c r="BC305" s="2086" t="s">
        <v>3307</v>
      </c>
    </row>
    <row r="306" spans="8:8" ht="18.0" customHeight="1">
      <c r="BC306" s="2086" t="s">
        <v>3308</v>
      </c>
    </row>
    <row r="307" spans="8:8" ht="18.0" customHeight="1">
      <c r="BC307" s="2086" t="s">
        <v>206</v>
      </c>
    </row>
    <row r="308" spans="8:8" ht="18.0" customHeight="1">
      <c r="BC308" s="2086" t="s">
        <v>206</v>
      </c>
    </row>
    <row r="309" spans="8:8" ht="18.0" customHeight="1">
      <c r="BC309" s="2086" t="s">
        <v>3309</v>
      </c>
    </row>
    <row r="310" spans="8:8" ht="18.0" customHeight="1">
      <c r="BC310" s="2086" t="s">
        <v>3310</v>
      </c>
    </row>
    <row r="311" spans="8:8" ht="18.0" customHeight="1">
      <c r="BC311" s="2086" t="s">
        <v>3311</v>
      </c>
    </row>
    <row r="312" spans="8:8" ht="18.0" customHeight="1">
      <c r="BC312" s="2086" t="s">
        <v>3312</v>
      </c>
    </row>
    <row r="313" spans="8:8" ht="18.0" customHeight="1">
      <c r="BC313" s="2086" t="s">
        <v>3313</v>
      </c>
    </row>
    <row r="314" spans="8:8" ht="18.0" customHeight="1">
      <c r="BC314" s="2086" t="s">
        <v>3314</v>
      </c>
    </row>
    <row r="315" spans="8:8" ht="18.0" customHeight="1">
      <c r="BC315" s="2086" t="s">
        <v>3315</v>
      </c>
    </row>
    <row r="316" spans="8:8" ht="18.0" customHeight="1">
      <c r="BC316" s="2086" t="s">
        <v>3316</v>
      </c>
    </row>
    <row r="317" spans="8:8" ht="18.0" customHeight="1">
      <c r="BC317" s="2086" t="s">
        <v>3317</v>
      </c>
    </row>
    <row r="318" spans="8:8" ht="18.0" customHeight="1">
      <c r="BC318" s="2086" t="s">
        <v>3318</v>
      </c>
    </row>
    <row r="319" spans="8:8" ht="18.0" customHeight="1">
      <c r="BC319" s="2086" t="s">
        <v>3319</v>
      </c>
    </row>
    <row r="320" spans="8:8" ht="18.0" customHeight="1">
      <c r="BC320" s="2086" t="s">
        <v>3320</v>
      </c>
    </row>
    <row r="321" spans="8:8" ht="18.0" customHeight="1">
      <c r="BC321" s="2086" t="s">
        <v>3321</v>
      </c>
    </row>
    <row r="322" spans="8:8" ht="18.0" customHeight="1">
      <c r="BC322" s="2086" t="s">
        <v>3322</v>
      </c>
    </row>
    <row r="323" spans="8:8" ht="18.0" customHeight="1">
      <c r="BC323" s="2086" t="s">
        <v>3323</v>
      </c>
    </row>
    <row r="324" spans="8:8">
      <c r="BC324" s="2086" t="s">
        <v>3324</v>
      </c>
    </row>
    <row r="325" spans="8:8">
      <c r="BC325" s="2086" t="s">
        <v>3325</v>
      </c>
    </row>
    <row r="326" spans="8:8">
      <c r="BC326" s="2086" t="s">
        <v>206</v>
      </c>
    </row>
    <row r="327" spans="8:8">
      <c r="BC327" s="2086" t="s">
        <v>3326</v>
      </c>
    </row>
    <row r="328" spans="8:8">
      <c r="BC328" s="2086" t="s">
        <v>3327</v>
      </c>
    </row>
    <row r="329" spans="8:8">
      <c r="BC329" s="2086" t="s">
        <v>3328</v>
      </c>
    </row>
    <row r="330" spans="8:8">
      <c r="BC330" s="2086" t="s">
        <v>3329</v>
      </c>
    </row>
    <row r="331" spans="8:8">
      <c r="BC331" s="2086" t="s">
        <v>3330</v>
      </c>
    </row>
    <row r="332" spans="8:8">
      <c r="BC332" s="2086" t="s">
        <v>3331</v>
      </c>
    </row>
    <row r="333" spans="8:8">
      <c r="BC333" s="2086" t="s">
        <v>3332</v>
      </c>
    </row>
    <row r="334" spans="8:8">
      <c r="BC334" s="2086" t="s">
        <v>3333</v>
      </c>
    </row>
    <row r="335" spans="8:8">
      <c r="BC335" s="2086" t="s">
        <v>3334</v>
      </c>
    </row>
    <row r="336" spans="8:8">
      <c r="BC336" s="2086" t="s">
        <v>206</v>
      </c>
    </row>
    <row r="337" spans="8:8">
      <c r="BC337" s="2086" t="s">
        <v>3335</v>
      </c>
    </row>
    <row r="338" spans="8:8">
      <c r="BC338" s="2086" t="s">
        <v>3336</v>
      </c>
    </row>
    <row r="339" spans="8:8">
      <c r="BC339" s="2086" t="s">
        <v>3337</v>
      </c>
    </row>
    <row r="340" spans="8:8">
      <c r="BC340" s="2086" t="s">
        <v>3338</v>
      </c>
    </row>
    <row r="341" spans="8:8">
      <c r="BC341" s="2086" t="s">
        <v>206</v>
      </c>
    </row>
    <row r="342" spans="8:8">
      <c r="BC342" s="2086" t="s">
        <v>3339</v>
      </c>
    </row>
    <row r="343" spans="8:8">
      <c r="BC343" s="2086" t="s">
        <v>3340</v>
      </c>
    </row>
    <row r="344" spans="8:8">
      <c r="BC344" s="2086" t="s">
        <v>3341</v>
      </c>
    </row>
    <row r="345" spans="8:8">
      <c r="BC345" s="2086" t="s">
        <v>3342</v>
      </c>
    </row>
    <row r="346" spans="8:8">
      <c r="BC346" s="2086" t="s">
        <v>3343</v>
      </c>
    </row>
    <row r="347" spans="8:8">
      <c r="BC347" s="2086" t="s">
        <v>3344</v>
      </c>
    </row>
    <row r="348" spans="8:8">
      <c r="BC348" s="2086" t="s">
        <v>3345</v>
      </c>
    </row>
    <row r="349" spans="8:8">
      <c r="BC349" s="2086" t="s">
        <v>206</v>
      </c>
    </row>
    <row r="350" spans="8:8">
      <c r="BC350" s="2086" t="s">
        <v>3346</v>
      </c>
    </row>
    <row r="351" spans="8:8">
      <c r="BC351" s="2086" t="s">
        <v>3347</v>
      </c>
    </row>
    <row r="352" spans="8:8">
      <c r="BC352" s="2086" t="s">
        <v>3348</v>
      </c>
    </row>
    <row r="353" spans="8:8">
      <c r="BC353" s="2086" t="s">
        <v>3349</v>
      </c>
    </row>
    <row r="354" spans="8:8">
      <c r="BC354" s="2086" t="s">
        <v>3350</v>
      </c>
    </row>
    <row r="355" spans="8:8">
      <c r="BC355" s="2086" t="s">
        <v>3351</v>
      </c>
    </row>
    <row r="356" spans="8:8">
      <c r="BC356" s="2086" t="s">
        <v>3352</v>
      </c>
    </row>
    <row r="357" spans="8:8">
      <c r="BC357" s="2086" t="s">
        <v>206</v>
      </c>
    </row>
    <row r="358" spans="8:8">
      <c r="BC358" s="2086" t="s">
        <v>3353</v>
      </c>
    </row>
    <row r="359" spans="8:8">
      <c r="BC359" s="2086" t="s">
        <v>3354</v>
      </c>
    </row>
    <row r="360" spans="8:8">
      <c r="BC360" s="2086" t="s">
        <v>3355</v>
      </c>
    </row>
    <row r="361" spans="8:8">
      <c r="BC361" s="2086" t="s">
        <v>206</v>
      </c>
    </row>
    <row r="362" spans="8:8">
      <c r="BC362" s="2086" t="s">
        <v>3356</v>
      </c>
    </row>
    <row r="363" spans="8:8">
      <c r="BC363" s="2086" t="s">
        <v>3357</v>
      </c>
    </row>
    <row r="364" spans="8:8">
      <c r="BC364" s="2086" t="s">
        <v>3358</v>
      </c>
    </row>
    <row r="365" spans="8:8">
      <c r="BC365" s="2086" t="s">
        <v>3359</v>
      </c>
    </row>
    <row r="366" spans="8:8">
      <c r="BC366" s="2086" t="s">
        <v>206</v>
      </c>
    </row>
    <row r="367" spans="8:8">
      <c r="BC367" s="2086" t="s">
        <v>3360</v>
      </c>
    </row>
    <row r="368" spans="8:8">
      <c r="BC368" s="2086" t="s">
        <v>3361</v>
      </c>
    </row>
    <row r="369" spans="8:8">
      <c r="BC369" s="2086" t="s">
        <v>206</v>
      </c>
    </row>
    <row r="370" spans="8:8">
      <c r="BC370" s="2086" t="s">
        <v>3362</v>
      </c>
    </row>
    <row r="371" spans="8:8">
      <c r="BC371" s="2086" t="s">
        <v>3363</v>
      </c>
    </row>
    <row r="372" spans="8:8">
      <c r="BC372" s="2086" t="s">
        <v>3364</v>
      </c>
    </row>
    <row r="373" spans="8:8">
      <c r="BC373" s="2086" t="s">
        <v>3365</v>
      </c>
    </row>
    <row r="374" spans="8:8">
      <c r="BC374" s="2086" t="s">
        <v>206</v>
      </c>
    </row>
    <row r="375" spans="8:8">
      <c r="BC375" s="2086" t="s">
        <v>3366</v>
      </c>
    </row>
    <row r="376" spans="8:8">
      <c r="BC376" s="2086" t="s">
        <v>3367</v>
      </c>
    </row>
    <row r="377" spans="8:8">
      <c r="BC377" s="2086" t="s">
        <v>206</v>
      </c>
    </row>
    <row r="378" spans="8:8">
      <c r="BC378" s="2086" t="s">
        <v>3368</v>
      </c>
    </row>
    <row r="379" spans="8:8">
      <c r="BC379" s="2086" t="s">
        <v>3369</v>
      </c>
    </row>
    <row r="380" spans="8:8">
      <c r="BC380" s="2086" t="s">
        <v>3370</v>
      </c>
    </row>
    <row r="381" spans="8:8">
      <c r="BC381" s="2086" t="s">
        <v>3371</v>
      </c>
    </row>
    <row r="382" spans="8:8">
      <c r="BC382" s="2086" t="s">
        <v>3372</v>
      </c>
    </row>
    <row r="383" spans="8:8">
      <c r="BC383" s="2086" t="s">
        <v>3373</v>
      </c>
    </row>
    <row r="384" spans="8:8">
      <c r="BC384" s="2086" t="s">
        <v>3374</v>
      </c>
    </row>
    <row r="385" spans="8:8">
      <c r="BC385" s="2086" t="s">
        <v>3375</v>
      </c>
    </row>
    <row r="386" spans="8:8">
      <c r="BC386" s="2086" t="s">
        <v>206</v>
      </c>
    </row>
    <row r="387" spans="8:8">
      <c r="BC387" s="2086" t="s">
        <v>3376</v>
      </c>
    </row>
    <row r="388" spans="8:8">
      <c r="BC388" s="2086" t="s">
        <v>3377</v>
      </c>
    </row>
    <row r="389" spans="8:8">
      <c r="BC389" s="2086" t="s">
        <v>3378</v>
      </c>
    </row>
    <row r="390" spans="8:8">
      <c r="BC390" s="2086" t="s">
        <v>3379</v>
      </c>
    </row>
    <row r="391" spans="8:8">
      <c r="BC391" s="2086" t="s">
        <v>3380</v>
      </c>
    </row>
    <row r="392" spans="8:8">
      <c r="BC392" s="2086" t="s">
        <v>3381</v>
      </c>
    </row>
    <row r="393" spans="8:8">
      <c r="BC393" s="2086" t="s">
        <v>3382</v>
      </c>
    </row>
    <row r="394" spans="8:8">
      <c r="BC394" s="2086" t="s">
        <v>206</v>
      </c>
    </row>
    <row r="395" spans="8:8">
      <c r="BC395" s="2086" t="s">
        <v>3383</v>
      </c>
    </row>
    <row r="396" spans="8:8">
      <c r="BC396" s="2086" t="s">
        <v>3384</v>
      </c>
    </row>
    <row r="397" spans="8:8">
      <c r="BC397" s="2086" t="s">
        <v>206</v>
      </c>
    </row>
    <row r="398" spans="8:8">
      <c r="BC398" s="2086" t="s">
        <v>3385</v>
      </c>
    </row>
    <row r="399" spans="8:8">
      <c r="BC399" s="2086" t="s">
        <v>3386</v>
      </c>
    </row>
    <row r="400" spans="8:8">
      <c r="BC400" s="2086" t="s">
        <v>3387</v>
      </c>
    </row>
    <row r="401" spans="8:8">
      <c r="BC401" s="2086" t="s">
        <v>206</v>
      </c>
    </row>
    <row r="402" spans="8:8">
      <c r="BC402" s="2086" t="s">
        <v>3388</v>
      </c>
    </row>
    <row r="403" spans="8:8">
      <c r="BC403" s="2086" t="s">
        <v>3389</v>
      </c>
    </row>
    <row r="404" spans="8:8">
      <c r="BC404" s="2086" t="s">
        <v>3390</v>
      </c>
    </row>
    <row r="405" spans="8:8">
      <c r="BC405" s="2086" t="s">
        <v>3371</v>
      </c>
    </row>
    <row r="406" spans="8:8">
      <c r="BC406" s="2086" t="s">
        <v>206</v>
      </c>
    </row>
    <row r="407" spans="8:8">
      <c r="BC407" s="2086" t="s">
        <v>3391</v>
      </c>
    </row>
    <row r="408" spans="8:8">
      <c r="BC408" s="2086" t="s">
        <v>3392</v>
      </c>
    </row>
    <row r="409" spans="8:8">
      <c r="BC409" s="2086" t="s">
        <v>206</v>
      </c>
    </row>
    <row r="410" spans="8:8">
      <c r="BC410" s="2086" t="s">
        <v>3393</v>
      </c>
    </row>
    <row r="411" spans="8:8">
      <c r="BC411" s="2086" t="s">
        <v>3394</v>
      </c>
    </row>
    <row r="412" spans="8:8">
      <c r="BC412" s="2086" t="s">
        <v>206</v>
      </c>
    </row>
    <row r="413" spans="8:8">
      <c r="BC413" s="2086" t="s">
        <v>3395</v>
      </c>
    </row>
    <row r="414" spans="8:8">
      <c r="BC414" s="2086" t="s">
        <v>3396</v>
      </c>
    </row>
    <row r="415" spans="8:8">
      <c r="BC415" s="2086" t="s">
        <v>3381</v>
      </c>
    </row>
    <row r="416" spans="8:8">
      <c r="BC416" s="2086" t="s">
        <v>3397</v>
      </c>
    </row>
    <row r="417" spans="8:8">
      <c r="BC417" s="2086" t="s">
        <v>3398</v>
      </c>
    </row>
    <row r="418" spans="8:8">
      <c r="BC418" s="2086" t="s">
        <v>206</v>
      </c>
    </row>
    <row r="419" spans="8:8">
      <c r="BC419" s="2086" t="s">
        <v>3399</v>
      </c>
    </row>
    <row r="420" spans="8:8">
      <c r="BC420" s="2086" t="s">
        <v>3400</v>
      </c>
    </row>
    <row r="421" spans="8:8">
      <c r="BC421" s="2086" t="s">
        <v>3401</v>
      </c>
    </row>
    <row r="422" spans="8:8">
      <c r="BC422" s="2086" t="s">
        <v>206</v>
      </c>
    </row>
    <row r="423" spans="8:8">
      <c r="BC423" s="2086" t="s">
        <v>3402</v>
      </c>
    </row>
    <row r="424" spans="8:8">
      <c r="BC424" s="2086" t="s">
        <v>3403</v>
      </c>
    </row>
    <row r="425" spans="8:8">
      <c r="BC425" s="2086" t="s">
        <v>3404</v>
      </c>
    </row>
    <row r="426" spans="8:8">
      <c r="BC426" s="2086" t="s">
        <v>3405</v>
      </c>
    </row>
    <row r="427" spans="8:8">
      <c r="BC427" s="2086" t="s">
        <v>206</v>
      </c>
    </row>
    <row r="428" spans="8:8">
      <c r="BC428" s="2086" t="s">
        <v>3406</v>
      </c>
    </row>
    <row r="429" spans="8:8">
      <c r="BC429" s="2086" t="s">
        <v>3407</v>
      </c>
    </row>
    <row r="430" spans="8:8">
      <c r="BC430" s="2086" t="s">
        <v>3408</v>
      </c>
    </row>
    <row r="431" spans="8:8">
      <c r="BC431" s="2086" t="s">
        <v>3409</v>
      </c>
    </row>
    <row r="432" spans="8:8">
      <c r="BC432" s="2086" t="s">
        <v>3410</v>
      </c>
    </row>
    <row r="433" spans="8:8">
      <c r="BC433" s="2086" t="s">
        <v>3411</v>
      </c>
    </row>
    <row r="434" spans="8:8">
      <c r="BC434" s="2086" t="s">
        <v>3412</v>
      </c>
    </row>
    <row r="435" spans="8:8">
      <c r="BC435" s="2086" t="s">
        <v>3413</v>
      </c>
    </row>
    <row r="436" spans="8:8">
      <c r="BC436" s="2086" t="s">
        <v>206</v>
      </c>
    </row>
    <row r="437" spans="8:8">
      <c r="BC437" s="2086" t="s">
        <v>3414</v>
      </c>
    </row>
    <row r="438" spans="8:8">
      <c r="BC438" s="2086" t="s">
        <v>3415</v>
      </c>
    </row>
    <row r="439" spans="8:8">
      <c r="BC439" s="2086" t="s">
        <v>3416</v>
      </c>
    </row>
    <row r="440" spans="8:8">
      <c r="BC440" s="2086" t="s">
        <v>3417</v>
      </c>
    </row>
    <row r="441" spans="8:8">
      <c r="BC441" s="2086" t="s">
        <v>3418</v>
      </c>
    </row>
    <row r="442" spans="8:8">
      <c r="BC442" s="2086" t="s">
        <v>3419</v>
      </c>
    </row>
    <row r="443" spans="8:8">
      <c r="BC443" s="2086" t="s">
        <v>206</v>
      </c>
    </row>
    <row r="444" spans="8:8">
      <c r="BC444" s="2086" t="s">
        <v>3420</v>
      </c>
    </row>
    <row r="445" spans="8:8">
      <c r="BC445" s="2086" t="s">
        <v>3421</v>
      </c>
    </row>
    <row r="446" spans="8:8">
      <c r="BC446" s="2086" t="s">
        <v>3422</v>
      </c>
    </row>
    <row r="447" spans="8:8">
      <c r="BC447" s="2086" t="s">
        <v>3423</v>
      </c>
    </row>
    <row r="448" spans="8:8">
      <c r="BC448" s="2086" t="s">
        <v>3424</v>
      </c>
    </row>
    <row r="449" spans="8:8">
      <c r="BC449" s="2086" t="s">
        <v>206</v>
      </c>
    </row>
    <row r="450" spans="8:8">
      <c r="BC450" s="2086" t="s">
        <v>3425</v>
      </c>
    </row>
    <row r="451" spans="8:8">
      <c r="BC451" s="2086" t="s">
        <v>3426</v>
      </c>
    </row>
    <row r="452" spans="8:8">
      <c r="BC452" s="2086" t="s">
        <v>206</v>
      </c>
    </row>
    <row r="453" spans="8:8">
      <c r="BC453" s="2086" t="s">
        <v>3427</v>
      </c>
    </row>
    <row r="454" spans="8:8">
      <c r="BC454" s="2086" t="s">
        <v>3428</v>
      </c>
    </row>
    <row r="455" spans="8:8">
      <c r="BC455" s="2086" t="s">
        <v>206</v>
      </c>
    </row>
    <row r="456" spans="8:8">
      <c r="BC456" s="2086" t="s">
        <v>3429</v>
      </c>
    </row>
    <row r="457" spans="8:8">
      <c r="BC457" s="2086" t="s">
        <v>3430</v>
      </c>
    </row>
    <row r="458" spans="8:8">
      <c r="BC458" s="2086" t="s">
        <v>3431</v>
      </c>
    </row>
    <row r="459" spans="8:8">
      <c r="BC459" s="2086" t="s">
        <v>3432</v>
      </c>
    </row>
    <row r="460" spans="8:8">
      <c r="BC460" s="2086" t="s">
        <v>3433</v>
      </c>
    </row>
    <row r="461" spans="8:8">
      <c r="BC461" s="2086" t="s">
        <v>3434</v>
      </c>
    </row>
    <row r="462" spans="8:8">
      <c r="BC462" s="2086" t="s">
        <v>3435</v>
      </c>
    </row>
    <row r="463" spans="8:8">
      <c r="BC463" s="2086" t="s">
        <v>3436</v>
      </c>
    </row>
    <row r="464" spans="8:8">
      <c r="BC464" s="2086" t="s">
        <v>206</v>
      </c>
    </row>
    <row r="465" spans="8:8">
      <c r="BC465" s="2086" t="s">
        <v>3437</v>
      </c>
    </row>
    <row r="466" spans="8:8">
      <c r="BC466" s="2086" t="s">
        <v>3438</v>
      </c>
    </row>
    <row r="467" spans="8:8">
      <c r="BC467" s="2086" t="s">
        <v>3398</v>
      </c>
    </row>
    <row r="468" spans="8:8">
      <c r="BC468" s="2086" t="s">
        <v>206</v>
      </c>
    </row>
    <row r="469" spans="8:8">
      <c r="BC469" s="2086" t="s">
        <v>3439</v>
      </c>
    </row>
    <row r="470" spans="8:8">
      <c r="BC470" s="2086" t="s">
        <v>3440</v>
      </c>
    </row>
    <row r="471" spans="8:8">
      <c r="BC471" s="2086" t="s">
        <v>3373</v>
      </c>
    </row>
    <row r="472" spans="8:8">
      <c r="BC472" s="2086" t="s">
        <v>206</v>
      </c>
    </row>
    <row r="473" spans="8:8">
      <c r="BC473" s="2086" t="s">
        <v>3441</v>
      </c>
    </row>
    <row r="474" spans="8:8">
      <c r="BC474" s="2086" t="s">
        <v>3442</v>
      </c>
    </row>
    <row r="475" spans="8:8">
      <c r="BC475" s="2086" t="s">
        <v>3443</v>
      </c>
    </row>
    <row r="476" spans="8:8">
      <c r="BC476" s="2086" t="s">
        <v>3444</v>
      </c>
    </row>
    <row r="477" spans="8:8">
      <c r="BC477" s="2086" t="s">
        <v>3445</v>
      </c>
    </row>
    <row r="478" spans="8:8">
      <c r="BC478" s="2086" t="s">
        <v>3446</v>
      </c>
    </row>
    <row r="479" spans="8:8">
      <c r="BC479" s="2086" t="s">
        <v>206</v>
      </c>
    </row>
    <row r="480" spans="8:8">
      <c r="BC480" s="2086" t="s">
        <v>3447</v>
      </c>
    </row>
    <row r="481" spans="8:8">
      <c r="BC481" s="2086" t="s">
        <v>3448</v>
      </c>
    </row>
    <row r="482" spans="8:8">
      <c r="BC482" s="2086" t="s">
        <v>206</v>
      </c>
    </row>
    <row r="483" spans="8:8">
      <c r="BC483" s="2086" t="s">
        <v>3449</v>
      </c>
    </row>
    <row r="484" spans="8:8">
      <c r="BC484" s="2086" t="s">
        <v>3450</v>
      </c>
    </row>
    <row r="485" spans="8:8">
      <c r="BC485" s="2086" t="s">
        <v>206</v>
      </c>
    </row>
    <row r="486" spans="8:8">
      <c r="BC486" s="2086" t="s">
        <v>3451</v>
      </c>
    </row>
    <row r="487" spans="8:8">
      <c r="BC487" s="2086" t="s">
        <v>3452</v>
      </c>
    </row>
    <row r="488" spans="8:8">
      <c r="BC488" s="2086" t="s">
        <v>3453</v>
      </c>
    </row>
    <row r="489" spans="8:8">
      <c r="BC489" s="2086" t="s">
        <v>3454</v>
      </c>
    </row>
    <row r="490" spans="8:8" ht="15.75">
      <c r="BC490" s="2222" t="s">
        <v>3455</v>
      </c>
    </row>
    <row r="491" spans="8:8">
      <c r="BC491" s="1968" t="s">
        <v>294</v>
      </c>
    </row>
  </sheetData>
  <sheetProtection sheet="1" objects="1"/>
  <protectedRanges>
    <protectedRange sqref="M5:M7 H8:L8 G3:G8" name="技能表以上"/>
  </protectedRanges>
  <mergeCells count="291">
    <mergeCell ref="N170:R170"/>
    <mergeCell ref="N128:R128"/>
    <mergeCell ref="T153:X153"/>
    <mergeCell ref="T163:X163"/>
    <mergeCell ref="N161:R161"/>
    <mergeCell ref="N140:R140"/>
    <mergeCell ref="N195:R195"/>
    <mergeCell ref="T206:X206"/>
    <mergeCell ref="N193:R193"/>
    <mergeCell ref="T140:X140"/>
    <mergeCell ref="N114:R114"/>
    <mergeCell ref="T181:X181"/>
    <mergeCell ref="N144:R144"/>
    <mergeCell ref="N190:R190"/>
    <mergeCell ref="N165:R165"/>
    <mergeCell ref="N171:R171"/>
    <mergeCell ref="N174:R174"/>
    <mergeCell ref="N177:R177"/>
    <mergeCell ref="N125:R125"/>
    <mergeCell ref="T154:X154"/>
    <mergeCell ref="N198:R198"/>
    <mergeCell ref="N179:R179"/>
    <mergeCell ref="N122:R122"/>
    <mergeCell ref="T159:X159"/>
    <mergeCell ref="B10:E10"/>
    <mergeCell ref="B2:E2"/>
    <mergeCell ref="B3:B4"/>
    <mergeCell ref="A3:A4"/>
    <mergeCell ref="N200:R200"/>
    <mergeCell ref="T124:X124"/>
    <mergeCell ref="N118:R118"/>
    <mergeCell ref="T120:X120"/>
    <mergeCell ref="N173:R173"/>
    <mergeCell ref="T174:X174"/>
    <mergeCell ref="AP22:AP31"/>
    <mergeCell ref="AF22:AF31"/>
    <mergeCell ref="AZ24:BB24"/>
    <mergeCell ref="AK22:AK31"/>
    <mergeCell ref="AM22:AM31"/>
    <mergeCell ref="AI22:AI31"/>
    <mergeCell ref="AR22:AR31"/>
    <mergeCell ref="Z233:AC233"/>
    <mergeCell ref="N160:R160"/>
    <mergeCell ref="T138:X138"/>
    <mergeCell ref="AA20:AD20"/>
    <mergeCell ref="AN22:AN31"/>
    <mergeCell ref="BA14:BA23"/>
    <mergeCell ref="AG22:AG31"/>
    <mergeCell ref="AD29:AE29"/>
    <mergeCell ref="S24:V35"/>
    <mergeCell ref="AQ22:AQ31"/>
    <mergeCell ref="S43:V43"/>
    <mergeCell ref="AJ22:AJ31"/>
    <mergeCell ref="AJ1:AL1"/>
    <mergeCell ref="AO22:AO31"/>
    <mergeCell ref="Z231:AA231"/>
    <mergeCell ref="N159:R159"/>
    <mergeCell ref="T142:X142"/>
    <mergeCell ref="AE235:AG235"/>
    <mergeCell ref="Z219:AH219"/>
    <mergeCell ref="T160:X160"/>
    <mergeCell ref="N196:R196"/>
    <mergeCell ref="T192:X192"/>
    <mergeCell ref="N123:R123"/>
    <mergeCell ref="S76:V87"/>
    <mergeCell ref="T117:X117"/>
    <mergeCell ref="T139:X139"/>
    <mergeCell ref="N151:R151"/>
    <mergeCell ref="Z222:AA222"/>
    <mergeCell ref="J53:K58"/>
    <mergeCell ref="Z241:AG241"/>
    <mergeCell ref="N154:R154"/>
    <mergeCell ref="Z229:AA229"/>
    <mergeCell ref="T137:X137"/>
    <mergeCell ref="N197:R197"/>
    <mergeCell ref="N182:R182"/>
    <mergeCell ref="N136:R136"/>
    <mergeCell ref="N185:R185"/>
    <mergeCell ref="C9:E9"/>
    <mergeCell ref="B18:G18"/>
    <mergeCell ref="N148:R148"/>
    <mergeCell ref="Z224:AA224"/>
    <mergeCell ref="T118:X118"/>
    <mergeCell ref="N117:R117"/>
    <mergeCell ref="S37:V38"/>
    <mergeCell ref="T143:X143"/>
    <mergeCell ref="Z223:AA223"/>
    <mergeCell ref="T196:X196"/>
    <mergeCell ref="T164:X164"/>
    <mergeCell ref="T183:X183"/>
    <mergeCell ref="T189:X189"/>
    <mergeCell ref="T185:X185"/>
    <mergeCell ref="N3:P3"/>
    <mergeCell ref="AE238:AG238"/>
    <mergeCell ref="T145:X145"/>
    <mergeCell ref="AE228:AG228"/>
    <mergeCell ref="T144:X144"/>
    <mergeCell ref="AB221:AC231"/>
    <mergeCell ref="T158:X158"/>
    <mergeCell ref="C3:C4"/>
    <mergeCell ref="T113:X113"/>
    <mergeCell ref="C38:E38"/>
    <mergeCell ref="E31:K31"/>
    <mergeCell ref="E34:K34"/>
    <mergeCell ref="E27:K27"/>
    <mergeCell ref="T175:X175"/>
    <mergeCell ref="N112:R112"/>
    <mergeCell ref="N162:R162"/>
    <mergeCell ref="N156:R156"/>
    <mergeCell ref="N138:R138"/>
    <mergeCell ref="N168:R168"/>
    <mergeCell ref="E53:I58"/>
    <mergeCell ref="N172:R172"/>
    <mergeCell ref="Z221:AA221"/>
    <mergeCell ref="T155:X155"/>
    <mergeCell ref="U217:V217"/>
    <mergeCell ref="T157:X157"/>
    <mergeCell ref="T170:X170"/>
    <mergeCell ref="T180:X180"/>
    <mergeCell ref="T167:X167"/>
    <mergeCell ref="T161:X161"/>
    <mergeCell ref="T184:X184"/>
    <mergeCell ref="T133:X133"/>
    <mergeCell ref="T211:X211"/>
    <mergeCell ref="AV38:AV47"/>
    <mergeCell ref="N206:R206"/>
    <mergeCell ref="T148:X148"/>
    <mergeCell ref="N120:R120"/>
    <mergeCell ref="T125:X125"/>
    <mergeCell ref="N126:R126"/>
    <mergeCell ref="N113:R113"/>
    <mergeCell ref="T190:X190"/>
    <mergeCell ref="N139:R139"/>
    <mergeCell ref="T115:X115"/>
    <mergeCell ref="N176:R176"/>
    <mergeCell ref="N187:R187"/>
    <mergeCell ref="T123:X123"/>
    <mergeCell ref="N164:R164"/>
    <mergeCell ref="T201:X201"/>
    <mergeCell ref="N211:R211"/>
    <mergeCell ref="T193:X193"/>
    <mergeCell ref="T198:X198"/>
    <mergeCell ref="N202:R202"/>
    <mergeCell ref="T202:X202"/>
    <mergeCell ref="T207:X207"/>
    <mergeCell ref="N158:R158"/>
    <mergeCell ref="T127:X127"/>
    <mergeCell ref="N167:R167"/>
    <mergeCell ref="T135:X135"/>
    <mergeCell ref="N116:R116"/>
    <mergeCell ref="T173:X173"/>
    <mergeCell ref="N205:R205"/>
    <mergeCell ref="T213:X213"/>
    <mergeCell ref="T191:X191"/>
    <mergeCell ref="N203:R203"/>
    <mergeCell ref="T210:X210"/>
    <mergeCell ref="N192:R192"/>
    <mergeCell ref="T205:X205"/>
    <mergeCell ref="N212:R212"/>
    <mergeCell ref="N208:R208"/>
    <mergeCell ref="N210:R210"/>
    <mergeCell ref="T165:X165"/>
    <mergeCell ref="T152:X152"/>
    <mergeCell ref="N130:R130"/>
    <mergeCell ref="T126:X126"/>
    <mergeCell ref="N127:R127"/>
    <mergeCell ref="N150:R150"/>
    <mergeCell ref="T131:X131"/>
    <mergeCell ref="N147:R147"/>
    <mergeCell ref="T134:X134"/>
    <mergeCell ref="N135:R135"/>
    <mergeCell ref="J52:K52"/>
    <mergeCell ref="T209:X209"/>
    <mergeCell ref="N142:R142"/>
    <mergeCell ref="AE221:AG221"/>
    <mergeCell ref="Z228:AA228"/>
    <mergeCell ref="T169:X169"/>
    <mergeCell ref="AH22:AH31"/>
    <mergeCell ref="S2:AI2"/>
    <mergeCell ref="Z230:AA230"/>
    <mergeCell ref="T179:X179"/>
    <mergeCell ref="N199:R199"/>
    <mergeCell ref="T176:X176"/>
    <mergeCell ref="N181:R181"/>
    <mergeCell ref="E19:G19"/>
    <mergeCell ref="E30:K30"/>
    <mergeCell ref="E29:K29"/>
    <mergeCell ref="E32:K32"/>
    <mergeCell ref="AE232:AG232"/>
    <mergeCell ref="N175:R175"/>
    <mergeCell ref="T146:X146"/>
    <mergeCell ref="E52:G52"/>
    <mergeCell ref="AL22:AL31"/>
    <mergeCell ref="H52:I52"/>
    <mergeCell ref="T121:X121"/>
    <mergeCell ref="E28:K28"/>
    <mergeCell ref="O217:P217"/>
    <mergeCell ref="N134:R134"/>
    <mergeCell ref="T197:X197"/>
    <mergeCell ref="Z225:AA225"/>
    <mergeCell ref="T151:X151"/>
    <mergeCell ref="N194:R194"/>
    <mergeCell ref="T203:X203"/>
    <mergeCell ref="N133:R133"/>
    <mergeCell ref="S41:V41"/>
    <mergeCell ref="T199:X199"/>
    <mergeCell ref="N163:R163"/>
    <mergeCell ref="T186:X186"/>
    <mergeCell ref="T194:X194"/>
    <mergeCell ref="N169:R169"/>
    <mergeCell ref="T172:X172"/>
    <mergeCell ref="AS22:AS31"/>
    <mergeCell ref="N215:R215"/>
    <mergeCell ref="T188:X188"/>
    <mergeCell ref="N121:R121"/>
    <mergeCell ref="T130:X130"/>
    <mergeCell ref="N178:R178"/>
    <mergeCell ref="T212:X212"/>
    <mergeCell ref="N143:R143"/>
    <mergeCell ref="T195:X195"/>
    <mergeCell ref="N204:R204"/>
    <mergeCell ref="N209:R209"/>
    <mergeCell ref="T171:X171"/>
    <mergeCell ref="N155:R155"/>
    <mergeCell ref="T208:X208"/>
    <mergeCell ref="Q217:R217"/>
    <mergeCell ref="N213:R213"/>
    <mergeCell ref="N207:R207"/>
    <mergeCell ref="T214:X214"/>
    <mergeCell ref="N180:R180"/>
    <mergeCell ref="T177:X177"/>
    <mergeCell ref="Z226:AA226"/>
    <mergeCell ref="Z14:Z18"/>
    <mergeCell ref="N146:R146"/>
    <mergeCell ref="T168:X168"/>
    <mergeCell ref="T128:X128"/>
    <mergeCell ref="N157:R157"/>
    <mergeCell ref="T200:X200"/>
    <mergeCell ref="L94:L214"/>
    <mergeCell ref="I36:M36"/>
    <mergeCell ref="T166:X166"/>
    <mergeCell ref="N186:R186"/>
    <mergeCell ref="T112:X112"/>
    <mergeCell ref="N191:R191"/>
    <mergeCell ref="Z227:AA227"/>
    <mergeCell ref="N152:R152"/>
    <mergeCell ref="T129:X129"/>
    <mergeCell ref="N119:R119"/>
    <mergeCell ref="T122:X122"/>
    <mergeCell ref="N145:R145"/>
    <mergeCell ref="T147:X147"/>
    <mergeCell ref="T215:X215"/>
    <mergeCell ref="N184:R184"/>
    <mergeCell ref="T162:X162"/>
    <mergeCell ref="T178:X178"/>
    <mergeCell ref="N129:R129"/>
    <mergeCell ref="T114:X114"/>
    <mergeCell ref="N183:R183"/>
    <mergeCell ref="S217:T217"/>
    <mergeCell ref="T204:X204"/>
    <mergeCell ref="T187:X187"/>
    <mergeCell ref="N214:R214"/>
    <mergeCell ref="N189:R189"/>
    <mergeCell ref="N201:R201"/>
    <mergeCell ref="T132:X132"/>
    <mergeCell ref="N115:R115"/>
    <mergeCell ref="S63:V74"/>
    <mergeCell ref="N149:R149"/>
    <mergeCell ref="T136:X136"/>
    <mergeCell ref="S39:V39"/>
    <mergeCell ref="N141:R141"/>
    <mergeCell ref="S44:V44"/>
    <mergeCell ref="T116:X116"/>
    <mergeCell ref="S46:V61"/>
    <mergeCell ref="N132:R132"/>
    <mergeCell ref="N124:R124"/>
    <mergeCell ref="O15:Q15"/>
    <mergeCell ref="S40:V40"/>
    <mergeCell ref="N137:R137"/>
    <mergeCell ref="T141:X141"/>
    <mergeCell ref="T119:X119"/>
    <mergeCell ref="N153:R153"/>
    <mergeCell ref="M217:N217"/>
    <mergeCell ref="T182:X182"/>
    <mergeCell ref="N166:R166"/>
    <mergeCell ref="N188:R188"/>
    <mergeCell ref="S42:V42"/>
    <mergeCell ref="T149:X149"/>
    <mergeCell ref="N131:R131"/>
    <mergeCell ref="T156:X156"/>
    <mergeCell ref="T150:X150"/>
  </mergeCells>
  <conditionalFormatting sqref="AK5:AK11">
    <cfRule type="expression" priority="3" dxfId="1124">
      <formula>"人物卡!$F$5=1"</formula>
    </cfRule>
  </conditionalFormatting>
  <conditionalFormatting sqref="AK4">
    <cfRule type="expression" priority="2" dxfId="1125">
      <formula>"人物卡!$F$5=1"</formula>
    </cfRule>
  </conditionalFormatting>
  <conditionalFormatting sqref="AJ1 S11 S4:S9">
    <cfRule type="expression" priority="6" dxfId="1126">
      <formula>"人物卡!$F$5=1"</formula>
    </cfRule>
  </conditionalFormatting>
  <conditionalFormatting sqref="S10">
    <cfRule type="expression" priority="5" dxfId="1127">
      <formula>"人物卡!$F$5=1"</formula>
    </cfRule>
  </conditionalFormatting>
  <conditionalFormatting sqref="S12">
    <cfRule type="expression" priority="1" dxfId="1128">
      <formula>"人物卡!$F$5=1"</formula>
    </cfRule>
  </conditionalFormatting>
  <dataValidations count="126">
    <dataValidation allowBlank="1" type="any" operator="between" errorStyle="stop" showInputMessage="1" promptTitle="Hypnosis (01%)[非常规]" prompt="- 使用者可以在一名自愿并经历过高度暗示、放松的目标身上引出出神似的状态，并且可能回忆起忘却 的记忆。 - 对于催眠的限制应当由 KP 根据适应自己游戏的情况来制定；这可能是只有自愿的目标可以被催眠，或者 KP 可能会允许这项技能以一种更加富有侵略 性的方式被用在非自愿的目标身上。 - 对那些遭受了精神创伤的人，这项技能可以当 做催眠疗法来使用，减轻一名病人的恐惧或者狂躁（成功的使用这个技能意味着这名病人在该场合克服了恐惧或者狂躁），需要1D6次疗程。" showErrorMessage="1" sqref="X88"/>
    <dataValidation allowBlank="1" type="any" operator="between" errorStyle="stop" showInputMessage="1" promptTitle="Natural World (10%) 也译作“自然学”" prompt="- 起初指对于在自然环境中的植物以及动物生命的研究。 - 直到 19 世纪，这门学科被分开到一系列的学术学科（生物学，植物学，等等）。 - 作为一个技能，博物学达标了传统的（非科学的）知识以及农民，渔民，优秀的业余者，以及单纯的爱好者的个人观察。 - 它可以一般地对物种，栖息地进行辨认，并且可以辨认踪迹、足迹以及叫声，也可以允许对什么事物可能对某种特定物种来说很重要进行猜测。 - 如果要一个对自然世界的科学性的理解，那么应当去看生物学，植物学以及动物学技能。" showErrorMessage="1" sqref="X65"/>
    <dataValidation allowBlank="1" type="any" operator="between" errorStyle="stop" showInputMessage="1" promptTitle="提示" prompt="以下汇率的时间为2018年10月" showErrorMessage="1" sqref="X236"/>
    <dataValidation allowBlank="1" type="any" operator="between" errorStyle="stop" showInputMessage="1" promptTitle="Calligraphy (05%)" prompt="使用者可以使用书法挥斥方遒，力透纸背。如果了解对方的书法习惯的话，可以伪造出近乎一模一样的笔迹。也可以替人写字卖钱养家糊口。书法家的名头也是赚足了眼球的。" showErrorMessage="1" sqref="M224"/>
    <dataValidation allowBlank="1" type="any" operator="between" errorStyle="stop" showInputMessage="1" promptTitle="Language (Other)[01%]" prompt="- 当选择这个技能，必须明确一个具体的语言并且 写在技能后面。 - 一个人可以了解任何数量的语言。这项技能代表使用者可以了解，说，读以及写一门不是他母语的语言的可能性。 - 远古或者不知名语言（例如 Aklo，Hyperborean 这两种神话语言）不能被选择（除非 KP 同意） - 通常意义上的早期语言可以被选择。KP 可以提高难度等级，如果遇见了用那门语言的古式的演讲或者写作。 - 单次的其他语言技能检定的成功通常允许对整本书的理解。" showErrorMessage="1" sqref="X55:X57"/>
    <dataValidation allowBlank="1" type="any" operator="between" errorStyle="stop" showInputMessage="1" promptTitle="Intimidate (15%)" prompt="- 恐吓可以以许多形式使用，包括武力威慑，心理操控，以及威胁。这通常被用来使某人害怕，并迫使其进行某种特定的行为。 - 恐吓的对抗技能为恐吓或者心理学。 - 携带武器或者其他的有力的威胁或诱因来协助恐吓可能可以降低难度等级。 - 当在恐吓上使用孤注一掷时，失败的可能结果之一是对目标进行了远远超过本身意图的恐吓。 - 恐吓可以被用于降低一件物品或者服务的价格。如果成功，卖家可能会降低价格，或者免费交出，但是根据情况，对方可能会将这事情举报给警察或者当地犯罪组织的成员。" showErrorMessage="1" sqref="X53"/>
    <dataValidation allowBlank="1" type="any" operator="between" errorStyle="stop" showInputMessage="1" promptTitle="Whip (05%)" prompt="套索以及鞭子。" showErrorMessage="1" sqref="U220"/>
    <dataValidation allowBlank="1" type="any" operator="between" errorStyle="stop" showInputMessage="1" promptTitle="Flail (10%)" prompt="双节棍，钉锤，以及相似的中世纪兵器。" showErrorMessage="1" sqref="U222"/>
    <dataValidation allowBlank="1" type="any" operator="between" errorStyle="stop" showInputMessage="1" promptTitle="Law (05%)" prompt="- 代表你对相关法律、早期事件、法庭辩术或者法院程序了解的可能性。 - 一个在法律实务上的专家可能会获得巨大的奖励以及政治事务所，但是这可能需要长达几年的认真申请——一个较高的信用评级在这关系 上也十分重要。 - 在美国，一个州的州法庭（State Bar）必须批准某人的法律实务。 当到一个外国国家时，使用这项技能的难度等级可能会上升，除非这名角色花费数月的时间来学习这个国家的法律系统。" showErrorMessage="1" sqref="X59"/>
    <dataValidation allowBlank="1" type="any" operator="between" errorStyle="stop" showInputMessage="1" promptTitle="Medicine (01%)" prompt="- 使用者可以诊断并治疗事故，创伤，疾病，毒药 等，并且可以提供公共健康建议。 - 如果一个时代还并没有好的治疗某种疾病的疗法，那么这项技能的效果是有限的，不确定的，或者无效的。 - 医学技能能给予大范围的对于药片以及药剂，是自然还是人造的知识，以及对副作用以及禁忌症状的理解。 - 用医学技能来进行治疗最少要花费 1 小时时间，并且可以在造成了伤害后的任何时间进行处理，但是如果这并没有在同一天内进行处理，难度等级将会上升（需要一个困难难度的成功）。" showErrorMessage="1" sqref="X64"/>
    <dataValidation allowBlank="1" type="any" operator="between" errorStyle="stop" showInputMessage="1" promptTitle="Bow (15%)" prompt="用来使用弓以及弩，包括从中世纪的长弓到现代，高性能的复合弓。" showErrorMessage="1" sqref="Q222"/>
    <dataValidation allowBlank="1" type="any" operator="between" errorStyle="stop" showInputMessage="1" promptTitle="Rifle/Shotgun (25%)" prompt="- 这个技能可以用于射击任何类型的步枪（无论是杠杆作用，手动栓式或者半自动的）或者霰弹枪。 - 因为霰弹枪中装填的弹药会以散射的方式发射，所以使用者的命中几率不会因为距离而减少，但是造成的伤害会受到影响。 - 当突击步枪进行单次射击时（或者多次进行单次），使用这个技能。" showErrorMessage="1" sqref="Q220"/>
    <dataValidation allowBlank="1" type="any" operator="between" errorStyle="stop" showInputMessage="1" promptTitle="Swim (20%)" prompt="- 有能力在水或者其他液体中漂浮以及移动。 - 只有在遭遇危险的时候需要进行游泳技能检定，或者当 KP认为合适的时候。" showErrorMessage="1" sqref="X81"/>
    <dataValidation allowBlank="1" type="any" operator="between" errorStyle="stop" showInputMessage="1" promptTitle="Psychology (10%)" prompt="对所有人来说都很通用的察觉方面的技能，允许使用者研究个人并且形成对于其他某人动机和人格的了解。" showErrorMessage="1" sqref="X72"/>
    <dataValidation allowBlank="1" type="any" operator="between" errorStyle="stop" showInputMessage="1" promptTitle="Psychoanalysis (01%)" prompt="这技能指广泛的情感上的治疗。精神分析可以恢复一名调查员的理智。单独的精神分析并不能加速不定时疯狂的恢复，但允许一名角色处理他人短期内的恐惧症状。心理治疗专家的治疗可以在不定式疯狂期间内回复理智。" showErrorMessage="1" sqref="X71"/>
    <dataValidation allowBlank="1" type="any" operator="between" errorStyle="stop" showInputMessage="1" promptTitle="Ride (05%)" prompt="- 这项技能被用于给坐在鞍上驾驭马，驴子或者骡子，以及获得对这些骑乘动物、骑乘工具的基础照料知识，以及如何在疾驰中或困难地形上操纵坐骑。 - 当坐骑出乎意外地抬起身子或失足时，骑手保持自己在坐骑上不摔落的几率等同于他的骑术技能。 偏坐在马鞍上进行骑乘将会提高一个等级的难度等级。 - 对于不熟悉的坐骑（例如骆驼）也可以成功地骑乘，但是可能会需要更高的难度等级。" showErrorMessage="1" sqref="X73"/>
    <dataValidation allowBlank="1" type="any" operator="between" errorStyle="stop" showInputMessage="1" promptTitle="Library Use (20%)" prompt="- 图书馆使用使一名调查员能在图书馆找到一些信息，例如特定的一本书，新闻或者参考书，搜集文件或者资料库，假设需要的东西确实在那里的话。 - 使用这个技能需要数小时的连续的调查。 - 这项技能可以定位寻找一件隐藏的案例或者一本特殊收藏的稀有书籍，但是说服，话术，魅惑，恐吓，信用评级，或者特殊的证明书可能会需要来获得阅读这书或者信息的许可。" showErrorMessage="1" sqref="X60"/>
    <dataValidation allowBlank="1" type="any" operator="between" errorStyle="stop" showInputMessage="1" promptTitle="Diving (01%)[非常规]" prompt="- 使用者接受过在深海游泳的使用以及维持潜水设 备的训练，水下导航，合适的下潜配重，以及应对紧急情况的方法。 - 在 1942 年的水肺[潜水氧气筒]发明前，严格的潜水套装是装备着能从水面输送空气的连接管道。 - 在现代，一名水肺潜水员将会熟悉当呼吸增压氧气时发生的潜水时的物理现象，气压，以及生理学的过程。" showErrorMessage="1" sqref="X85"/>
    <dataValidation allowBlank="1" type="any" operator="between" errorStyle="stop" showInputMessage="1" promptTitle="Listen (20%)" prompt="- 衡量一名调查员理解声音的能力，包括偶然听到 的对话，一扇关着的门后的轻声嘀咕，以及咖啡厅里的私语。 - KP 可以用这来决定一场即将发生的遭遇的形式：是你的调查员因被踩碎的树枝的声音而警觉到了到来的遭遇？ - 甚至此外，一个较高的聆听技能可以指一名角色有着较高的警觉能力。" showErrorMessage="1" sqref="X61"/>
    <dataValidation allowBlank="1" type="any" operator="between" errorStyle="stop" showInputMessage="1" promptTitle="Beast Training(05%)" prompt="- 命令以及训练已驯化动物去完成一些简单任务的技能。 - 这个技能最常用于狗上，但也包括鸟、猫、猴子以及其他（取决于 KP 的判断）。 - 至于对动物的骑乘，例如马或者骆驼，则要用骑术技能来进行行动以及操控这些坐骑。" showErrorMessage="1" sqref="S219"/>
    <dataValidation allowBlank="1" type="any" operator="between" errorStyle="stop" showInputMessage="1" promptTitle="Singing (05%)" prompt="唱歌有很多唱法，在选择歌唱的时候请自行选择一种唱法写入背景故事，比如：演歌、歌剧歌唱、流行歌等。如果歌唱失败，会让人恨不得撕烂他的嘴。死亡歌声或许能吓退什么呢？" showErrorMessage="1" sqref="M233"/>
    <dataValidation allowBlank="1" type="any" operator="between" errorStyle="stop" showInputMessage="1" promptTitle="Occult (05%)" prompt="- 使用者可以识别出神秘学道具，用语和概念，以及民间传统，并且可以辨认魔法书以及神秘学记号。 - 神秘学家对有着代代相传的神秘知识的家庭十分熟悉，包括从埃及和苏美尔，从中世纪和文艺复兴时期的西方，以及也许从亚洲或者非洲。 - 理解特定的书籍可能可以增加神秘学技能的百分比。这项技能不能运用于与克苏鲁神话相关的咒术，书本，以及魔法，尽管旧日支配者的崇拜者对于神秘学有着很高的接受能力。" showErrorMessage="1" sqref="X67"/>
    <dataValidation allowBlank="1" type="any" operator="between" errorStyle="stop" showInputMessage="1" promptTitle="First Aid (30%)" prompt="- 使用者可以提供紧急的医疗处理。这包括：对摔断了的腿用夹板进行处理，止血，处理烧伤，溺水复苏，包扎以及清理伤口等等。急救不能用于治疗疾病（这需要医学技能）。 - 急救必须在一小时内进行，在这种情况能回复 1 生命值的损伤。 - 这项技能可以尝试一次，后续的尝试将为进行孤注一掷。 - 两个人可以合作进行急救，只要其中一人成功便可以让生命值回复。 - 成功的急救可以将一名昏迷的角色唤醒过来。 - 一名角色只能进行一次成功的急救或者医学，直到受到其他伤害。" showErrorMessage="1" sqref="X51"/>
    <dataValidation allowBlank="1" type="any" operator="between" errorStyle="stop" showInputMessage="1" promptTitle="Architecture (05%)" prompt="使用者可以通过建筑鉴定了解某栋建筑的基本构造。也可以通过建筑对房屋进行修缮维护，比如添瓦加砖铺地板，刷墙壁纸两不闲。" showErrorMessage="1" sqref="M229"/>
    <dataValidation allowBlank="1" type="any" operator="between" errorStyle="stop" showInputMessage="1" promptTitle="Knowledge （不定）[非常规]" prompt="这项技能代表一名觉得对一个超出人类常规知识范畴的事物的专业理解。学问的专业化应该具体并且不同寻常，例如： ·梦学问 ·死灵之书学问（e.g.历史的） ·UFO 学问 ·吸血鬼学问 ·狼人学问 ·亚狄斯星人学问" showErrorMessage="1" sqref="X90"/>
    <dataValidation allowBlank="1" type="any" operator="between" errorStyle="stop" showInputMessage="1" promptTitle="Charm (15%)" prompt="- 魅惑允许通过许多形式来使用，包括肉体魅力、诱惑、奉承或是单纯令人感到温暖的人格魅力。 - 魅惑可能可以被用于迫使某人进行特定的行动，但是不会是与个人日常举止完全相反的行为。 - 魅惑或是心理学技能可以用于对抗魅惑技能。 - 魅惑技能可以被用于讨价还价来使一件物品或者服务的价格降低。 - 如果成功，使用者得到了卖家的赞同，并且他们可能乐意降低一点价格。" showErrorMessage="1" sqref="X32"/>
    <dataValidation allowBlank="1" type="any" operator="between" errorStyle="stop" sqref="AB226:AB227"/>
    <dataValidation allowBlank="1" type="any" operator="between" errorStyle="stop" showInputMessage="1" promptTitle="Anthropology (01%)" prompt="- 使使用者能够通过观察来辨认和理解一个人的生活方式。 - 如果技能使用者持续观察一个其他的文化一段时间，或者在有着关于某种已消失文化的正确资料环境下工作，那么他可以对文化方式以及道德习惯进行简单的预测，即使证据可能并不完整。 - 通过学习文化一个月或者更久，人类学家开始理解这种文化是如何运作的以及，如果结合心理学，可以预测那些研究文化的行为和信仰。" showErrorMessage="1" sqref="X26"/>
    <dataValidation allowBlank="1" type="any" operator="between" errorStyle="stop" showInputMessage="1" promptTitle="Chainsaw (10%)" prompt="第一个以汽油为能源，大量生产的电锯出现于 1927 年；然而，也存在着一些早期版本。" showErrorMessage="1" sqref="U221"/>
    <dataValidation allowBlank="1" type="any" operator="between" errorStyle="stop" showInputMessage="1" promptTitle="Handgun (20%)" prompt="- 用来使用所有的类似于手枪的火器，进行非连续的射击。 - 对于现代游戏中的全自动手枪（MAC-11，乌兹手枪，等等），当使用全自动模式时，用冲锋枪的技能进行判定。" showErrorMessage="1" sqref="Q219"/>
    <dataValidation allowBlank="1" type="any" operator="between" errorStyle="stop" showInputMessage="1" promptTitle="History (05%)" prompt="- 让一名调查员能够记住一个国家，城市，区域或 者个人及其相关的重要情报。 - 一个成功的检定可以用来帮助辨认先祖所熟悉的工具，科技，或者想法，但是对当下的所知甚少。" showErrorMessage="1" sqref="X52"/>
    <dataValidation allowBlank="1" type="any" operator="between" errorStyle="stop" showInputMessage="1" promptTitle="Forgery (05%)" prompt="- 熟练于细节，使用者可以制作高质量的伪造文档使它以某人的笔迹写成，制作官僚作风的形式或许可，或者进行卷册的复制。 - 伪造者需要合适的材料（墨水，不同的纸张等）以及想要复制的文档的原件。 - 一个成功的检定表示伪造文档将通过一个普通而草率的检查。 - 当有人花费时间并仔细检查伪造品时需要使用估价技能（与原始的伪造者的技能进行对抗）来决定是否能辨认出是伪造品。" showErrorMessage="1" sqref="M222"/>
    <dataValidation allowBlank="1" type="any" operator="between" errorStyle="stop" showInputMessage="1" promptTitle="Pharmacy (01%)" prompt="关于化学复合物以及它们的在有机生命体上的效果的研究。传统上来说，这包括药物的配方、创造以及施用（不管是一名巫医进行药草组合或者是现代的药剂师在实验室里进行操作）。这个技能的应用在与确认药物被安全以及有效地使用，包括人工合成原料，毒素的检定，以及有可能产生的副作用的相关知识。" showErrorMessage="1" sqref="O225"/>
    <dataValidation allowBlank="1" type="any" operator="between" errorStyle="stop" showInputMessage="1" promptTitle="Fast Talk (05%) 也译作“快速交谈”" prompt="- 话术特别限定于言语上的哄骗，欺骗以及误导，例如迷惑一名门卫来让你进入一间俱乐部，误导警察看向另一边，以及诸如此类的。 - 这项技能的对立技能为心理学或者话术。 - 经过一段时间的相信期后（通常在使用话术的人离开场景之后），对方会意识到自己被欺骗了。如果达成了更高的难度等级可能会使这个时间更加长一点。 - 可以被用来对一件物品或者服务的价格进行砍价。如果成功，卖家会暂时性地觉得这是一场不错得交易；然而，如果买家打算归还或者试图购买别的物品，卖家可能会拒绝继续降价，并且甚至可能会提高价格为了补回他们的损失" showErrorMessage="1" sqref="X42"/>
    <dataValidation allowBlank="1" type="any" operator="between" errorStyle="stop" showInputMessage="1" promptTitle="Farming (05%)" prompt="耕作，指从事农耕。泛指农事。耕作制度是指在农业生产中，为了达到持续高产所采取的全部农田技术措施。它主要包括种植制度、土壤耕作制、施肥和杂草防除制度等环节。" showErrorMessage="1" sqref="M239"/>
    <dataValidation allowBlank="1" type="any" operator="between" errorStyle="stop" showInputMessage="1" promptTitle="Morris Dance（05%）" prompt="莫里斯舞，在英国的历史“久远”二字都不足以形容。在古代凯尔特人的传统节日庆祝活动中，往往会绕着石圈或者石阵跳舞。这种舞就是最初的莫里斯舞，而随着时间的发展，莫里斯舞后来又转移到了墓地进行。" showErrorMessage="1" sqref="M243"/>
    <dataValidation allowBlank="1" type="any" operator="between" errorStyle="stop" showInputMessage="1" promptTitle="Painter（05%）" prompt="油漆工制定了油漆工规范及相关标准。油漆工是土建专业的专业工种之一，指使用手工工具或机具，把涂料涂刷或喷刷在建筑物表面和门窗表面，以及裱糊饰面和裁装玻璃的专业人员。" showErrorMessage="1" sqref="M245"/>
    <dataValidation allowBlank="1" type="any" operator="between" errorStyle="stop" showInputMessage="1" promptTitle="提示" prompt="以下汇率的时间为2018年10月" showErrorMessage="1" sqref="AI253"/>
    <dataValidation allowBlank="1" type="any" operator="between" errorStyle="stop" showInputMessage="1" promptTitle="Mathematics (01%)" prompt="对于数字和逻辑的研究，包括数学理论、应用以及理论上的解决方法设计和推演发展。这项技能可能允许使用者辨认非欧几里得几何，解决困难的公式，以及破译复杂的图样或者暗码（专业的对暗码的研究见密码学）。" showErrorMessage="1" sqref="O222"/>
    <dataValidation allowBlank="1" type="any" operator="between" errorStyle="stop" showInputMessage="1" promptTitle="Hairdressing (05%)" prompt="理发师可以使用剪刀等工具帮他人理发，如果要给自己理发建议困难鉴定。该技能偏向于RP，请自行扮演。" showErrorMessage="1" sqref="M228"/>
    <dataValidation allowBlank="1" type="any" operator="between" errorStyle="stop" showInputMessage="1" promptTitle="Spear (20%)" prompt="长枪或者投矛。如果投掷，使用投掷技能。" showErrorMessage="1" sqref="U226"/>
    <dataValidation allowBlank="1" type="any" operator="between" errorStyle="stop" showErrorMessage="1" sqref="B152:B183"/>
    <dataValidation allowBlank="1" type="any" operator="between" errorStyle="stop" showErrorMessage="1" sqref="B197:B211"/>
    <dataValidation allowBlank="1" type="any" operator="between" errorStyle="stop" showInputMessage="1" showErrorMessage="1" sqref="S4:S12"/>
    <dataValidation allowBlank="1" type="any" operator="between" errorStyle="stop" showInputMessage="1" promptTitle="提示" prompt="现金单位自行更换" showErrorMessage="1" sqref="Z230:AA230"/>
    <dataValidation allowBlank="1" type="any" operator="between" errorStyle="stop" showInputMessage="1" promptTitle="Operate Heavy Machinery (01%)" prompt="- 当驾驶以及操纵一辆坦克，反铲挖土机，蒸汽挖土机或者其他巨型建造机械时需要这个技能。 - 对于种类非常不同的机械，KP 可以决定提高难度等级，如果遇到的问题是极大程度上不熟悉的；例如，过去常常开推土机的某人，不会立刻能够掌握对船的引擎舱中的蒸汽涡轮机的使用。" showErrorMessage="1" sqref="X68"/>
    <dataValidation allowBlank="1" type="any" operator="between" errorStyle="stop" showInputMessage="1" promptTitle="Typing (05%)" prompt="打字也称文字录入，包括数字录入、中文录入、英文录入（字母）、日文录入（平假名）、德文录入等。以前，使用打字机来打字，即使用电脑来打字。" showErrorMessage="1" sqref="M240"/>
    <dataValidation allowBlank="1" type="any" operator="between" errorStyle="stop" showInputMessage="1" promptTitle="Music theory (05%)" prompt="使用者可以通过乐理鉴定听到的乐声是来自何种乐器、何种曲子以及如果演奏。当然，在背景故事里最好固定于一种乐器。" showErrorMessage="1" sqref="M225"/>
    <dataValidation allowBlank="1" type="any" operator="between" errorStyle="stop" showInputMessage="1" promptTitle="Spot Hidden (25%)" prompt="- 这项技能允许使用者发现密门或者秘密隔间，注意到隐藏的闯入者，发现并不明显的线索，发现重新涂过漆的汽车，意识到埋伏，注意到鼓出的口袋，或者任何类似的事情。 - 对于调查员来说，这是一个重要的技能。" showErrorMessage="1" sqref="X78"/>
    <dataValidation allowBlank="1" type="any" operator="between" errorStyle="stop" showInputMessage="1" promptTitle="Engineering (01%)" prompt="尽管严格上来说这并不是科学，但是为了方便归到了这里。科学是与辨认特定的现象相关（通过观察和记录）。然而工程学将这些发现利用起来进行实际利用，例如机器，结构，以及材料。" showErrorMessage="1" sqref="O229"/>
    <dataValidation allowBlank="1" type="any" operator="between" errorStyle="stop" showInputMessage="1" promptTitle="Submachine Gun (15%)" prompt="当用任何自动手枪或者冲锋枪开火时使用这个技能；同样也用于突击步枪的全自动模式。" showErrorMessage="1" sqref="Q221"/>
    <dataValidation allowBlank="1" type="any" operator="between" errorStyle="stop" showInputMessage="1" promptTitle="Astronomy (01%)" prompt="使用者可以知道在某个特定的日子或者一天早晚某个时间时哪颗恒星或者行星位于正上方，何时彗星和流星雨会出现，以及重要的恒星的名字。这项技能同样会提供有关其他世界的生命，银河的存在和结构，以及类似的知识的现代概念。一名学者可能能够计算轨道，判断恒星生命周期，以及（在现代）有关红外天文学或者超长基线干涉测量的相关知识。" showErrorMessage="1" sqref="O223"/>
    <dataValidation allowBlank="1" type="any" operator="between" errorStyle="stop" showInputMessage="1" promptTitle="Sword (20%)" prompt="所有的长度超过两英尺（半米）的剑器。" showErrorMessage="1" sqref="U225"/>
    <dataValidation allowBlank="1" type="any" operator="between" errorStyle="stop" showInputMessage="1" promptTitle="Drive Auto (20%)" prompt="- 任何有着这项技能的人都可以驾驶一辆汽车或者 轻型卡车，进行常规的移动，并且处理机动车的一般毛病。 - 如果调查员想要甩掉一名追踪者或者追踪某人，则需要一个汽车驾驶检定。 - 一些其他的文化可能用相似的事物来取代这个技 能；因纽特人可能使用狗撬驾驶，或者维多利亚人可能使用四轮马车驾驶。" showErrorMessage="1" sqref="X39"/>
    <dataValidation allowBlank="1" type="any" operator="between" errorStyle="stop" showInputMessage="1" promptTitle="Firearms (不定) [无法孤注一骰]" prompt="- 包括了各种形式的火器，也包括了弓箭和弩。 - 你可以花费技能点数来获得任何专业化技能。 - 作为属类的“射击”技能不能被获得。选择与你调查员的职业与时代历史相契合的专业化技能。" showErrorMessage="1" sqref="X47:X50"/>
    <dataValidation allowBlank="1" type="any" operator="between" errorStyle="stop" showInputMessage="1" promptTitle="Meteorology (01%)" prompt="这是门关于大气的科学研究，包括天气系统和形态，以及大气现象。使用这项技能可以判断长期的天气形态以及对其影响进行预报，例如雨、雪以及雾。" showErrorMessage="1" sqref="O230"/>
    <dataValidation allowBlank="1" type="any" operator="between" errorStyle="stop" showInputMessage="1" promptTitle="Credit Rating (00%)" prompt="- 衡量了调查员表现出来的富裕程度以及经济上的 自信度。 - 钱是敲门砖；如果调查员尝试用他的经济地位来达成某个目标，那么也许使用信用评级技能会比较合适。 - 信用评级可以被用来取代 APP 来评估第一印 象。 - 信用评级并不是一个被用于评估经济富裕度的技能，也不应该与其他技能挂钩。一个高信用评级在游戏中将会是一个有用的资源，并且应当在创造调查员时加上一定的点数。" showErrorMessage="1" sqref="X35"/>
    <dataValidation allowBlank="1" type="any" operator="between" errorStyle="stop" showInputMessage="1" promptTitle="Climb (20%)" prompt="- 这项技能允许一名角色借助或者不借助绳索或者登山工具进行爬树、墙以及其他垂直表面。 - 这项技能也同样包括用绳索下降。攀爬表面是否坚固，是否有可以用手握住的地方，风力，可见度，雨等等坏境状况都可能会影响难度等级。 - 第一次在这个技能上失败可能意味着这攀爬超出了调查员的能力范围。在孤注一掷上失败则可能意味着摔落了下来，同时因此受到伤害。 - 一个成功的攀爬检定应当允许调查员在任何场合下完成攀爬（而不是进行反复检定）。 - 一次富有挑战性或者长距离的攀爬则应当增加难度等级。" showErrorMessage="1" sqref="X33"/>
    <dataValidation allowBlank="1" type="any" operator="between" errorStyle="stop" showInputMessage="1" promptTitle="Machine Gun (10%)" prompt="- 用两脚架或者三脚架架设的进行连续射击的武器。 - 如果两脚架的类型进行单次射击，那么使用步枪技能。 - 对于今日来说，突击步枪，冲锋枪以及轻机枪之间的差别已经是十分细微的了。" showErrorMessage="1" sqref="Q224"/>
    <dataValidation allowBlank="1" type="any" operator="between" errorStyle="stop" showInputMessage="1" promptTitle="Dodge (DEX/2) [无法孤注一骰]" prompt="- 允许调查员本能地闪避攻击，投掷过来的投射物以及诸如此类的。 - 一名角色可以尝试在一场战斗轮中使用任何次数的闪避（但是对抗一次特定的攻击只能一次）。 - 闪避可以通过经验来提升，就像其他的技能一样。 - 如果一次攻击可以被看见，一名角色可以尝试闪避开它。 - 想要闪避子弹是不可能的，因为运动中的它们是不可能被看见的；一名角色所能做到的最好的是做逃避的行动来造成自己更难被命中（“寻找掩体（可以在武器列表的可选规则里看见）“）。" showErrorMessage="1" sqref="X38"/>
    <dataValidation allowBlank="1" type="any" operator="between" errorStyle="stop" showInputMessage="1" promptTitle="Track (10%)" prompt="- 一名调查员可以凭借追踪技能来通过土壤上的脚 印，或是物体通过植被时留下的印记来追踪别人，或者是交通工具以及地球上的动物。 - 时间的经过，雨，以及土地的种类都可能会影响追踪的难度等级。" showErrorMessage="1" sqref="X83"/>
    <dataValidation allowBlank="1" type="any" operator="between" errorStyle="stop" showInputMessage="1" promptTitle="Persuade (10%)" prompt="- 使用说服来通过一场有理有据的论述、争辩以及讨论让目标相信一个确切的想法，概念，或者信仰。 说服并不一定需要涉及真实的内容。成功的说服技能的运用将花费不少的时间：至少半小时。 - 如果你想快速地说服某人，你应该使用话术技能。 取决于玩家表述的目标，如果调查员花费了足够的时间，说服造成的影响可能一直持续下去，并且无意识地影响着别人；可能会持续好几年，直到某件事件或者另一次得说服改变了目标的想法。 - 说服可以被用于讨价还价，以此来削低某样物品或者服务的价格。如果成功，卖家将会完全地相信自己做了一场好买卖。" showErrorMessage="1" sqref="X69"/>
    <dataValidation allowBlank="1" type="any" operator="between" errorStyle="stop" showInputMessage="1" promptTitle="Fighting (不定) [无法孤注一骰]" prompt="- 格斗技能指的是一名角色在近距离战斗上的技能。你可以花费一定的点数来获得任何的专业化技能。 - 作为类属的“格斗”技能不能够获得。选择对你的调查员的职业以及当时历史合适的专业格斗技能。 - 那些有着 50%或者以上的格斗（斗殴）技能的 调查员可能会希望选择一种正规的训练，并且作为背景的一部分来对他们的技能程度进行解释。 - 格斗方式存在着各种各样的。武术只是单纯的一种提升一个人战斗技巧的方式。决定角色是如何学习格斗的，是否是从正规的军队训练，武术教室，或者以自己的努力从街头格斗中学会。[例如跆拳道]" showErrorMessage="1" sqref="X43:X46"/>
    <dataValidation allowBlank="1" type="any" operator="between" errorStyle="stop" showInputMessage="1" promptTitle="Electrical Repair (10%)" prompt="- 使调查员能够修理或者改装电气设备，例如自动点火装置，电动机，保险丝盒，以及防盗自动警铃。 - 在现代，这项技能对现代电子器件几乎做不到什么。 - 为了维修电气设备，可能需要特殊的部件或者工具。 - 在 1920 年代的职业可能会需要这个技能，并且需要机械维修技能作为组合。 - 电气维修也可能在现代的爆破上被使用，例如雷管，C-4 塑料炸弹，以及地雷。 - 这些武器被设计得简单易用；只有一个大失败的结果才会造成不启动（记住这检定可以使用孤注一掷）。 - 拆除爆炸物是远远更为复杂的，因为它们可能被安装了反" showErrorMessage="1" sqref="X40"/>
    <dataValidation allowBlank="1" type="any" operator="between" errorStyle="stop" showInputMessage="1" promptTitle="Botany (01%)" prompt="关于植物生命的研究，包括物种分类，结构，生长，繁殖，化学特性，进化原理，疾病，以及显微研究。植物学的分支学科包括农学，森林学，园艺和古植物学。在这项技能的帮助下，某人可以辨认出某种特定植物的特性（例如是否有毒性，是否可食用，或者具有精神治疗作用）以及它的具体用处。" showErrorMessage="1" sqref="O226"/>
    <dataValidation allowBlank="1" type="any" operator="between" errorStyle="stop" showInputMessage="1" promptTitle="Geology (01%)" prompt="用来决定大致的岩层年龄，辨认出化石的类型，区分矿物和水晶，确定合理的采矿和挖掘地址，评估土地，预测火山活动、地震、雪崩以及其他类似的现象。" showErrorMessage="1" sqref="O219"/>
    <dataValidation allowBlank="1" type="any" operator="between" errorStyle="stop" showInputMessage="1" promptTitle="Cthulhu Mythos (00%)" prompt="“我认为，人的思维缺乏将已知事物联系起来的能力，这是世上最仁慈的事了。人类居住在幽暗的海洋中一个名为无知的小岛上，这海洋浩淼无垠、蕴藏无穷秘密，但我们并不应该航行过远，探究太深。”                ——H·P·爱手艺" showErrorMessage="1" sqref="X36"/>
    <dataValidation allowBlank="1" type="any" operator="between" errorStyle="stop" showInputMessage="1" promptTitle="Axe (15%)" prompt="- 当使用大型的木斧时使用这个技能。 - 短柄小斧则可以用基础的斗殴技能； - 如果投掷出去，使用投掷技能。" showErrorMessage="1" sqref="U224"/>
    <dataValidation allowBlank="1" type="any" operator="between" errorStyle="stop" showInputMessage="1" promptTitle="Chemistry (01%)" prompt="有关物质组成，温度的影响，能量，以及作用于其上的压力的研究，也包括物质如何互相影响。在化学的帮助下，某人可以创造或者提取复杂的化学复合物，包括简单的炸药，毒药，气体以及酸液，需要至少一天以上并且在合适的设备以及化学药剂的帮助。使用者也可以对一种不明的物质进行分析，如果有这合适的设备以及试剂。" showErrorMessage="1" sqref="O220"/>
    <dataValidation allowBlank="1" type="any" operator="between" errorStyle="stop" showInputMessage="1" promptTitle="Cryptography (01%)" prompt="关于由其他人发展出来的用于隐藏对话或者信息内容用的暗码或者密语的研究。一种数学的专业分支，这项技能使使用者能够辨认，创造或破译暗码。暗码通常上来说是写下来的，但也可能通过其他的形式，例如隐藏在乐曲、画作或者电脑编码（在现代设定下）下的信息。破译一个暗码可能会是一个漫长的工作，通常需要很长时间的调查研究以及大量的演算处理。" showErrorMessage="1" sqref="O228"/>
    <dataValidation allowBlank="1" type="any" operator="between" errorStyle="stop" showInputMessage="1" promptTitle="Forensic(01%)" prompt="对于证据的分析和检定的研究。通常与犯罪现场调查（检验指纹、DNA、头发以及体液）和实验室工作相联系，以此来确定真相以及为法庭争论提供专业的证人和证据。" showErrorMessage="1" sqref="O231"/>
    <dataValidation allowBlank="1" type="any" operator="between" errorStyle="stop" showInputMessage="1" promptTitle="Carpenter (05%)" prompt="木匠，亦称“木工”，指在制造家具零件、门窗框架，或其他木制品过程中用手工工具或机器工具进行操作的人。木匠从事的行业是很广泛的，他们不仅可以制作各种家具，在建筑行业、装饰行业、广告行业等都离不开木匠。" showErrorMessage="1" sqref="M242"/>
    <dataValidation allowBlank="1" type="any" operator="between" errorStyle="stop" showInputMessage="1" promptTitle="Beast Training(05%)[非常规]" prompt="- 命令以及训练已驯化动物去完成一些简单任务的技能。 - 这个技能最常用于狗上，但也包括鸟、猫、猴子以及其他（取决于 KP 的判断）。 - 至于对动物的骑乘，例如马或者骆驼，则要用骑术技能来进行行动以及操控这些坐骑。" showErrorMessage="1" sqref="X84"/>
    <dataValidation allowBlank="1" type="any" operator="between" errorStyle="stop" showInputMessage="1" promptTitle="Literature (05%)" prompt="作家可以通过文学来写出一篇脍炙人口的名章。如果想要将一个怪物将其用文字记录下来，那么建议过一个困难以上的鉴定，否则冠以不可名状即可。" showErrorMessage="1" sqref="M223"/>
    <dataValidation allowBlank="1" type="any" operator="between" errorStyle="stop" showInputMessage="1" promptTitle="Fishing (05%)" prompt="技艺者可以使用鱼竿、鱼叉、渔网等工具进行捕鱼。大成功说不定能钓到美人鱼上钩喔。" showErrorMessage="1" sqref="M232"/>
    <dataValidation allowBlank="1" type="any" operator="between" errorStyle="stop" showInputMessage="1" promptTitle="Technical Drawing (05%)" prompt="技术制图，主要是建筑师凭此设计建筑的说法（自行脑补，以下省略XX字）" showErrorMessage="1" sqref="M238"/>
    <dataValidation allowBlank="1" type="any" operator="between" errorStyle="stop" showInputMessage="1" promptTitle="Cooking (05%)" prompt="当使用者需要做饭时可以通过该鉴定决定做出的饭菜是否可口。可以通过后期训练担当五星级酒店掌勺大厨。俗话说的好，抓住男人的心先要抓住男人胃。" showErrorMessage="1" sqref="M226"/>
    <dataValidation allowBlank="1" type="any" operator="between" errorStyle="stop" showInputMessage="1" promptTitle="Photography (05%)" prompt="（这里写不下了所以写进批注）" showErrorMessage="1" sqref="M221"/>
    <dataValidation allowBlank="1" type="any" operator="between" errorStyle="stop" showInputMessage="1" promptTitle="Sleight of Hand (10%)" prompt="- 允许对物体进行视觉上的遮住，藏匿，或者掩盖，也许通过残害，衣服或者其他的干涉或促成错觉 的材料，也许通过使用一个秘密的嵌板或者隔间。 - 任何种类的巨大物件应当增加藏匿的难度。 - 妙手包括偷窃，卡牌魔术，以及秘密使用手机。" showErrorMessage="1" sqref="X77"/>
    <dataValidation allowBlank="1" type="any" operator="between" errorStyle="stop" showInputMessage="1" promptTitle="Acting (05%)" prompt="表演者受到过戏剧以及/或电影演技的训练（在现代，这可能也包括电视），使你能适应一个人物角色，记住剧本，以及使用舞台/电影化妆来改变他们的外貌。" showErrorMessage="1" sqref="M219"/>
    <dataValidation allowBlank="1" type="any" operator="between" errorStyle="stop" showInputMessage="1" prompt="这是你所有资产加起来的总和。 包括房屋汽车家具等等等等。" showErrorMessage="1" sqref="Z228:AA228"/>
    <dataValidation allowBlank="1" type="any" operator="between" errorStyle="stop" showInputMessage="1" promptTitle="Garrote (15%)" prompt="任何长度的材料被用于绞死对方。需要受害者进行一个战技检定来逃脱，否则就要遭受每轮 1D6 的伤害。" showErrorMessage="1" sqref="U223"/>
    <dataValidation allowBlank="1" type="any" operator="between" errorStyle="stop" showInputMessage="1" promptTitle="Archaeology (01%)" prompt="- 允许从过去的文化中鉴定一件古董的年代以及辨别它，以及可以用来发现赝品。 - 使获得建立以及开掘一个挖掘遗址的专业知识。 通过对遗址的勘察，使用者可以推断留下这遗址的生物的目的和生活方式。 - 人类学可能对此会有所帮助。 - 考古学还有助于辨认已消失的人类语言的书面形式。" showErrorMessage="1" sqref="X28"/>
    <dataValidation allowBlank="1" type="any" operator="between" errorStyle="stop" showInputMessage="1" promptTitle="Opera（05%）" prompt="歌剧是一门西方舞台表演艺术，简单而言就是主要或完全以歌唱和音乐来交代和表达剧情的戏剧。歌手和合唱团常有一队乐器手负责伴奏，有的歌剧只需一队小乐队，有的则需要一团完整的管弦乐团。有些歌剧中都会穿插有舞蹈表演，如不少法语歌剧都有一场芭蕾舞表演。歌剧被视为西方古典音乐传统的一部分。" showErrorMessage="1" sqref="M244"/>
    <dataValidation allowBlank="1" type="any" operator="between" errorStyle="stop" showInputMessage="1" promptTitle="Terracotta (05%)" prompt="使用者可以用来伪造陶瓷器，或者能理解某些陶瓷器的烧制过程。或许在某些时候（荒野求生）能有所帮助吧。" showErrorMessage="1" sqref="M234"/>
    <dataValidation allowBlank="1" type="any" operator="between" errorStyle="stop" showInputMessage="1" promptTitle="Fine Art (05%)" prompt="- 艺术家在艺术绘画上十分熟练（油画、丙烯画、水彩画），同样在用铅笔、彩色蜡笔、粉笔的素描上十分熟练。 - 然而这各种各样的艺术工作许多天或者许多月来完成，艺术家可能能快速素描出准确的印象，物体或者人物。 - 这项技能也代表了对艺术世界的熟悉，以及技术家能确定特定艺术家的作品，他们的学校，以及了解的历史。" showErrorMessage="1" sqref="M220"/>
    <dataValidation allowBlank="1" type="any" operator="between" errorStyle="stop" showInputMessage="1" promptTitle="Literature (05%)" prompt="使用者可以根据所学习的程度跳出相应的舞蹈。越难的舞蹈鉴定遇难。比如冰上华尔兹，可能就得进行联合鉴定才能成功。该技能适用RP，请自行扮演。" showErrorMessage="1" sqref="M230"/>
    <dataValidation allowBlank="1" type="any" operator="between" errorStyle="stop" showInputMessage="1" promptTitle="Physics (01%)" prompt="使使用者能够理论上了解压力、材料、运动、磁力、电力、光学、辐射和相关的现象，以及给予一定的能力来构建实验器材来验证想法。对于知识的了解程度取决于所在的年代。实际运用的装置，例如汽车，并不是物理学家的范围，然而实验设备可能会是，也许要结合电气维修或者机械维修。" showErrorMessage="1" sqref="O224"/>
    <dataValidation allowBlank="1" type="any" operator="between" errorStyle="stop" showInputMessage="1" promptTitle="Zoology (01%)" prompt="对专门联系到动物王国的生物学的研究，包括仍存在以及灭绝动物的生态结构，进化，分类，行为习性，以及分布。使用这项技能来从动物与环境的互动（脚印，兽粪，痕迹等等），行为举止，以及区域特点上辨认出其物种。" showErrorMessage="1" sqref="O227"/>
    <dataValidation allowBlank="1" type="any" operator="between" errorStyle="stop" showErrorMessage="1" sqref="A153:A158"/>
    <dataValidation allowBlank="1" type="any" operator="between" errorStyle="stop" showInputMessage="1" promptTitle="Computer Use (05%)" prompt="- 这项技能允许调查员用各种不同的电脑语言进行编程；恢复或者分析隐藏的数据；解除被加了保护的系统；探索一个复杂的网络；或者发现别人的骇入、后门程序、病毒。对电脑系统的特殊操作可能会需要这个检定。 - 互联网将大量的信息放置在了调查员的指尖上。 - 使用互联网来找到高度详细以及/或模糊不清的咨询可能会需要一个计算机使用和图书馆使用的组合检定。 - 这项技能在用电脑上网，检查电子邮件，或者运行一般的商品化软件时不需要使用。 - 仅在现代可用。" showErrorMessage="1" sqref="X34"/>
    <dataValidation allowBlank="1" type="any" operator="between" errorStyle="warning" sqref="G14:O14"/>
    <dataValidation allowBlank="1" type="any" operator="between" errorStyle="stop" showInputMessage="1" promptTitle="Morris Dance（05%）" prompt="莫里斯舞，在英国的历史“久远”二字都不足以形容。在古代凯尔特人的传统节日庆祝活动中，往往会绕着石圈或者石阵跳舞。这种舞就是最初的莫里斯舞，而随着时间的发展，莫里斯舞后来又转移到了墓地进行。" showErrorMessage="1" sqref="AC83"/>
    <dataValidation allowBlank="1" type="any" operator="between" errorStyle="stop" showInputMessage="1" promptTitle="Mechanical Repair (10%)" prompt="- 这项技能允许调查员修理一个破损的机器或者制 造一个新的。 - 基础的木工手艺和管道项目也可以执行，制作物品也同样可以（例如一组滑轮系统）以及维修物品（例如蒸汽泵）。 - 在使用技能中可能会需要特殊的工具或者部件。 - 这项技能可以用来打开普通的家庭锁，但是更加专业的就不能了——见锁匠技能来打开更加复杂的锁。 - 机械维修是一个与电气维修相伴随的技能，并且两者都可能需要来为了修理一个复杂的设备，例如汽车或者飞行器。" showErrorMessage="1" sqref="X63"/>
    <dataValidation allowBlank="1" type="any" operator="between" errorStyle="stop" showInputMessage="1" promptTitle="Disguise (05%)" prompt="- 使用在当你想要演出除你自己外的别人时。 - 使用者改变了态度，习惯，以及/或声音来进行一个乔装，以另一个人或者另一类人的形象出现。 - 戏剧化妆品可能会有所帮助，还有伪造的身份证。" showErrorMessage="1" sqref="X37"/>
    <dataValidation allowBlank="1" type="any" operator="between" errorStyle="stop" showInputMessage="1" promptTitle="Artillery (01%) [无法孤注一骰][非常规]" prompt="- 这项技能呈现出对一些形式的军事训练和经历。使用者具有在战争中操作战地武器的经验：可以在一个工作队或“派遣队”中工作，进行对超过个人武器射击距离的武器的操作。 - 这些武器通常过于巨大以至于无法单人进行操作,并且个人无法再没有工作队支援的情况下使用这武器，或者应当提高难度等级（取决于KP 的判断，也取决于使用的武器类型）。 - 存在着许多不同的专业化武器，取决于游戏设定的时期，包括加农炮、榴弹炮、迫击炮以及火箭发射 器。 -作为一个战斗技能，炮术不能孤注一掷。" showErrorMessage="1" sqref="X89"/>
    <dataValidation allowBlank="1" type="any" operator="between" errorStyle="stop" showInputMessage="1" promptTitle="Electronics (01%)" prompt="- 用来发现并对电子设备的故障进行维修。 - 允许制作简单的电子设备。 - 这是个现代技能——在 1920 年代则是使用物理学以及电气维修来应对电子设备。 - 不像电气维修技能，电子学工作的部件通常是不 能临时配备的：它们通过精密的工作被设计出来通 常如果没有正确的微晶片或者电路板，技能的使用者就无法进行工作，除非他们可以策划出一些形式的应急方案。" showErrorMessage="1" sqref="X41"/>
    <dataValidation allowBlank="1" type="any" operator="between" errorStyle="stop" sqref="AB221"/>
    <dataValidation allowBlank="1" type="any" operator="between" errorStyle="stop" showInputMessage="1" promptTitle="Heavy Weapons (10%)" prompt="用于使用枪榴弹发射器，反坦克火箭炮等等。" showErrorMessage="1" sqref="Q225"/>
    <dataValidation allowBlank="1" type="any" operator="between" errorStyle="stop" showInputMessage="1" promptTitle="Flamethrower (10%)" prompt="- 喷射出一连串点燃的可燃烧液体或者气体的武器。 - 可以被操作者携带或者架设在交通工具上。" showErrorMessage="1" sqref="Q223"/>
    <dataValidation allowBlank="1" type="any" operator="between" errorStyle="stop" showInputMessage="1" promptTitle="Biology (01%)" prompt="关于生命和存活的有机物的学科，包括细胞学、生态学、基因学、组织学、微观生物学、生理学等等。在这项技能的帮助下，一个人可能能够研究出能够对抗可怕的克苏鲁神话细菌的疫苗，将自己从能够令人产生幻觉的丛林植物下隔离开来，或者对鲜血以及/或者有机物质进行分析。" showErrorMessage="1" sqref="O221"/>
    <dataValidation allowBlank="1" type="any" operator="between" errorStyle="stop" showInputMessage="1" promptTitle="Art and Craft (05%)" prompt="- 许多这些例子都是与专业直接相联系的技能，但是这些技能可能只是休闲嗜好。你可以花费技能在任意专业化技能上。 - 不可以加点在作为类属的“艺术与手艺”上。 - 这项技能可能能使你制作或者修理一样东西—通常需要工具和时间，由 KP 来决定，如果必要的话。 - 在适用成功程度分度的情况下，一个更高等级的成功表示这件物品有着高品质以及/或精致度高。 （请点击下一个技艺）" showErrorMessage="1" sqref="X29"/>
    <dataValidation allowBlank="1" type="any" operator="between" errorStyle="stop" showInputMessage="1" promptTitle="Geomantic Omen (05%)" prompt="风水是一门很神奇的技艺。风水本为相地之术，即临场校察地理的方法，也叫地相、古称堪舆术。可以使用查看罗盘等风水工具来得知住宅基地、坟地等的自然形势的方位格局，以辨凶吉。如果迷路，或许也能凭此逃出生天。（该技能KP暗骰）" showErrorMessage="1" sqref="M237"/>
    <dataValidation allowBlank="1" type="any" operator="between" errorStyle="stop" showInputMessage="1" promptTitle="Vintage (05%)" prompt="技艺者可以花费一段时间来酿酒。如果失败了或许酿出来的只是酒糟吧。可以通过品酒来得出酒的度数、类别，或许也能知道这酒的出处吧。" showErrorMessage="1" sqref="M231"/>
    <dataValidation allowBlank="1" type="any" operator="between" errorStyle="stop" showInputMessage="1" promptTitle="Vacuum-Tube Blower (05%)" prompt="吹真空管实为吹制玻璃管。吹制玻璃管分为人工吹制和机械吹制。人工吹制是一项古老的工艺。人工吹制时使用长约1.5m中空铁吹管，一端蘸取玻璃液，一端为吹嘴。挑料后在滚料板（碗）上滚匀、吹气，形成玻璃料泡，在模中吹成制品。机械吹制时，玻璃液由玻璃熔窑出口流出，经供料机形成设定重量和形状的料滴，剪入初型模中吹成或压成初型，再转入成型模中吹成制品。" showErrorMessage="1" sqref="M246"/>
    <dataValidation allowBlank="1" type="any" operator="between" errorStyle="stop" showInputMessage="1" promptTitle="Acrobatics (05%)" prompt="技艺者可以进行某些杂耍技巧，或者变戏法之类的技巧。可以配合跳跃进行空中动作，配合妙手变魔术等。如果进行跑酷的话也可以使用杂技进行鉴定。在跳楼的时候可以通过该技能代替跳跃来减免伤害。" showErrorMessage="1" sqref="M236"/>
    <dataValidation allowBlank="1" type="any" operator="between" errorStyle="stop" showInputMessage="1" promptTitle="Read Lips (01%)[非常规]" prompt="- 这项技能允许好奇的调查员听懂一段交谈对话，而不需要听见对方说了什么。 - 能看到对方的视线是必须的，并且如果只能看到其中一名说话者的唇（另一名可能只能看到背），那么只能辨认出一半的对话。 - 读唇也可以用于与另一个人进行无声的交流（如果双方都是专家），允许相对更加复杂的短语以及含义。" showErrorMessage="1" sqref="X87"/>
    <dataValidation allowBlank="1" type="any" operator="between" errorStyle="stop" showInputMessage="1" promptTitle="Locksmith (01%)" prompt="- 锁匠技能可以打开车门，热线自动装置，用铁撬撬开图书馆的窗子，解决中国机关箱（比如鲁班锁），以及穿过常规的商用警报系统。 - 使用者可能会修复锁，制作钥匙，或者在万能钥匙，开锁工具或者其他工具的帮助下打开锁。 - 特别困难的锁可能会需要一个更高的难度等级。" showErrorMessage="1" sqref="X62"/>
    <dataValidation allowBlank="1" type="any" operator="between" errorStyle="stop" showInputMessage="1" promptTitle="Pilot (01%)" prompt="- 相当于水上或者空中的汽车驾驶，这时使用空中飞行或者水上航行交通供给的技巧。你可以花费技能点来获得任何专业化技能。 - 作为属类的驾驶技能不能被获得。一名调查员可以在调查员表格的空档下写上许多不同种的这一技巧（例如驾驶飞行器，驾驶飞艇等等）。 - 每个的初始都是 01%。  - 不良的天气，极差的可见度，以及器材的损伤都可能会提高驾驶飞行器或水上航具的技能检定的难度等级。" showErrorMessage="1" sqref="X70"/>
    <dataValidation allowBlank="1" type="any" operator="between" errorStyle="stop" showInputMessage="1" promptTitle="Stealth (20%)" prompt="- 安静地移动以及/或者躲藏的技巧，不惊扰到那些可能在听或者看的人们。 - 当尝试躲避探查，玩家应当进行一个潜行的技能检定。 - 与这项技能相关的能力意味着要么角色能够安静地移动（轻声轻足）以及/或者在伪装技巧上有所训练。 - 这项技能也同样意味着角色可以在长时间维持一定程度的谨慎心态以及冷静的头脑来使自己保持静止和隐秘。" showErrorMessage="1" sqref="X79"/>
    <dataValidation allowBlank="1" type="any" operator="between" errorStyle="stop" showInputMessage="1" promptTitle="Language (EDU)" prompt="- 当选择这项技能时，必须明确一门具体的语言并 且写在技能的后面。 - 在婴儿期或者童年早期，大多数人使用单一一门语言。 - 玩家所选择作为母语的语言自动地以等同于调查员教育（EDU）属性为起始；此后，调查员以那个百分比或者更高的来进行理解，说，读以及写（如果更多的技能点数在调查员创作时加了上去）。" showErrorMessage="1" sqref="X58"/>
    <dataValidation allowBlank="1" type="any" operator="between" errorStyle="stop" showInputMessage="1" promptTitle="Demolitions (01%)[非常规]" prompt="- 在这项技能的帮助下，使用者将熟练于安全使用爆破，包括设置以及拆除炸药。 - 地雷以及相似的设备被设计得容易设置（不需要检定）但是相对较为困难地进行除去或拆除。 - 这项技能也包含军用等级的爆炸物（反人类地雷，塑料炸弹，等）。 - 给予足够的时间和资源，这些专家可以装设炸药来摧毁一幢建筑，清除一个被堵住的隧道，以及赋予炸药不同用处（例如构造微量炸药，诡雷，以及其他）。" showErrorMessage="1" sqref="X86"/>
    <dataValidation allowBlank="1" type="any" operator="between" errorStyle="stop" showInputMessage="1" promptTitle="Throw (20%)" prompt="- 当需要用物体击中目标或者用物件的正确部分击中目标（例如小刀或者短柄小斧的刃）时，使用投掷技能。 - 一件有着合理平衡构架的可以藏于手中大小的物品可以被投掷至多等同于 STR 码距离。" showErrorMessage="1" sqref="X82"/>
    <dataValidation allowBlank="1" type="any" operator="between" errorStyle="stop" showInputMessage="1" promptTitle="Appraise (05%)" prompt="- 用来估计某种物品的价值，包括质量，使用的材料以及工艺。 - 相关的，技能使用者可以准确地辨认出物品的年龄，评估它的历史关联性以及发现赝品。" showErrorMessage="1" sqref="X27"/>
    <dataValidation allowBlank="1" type="any" operator="between" errorStyle="stop" showInputMessage="1" promptTitle="Science (01%)" prompt="- 科学专业上的理论和实践的能力，拥有这个技能的人接受过一定程度的正式的教育或者训练，尽管一名博览群书的业余科学家也是可能存在的。 - 对于知识的理解和认识受到游戏时代的限制。你可以花费点数 来获得任何你想要的专业化技能。 - 作为属类的“科学”技能不能被获得。 - 每个专业化技能包括了一门专门的学科，并且列表所给出的并不是全部。许多专业跨越了不同的知识领域，并且有所重叠，例如数学和密码学，植物学和生物学，化学和药学。" showErrorMessage="1" sqref="X74:X76"/>
    <dataValidation allowBlank="1" type="any" operator="between" errorStyle="stop" showInputMessage="1" promptTitle="Navigate (10%) 也译作“导航”" prompt="- 允许使用者在早上或者晚上，在暴风雨或者晴朗天气中认清自己的路。 - 有着更高技能的人将对天文表图和工具，以及卫星定位装置十分熟悉，如果他们是在有着那些东西的时代的话。 - 一名角色也可以用这项技能来测量以及对一块区域进行绘图（制图学），判断是有着几平方米的小岛或者是一块内陆区域—使用现代工具可以降低甚至取消难度等级。 - KP 可以将这个技能的检定作为隐藏骰进行处理—调查员需要尝试去解决的一件事情，并且最后承受结果。 - 如果角色对该区域十分熟悉，那么在这个检定上可以得到一个奖励骰。" showErrorMessage="1" sqref="X66"/>
    <dataValidation allowBlank="1" type="any" operator="between" errorStyle="stop" showInputMessage="1" promptTitle="Jump (20%)" prompt="- 如果成功，调查员可以在垂直方向上跳起或跳下，或者从一个站立点或起步点水平向外跳。 - 为了分辨哪些算在正常跳跃，困难跳跃以及极难跳跃，必须对判断进行训练。 - 作为指导，当调查员想要安全地从垂直等同于其自身高度的地方跳下来时，需要一个常规难度的成功，或者水平地从其站立点跳过长度等同于他自身高度的坑，或者助跑后跳过两倍于其自身高度的距离。 - 如果要达成两倍距离的跳跃，则需要一个极难难度的成功，牢记，最长跳跃的世界纪录为大约 8.95米。 - 如果从高处摔落下来，一个成功的跳跃检定可以使对坠落有所准备，" showErrorMessage="1" sqref="X54"/>
    <dataValidation allowBlank="1" type="any" operator="between" errorStyle="stop" showInputMessage="1" promptTitle="Sculpture (05%)" prompt="使用者可以以雕塑为生，也可以通过一个困难以上鉴定来进行速刻。通过一个普通鉴定能了解到某些雕塑的诞生过程以及他的材质。当然，有时候你也可以大开脑洞凿个中空的雕塑做点什么？" showErrorMessage="1" sqref="M235"/>
    <dataValidation allowBlank="1" type="any" operator="between" errorStyle="stop" showInputMessage="1" promptTitle="Brawl (25%)" prompt="- 包括空手格斗以及任何人都可以捡起并使用的基础武器，例如棍棒（例如板球棒或者棒球棍），小刀，以及许多临时武器，例如瓶子以及椅子腿。 - 为了决定这些临时武器所造成的伤害，KP 应当参考武器表并且挑选那些类似的。" showErrorMessage="1" sqref="U219"/>
    <dataValidation allowBlank="1" type="any" operator="between" errorStyle="stop" showInputMessage="1" promptTitle="Art and Craft (05%)" prompt="- 一个艺术或者手艺技能可能可以用于制作一个复 制品或者赝品。在这情况下，难度等级将取决于需要复制的原品的复杂程度以及独特性。 - 在伪造文件的场合下，将使用一个专门的专业化技能（伪造）。 - 一个成功的检定可能可以提供一个物品的相关信 息，例如这个物品在何时以及哪里被制造，与之相关的一些历史或者技艺，或者谁可能制作了它。拥有这个技能的专家将会在某个专门的领域里有着广泛的知识—对于物品本身，它的历史以及当代从事相关行业的人的知识，以及去实践知识的能力。" showErrorMessage="1" sqref="X30"/>
    <dataValidation allowBlank="1" type="any" operator="between" errorStyle="stop" showInputMessage="1" promptTitle="提示" prompt="以下汇率的时间为2018年10月" showErrorMessage="1" sqref="Z241:AC241"/>
    <dataValidation allowBlank="1" type="any" operator="between" errorStyle="stop" showInputMessage="1" promptTitle="boat （01%）" prompt="- 理解在风，暴风雨以及潮流下操纵小型摩托艇以及轮船的机理，并且可以读懂潮流以及风的流向，以此来得到暗礁以及将要逼近的暴风雨的情 报。 - 初学的水手将会发现到在大风中停靠一艘小船是多么困难。" showErrorMessage="1" sqref="S220"/>
    <dataValidation allowBlank="1" type="any" operator="between" errorStyle="stop" showInputMessage="1" promptTitle="Stenography (05%)" prompt="速记是一门用特殊符号系统记录语音的快写实用技术。大多数人印象中的速记还是传统的手写速记，记录后的稿件是一个个类似蝌蚪的符号，而且需要一段时间把速记符号转化成文字。现在兴起的电脑速记，记录的结果是普通文字信息，不需要再做文字转写工作，能够跟说话同步。电视里现场直播中能够立即出现字幕，电脑速记员就是幕后英雄。" showErrorMessage="1" sqref="M241"/>
    <dataValidation allowBlank="1" type="any" operator="between" errorStyle="stop" showInputMessage="1" promptTitle="Survival (10%)" prompt="- 提供专业的如何在极端环境下生存的知识和技巧，例如在沙漠中或者极地环境，也包括海洋上或者荒野。 - 内容包括狩猎的知识，搭建住所，可能遇到的危险的知识（例如如何避开有毒性的植物）等等，取决于所处的环境。 - 你可以花费技能点来获得任何的专业化技能。 - 作为属类的“生存”技能本身不能被获得。 - 专业环境的生存技巧应当在技能选择时就决定下来，例如：生存（沙漠），（海洋），（极地），等等。" showErrorMessage="1" sqref="X80"/>
    <dataValidation allowBlank="1" type="any" operator="between" errorStyle="stop" showInputMessage="1" promptTitle="Accounting (05%)" prompt="- 使你理解会计工作的流程以及一个企业或者个人的金融职务。 - 通过检查账簿，你可以发现做假账的员工，对资金的偷偷挪用，对行贿或者敲诈的款项支付，以及经济状况是否比表面陈述的更好或者更差。 - 通过仔细检查旧账户，你可以了解过去的资金的得与失（谷物，奴隶贸易，威士忌酒的运营等）以及这些资金是付给了谁以及为了什么款项而支付。" showErrorMessage="1" sqref="X25"/>
    <dataValidation allowBlank="1" type="any" operator="between" errorStyle="stop" showInputMessage="1" promptTitle="Sewing (05%)" prompt="裁缝可以使用针或者缝纫机将布匹丝绸缝纫成某件布制品，根据成品所需难度提高鉴定难度。比如双面绣，建议极难，除非是一脉单传。有缝自有裁，也可以使用剪刀等工具对物品进行裁切。当然，超出剪刀等工具的范围就不适用该技能。" showErrorMessage="1" sqref="M227"/>
  </dataValidations>
  <pageMargins left="0.75" right="0.75" top="1.0" bottom="1.0" header="0.511805555555556" footer="0.511805555555556"/>
  <legacyDrawing r:id="rId1"/>
</worksheet>
</file>

<file path=xl/worksheets/sheet9.xml><?xml version="1.0" encoding="utf-8"?>
<worksheet xmlns:r="http://schemas.openxmlformats.org/officeDocument/2006/relationships" xmlns="http://schemas.openxmlformats.org/spreadsheetml/2006/main">
  <dimension ref="A1:DR154"/>
  <sheetViews>
    <sheetView workbookViewId="0" showGridLines="0" showRowColHeaders="0">
      <selection activeCell="B4" sqref="B4:D9"/>
    </sheetView>
  </sheetViews>
  <sheetFormatPr defaultRowHeight="15.75" defaultColWidth="10"/>
  <cols>
    <col min="1" max="1" customWidth="1" width="16.777344" style="2223"/>
    <col min="2" max="12" customWidth="1" width="8.441406" style="2223"/>
    <col min="13" max="13" customWidth="1" width="9.0" style="2223"/>
    <col min="14" max="14" customWidth="1" width="8.441406" style="2223"/>
    <col min="15" max="16384" customWidth="0" width="8.441406" style="2223"/>
  </cols>
  <sheetData>
    <row r="2" spans="8:8" s="2224" ht="17.55" customFormat="1" customHeight="1">
      <c r="A2" s="2225" t="s">
        <v>5881</v>
      </c>
      <c r="B2" s="2226" t="s">
        <v>3456</v>
      </c>
      <c r="C2" s="2227"/>
      <c r="D2" s="2227"/>
      <c r="E2" s="2227"/>
      <c r="F2" s="2227"/>
      <c r="G2" s="2227"/>
      <c r="H2" s="2227"/>
      <c r="I2" s="2227"/>
      <c r="J2" s="2227"/>
      <c r="K2" s="2227"/>
      <c r="L2" s="2228"/>
      <c r="M2" s="2229" t="s">
        <v>5880</v>
      </c>
      <c r="N2" s="2230" t="s">
        <v>3457</v>
      </c>
      <c r="O2" s="2231"/>
      <c r="P2" s="2231"/>
      <c r="Q2" s="2231"/>
      <c r="R2" s="2231"/>
      <c r="S2" s="2231"/>
      <c r="T2" s="2231"/>
      <c r="U2" s="2231"/>
      <c r="V2" s="2231"/>
      <c r="W2" s="2231"/>
      <c r="X2" s="2231"/>
      <c r="Y2" s="2231"/>
      <c r="Z2" s="2232"/>
    </row>
    <row r="3" spans="8:8" ht="17.55">
      <c r="A3" s="2233"/>
      <c r="B3" s="2234" t="s">
        <v>51</v>
      </c>
      <c r="C3" s="2235"/>
      <c r="D3" s="2235"/>
      <c r="E3" s="2235" t="s">
        <v>3458</v>
      </c>
      <c r="F3" s="2235"/>
      <c r="G3" s="2235" t="s">
        <v>2079</v>
      </c>
      <c r="H3" s="2235"/>
      <c r="I3" s="2236" t="s">
        <v>3459</v>
      </c>
      <c r="J3" s="2236"/>
      <c r="K3" s="2236"/>
      <c r="L3" s="2237"/>
      <c r="M3" s="2229"/>
      <c r="N3" s="2238" t="s">
        <v>160</v>
      </c>
      <c r="O3" s="2239" t="s">
        <v>3460</v>
      </c>
      <c r="P3" s="2239"/>
      <c r="Q3" s="2239"/>
      <c r="R3" s="2239"/>
      <c r="S3" s="2239"/>
      <c r="T3" s="2239"/>
      <c r="U3" s="2239"/>
      <c r="V3" s="2239"/>
      <c r="W3" s="2239"/>
      <c r="X3" s="2239"/>
      <c r="Y3" s="2239"/>
      <c r="Z3" s="2240"/>
    </row>
    <row r="4" spans="8:8">
      <c r="A4" s="2233"/>
      <c r="B4" s="2241" t="s">
        <v>3194</v>
      </c>
      <c r="C4" s="2242"/>
      <c r="D4" s="2242"/>
      <c r="E4" s="2243" t="str">
        <f>IF($B4=附表!B213,"【←下拉框】",VLOOKUP($B4,附表!B95:K212,2,FALSE))</f>
        <v>【←下拉框】</v>
      </c>
      <c r="F4" s="2243"/>
      <c r="G4" s="2244" t="str">
        <f>IF($B4=附表!B213,"",VLOOKUP($B4,附表!B95:K212,3,FALSE))</f>
        <v/>
      </c>
      <c r="H4" s="2244"/>
      <c r="I4" s="2245" t="str">
        <f>IF($B4=附表!B213,"",VLOOKUP($B4,附表!B95:K212,4,FALSE))</f>
        <v/>
      </c>
      <c r="J4" s="2245"/>
      <c r="K4" s="2246"/>
      <c r="L4" s="2247"/>
      <c r="M4" s="2229"/>
      <c r="N4" s="2248" t="s">
        <v>5878</v>
      </c>
      <c r="O4" s="2249" t="s">
        <v>3461</v>
      </c>
      <c r="P4" s="2249"/>
      <c r="Q4" s="2249"/>
      <c r="R4" s="2249"/>
      <c r="S4" s="2249"/>
      <c r="T4" s="2249"/>
      <c r="U4" s="2249"/>
      <c r="V4" s="2249"/>
      <c r="W4" s="2249"/>
      <c r="X4" s="2249"/>
      <c r="Y4" s="2249"/>
      <c r="Z4" s="2250"/>
      <c r="AP4" s="629"/>
      <c r="AQ4" s="629"/>
      <c r="AR4" s="629"/>
      <c r="AS4" s="629"/>
      <c r="AT4" s="629"/>
      <c r="AU4" s="629"/>
      <c r="AV4" s="629"/>
      <c r="AW4" s="629"/>
      <c r="AX4" s="629"/>
      <c r="AY4" s="629"/>
      <c r="AZ4" s="629"/>
      <c r="BA4" s="629"/>
      <c r="BB4" s="629"/>
      <c r="BC4" s="629"/>
      <c r="BD4" s="629"/>
    </row>
    <row r="5" spans="8:8">
      <c r="A5" s="2233"/>
      <c r="B5" s="2251"/>
      <c r="C5" s="2252"/>
      <c r="D5" s="2252"/>
      <c r="E5" s="2243"/>
      <c r="F5" s="2243"/>
      <c r="G5" s="2244"/>
      <c r="H5" s="2244"/>
      <c r="I5" s="2245"/>
      <c r="J5" s="2245"/>
      <c r="K5" s="2253"/>
      <c r="L5" s="2254"/>
      <c r="M5" s="2229"/>
      <c r="N5" s="2255"/>
      <c r="O5" s="2256"/>
      <c r="P5" s="2256"/>
      <c r="Q5" s="2256"/>
      <c r="R5" s="2256"/>
      <c r="S5" s="2256"/>
      <c r="T5" s="2256"/>
      <c r="U5" s="2256"/>
      <c r="V5" s="2256"/>
      <c r="W5" s="2256"/>
      <c r="X5" s="2256"/>
      <c r="Y5" s="2256"/>
      <c r="Z5" s="2257"/>
      <c r="AP5" s="629"/>
      <c r="AQ5" s="629"/>
      <c r="AR5" s="629"/>
      <c r="AS5" s="629"/>
      <c r="AT5" s="629"/>
      <c r="AU5" s="629"/>
      <c r="AV5" s="629"/>
      <c r="AW5" s="629"/>
      <c r="AX5" s="629"/>
      <c r="AY5" s="629"/>
      <c r="AZ5" s="629"/>
      <c r="BA5" s="629"/>
      <c r="BB5" s="629"/>
      <c r="BC5" s="629"/>
      <c r="BD5" s="629"/>
    </row>
    <row r="6" spans="8:8">
      <c r="A6" s="2233"/>
      <c r="B6" s="2251"/>
      <c r="C6" s="2252"/>
      <c r="D6" s="2252"/>
      <c r="E6" s="2243"/>
      <c r="F6" s="2243"/>
      <c r="G6" s="2244"/>
      <c r="H6" s="2244"/>
      <c r="I6" s="2245"/>
      <c r="J6" s="2245"/>
      <c r="K6" s="2253"/>
      <c r="L6" s="2254"/>
      <c r="M6" s="2229"/>
      <c r="N6" s="2258" t="s">
        <v>3462</v>
      </c>
      <c r="O6" s="2259" t="s">
        <v>3463</v>
      </c>
      <c r="P6" s="2259"/>
      <c r="Q6" s="2259"/>
      <c r="R6" s="2259"/>
      <c r="S6" s="2259"/>
      <c r="T6" s="2259"/>
      <c r="U6" s="2259"/>
      <c r="V6" s="2259"/>
      <c r="W6" s="2259"/>
      <c r="X6" s="2259"/>
      <c r="Y6" s="2259"/>
      <c r="Z6" s="2260"/>
      <c r="AP6" s="629"/>
      <c r="AQ6" s="629"/>
      <c r="AR6" s="629"/>
      <c r="AS6" s="629"/>
      <c r="AT6" s="629"/>
      <c r="AU6" s="629"/>
      <c r="AV6" s="629"/>
      <c r="AW6" s="629"/>
      <c r="AX6" s="629"/>
      <c r="AY6" s="629"/>
      <c r="AZ6" s="629"/>
      <c r="BA6" s="629"/>
      <c r="BB6" s="629"/>
      <c r="BC6" s="629"/>
      <c r="BD6" s="629"/>
    </row>
    <row r="7" spans="8:8">
      <c r="A7" s="2233"/>
      <c r="B7" s="2251"/>
      <c r="C7" s="2252"/>
      <c r="D7" s="2252"/>
      <c r="E7" s="2243"/>
      <c r="F7" s="2243"/>
      <c r="G7" s="2244"/>
      <c r="H7" s="2244"/>
      <c r="I7" s="2245"/>
      <c r="J7" s="2245"/>
      <c r="K7" s="2253"/>
      <c r="L7" s="2254"/>
      <c r="M7" s="2229"/>
      <c r="N7" s="2261"/>
      <c r="O7" s="2262"/>
      <c r="P7" s="2262"/>
      <c r="Q7" s="2262"/>
      <c r="R7" s="2262"/>
      <c r="S7" s="2262"/>
      <c r="T7" s="2262"/>
      <c r="U7" s="2262"/>
      <c r="V7" s="2262"/>
      <c r="W7" s="2262"/>
      <c r="X7" s="2262"/>
      <c r="Y7" s="2262"/>
      <c r="Z7" s="2263"/>
      <c r="AP7" s="629"/>
      <c r="AQ7" s="629"/>
      <c r="AR7" s="629"/>
      <c r="AS7" s="629"/>
      <c r="AT7" s="629"/>
      <c r="AU7" s="629"/>
      <c r="AV7" s="629"/>
      <c r="AW7" s="629"/>
      <c r="AX7" s="629"/>
      <c r="AY7" s="629"/>
      <c r="AZ7" s="629"/>
      <c r="BA7" s="629"/>
      <c r="BB7" s="629"/>
      <c r="BC7" s="629"/>
      <c r="BD7" s="629"/>
    </row>
    <row r="8" spans="8:8">
      <c r="A8" s="2233"/>
      <c r="B8" s="2251"/>
      <c r="C8" s="2252"/>
      <c r="D8" s="2252"/>
      <c r="E8" s="2243"/>
      <c r="F8" s="2243"/>
      <c r="G8" s="2244"/>
      <c r="H8" s="2244"/>
      <c r="I8" s="2245"/>
      <c r="J8" s="2245"/>
      <c r="K8" s="2253"/>
      <c r="L8" s="2254"/>
      <c r="M8" s="2229"/>
      <c r="N8" s="2258" t="s">
        <v>881</v>
      </c>
      <c r="O8" s="2259" t="s">
        <v>3464</v>
      </c>
      <c r="P8" s="2259"/>
      <c r="Q8" s="2259"/>
      <c r="R8" s="2259"/>
      <c r="S8" s="2259"/>
      <c r="T8" s="2259"/>
      <c r="U8" s="2259"/>
      <c r="V8" s="2259"/>
      <c r="W8" s="2259"/>
      <c r="X8" s="2259"/>
      <c r="Y8" s="2259"/>
      <c r="Z8" s="2260"/>
      <c r="AP8" s="629"/>
      <c r="AQ8" s="629"/>
      <c r="AR8" s="629"/>
      <c r="AS8" s="629"/>
      <c r="AT8" s="629"/>
      <c r="AU8" s="629"/>
      <c r="AV8" s="629"/>
      <c r="AW8" s="629"/>
      <c r="AX8" s="629"/>
      <c r="AY8" s="629"/>
      <c r="AZ8" s="629"/>
      <c r="BA8" s="629"/>
      <c r="BB8" s="629"/>
      <c r="BC8" s="629"/>
      <c r="BD8" s="629"/>
    </row>
    <row r="9" spans="8:8">
      <c r="A9" s="2233"/>
      <c r="B9" s="2251"/>
      <c r="C9" s="2252"/>
      <c r="D9" s="2252"/>
      <c r="E9" s="2243"/>
      <c r="F9" s="2243"/>
      <c r="G9" s="2244"/>
      <c r="H9" s="2244"/>
      <c r="I9" s="2245"/>
      <c r="J9" s="2245"/>
      <c r="K9" s="2253"/>
      <c r="L9" s="2254"/>
      <c r="M9" s="2229"/>
      <c r="N9" s="2258"/>
      <c r="O9" s="2264"/>
      <c r="P9" s="2264"/>
      <c r="Q9" s="2264"/>
      <c r="R9" s="2264"/>
      <c r="S9" s="2264"/>
      <c r="T9" s="2264"/>
      <c r="U9" s="2264"/>
      <c r="V9" s="2264"/>
      <c r="W9" s="2264"/>
      <c r="X9" s="2264"/>
      <c r="Y9" s="2264"/>
      <c r="Z9" s="2265"/>
      <c r="AP9" s="629"/>
      <c r="AQ9" s="629"/>
      <c r="AR9" s="629"/>
      <c r="AS9" s="629"/>
      <c r="AT9" s="629"/>
      <c r="AU9" s="629"/>
      <c r="AV9" s="629"/>
      <c r="AW9" s="629"/>
      <c r="AX9" s="629"/>
      <c r="AY9" s="629"/>
      <c r="AZ9" s="629"/>
      <c r="BA9" s="629"/>
      <c r="BB9" s="629"/>
      <c r="BC9" s="629"/>
      <c r="BD9" s="629"/>
    </row>
    <row r="10" spans="8:8" ht="17.55">
      <c r="A10" s="2233"/>
      <c r="B10" s="2234" t="s">
        <v>2084</v>
      </c>
      <c r="C10" s="2235"/>
      <c r="D10" s="2266"/>
      <c r="E10" s="2235"/>
      <c r="F10" s="2235"/>
      <c r="G10" s="2235"/>
      <c r="H10" s="2235"/>
      <c r="I10" s="2235" t="s">
        <v>2082</v>
      </c>
      <c r="J10" s="2235"/>
      <c r="K10" s="2267" t="s">
        <v>2083</v>
      </c>
      <c r="L10" s="2268"/>
      <c r="M10" s="2229"/>
      <c r="N10" s="2255" t="s">
        <v>3465</v>
      </c>
      <c r="O10" s="2259" t="s">
        <v>3466</v>
      </c>
      <c r="P10" s="2259"/>
      <c r="Q10" s="2259"/>
      <c r="R10" s="2259"/>
      <c r="S10" s="2259"/>
      <c r="T10" s="2259"/>
      <c r="U10" s="2259"/>
      <c r="V10" s="2259"/>
      <c r="W10" s="2259"/>
      <c r="X10" s="2259"/>
      <c r="Y10" s="2259"/>
      <c r="Z10" s="2260"/>
      <c r="AP10" s="629"/>
      <c r="AQ10" s="629"/>
      <c r="AR10" s="629"/>
      <c r="AS10" s="629"/>
      <c r="AT10" s="629"/>
      <c r="AU10" s="629"/>
      <c r="AV10" s="629"/>
      <c r="AW10" s="629"/>
      <c r="AX10" s="629"/>
      <c r="AY10" s="629"/>
      <c r="AZ10" s="629"/>
      <c r="BA10" s="629"/>
      <c r="BB10" s="629"/>
      <c r="BC10" s="629"/>
      <c r="BD10" s="629"/>
    </row>
    <row r="11" spans="8:8">
      <c r="A11" s="2233"/>
      <c r="B11" s="2269" t="str">
        <f>IF($B4=附表!B213,"",VLOOKUP($B4,附表!B95:K212,8,FALSE))</f>
        <v/>
      </c>
      <c r="C11" s="2270"/>
      <c r="D11" s="2271"/>
      <c r="E11" s="2270"/>
      <c r="F11" s="2270"/>
      <c r="G11" s="2270"/>
      <c r="H11" s="2270"/>
      <c r="I11" s="2272" t="str">
        <f>IF($B4=附表!B213,"",VLOOKUP($B4,附表!B95:K212,6,FALSE))</f>
        <v/>
      </c>
      <c r="J11" s="2272"/>
      <c r="K11" s="2273" t="str">
        <f>IF($B4=附表!B213,"",VLOOKUP($B4,附表!B95:K212,7,FALSE))</f>
        <v/>
      </c>
      <c r="L11" s="2274"/>
      <c r="M11" s="2229"/>
      <c r="N11" s="2261"/>
      <c r="O11" s="2262"/>
      <c r="P11" s="2262"/>
      <c r="Q11" s="2262"/>
      <c r="R11" s="2262"/>
      <c r="S11" s="2262"/>
      <c r="T11" s="2262"/>
      <c r="U11" s="2262"/>
      <c r="V11" s="2262"/>
      <c r="W11" s="2262"/>
      <c r="X11" s="2262"/>
      <c r="Y11" s="2262"/>
      <c r="Z11" s="2263"/>
      <c r="AP11" s="629"/>
      <c r="AQ11" s="629"/>
      <c r="AR11" s="629"/>
      <c r="AS11" s="629"/>
      <c r="AT11" s="629"/>
      <c r="AU11" s="629"/>
      <c r="AV11" s="629"/>
      <c r="AW11" s="629"/>
      <c r="AX11" s="629"/>
      <c r="AY11" s="629"/>
      <c r="AZ11" s="629"/>
      <c r="BA11" s="629"/>
      <c r="BB11" s="629"/>
      <c r="BC11" s="629"/>
      <c r="BD11" s="629"/>
    </row>
    <row r="12" spans="8:8" ht="15.75" customHeight="1">
      <c r="A12" s="2233"/>
      <c r="B12" s="2269"/>
      <c r="C12" s="2270"/>
      <c r="D12" s="2271"/>
      <c r="E12" s="2270"/>
      <c r="F12" s="2270"/>
      <c r="G12" s="2270"/>
      <c r="H12" s="2270"/>
      <c r="I12" s="2272"/>
      <c r="J12" s="2272"/>
      <c r="K12" s="2273"/>
      <c r="L12" s="2274"/>
      <c r="M12" s="2229"/>
      <c r="N12" s="2258" t="s">
        <v>3467</v>
      </c>
      <c r="O12" s="2259" t="s">
        <v>3468</v>
      </c>
      <c r="P12" s="2259"/>
      <c r="Q12" s="2259"/>
      <c r="R12" s="2259"/>
      <c r="S12" s="2259"/>
      <c r="T12" s="2259"/>
      <c r="U12" s="2259"/>
      <c r="V12" s="2259"/>
      <c r="W12" s="2259"/>
      <c r="X12" s="2259"/>
      <c r="Y12" s="2259"/>
      <c r="Z12" s="2260"/>
      <c r="AP12" s="629"/>
      <c r="AQ12" s="629"/>
      <c r="AR12" s="629"/>
      <c r="AS12" s="629"/>
      <c r="AT12" s="629"/>
      <c r="AU12" s="629"/>
      <c r="AV12" s="629"/>
      <c r="AW12" s="629"/>
      <c r="AX12" s="629"/>
      <c r="AY12" s="629"/>
      <c r="AZ12" s="629"/>
      <c r="BA12" s="629"/>
      <c r="BB12" s="629"/>
      <c r="BC12" s="629"/>
      <c r="BD12" s="629"/>
    </row>
    <row r="13" spans="8:8">
      <c r="A13" s="2233"/>
      <c r="B13" s="2269"/>
      <c r="C13" s="2270"/>
      <c r="D13" s="2271"/>
      <c r="E13" s="2270"/>
      <c r="F13" s="2270"/>
      <c r="G13" s="2270"/>
      <c r="H13" s="2270"/>
      <c r="I13" s="2272"/>
      <c r="J13" s="2272"/>
      <c r="K13" s="2273"/>
      <c r="L13" s="2274"/>
      <c r="M13" s="2229"/>
      <c r="N13" s="2275"/>
      <c r="Z13" s="2276"/>
      <c r="AP13" s="629"/>
      <c r="AQ13" s="629"/>
      <c r="AR13" s="629"/>
      <c r="AS13" s="629"/>
      <c r="AT13" s="629"/>
      <c r="AU13" s="629"/>
      <c r="AV13" s="629"/>
      <c r="AW13" s="629"/>
      <c r="AX13" s="629"/>
      <c r="AY13" s="629"/>
      <c r="AZ13" s="629"/>
      <c r="BA13" s="629"/>
      <c r="BB13" s="629"/>
      <c r="BC13" s="629"/>
      <c r="BD13" s="629"/>
    </row>
    <row r="14" spans="8:8">
      <c r="A14" s="2233"/>
      <c r="B14" s="2269"/>
      <c r="C14" s="2270"/>
      <c r="D14" s="2271"/>
      <c r="E14" s="2270"/>
      <c r="F14" s="2270"/>
      <c r="G14" s="2270"/>
      <c r="H14" s="2270"/>
      <c r="I14" s="2272"/>
      <c r="J14" s="2272"/>
      <c r="K14" s="2273"/>
      <c r="L14" s="2274"/>
      <c r="M14" s="2229"/>
      <c r="N14" s="2277" t="s">
        <v>3469</v>
      </c>
      <c r="O14" s="2259" t="s">
        <v>3470</v>
      </c>
      <c r="P14" s="2259"/>
      <c r="Q14" s="2259"/>
      <c r="R14" s="2259"/>
      <c r="S14" s="2259"/>
      <c r="T14" s="2259"/>
      <c r="U14" s="2259"/>
      <c r="V14" s="2259"/>
      <c r="W14" s="2259"/>
      <c r="X14" s="2259"/>
      <c r="Y14" s="2259"/>
      <c r="Z14" s="2260"/>
      <c r="AP14" s="629"/>
      <c r="AQ14" s="629"/>
      <c r="AR14" s="629"/>
      <c r="AS14" s="629"/>
      <c r="AT14" s="629"/>
      <c r="AU14" s="629"/>
      <c r="AV14" s="629"/>
      <c r="AW14" s="629"/>
      <c r="AX14" s="629"/>
      <c r="AY14" s="629"/>
      <c r="AZ14" s="629"/>
      <c r="BA14" s="629"/>
      <c r="BB14" s="629"/>
      <c r="BC14" s="629"/>
      <c r="BD14" s="629"/>
    </row>
    <row r="15" spans="8:8">
      <c r="A15" s="2233"/>
      <c r="B15" s="2269"/>
      <c r="C15" s="2270"/>
      <c r="D15" s="2271"/>
      <c r="E15" s="2270"/>
      <c r="F15" s="2270"/>
      <c r="G15" s="2270"/>
      <c r="H15" s="2270"/>
      <c r="I15" s="2272"/>
      <c r="J15" s="2272"/>
      <c r="K15" s="2273"/>
      <c r="L15" s="2274"/>
      <c r="M15" s="2229"/>
      <c r="N15" s="2277"/>
      <c r="O15" s="2259"/>
      <c r="P15" s="2259"/>
      <c r="Q15" s="2259"/>
      <c r="R15" s="2259"/>
      <c r="S15" s="2259"/>
      <c r="T15" s="2259"/>
      <c r="U15" s="2259"/>
      <c r="V15" s="2259"/>
      <c r="W15" s="2259"/>
      <c r="X15" s="2259"/>
      <c r="Y15" s="2259"/>
      <c r="Z15" s="2260"/>
      <c r="AP15" s="629"/>
      <c r="AQ15" s="629"/>
      <c r="AR15" s="629"/>
      <c r="AS15" s="629"/>
      <c r="AT15" s="629"/>
      <c r="AU15" s="629"/>
      <c r="AV15" s="629"/>
      <c r="AW15" s="629"/>
      <c r="AX15" s="629"/>
      <c r="AY15" s="629"/>
      <c r="AZ15" s="629"/>
      <c r="BA15" s="629"/>
      <c r="BB15" s="629"/>
      <c r="BC15" s="629"/>
      <c r="BD15" s="629"/>
    </row>
    <row r="16" spans="8:8">
      <c r="A16" s="2233"/>
      <c r="B16" s="2269"/>
      <c r="C16" s="2270"/>
      <c r="D16" s="2271"/>
      <c r="E16" s="2270"/>
      <c r="F16" s="2270"/>
      <c r="G16" s="2270"/>
      <c r="H16" s="2270"/>
      <c r="I16" s="2272"/>
      <c r="J16" s="2272"/>
      <c r="K16" s="2273"/>
      <c r="L16" s="2274"/>
      <c r="M16" s="2229"/>
      <c r="N16" s="2275"/>
      <c r="Z16" s="2276"/>
      <c r="AP16" s="629"/>
      <c r="AQ16" s="629"/>
      <c r="AR16" s="629"/>
      <c r="AS16" s="629"/>
      <c r="AT16" s="629"/>
      <c r="AU16" s="629"/>
      <c r="AV16" s="629"/>
      <c r="AW16" s="629"/>
      <c r="AX16" s="629"/>
      <c r="AY16" s="629"/>
      <c r="AZ16" s="629"/>
      <c r="BA16" s="629"/>
      <c r="BB16" s="629"/>
      <c r="BC16" s="629"/>
      <c r="BD16" s="629"/>
    </row>
    <row r="17" spans="8:8">
      <c r="A17" s="2233"/>
      <c r="B17" s="2269"/>
      <c r="C17" s="2270"/>
      <c r="D17" s="2271"/>
      <c r="E17" s="2270"/>
      <c r="F17" s="2270"/>
      <c r="G17" s="2270"/>
      <c r="H17" s="2270"/>
      <c r="I17" s="2272"/>
      <c r="J17" s="2272"/>
      <c r="K17" s="2273"/>
      <c r="L17" s="2274"/>
      <c r="M17" s="2229"/>
      <c r="N17" s="2277" t="s">
        <v>3471</v>
      </c>
      <c r="O17" s="2259" t="s">
        <v>3472</v>
      </c>
      <c r="P17" s="2259"/>
      <c r="Q17" s="2259"/>
      <c r="R17" s="2259"/>
      <c r="S17" s="2259"/>
      <c r="T17" s="2259"/>
      <c r="U17" s="2259"/>
      <c r="V17" s="2259"/>
      <c r="W17" s="2259"/>
      <c r="X17" s="2259"/>
      <c r="Y17" s="2259"/>
      <c r="Z17" s="2260"/>
      <c r="AP17" s="629"/>
      <c r="AQ17" s="629"/>
      <c r="AR17" s="629"/>
      <c r="AS17" s="629"/>
      <c r="AT17" s="629"/>
      <c r="AU17" s="629"/>
      <c r="AV17" s="629"/>
      <c r="AW17" s="629"/>
      <c r="AX17" s="629"/>
      <c r="AY17" s="629"/>
      <c r="AZ17" s="629"/>
      <c r="BA17" s="629"/>
      <c r="BB17" s="629"/>
      <c r="BC17" s="629"/>
      <c r="BD17" s="629"/>
    </row>
    <row r="18" spans="8:8">
      <c r="A18" s="2233"/>
      <c r="B18" s="2269"/>
      <c r="C18" s="2270"/>
      <c r="D18" s="2271"/>
      <c r="E18" s="2270"/>
      <c r="F18" s="2270"/>
      <c r="G18" s="2270"/>
      <c r="H18" s="2270"/>
      <c r="I18" s="2272"/>
      <c r="J18" s="2272"/>
      <c r="K18" s="2273"/>
      <c r="L18" s="2274"/>
      <c r="M18" s="2229"/>
      <c r="N18" s="2277"/>
      <c r="O18" s="2259"/>
      <c r="P18" s="2259"/>
      <c r="Q18" s="2259"/>
      <c r="R18" s="2259"/>
      <c r="S18" s="2259"/>
      <c r="T18" s="2259"/>
      <c r="U18" s="2259"/>
      <c r="V18" s="2259"/>
      <c r="W18" s="2259"/>
      <c r="X18" s="2259"/>
      <c r="Y18" s="2259"/>
      <c r="Z18" s="2260"/>
      <c r="AP18" s="629"/>
      <c r="AQ18" s="629"/>
      <c r="AR18" s="629"/>
      <c r="AS18" s="629"/>
      <c r="AT18" s="629"/>
      <c r="AU18" s="629"/>
      <c r="AV18" s="629"/>
      <c r="AW18" s="629"/>
      <c r="AX18" s="629"/>
      <c r="AY18" s="629"/>
      <c r="AZ18" s="629"/>
      <c r="BA18" s="629"/>
      <c r="BB18" s="629"/>
      <c r="BC18" s="629"/>
      <c r="BD18" s="629"/>
    </row>
    <row r="19" spans="8:8">
      <c r="A19" s="2233"/>
      <c r="B19" s="2269"/>
      <c r="C19" s="2270"/>
      <c r="D19" s="2271"/>
      <c r="E19" s="2270"/>
      <c r="F19" s="2270"/>
      <c r="G19" s="2270"/>
      <c r="H19" s="2270"/>
      <c r="I19" s="2272"/>
      <c r="J19" s="2272"/>
      <c r="K19" s="2273"/>
      <c r="L19" s="2274"/>
      <c r="M19" s="2229"/>
      <c r="N19" s="2258"/>
      <c r="O19" s="2264"/>
      <c r="P19" s="2264"/>
      <c r="Q19" s="2264"/>
      <c r="R19" s="2264"/>
      <c r="S19" s="2264"/>
      <c r="T19" s="2264"/>
      <c r="U19" s="2264"/>
      <c r="V19" s="2264"/>
      <c r="W19" s="2264"/>
      <c r="X19" s="2264"/>
      <c r="Y19" s="2264"/>
      <c r="Z19" s="2265"/>
      <c r="AP19" s="629"/>
      <c r="AQ19" s="629"/>
      <c r="AR19" s="629"/>
      <c r="AS19" s="629"/>
      <c r="AT19" s="629"/>
      <c r="AU19" s="629"/>
      <c r="AV19" s="629"/>
      <c r="AW19" s="629"/>
      <c r="AX19" s="629"/>
      <c r="AY19" s="629"/>
      <c r="AZ19" s="629"/>
      <c r="BA19" s="629"/>
      <c r="BB19" s="629"/>
      <c r="BC19" s="629"/>
      <c r="BD19" s="629"/>
    </row>
    <row r="20" spans="8:8">
      <c r="A20" s="2233"/>
      <c r="B20" s="2269"/>
      <c r="C20" s="2270"/>
      <c r="D20" s="2271"/>
      <c r="E20" s="2270"/>
      <c r="F20" s="2270"/>
      <c r="G20" s="2270"/>
      <c r="H20" s="2270"/>
      <c r="I20" s="2272"/>
      <c r="J20" s="2272"/>
      <c r="K20" s="2273"/>
      <c r="L20" s="2274"/>
      <c r="M20" s="2229"/>
      <c r="N20" s="2277" t="s">
        <v>3473</v>
      </c>
      <c r="O20" s="2278" t="s">
        <v>5879</v>
      </c>
      <c r="P20" s="2279"/>
      <c r="Q20" s="2279"/>
      <c r="R20" s="2279"/>
      <c r="S20" s="2279"/>
      <c r="T20" s="2279"/>
      <c r="U20" s="2279"/>
      <c r="V20" s="2279"/>
      <c r="W20" s="2279"/>
      <c r="X20" s="2279"/>
      <c r="Y20" s="2279"/>
      <c r="Z20" s="2280"/>
      <c r="AP20" s="629"/>
      <c r="AQ20" s="629"/>
      <c r="AR20" s="629"/>
      <c r="AS20" s="629"/>
      <c r="AT20" s="629"/>
      <c r="AU20" s="629"/>
      <c r="AV20" s="629"/>
      <c r="AW20" s="629"/>
      <c r="AX20" s="629"/>
      <c r="AY20" s="629"/>
      <c r="AZ20" s="629"/>
      <c r="BA20" s="629"/>
      <c r="BB20" s="629"/>
      <c r="BC20" s="629"/>
      <c r="BD20" s="629"/>
    </row>
    <row r="21" spans="8:8">
      <c r="A21" s="2233"/>
      <c r="B21" s="2269"/>
      <c r="C21" s="2270"/>
      <c r="D21" s="2271"/>
      <c r="E21" s="2270"/>
      <c r="F21" s="2270"/>
      <c r="G21" s="2270"/>
      <c r="H21" s="2270"/>
      <c r="I21" s="2272"/>
      <c r="J21" s="2272"/>
      <c r="K21" s="2273"/>
      <c r="L21" s="2274"/>
      <c r="M21" s="2229"/>
      <c r="N21" s="2277"/>
      <c r="O21" s="2279"/>
      <c r="P21" s="2279"/>
      <c r="Q21" s="2279"/>
      <c r="R21" s="2279"/>
      <c r="S21" s="2279"/>
      <c r="T21" s="2279"/>
      <c r="U21" s="2279"/>
      <c r="V21" s="2279"/>
      <c r="W21" s="2279"/>
      <c r="X21" s="2279"/>
      <c r="Y21" s="2279"/>
      <c r="Z21" s="2280"/>
      <c r="AP21" s="629"/>
      <c r="AQ21" s="629"/>
      <c r="AR21" s="629"/>
      <c r="AS21" s="629"/>
      <c r="AT21" s="629"/>
      <c r="AU21" s="629"/>
      <c r="AV21" s="629"/>
      <c r="AW21" s="629"/>
      <c r="AX21" s="629"/>
      <c r="AY21" s="629"/>
      <c r="AZ21" s="629"/>
      <c r="BA21" s="629"/>
      <c r="BB21" s="629"/>
      <c r="BC21" s="629"/>
      <c r="BD21" s="629"/>
    </row>
    <row r="22" spans="8:8">
      <c r="A22" s="2233"/>
      <c r="B22" s="2269"/>
      <c r="C22" s="2270"/>
      <c r="D22" s="2271"/>
      <c r="E22" s="2270"/>
      <c r="F22" s="2270"/>
      <c r="G22" s="2270"/>
      <c r="H22" s="2270"/>
      <c r="I22" s="2272"/>
      <c r="J22" s="2272"/>
      <c r="K22" s="2273"/>
      <c r="L22" s="2274"/>
      <c r="M22" s="2229"/>
      <c r="N22" s="2261"/>
      <c r="O22" s="2262"/>
      <c r="P22" s="2262"/>
      <c r="Q22" s="2262"/>
      <c r="R22" s="2262"/>
      <c r="S22" s="2262"/>
      <c r="T22" s="2262"/>
      <c r="U22" s="2262"/>
      <c r="V22" s="2262"/>
      <c r="W22" s="2262"/>
      <c r="X22" s="2262"/>
      <c r="Y22" s="2262"/>
      <c r="Z22" s="2263"/>
      <c r="AP22" s="629"/>
      <c r="AQ22" s="629"/>
      <c r="AR22" s="629"/>
      <c r="AS22" s="629"/>
      <c r="AT22" s="629"/>
      <c r="AU22" s="629"/>
      <c r="AV22" s="629"/>
      <c r="AW22" s="629"/>
      <c r="AX22" s="629"/>
      <c r="AY22" s="629"/>
      <c r="AZ22" s="629"/>
      <c r="BA22" s="629"/>
      <c r="BB22" s="629"/>
      <c r="BC22" s="629"/>
      <c r="BD22" s="629"/>
    </row>
    <row r="23" spans="8:8">
      <c r="A23" s="2233"/>
      <c r="B23" s="2269"/>
      <c r="C23" s="2270"/>
      <c r="D23" s="2271"/>
      <c r="E23" s="2270"/>
      <c r="F23" s="2270"/>
      <c r="G23" s="2270"/>
      <c r="H23" s="2270"/>
      <c r="I23" s="2272"/>
      <c r="J23" s="2272"/>
      <c r="K23" s="2273"/>
      <c r="L23" s="2274"/>
      <c r="M23" s="2229"/>
      <c r="N23" s="2258" t="s">
        <v>3474</v>
      </c>
      <c r="O23" s="2259" t="s">
        <v>3475</v>
      </c>
      <c r="P23" s="2259"/>
      <c r="Q23" s="2259"/>
      <c r="R23" s="2259"/>
      <c r="S23" s="2259"/>
      <c r="T23" s="2259"/>
      <c r="U23" s="2259"/>
      <c r="V23" s="2259"/>
      <c r="W23" s="2259"/>
      <c r="X23" s="2259"/>
      <c r="Y23" s="2259"/>
      <c r="Z23" s="2260"/>
      <c r="AP23" s="629"/>
      <c r="AQ23" s="629"/>
      <c r="AR23" s="629"/>
      <c r="AS23" s="629"/>
      <c r="AT23" s="629"/>
      <c r="AU23" s="629"/>
      <c r="AV23" s="629"/>
      <c r="AW23" s="629"/>
      <c r="AX23" s="629"/>
      <c r="AY23" s="629"/>
      <c r="AZ23" s="629"/>
      <c r="BA23" s="629"/>
      <c r="BB23" s="629"/>
      <c r="BC23" s="629"/>
      <c r="BD23" s="629"/>
    </row>
    <row r="24" spans="8:8" ht="17.55">
      <c r="A24" s="629"/>
      <c r="B24" s="2234" t="s">
        <v>2085</v>
      </c>
      <c r="C24" s="2235"/>
      <c r="D24" s="2266"/>
      <c r="E24" s="2235"/>
      <c r="F24" s="2235"/>
      <c r="G24" s="2235"/>
      <c r="H24" s="2235" t="s">
        <v>2086</v>
      </c>
      <c r="I24" s="2235"/>
      <c r="J24" s="2235"/>
      <c r="K24" s="2267"/>
      <c r="L24" s="2268"/>
      <c r="M24" s="2229"/>
      <c r="N24" s="2261"/>
      <c r="O24" s="2281"/>
      <c r="P24" s="2281"/>
      <c r="Q24" s="2281"/>
      <c r="R24" s="2281"/>
      <c r="S24" s="2281"/>
      <c r="T24" s="2281"/>
      <c r="U24" s="2281"/>
      <c r="V24" s="2281"/>
      <c r="W24" s="2281"/>
      <c r="X24" s="2281"/>
      <c r="Y24" s="2281"/>
      <c r="Z24" s="2263"/>
      <c r="AP24" s="629"/>
      <c r="AQ24" s="629"/>
      <c r="AR24" s="629"/>
      <c r="AS24" s="629"/>
      <c r="AT24" s="629"/>
      <c r="AU24" s="629"/>
      <c r="AV24" s="629"/>
      <c r="AW24" s="629"/>
      <c r="AX24" s="629"/>
      <c r="AY24" s="629"/>
      <c r="AZ24" s="629"/>
      <c r="BA24" s="629"/>
      <c r="BB24" s="629"/>
      <c r="BC24" s="629"/>
      <c r="BD24" s="629"/>
    </row>
    <row r="25" spans="8:8">
      <c r="A25" s="629"/>
      <c r="B25" s="2269" t="str">
        <f>IF($B4=附表!B213,"",VLOOKUP($B4,附表!B95:K212,9,FALSE))</f>
        <v/>
      </c>
      <c r="C25" s="2270"/>
      <c r="D25" s="2271"/>
      <c r="E25" s="2270"/>
      <c r="F25" s="2270"/>
      <c r="G25" s="2270"/>
      <c r="H25" s="2282" t="str">
        <f>IF($B4=附表!B213,"",VLOOKUP($B4,附表!B95:K212,10,FALSE))</f>
        <v/>
      </c>
      <c r="I25" s="2282"/>
      <c r="J25" s="2282"/>
      <c r="K25" s="2283"/>
      <c r="L25" s="2284"/>
      <c r="M25" s="2285"/>
      <c r="N25" s="2277" t="s">
        <v>3476</v>
      </c>
      <c r="O25" s="2259" t="s">
        <v>3477</v>
      </c>
      <c r="P25" s="2259"/>
      <c r="Q25" s="2259"/>
      <c r="R25" s="2259"/>
      <c r="S25" s="2259"/>
      <c r="T25" s="2259"/>
      <c r="U25" s="2259"/>
      <c r="V25" s="2259"/>
      <c r="W25" s="2259"/>
      <c r="X25" s="2259"/>
      <c r="Y25" s="2259"/>
      <c r="Z25" s="2260"/>
      <c r="AP25" s="629"/>
      <c r="AQ25" s="629"/>
      <c r="AR25" s="629"/>
      <c r="AS25" s="629"/>
      <c r="AT25" s="629"/>
      <c r="AU25" s="629"/>
      <c r="AV25" s="629"/>
      <c r="AW25" s="629"/>
      <c r="AX25" s="629"/>
      <c r="AY25" s="629"/>
      <c r="AZ25" s="629"/>
      <c r="BA25" s="629"/>
      <c r="BB25" s="629"/>
      <c r="BC25" s="629"/>
      <c r="BD25" s="629"/>
    </row>
    <row r="26" spans="8:8">
      <c r="A26" s="629"/>
      <c r="B26" s="2269"/>
      <c r="C26" s="2270"/>
      <c r="D26" s="2270"/>
      <c r="E26" s="2270"/>
      <c r="F26" s="2270"/>
      <c r="G26" s="2270"/>
      <c r="H26" s="2282"/>
      <c r="I26" s="2282"/>
      <c r="J26" s="2282"/>
      <c r="K26" s="2282"/>
      <c r="L26" s="2284"/>
      <c r="M26" s="2285"/>
      <c r="N26" s="2277"/>
      <c r="O26" s="2259"/>
      <c r="P26" s="2259"/>
      <c r="Q26" s="2259"/>
      <c r="R26" s="2259"/>
      <c r="S26" s="2259"/>
      <c r="T26" s="2259"/>
      <c r="U26" s="2259"/>
      <c r="V26" s="2259"/>
      <c r="W26" s="2259"/>
      <c r="X26" s="2259"/>
      <c r="Y26" s="2259"/>
      <c r="Z26" s="2260"/>
      <c r="AP26" s="629"/>
      <c r="AQ26" s="629"/>
      <c r="AR26" s="629"/>
      <c r="AS26" s="629"/>
      <c r="AT26" s="629"/>
      <c r="AU26" s="629"/>
      <c r="AV26" s="629"/>
      <c r="AW26" s="629"/>
      <c r="AX26" s="629"/>
      <c r="AY26" s="629"/>
      <c r="AZ26" s="629"/>
      <c r="BA26" s="629"/>
      <c r="BB26" s="629"/>
      <c r="BC26" s="629"/>
      <c r="BD26" s="629"/>
    </row>
    <row r="27" spans="8:8">
      <c r="A27" s="629"/>
      <c r="B27" s="2269"/>
      <c r="C27" s="2270"/>
      <c r="D27" s="2270"/>
      <c r="E27" s="2270"/>
      <c r="F27" s="2270"/>
      <c r="G27" s="2270"/>
      <c r="H27" s="2282"/>
      <c r="I27" s="2282"/>
      <c r="J27" s="2282"/>
      <c r="K27" s="2282"/>
      <c r="L27" s="2284"/>
      <c r="M27" s="2285"/>
      <c r="N27" s="2261"/>
      <c r="O27" s="2262"/>
      <c r="P27" s="2262"/>
      <c r="Q27" s="2262"/>
      <c r="R27" s="2262"/>
      <c r="S27" s="2262"/>
      <c r="T27" s="2262"/>
      <c r="U27" s="2262"/>
      <c r="V27" s="2262"/>
      <c r="W27" s="2262"/>
      <c r="X27" s="2262"/>
      <c r="Y27" s="2262"/>
      <c r="Z27" s="2263"/>
      <c r="AP27" s="629"/>
      <c r="AQ27" s="629"/>
      <c r="AR27" s="629"/>
      <c r="AS27" s="629"/>
      <c r="AT27" s="629"/>
      <c r="AU27" s="629"/>
      <c r="AV27" s="629"/>
      <c r="AW27" s="629"/>
      <c r="AX27" s="629"/>
      <c r="AY27" s="629"/>
      <c r="AZ27" s="629"/>
      <c r="BA27" s="629"/>
      <c r="BB27" s="629"/>
      <c r="BC27" s="629"/>
      <c r="BD27" s="629"/>
    </row>
    <row r="28" spans="8:8">
      <c r="A28" s="629"/>
      <c r="B28" s="2269"/>
      <c r="C28" s="2270"/>
      <c r="D28" s="2270"/>
      <c r="E28" s="2270"/>
      <c r="F28" s="2270"/>
      <c r="G28" s="2270"/>
      <c r="H28" s="2282"/>
      <c r="I28" s="2282"/>
      <c r="J28" s="2282"/>
      <c r="K28" s="2282"/>
      <c r="L28" s="2284"/>
      <c r="M28" s="2285"/>
      <c r="N28" s="2258" t="s">
        <v>3478</v>
      </c>
      <c r="O28" s="2259" t="s">
        <v>3479</v>
      </c>
      <c r="P28" s="2259"/>
      <c r="Q28" s="2259"/>
      <c r="R28" s="2259"/>
      <c r="S28" s="2259"/>
      <c r="T28" s="2259"/>
      <c r="U28" s="2259"/>
      <c r="V28" s="2259"/>
      <c r="W28" s="2259"/>
      <c r="X28" s="2259"/>
      <c r="Y28" s="2259"/>
      <c r="Z28" s="2260"/>
      <c r="AP28" s="629"/>
      <c r="AQ28" s="629"/>
      <c r="AR28" s="629"/>
      <c r="AS28" s="629"/>
      <c r="AT28" s="629"/>
      <c r="AU28" s="629"/>
      <c r="AV28" s="629"/>
      <c r="AW28" s="629"/>
      <c r="AX28" s="629"/>
      <c r="AY28" s="629"/>
      <c r="AZ28" s="629"/>
      <c r="BA28" s="629"/>
      <c r="BB28" s="629"/>
      <c r="BC28" s="629"/>
      <c r="BD28" s="629"/>
    </row>
    <row r="29" spans="8:8">
      <c r="A29" s="629"/>
      <c r="B29" s="2269"/>
      <c r="C29" s="2270"/>
      <c r="D29" s="2270"/>
      <c r="E29" s="2270"/>
      <c r="F29" s="2270"/>
      <c r="G29" s="2270"/>
      <c r="H29" s="2282"/>
      <c r="I29" s="2282"/>
      <c r="J29" s="2282"/>
      <c r="K29" s="2282"/>
      <c r="L29" s="2284"/>
      <c r="M29" s="2285"/>
      <c r="N29" s="2261"/>
      <c r="O29" s="2281"/>
      <c r="P29" s="2281"/>
      <c r="Q29" s="2281"/>
      <c r="R29" s="2281"/>
      <c r="S29" s="2281"/>
      <c r="T29" s="2281"/>
      <c r="U29" s="2281"/>
      <c r="V29" s="2281"/>
      <c r="W29" s="2281"/>
      <c r="X29" s="2281"/>
      <c r="Y29" s="2281"/>
      <c r="Z29" s="2263"/>
      <c r="AP29" s="629"/>
      <c r="AQ29" s="629"/>
      <c r="AR29" s="629"/>
      <c r="AS29" s="629"/>
      <c r="AT29" s="629"/>
      <c r="AU29" s="629"/>
      <c r="AV29" s="629"/>
      <c r="AW29" s="629"/>
      <c r="AX29" s="629"/>
      <c r="AY29" s="629"/>
      <c r="AZ29" s="629"/>
      <c r="BA29" s="629"/>
      <c r="BB29" s="629"/>
      <c r="BC29" s="629"/>
      <c r="BD29" s="629"/>
    </row>
    <row r="30" spans="8:8">
      <c r="A30" s="629"/>
      <c r="B30" s="2269"/>
      <c r="C30" s="2270"/>
      <c r="D30" s="2270"/>
      <c r="E30" s="2270"/>
      <c r="F30" s="2270"/>
      <c r="G30" s="2270"/>
      <c r="H30" s="2282"/>
      <c r="I30" s="2282"/>
      <c r="J30" s="2282"/>
      <c r="K30" s="2282"/>
      <c r="L30" s="2284"/>
      <c r="M30" s="2285"/>
      <c r="N30" s="2258" t="s">
        <v>3480</v>
      </c>
      <c r="O30" s="2259" t="s">
        <v>3481</v>
      </c>
      <c r="P30" s="2259"/>
      <c r="Q30" s="2259"/>
      <c r="R30" s="2259"/>
      <c r="S30" s="2259"/>
      <c r="T30" s="2259"/>
      <c r="U30" s="2259"/>
      <c r="V30" s="2259"/>
      <c r="W30" s="2259"/>
      <c r="X30" s="2259"/>
      <c r="Y30" s="2259"/>
      <c r="Z30" s="2260"/>
      <c r="AP30" s="629"/>
      <c r="AQ30" s="629"/>
      <c r="AR30" s="629"/>
      <c r="AS30" s="629"/>
      <c r="AT30" s="629"/>
      <c r="AU30" s="629"/>
      <c r="AV30" s="629"/>
      <c r="AW30" s="629"/>
      <c r="AX30" s="629"/>
      <c r="AY30" s="629"/>
      <c r="AZ30" s="629"/>
      <c r="BA30" s="629"/>
      <c r="BB30" s="629"/>
      <c r="BC30" s="629"/>
      <c r="BD30" s="629"/>
    </row>
    <row r="31" spans="8:8">
      <c r="A31" s="629"/>
      <c r="B31" s="2269"/>
      <c r="C31" s="2270"/>
      <c r="D31" s="2270"/>
      <c r="E31" s="2270"/>
      <c r="F31" s="2270"/>
      <c r="G31" s="2270"/>
      <c r="H31" s="2282"/>
      <c r="I31" s="2282"/>
      <c r="J31" s="2282"/>
      <c r="K31" s="2282"/>
      <c r="L31" s="2284"/>
      <c r="M31" s="2285"/>
      <c r="N31" s="2258"/>
      <c r="O31" s="2281"/>
      <c r="P31" s="2281"/>
      <c r="Q31" s="2281"/>
      <c r="R31" s="2281"/>
      <c r="S31" s="2281"/>
      <c r="T31" s="2281"/>
      <c r="U31" s="2281"/>
      <c r="V31" s="2281"/>
      <c r="W31" s="2281"/>
      <c r="X31" s="2281"/>
      <c r="Y31" s="2281"/>
      <c r="Z31" s="2263"/>
      <c r="AP31" s="629"/>
      <c r="AQ31" s="629"/>
      <c r="AR31" s="629"/>
      <c r="AS31" s="629"/>
      <c r="AT31" s="629"/>
      <c r="AU31" s="629"/>
      <c r="AV31" s="629"/>
      <c r="AW31" s="629"/>
      <c r="AX31" s="629"/>
      <c r="AY31" s="629"/>
      <c r="AZ31" s="629"/>
      <c r="BA31" s="629"/>
      <c r="BB31" s="629"/>
      <c r="BC31" s="629"/>
      <c r="BD31" s="629"/>
    </row>
    <row r="32" spans="8:8">
      <c r="A32" s="629"/>
      <c r="B32" s="2269"/>
      <c r="C32" s="2270"/>
      <c r="D32" s="2270"/>
      <c r="E32" s="2270"/>
      <c r="F32" s="2270"/>
      <c r="G32" s="2270"/>
      <c r="H32" s="2282"/>
      <c r="I32" s="2282"/>
      <c r="J32" s="2282"/>
      <c r="K32" s="2282"/>
      <c r="L32" s="2284"/>
      <c r="M32" s="2285"/>
      <c r="N32" s="2258" t="s">
        <v>3482</v>
      </c>
      <c r="O32" s="2259" t="s">
        <v>3483</v>
      </c>
      <c r="P32" s="2259"/>
      <c r="Q32" s="2259"/>
      <c r="R32" s="2259"/>
      <c r="S32" s="2259"/>
      <c r="T32" s="2259"/>
      <c r="U32" s="2259"/>
      <c r="V32" s="2259"/>
      <c r="W32" s="2259"/>
      <c r="X32" s="2259"/>
      <c r="Y32" s="2259"/>
      <c r="Z32" s="2260"/>
      <c r="AP32" s="629"/>
      <c r="AQ32" s="629"/>
      <c r="AR32" s="629"/>
      <c r="AS32" s="629"/>
      <c r="AT32" s="629"/>
      <c r="AU32" s="629"/>
      <c r="AV32" s="629"/>
      <c r="AW32" s="629"/>
      <c r="AX32" s="629"/>
      <c r="AY32" s="629"/>
      <c r="AZ32" s="629"/>
      <c r="BA32" s="629"/>
      <c r="BB32" s="629"/>
      <c r="BC32" s="629"/>
      <c r="BD32" s="629"/>
    </row>
    <row r="33" spans="8:8">
      <c r="A33" s="629"/>
      <c r="B33" s="2269"/>
      <c r="C33" s="2270"/>
      <c r="D33" s="2270"/>
      <c r="E33" s="2270"/>
      <c r="F33" s="2270"/>
      <c r="G33" s="2270"/>
      <c r="H33" s="2282"/>
      <c r="I33" s="2282"/>
      <c r="J33" s="2282"/>
      <c r="K33" s="2282"/>
      <c r="L33" s="2284"/>
      <c r="M33" s="2285"/>
      <c r="N33" s="2258"/>
      <c r="O33" s="2264"/>
      <c r="P33" s="2264"/>
      <c r="Q33" s="2264"/>
      <c r="R33" s="2264"/>
      <c r="S33" s="2264"/>
      <c r="T33" s="2264"/>
      <c r="U33" s="2264"/>
      <c r="V33" s="2264"/>
      <c r="W33" s="2264"/>
      <c r="X33" s="2264"/>
      <c r="Y33" s="2264"/>
      <c r="Z33" s="2265"/>
      <c r="AP33" s="629"/>
      <c r="AQ33" s="629"/>
      <c r="AR33" s="629"/>
      <c r="AS33" s="629"/>
      <c r="AT33" s="629"/>
      <c r="AU33" s="629"/>
      <c r="AV33" s="629"/>
      <c r="AW33" s="629"/>
      <c r="AX33" s="629"/>
      <c r="AY33" s="629"/>
      <c r="AZ33" s="629"/>
      <c r="BA33" s="629"/>
      <c r="BB33" s="629"/>
      <c r="BC33" s="629"/>
      <c r="BD33" s="629"/>
    </row>
    <row r="34" spans="8:8" ht="31.5">
      <c r="A34" s="629"/>
      <c r="B34" s="2269"/>
      <c r="C34" s="2270"/>
      <c r="D34" s="2270"/>
      <c r="E34" s="2270"/>
      <c r="F34" s="2270"/>
      <c r="G34" s="2270"/>
      <c r="H34" s="2282"/>
      <c r="I34" s="2282"/>
      <c r="J34" s="2282"/>
      <c r="K34" s="2282"/>
      <c r="L34" s="2284"/>
      <c r="M34" s="2285"/>
      <c r="N34" s="2258" t="s">
        <v>3484</v>
      </c>
      <c r="O34" s="2259" t="s">
        <v>3485</v>
      </c>
      <c r="P34" s="2259"/>
      <c r="Q34" s="2259"/>
      <c r="R34" s="2259"/>
      <c r="S34" s="2259"/>
      <c r="T34" s="2259"/>
      <c r="U34" s="2259"/>
      <c r="V34" s="2259"/>
      <c r="W34" s="2259"/>
      <c r="X34" s="2259"/>
      <c r="Y34" s="2259"/>
      <c r="Z34" s="2260"/>
      <c r="AP34" s="629"/>
      <c r="AQ34" s="629"/>
      <c r="AR34" s="629"/>
      <c r="AS34" s="629"/>
      <c r="AT34" s="629"/>
      <c r="AU34" s="629"/>
      <c r="AV34" s="629"/>
      <c r="AW34" s="629"/>
      <c r="AX34" s="629"/>
      <c r="AY34" s="629"/>
      <c r="AZ34" s="629"/>
      <c r="BA34" s="629"/>
      <c r="BB34" s="629"/>
      <c r="BC34" s="629"/>
      <c r="BD34" s="629"/>
    </row>
    <row r="35" spans="8:8">
      <c r="A35" s="629"/>
      <c r="B35" s="2269"/>
      <c r="C35" s="2270"/>
      <c r="D35" s="2270"/>
      <c r="E35" s="2270"/>
      <c r="F35" s="2270"/>
      <c r="G35" s="2270"/>
      <c r="H35" s="2282"/>
      <c r="I35" s="2282"/>
      <c r="J35" s="2282"/>
      <c r="K35" s="2282"/>
      <c r="L35" s="2284"/>
      <c r="M35" s="2285"/>
      <c r="N35" s="2277"/>
      <c r="O35" s="2259"/>
      <c r="P35" s="2259"/>
      <c r="Q35" s="2259"/>
      <c r="R35" s="2259"/>
      <c r="S35" s="2259"/>
      <c r="T35" s="2259"/>
      <c r="U35" s="2259"/>
      <c r="V35" s="2259"/>
      <c r="W35" s="2259"/>
      <c r="X35" s="2259"/>
      <c r="Y35" s="2259"/>
      <c r="Z35" s="2260"/>
      <c r="AP35" s="629"/>
      <c r="AQ35" s="629"/>
      <c r="AR35" s="629"/>
      <c r="AS35" s="629"/>
      <c r="AT35" s="629"/>
      <c r="AU35" s="629"/>
      <c r="AV35" s="629"/>
      <c r="AW35" s="629"/>
      <c r="AX35" s="629"/>
      <c r="AY35" s="629"/>
      <c r="AZ35" s="629"/>
      <c r="BA35" s="629"/>
      <c r="BB35" s="629"/>
      <c r="BC35" s="629"/>
      <c r="BD35" s="629"/>
    </row>
    <row r="36" spans="8:8">
      <c r="A36" s="629"/>
      <c r="B36" s="2269"/>
      <c r="C36" s="2270"/>
      <c r="D36" s="2270"/>
      <c r="E36" s="2270"/>
      <c r="F36" s="2270"/>
      <c r="G36" s="2270"/>
      <c r="H36" s="2282"/>
      <c r="I36" s="2282"/>
      <c r="J36" s="2282"/>
      <c r="K36" s="2282"/>
      <c r="L36" s="2284"/>
      <c r="M36" s="2285"/>
      <c r="N36" s="2277" t="s">
        <v>3486</v>
      </c>
      <c r="O36" s="2259" t="s">
        <v>3487</v>
      </c>
      <c r="P36" s="2259"/>
      <c r="Q36" s="2259"/>
      <c r="R36" s="2259"/>
      <c r="S36" s="2259"/>
      <c r="T36" s="2259"/>
      <c r="U36" s="2259"/>
      <c r="V36" s="2259"/>
      <c r="W36" s="2259"/>
      <c r="X36" s="2259"/>
      <c r="Y36" s="2259"/>
      <c r="Z36" s="2260"/>
      <c r="AP36" s="629"/>
      <c r="AQ36" s="629"/>
      <c r="AR36" s="629"/>
      <c r="AS36" s="629"/>
      <c r="AT36" s="629"/>
      <c r="AU36" s="629"/>
      <c r="AV36" s="629"/>
      <c r="AW36" s="629"/>
      <c r="AX36" s="629"/>
      <c r="AY36" s="629"/>
      <c r="AZ36" s="629"/>
      <c r="BA36" s="629"/>
      <c r="BB36" s="629"/>
      <c r="BC36" s="629"/>
      <c r="BD36" s="629"/>
    </row>
    <row r="37" spans="8:8">
      <c r="A37" s="629"/>
      <c r="B37" s="2269"/>
      <c r="C37" s="2270"/>
      <c r="D37" s="2270"/>
      <c r="E37" s="2270"/>
      <c r="F37" s="2270"/>
      <c r="G37" s="2270"/>
      <c r="H37" s="2282"/>
      <c r="I37" s="2282"/>
      <c r="J37" s="2282"/>
      <c r="K37" s="2282"/>
      <c r="L37" s="2284"/>
      <c r="M37" s="2285"/>
      <c r="N37" s="2277"/>
      <c r="O37" s="2259"/>
      <c r="P37" s="2259"/>
      <c r="Q37" s="2259"/>
      <c r="R37" s="2259"/>
      <c r="S37" s="2259"/>
      <c r="T37" s="2259"/>
      <c r="U37" s="2259"/>
      <c r="V37" s="2259"/>
      <c r="W37" s="2259"/>
      <c r="X37" s="2259"/>
      <c r="Y37" s="2259"/>
      <c r="Z37" s="2260"/>
      <c r="AP37" s="629"/>
      <c r="AQ37" s="629"/>
      <c r="AR37" s="629"/>
      <c r="AS37" s="629"/>
      <c r="AT37" s="629"/>
      <c r="AU37" s="629"/>
      <c r="AV37" s="629"/>
      <c r="AW37" s="629"/>
      <c r="AX37" s="629"/>
      <c r="AY37" s="629"/>
      <c r="AZ37" s="629"/>
      <c r="BA37" s="629"/>
      <c r="BB37" s="629"/>
      <c r="BC37" s="629"/>
      <c r="BD37" s="629"/>
    </row>
    <row r="38" spans="8:8">
      <c r="A38" s="629"/>
      <c r="B38" s="2269"/>
      <c r="C38" s="2270"/>
      <c r="D38" s="2270"/>
      <c r="E38" s="2270"/>
      <c r="F38" s="2270"/>
      <c r="G38" s="2270"/>
      <c r="H38" s="2282"/>
      <c r="I38" s="2282"/>
      <c r="J38" s="2282"/>
      <c r="K38" s="2282"/>
      <c r="L38" s="2284"/>
      <c r="M38" s="2285"/>
      <c r="N38" s="2277"/>
      <c r="O38" s="2259"/>
      <c r="P38" s="2259"/>
      <c r="Q38" s="2259"/>
      <c r="R38" s="2259"/>
      <c r="S38" s="2259"/>
      <c r="T38" s="2259"/>
      <c r="U38" s="2259"/>
      <c r="V38" s="2259"/>
      <c r="W38" s="2259"/>
      <c r="X38" s="2259"/>
      <c r="Y38" s="2259"/>
      <c r="Z38" s="2260"/>
      <c r="AP38" s="629"/>
      <c r="AQ38" s="629"/>
      <c r="AR38" s="629"/>
      <c r="AS38" s="629"/>
      <c r="AT38" s="629"/>
      <c r="AU38" s="629"/>
      <c r="AV38" s="629"/>
      <c r="AW38" s="629"/>
      <c r="AX38" s="629"/>
      <c r="AY38" s="629"/>
      <c r="AZ38" s="629"/>
      <c r="BA38" s="629"/>
      <c r="BB38" s="629"/>
      <c r="BC38" s="629"/>
      <c r="BD38" s="629"/>
    </row>
    <row r="39" spans="8:8" ht="17.55">
      <c r="A39" s="629"/>
      <c r="B39" s="2234" t="s">
        <v>3488</v>
      </c>
      <c r="C39" s="2235"/>
      <c r="D39" s="2235"/>
      <c r="E39" s="2235"/>
      <c r="F39" s="2235"/>
      <c r="G39" s="2235"/>
      <c r="H39" s="2235"/>
      <c r="I39" s="2235"/>
      <c r="J39" s="2235"/>
      <c r="K39" s="2235"/>
      <c r="L39" s="2268"/>
      <c r="M39" s="2285"/>
      <c r="N39" s="2277" t="s">
        <v>3489</v>
      </c>
      <c r="O39" s="2259" t="s">
        <v>3490</v>
      </c>
      <c r="P39" s="2286"/>
      <c r="Q39" s="2286"/>
      <c r="R39" s="2286"/>
      <c r="S39" s="2286"/>
      <c r="T39" s="2286"/>
      <c r="U39" s="2286"/>
      <c r="V39" s="2286"/>
      <c r="W39" s="2286"/>
      <c r="X39" s="2286"/>
      <c r="Y39" s="2286"/>
      <c r="Z39" s="2287"/>
      <c r="AP39" s="629"/>
      <c r="AQ39" s="629"/>
      <c r="AR39" s="629"/>
      <c r="AS39" s="629"/>
      <c r="AT39" s="629"/>
      <c r="AU39" s="629"/>
      <c r="AV39" s="629"/>
      <c r="AW39" s="629"/>
      <c r="AX39" s="629"/>
      <c r="AY39" s="629"/>
      <c r="AZ39" s="629"/>
      <c r="BA39" s="629"/>
      <c r="BB39" s="629"/>
      <c r="BC39" s="629"/>
      <c r="BD39" s="629"/>
    </row>
    <row r="40" spans="8:8">
      <c r="A40" s="629"/>
      <c r="B40" s="2288" t="str">
        <f>IF($B4=附表!B213,"",VLOOKUP($B4,附表!B95:K212,5,FALSE))</f>
        <v/>
      </c>
      <c r="C40" s="2289"/>
      <c r="D40" s="2289"/>
      <c r="E40" s="2289"/>
      <c r="F40" s="2289"/>
      <c r="G40" s="2289"/>
      <c r="H40" s="2289"/>
      <c r="I40" s="2289"/>
      <c r="J40" s="2289"/>
      <c r="K40" s="2289"/>
      <c r="L40" s="2290"/>
      <c r="M40" s="2285"/>
      <c r="N40" s="2277"/>
      <c r="O40" s="2286"/>
      <c r="P40" s="2286"/>
      <c r="Q40" s="2286"/>
      <c r="R40" s="2286"/>
      <c r="S40" s="2286"/>
      <c r="T40" s="2286"/>
      <c r="U40" s="2286"/>
      <c r="V40" s="2286"/>
      <c r="W40" s="2286"/>
      <c r="X40" s="2286"/>
      <c r="Y40" s="2286"/>
      <c r="Z40" s="2287"/>
      <c r="AP40" s="629"/>
      <c r="AQ40" s="629"/>
      <c r="AR40" s="629"/>
      <c r="AS40" s="629"/>
      <c r="AT40" s="629"/>
      <c r="AU40" s="629"/>
      <c r="AV40" s="629"/>
      <c r="AW40" s="629"/>
      <c r="AX40" s="629"/>
      <c r="AY40" s="629"/>
      <c r="AZ40" s="629"/>
      <c r="BA40" s="629"/>
      <c r="BB40" s="629"/>
      <c r="BC40" s="629"/>
      <c r="BD40" s="629"/>
    </row>
    <row r="41" spans="8:8">
      <c r="A41" s="629"/>
      <c r="B41" s="2291"/>
      <c r="C41" s="2292"/>
      <c r="D41" s="2292"/>
      <c r="E41" s="2292"/>
      <c r="F41" s="2292"/>
      <c r="G41" s="2292"/>
      <c r="H41" s="2292"/>
      <c r="I41" s="2292"/>
      <c r="J41" s="2292"/>
      <c r="K41" s="2292"/>
      <c r="L41" s="2293"/>
      <c r="M41" s="2285"/>
      <c r="N41" s="2277"/>
      <c r="O41" s="2259"/>
      <c r="P41" s="2259"/>
      <c r="Q41" s="2259"/>
      <c r="R41" s="2259"/>
      <c r="S41" s="2259"/>
      <c r="T41" s="2259"/>
      <c r="U41" s="2259"/>
      <c r="V41" s="2259"/>
      <c r="W41" s="2259"/>
      <c r="X41" s="2259"/>
      <c r="Y41" s="2259"/>
      <c r="Z41" s="2260"/>
      <c r="AP41" s="629"/>
      <c r="AQ41" s="629"/>
      <c r="AR41" s="629"/>
      <c r="AS41" s="629"/>
      <c r="AT41" s="629"/>
      <c r="AU41" s="629"/>
      <c r="AV41" s="629"/>
      <c r="AW41" s="629"/>
      <c r="AX41" s="629"/>
      <c r="AY41" s="629"/>
      <c r="AZ41" s="629"/>
      <c r="BA41" s="629"/>
      <c r="BB41" s="629"/>
      <c r="BC41" s="629"/>
      <c r="BD41" s="629"/>
    </row>
    <row r="42" spans="8:8">
      <c r="A42" s="629"/>
      <c r="B42" s="2291"/>
      <c r="C42" s="2292"/>
      <c r="D42" s="2292"/>
      <c r="E42" s="2292"/>
      <c r="F42" s="2292"/>
      <c r="G42" s="2292"/>
      <c r="H42" s="2292"/>
      <c r="I42" s="2292"/>
      <c r="J42" s="2292"/>
      <c r="K42" s="2292"/>
      <c r="L42" s="2293"/>
      <c r="M42" s="2285"/>
      <c r="N42" s="2261"/>
      <c r="O42" s="2281"/>
      <c r="P42" s="2281"/>
      <c r="Q42" s="2281"/>
      <c r="R42" s="2281"/>
      <c r="S42" s="2281"/>
      <c r="T42" s="2281"/>
      <c r="U42" s="2281"/>
      <c r="V42" s="2281"/>
      <c r="W42" s="2281"/>
      <c r="X42" s="2281"/>
      <c r="Y42" s="2281"/>
      <c r="Z42" s="2263"/>
      <c r="AP42" s="629"/>
      <c r="AQ42" s="629"/>
      <c r="AR42" s="629"/>
      <c r="AS42" s="629"/>
      <c r="AT42" s="629"/>
      <c r="AU42" s="629"/>
      <c r="AV42" s="629"/>
      <c r="AW42" s="629"/>
      <c r="AX42" s="629"/>
      <c r="AY42" s="629"/>
      <c r="AZ42" s="629"/>
      <c r="BA42" s="629"/>
      <c r="BB42" s="629"/>
      <c r="BC42" s="629"/>
      <c r="BD42" s="629"/>
    </row>
    <row r="43" spans="8:8" ht="16.95" customHeight="1">
      <c r="A43" s="629"/>
      <c r="B43" s="2291"/>
      <c r="C43" s="2292"/>
      <c r="D43" s="2292"/>
      <c r="E43" s="2292"/>
      <c r="F43" s="2292"/>
      <c r="G43" s="2292"/>
      <c r="H43" s="2292"/>
      <c r="I43" s="2292"/>
      <c r="J43" s="2292"/>
      <c r="K43" s="2292"/>
      <c r="L43" s="2293"/>
      <c r="M43" s="2285"/>
      <c r="N43" s="2294" t="s">
        <v>3491</v>
      </c>
      <c r="O43" s="2295" t="s">
        <v>3492</v>
      </c>
      <c r="P43" s="2295"/>
      <c r="Q43" s="2295"/>
      <c r="R43" s="2295"/>
      <c r="S43" s="2295"/>
      <c r="T43" s="2295"/>
      <c r="U43" s="2295"/>
      <c r="V43" s="2295"/>
      <c r="W43" s="2295"/>
      <c r="X43" s="2295"/>
      <c r="Y43" s="2295"/>
      <c r="Z43" s="2296"/>
      <c r="AP43" s="629"/>
      <c r="AQ43" s="629"/>
      <c r="AR43" s="629"/>
      <c r="AS43" s="629"/>
      <c r="AT43" s="629"/>
      <c r="AU43" s="629"/>
      <c r="AV43" s="629"/>
      <c r="AW43" s="629"/>
      <c r="AX43" s="629"/>
      <c r="AY43" s="629"/>
      <c r="AZ43" s="629"/>
      <c r="BA43" s="629"/>
      <c r="BB43" s="629"/>
      <c r="BC43" s="629"/>
      <c r="BD43" s="629"/>
    </row>
    <row r="44" spans="8:8" ht="16.95" customHeight="1">
      <c r="A44" s="629"/>
      <c r="B44" s="2291"/>
      <c r="C44" s="2292"/>
      <c r="D44" s="2292"/>
      <c r="E44" s="2292"/>
      <c r="F44" s="2292"/>
      <c r="G44" s="2292"/>
      <c r="H44" s="2292"/>
      <c r="I44" s="2292"/>
      <c r="J44" s="2292"/>
      <c r="K44" s="2292"/>
      <c r="L44" s="2293"/>
      <c r="M44" s="629"/>
      <c r="AP44" s="629"/>
      <c r="AQ44" s="629"/>
      <c r="AR44" s="629"/>
      <c r="AS44" s="629"/>
      <c r="AT44" s="629"/>
      <c r="AU44" s="629"/>
      <c r="AV44" s="629"/>
      <c r="AW44" s="629"/>
      <c r="AX44" s="629"/>
      <c r="AY44" s="629"/>
      <c r="AZ44" s="629"/>
      <c r="BA44" s="629"/>
      <c r="BB44" s="629"/>
      <c r="BC44" s="629"/>
      <c r="BD44" s="629"/>
    </row>
    <row r="45" spans="8:8">
      <c r="B45" s="2291"/>
      <c r="C45" s="2292"/>
      <c r="D45" s="2292"/>
      <c r="E45" s="2292"/>
      <c r="F45" s="2292"/>
      <c r="G45" s="2292"/>
      <c r="H45" s="2292"/>
      <c r="I45" s="2292"/>
      <c r="J45" s="2292"/>
      <c r="K45" s="2292"/>
      <c r="L45" s="2293"/>
      <c r="O45" s="2297" t="s">
        <v>297</v>
      </c>
      <c r="P45" s="2297"/>
      <c r="Q45" s="2297"/>
      <c r="R45" s="2297"/>
      <c r="S45" s="2297"/>
      <c r="T45" s="2297"/>
      <c r="U45" s="2297"/>
      <c r="V45" s="2297"/>
      <c r="W45" s="2297"/>
      <c r="X45" s="2297"/>
      <c r="Y45" s="2297"/>
      <c r="AP45" s="629"/>
      <c r="AQ45" s="629"/>
      <c r="AR45" s="629"/>
      <c r="AS45" s="629"/>
      <c r="AT45" s="629"/>
      <c r="AU45" s="629"/>
      <c r="AV45" s="629"/>
      <c r="AW45" s="629"/>
      <c r="AX45" s="629"/>
      <c r="AY45" s="629"/>
      <c r="AZ45" s="629"/>
      <c r="BA45" s="629"/>
      <c r="BB45" s="629"/>
      <c r="BC45" s="629"/>
      <c r="BD45" s="629"/>
    </row>
    <row r="46" spans="8:8">
      <c r="B46" s="2291"/>
      <c r="C46" s="2292"/>
      <c r="D46" s="2292"/>
      <c r="E46" s="2292"/>
      <c r="F46" s="2292"/>
      <c r="G46" s="2292"/>
      <c r="H46" s="2292"/>
      <c r="I46" s="2292"/>
      <c r="J46" s="2292"/>
      <c r="K46" s="2292"/>
      <c r="L46" s="2293"/>
      <c r="AP46" s="629"/>
      <c r="AQ46" s="629"/>
      <c r="AR46" s="629"/>
      <c r="AS46" s="629"/>
      <c r="AT46" s="629"/>
      <c r="AU46" s="629"/>
      <c r="AV46" s="629"/>
      <c r="AW46" s="629"/>
      <c r="AX46" s="629"/>
      <c r="AY46" s="629"/>
      <c r="AZ46" s="629"/>
      <c r="BA46" s="629"/>
      <c r="BB46" s="629"/>
      <c r="BC46" s="629"/>
      <c r="BD46" s="629"/>
    </row>
    <row r="47" spans="8:8">
      <c r="B47" s="2291"/>
      <c r="C47" s="2292"/>
      <c r="D47" s="2292"/>
      <c r="E47" s="2292"/>
      <c r="F47" s="2292"/>
      <c r="G47" s="2292"/>
      <c r="H47" s="2292"/>
      <c r="I47" s="2292"/>
      <c r="J47" s="2292"/>
      <c r="K47" s="2292"/>
      <c r="L47" s="2293"/>
      <c r="AP47" s="629"/>
      <c r="AQ47" s="629"/>
      <c r="AR47" s="629"/>
      <c r="AS47" s="629"/>
      <c r="AT47" s="629"/>
      <c r="AU47" s="629"/>
      <c r="AV47" s="629"/>
      <c r="AW47" s="629"/>
      <c r="AX47" s="629"/>
      <c r="AY47" s="629"/>
      <c r="AZ47" s="629"/>
      <c r="BA47" s="629"/>
      <c r="BB47" s="629"/>
      <c r="BC47" s="629"/>
      <c r="BD47" s="629"/>
    </row>
    <row r="48" spans="8:8">
      <c r="B48" s="2291"/>
      <c r="C48" s="2292"/>
      <c r="D48" s="2292"/>
      <c r="E48" s="2292"/>
      <c r="F48" s="2292"/>
      <c r="G48" s="2292"/>
      <c r="H48" s="2292"/>
      <c r="I48" s="2292"/>
      <c r="J48" s="2292"/>
      <c r="K48" s="2292"/>
      <c r="L48" s="2293"/>
    </row>
    <row r="49" spans="8:8">
      <c r="B49" s="2291"/>
      <c r="C49" s="2292"/>
      <c r="D49" s="2292"/>
      <c r="E49" s="2292"/>
      <c r="F49" s="2292"/>
      <c r="G49" s="2292"/>
      <c r="H49" s="2292"/>
      <c r="I49" s="2292"/>
      <c r="J49" s="2292"/>
      <c r="K49" s="2292"/>
      <c r="L49" s="2293"/>
    </row>
    <row r="50" spans="8:8" ht="16.5" customHeight="1">
      <c r="B50" s="2291"/>
      <c r="C50" s="2292"/>
      <c r="D50" s="2292"/>
      <c r="E50" s="2292"/>
      <c r="F50" s="2292"/>
      <c r="G50" s="2292"/>
      <c r="H50" s="2292"/>
      <c r="I50" s="2292"/>
      <c r="J50" s="2292"/>
      <c r="K50" s="2292"/>
      <c r="L50" s="2293"/>
    </row>
    <row r="51" spans="8:8" ht="16.5" customHeight="1">
      <c r="B51" s="2291"/>
      <c r="C51" s="2292"/>
      <c r="D51" s="2292"/>
      <c r="E51" s="2292"/>
      <c r="F51" s="2292"/>
      <c r="G51" s="2292"/>
      <c r="H51" s="2292"/>
      <c r="I51" s="2292"/>
      <c r="J51" s="2292"/>
      <c r="K51" s="2292"/>
      <c r="L51" s="2293"/>
    </row>
    <row r="52" spans="8:8" ht="16.5" customHeight="1">
      <c r="B52" s="2291"/>
      <c r="C52" s="2292"/>
      <c r="D52" s="2292"/>
      <c r="E52" s="2292"/>
      <c r="F52" s="2292"/>
      <c r="G52" s="2292"/>
      <c r="H52" s="2292"/>
      <c r="I52" s="2292"/>
      <c r="J52" s="2292"/>
      <c r="K52" s="2292"/>
      <c r="L52" s="2293"/>
    </row>
    <row r="53" spans="8:8" ht="16.5" customHeight="1">
      <c r="B53" s="2291"/>
      <c r="C53" s="2292"/>
      <c r="D53" s="2292"/>
      <c r="E53" s="2292"/>
      <c r="F53" s="2292"/>
      <c r="G53" s="2292"/>
      <c r="H53" s="2292"/>
      <c r="I53" s="2292"/>
      <c r="J53" s="2292"/>
      <c r="K53" s="2292"/>
      <c r="L53" s="2293"/>
    </row>
    <row r="54" spans="8:8" ht="16.5" customHeight="1">
      <c r="B54" s="2291"/>
      <c r="C54" s="2292"/>
      <c r="D54" s="2292"/>
      <c r="E54" s="2292"/>
      <c r="F54" s="2292"/>
      <c r="G54" s="2292"/>
      <c r="H54" s="2292"/>
      <c r="I54" s="2292"/>
      <c r="J54" s="2292"/>
      <c r="K54" s="2292"/>
      <c r="L54" s="2293"/>
    </row>
    <row r="55" spans="8:8" ht="16.5" customHeight="1">
      <c r="B55" s="2291"/>
      <c r="C55" s="2292"/>
      <c r="D55" s="2292"/>
      <c r="E55" s="2292"/>
      <c r="F55" s="2292"/>
      <c r="G55" s="2292"/>
      <c r="H55" s="2292"/>
      <c r="I55" s="2292"/>
      <c r="J55" s="2292"/>
      <c r="K55" s="2292"/>
      <c r="L55" s="2293"/>
    </row>
    <row r="56" spans="8:8" ht="16.5" customHeight="1">
      <c r="B56" s="2291"/>
      <c r="C56" s="2292"/>
      <c r="D56" s="2292"/>
      <c r="E56" s="2292"/>
      <c r="F56" s="2292"/>
      <c r="G56" s="2292"/>
      <c r="H56" s="2292"/>
      <c r="I56" s="2292"/>
      <c r="J56" s="2292"/>
      <c r="K56" s="2292"/>
      <c r="L56" s="2293"/>
    </row>
    <row r="57" spans="8:8" ht="16.5" customHeight="1">
      <c r="B57" s="2291"/>
      <c r="C57" s="2292"/>
      <c r="D57" s="2292"/>
      <c r="E57" s="2292"/>
      <c r="F57" s="2292"/>
      <c r="G57" s="2292"/>
      <c r="H57" s="2292"/>
      <c r="I57" s="2292"/>
      <c r="J57" s="2292"/>
      <c r="K57" s="2292"/>
      <c r="L57" s="2293"/>
    </row>
    <row r="58" spans="8:8" ht="16.5" customHeight="1">
      <c r="B58" s="2291"/>
      <c r="C58" s="2292"/>
      <c r="D58" s="2292"/>
      <c r="E58" s="2292"/>
      <c r="F58" s="2292"/>
      <c r="G58" s="2292"/>
      <c r="H58" s="2292"/>
      <c r="I58" s="2292"/>
      <c r="J58" s="2292"/>
      <c r="K58" s="2292"/>
      <c r="L58" s="2293"/>
    </row>
    <row r="59" spans="8:8" ht="16.5" customHeight="1">
      <c r="B59" s="2291"/>
      <c r="C59" s="2292"/>
      <c r="D59" s="2292"/>
      <c r="E59" s="2292"/>
      <c r="F59" s="2292"/>
      <c r="G59" s="2292"/>
      <c r="H59" s="2292"/>
      <c r="I59" s="2292"/>
      <c r="J59" s="2292"/>
      <c r="K59" s="2292"/>
      <c r="L59" s="2293"/>
    </row>
    <row r="60" spans="8:8" ht="16.5" customHeight="1">
      <c r="B60" s="2298"/>
      <c r="C60" s="2299"/>
      <c r="D60" s="2299"/>
      <c r="E60" s="2299"/>
      <c r="F60" s="2299"/>
      <c r="G60" s="2299"/>
      <c r="H60" s="2299"/>
      <c r="I60" s="2299"/>
      <c r="J60" s="2299"/>
      <c r="K60" s="2299"/>
      <c r="L60" s="2300"/>
    </row>
    <row r="61" spans="8:8" ht="16.5" customHeight="1">
      <c r="B61" s="2301"/>
      <c r="C61" s="2301"/>
      <c r="D61" s="2301"/>
      <c r="E61" s="2301"/>
      <c r="F61" s="2301"/>
      <c r="G61" s="2301"/>
      <c r="H61" s="2301"/>
      <c r="I61" s="2301"/>
      <c r="J61" s="2301"/>
      <c r="K61" s="2301"/>
      <c r="L61" s="2301"/>
    </row>
    <row r="62" spans="8:8" ht="16.5" customHeight="1"/>
    <row r="63" spans="8:8" ht="16.5" customHeight="1"/>
    <row r="64" spans="8:8" ht="16.5" customHeight="1">
      <c r="B64" s="2302" t="s">
        <v>3493</v>
      </c>
      <c r="C64" s="2303"/>
      <c r="D64" s="2303"/>
      <c r="E64" s="2303"/>
      <c r="F64" s="2303"/>
      <c r="G64" s="2303"/>
      <c r="H64" s="2303"/>
      <c r="I64" s="2303"/>
      <c r="J64" s="2303"/>
      <c r="K64" s="2303"/>
      <c r="L64" s="2303"/>
      <c r="M64" s="2303"/>
      <c r="N64" s="2303"/>
      <c r="O64" s="2303"/>
      <c r="P64" s="2303"/>
      <c r="Q64" s="2303"/>
      <c r="R64" s="2303"/>
      <c r="S64" s="2303"/>
      <c r="T64" s="2303"/>
      <c r="U64" s="2303"/>
      <c r="V64" s="2303"/>
      <c r="W64" s="2303"/>
      <c r="X64" s="2303"/>
      <c r="Y64" s="2303"/>
      <c r="Z64" s="2304"/>
    </row>
    <row r="65" spans="8:8" ht="16.5" customHeight="1">
      <c r="B65" s="2305"/>
      <c r="C65" s="2306"/>
      <c r="D65" s="2306"/>
      <c r="E65" s="2306"/>
      <c r="F65" s="2306"/>
      <c r="G65" s="2306"/>
      <c r="H65" s="2306"/>
      <c r="I65" s="2306"/>
      <c r="J65" s="2306"/>
      <c r="K65" s="2306"/>
      <c r="L65" s="2306"/>
      <c r="M65" s="2306"/>
      <c r="N65" s="2306"/>
      <c r="O65" s="2306"/>
      <c r="P65" s="2306"/>
      <c r="Q65" s="2306"/>
      <c r="R65" s="2306"/>
      <c r="S65" s="2306"/>
      <c r="T65" s="2306"/>
      <c r="U65" s="2306"/>
      <c r="V65" s="2306"/>
      <c r="W65" s="2306"/>
      <c r="X65" s="2306"/>
      <c r="Y65" s="2306"/>
      <c r="Z65" s="2307"/>
    </row>
    <row r="66" spans="8:8" ht="16.5" customHeight="1">
      <c r="B66" s="2308"/>
      <c r="C66" s="2309"/>
      <c r="D66" s="2309"/>
      <c r="E66" s="2309"/>
      <c r="F66" s="2309"/>
      <c r="G66" s="2309"/>
      <c r="H66" s="2309"/>
      <c r="I66" s="2309"/>
      <c r="J66" s="2309"/>
      <c r="K66" s="2309"/>
      <c r="L66" s="2309"/>
      <c r="M66" s="2309"/>
      <c r="N66" s="2309"/>
      <c r="O66" s="2309"/>
      <c r="P66" s="2309"/>
      <c r="Q66" s="2309"/>
      <c r="R66" s="2309"/>
      <c r="S66" s="2309"/>
      <c r="T66" s="2309"/>
      <c r="U66" s="2309"/>
      <c r="V66" s="2309"/>
      <c r="W66" s="2309"/>
      <c r="X66" s="2309"/>
      <c r="Y66" s="2309"/>
      <c r="Z66" s="2310"/>
    </row>
    <row r="67" spans="8:8" ht="16.5" customHeight="1"/>
    <row r="68" spans="8:8" ht="16.5" customHeight="1">
      <c r="B68" s="1443" t="s">
        <v>3494</v>
      </c>
      <c r="C68" s="1444"/>
      <c r="D68" s="1444"/>
      <c r="E68" s="1444"/>
      <c r="F68" s="1444"/>
      <c r="G68" s="1444"/>
      <c r="H68" s="1444"/>
      <c r="I68" s="1444"/>
      <c r="J68" s="1444"/>
      <c r="K68" s="1444"/>
      <c r="L68" s="1444"/>
      <c r="M68" s="1444"/>
      <c r="N68" s="1444"/>
      <c r="O68" s="1444"/>
      <c r="P68" s="1444"/>
      <c r="Q68" s="1444"/>
      <c r="R68" s="1444"/>
      <c r="S68" s="1444"/>
      <c r="T68" s="1444"/>
      <c r="U68" s="1444"/>
      <c r="V68" s="1444"/>
      <c r="W68" s="1444"/>
      <c r="X68" s="1444"/>
      <c r="Y68" s="1444"/>
      <c r="Z68" s="1445"/>
    </row>
    <row r="69" spans="8:8" ht="16.5" customHeight="1">
      <c r="B69" s="1446"/>
      <c r="C69" s="1447"/>
      <c r="D69" s="1447"/>
      <c r="E69" s="1447"/>
      <c r="F69" s="1447"/>
      <c r="G69" s="1447"/>
      <c r="H69" s="1447"/>
      <c r="I69" s="1447"/>
      <c r="J69" s="1447"/>
      <c r="K69" s="1447"/>
      <c r="L69" s="1447"/>
      <c r="M69" s="1447"/>
      <c r="N69" s="1447"/>
      <c r="O69" s="1447"/>
      <c r="P69" s="1447"/>
      <c r="Q69" s="1447"/>
      <c r="R69" s="1447"/>
      <c r="S69" s="1447"/>
      <c r="T69" s="1447"/>
      <c r="U69" s="1447"/>
      <c r="V69" s="1447"/>
      <c r="W69" s="1447"/>
      <c r="X69" s="1447"/>
      <c r="Y69" s="1447"/>
      <c r="Z69" s="1448"/>
    </row>
    <row r="70" spans="8:8" ht="16.5" customHeight="1">
      <c r="B70" s="2311" t="s">
        <v>3495</v>
      </c>
      <c r="C70" s="2312"/>
      <c r="D70" s="2312"/>
      <c r="E70" s="2312"/>
      <c r="F70" s="2312"/>
      <c r="G70" s="2312"/>
      <c r="H70" s="2312"/>
      <c r="I70" s="2312"/>
      <c r="J70" s="2312"/>
      <c r="K70" s="2312"/>
      <c r="L70" s="2312"/>
      <c r="M70" s="2313"/>
      <c r="O70" s="2314" t="s">
        <v>3496</v>
      </c>
      <c r="P70" s="2315"/>
      <c r="Q70" s="2315"/>
      <c r="R70" s="2315"/>
      <c r="S70" s="2315"/>
      <c r="T70" s="2315"/>
      <c r="U70" s="2315"/>
      <c r="V70" s="2315"/>
      <c r="W70" s="2315"/>
      <c r="X70" s="2315"/>
      <c r="Y70" s="2315"/>
      <c r="Z70" s="2316"/>
    </row>
    <row r="71" spans="8:8" ht="16.5" customHeight="1">
      <c r="B71" s="2314"/>
      <c r="C71" s="2317"/>
      <c r="D71" s="2317"/>
      <c r="E71" s="2317"/>
      <c r="F71" s="2317"/>
      <c r="G71" s="2317"/>
      <c r="H71" s="2317"/>
      <c r="I71" s="2317"/>
      <c r="J71" s="2317"/>
      <c r="K71" s="2317"/>
      <c r="L71" s="2317"/>
      <c r="M71" s="2316"/>
      <c r="O71" s="2318"/>
      <c r="P71" s="2319"/>
      <c r="Q71" s="2319"/>
      <c r="R71" s="2319"/>
      <c r="S71" s="2319"/>
      <c r="T71" s="2319"/>
      <c r="U71" s="2319"/>
      <c r="V71" s="2319"/>
      <c r="W71" s="2319"/>
      <c r="X71" s="2319"/>
      <c r="Y71" s="2319"/>
      <c r="Z71" s="2320"/>
    </row>
    <row r="72" spans="8:8" ht="16.5" customHeight="1">
      <c r="B72" s="2321" t="s">
        <v>3497</v>
      </c>
      <c r="C72" s="2322"/>
      <c r="D72" s="2322"/>
      <c r="E72" s="2322"/>
      <c r="F72" s="2322"/>
      <c r="G72" s="2322"/>
      <c r="H72" s="2323" t="s">
        <v>3498</v>
      </c>
      <c r="I72" s="2322"/>
      <c r="J72" s="2322"/>
      <c r="K72" s="2322"/>
      <c r="L72" s="2322"/>
      <c r="M72" s="2324"/>
      <c r="O72" s="2325" t="s">
        <v>3499</v>
      </c>
      <c r="P72" s="2326"/>
      <c r="Q72" s="2326"/>
      <c r="R72" s="2326"/>
      <c r="S72" s="2326"/>
      <c r="T72" s="2327"/>
      <c r="U72" s="2328" t="s">
        <v>3500</v>
      </c>
      <c r="V72" s="2326"/>
      <c r="W72" s="2326"/>
      <c r="X72" s="2326"/>
      <c r="Y72" s="2326"/>
      <c r="Z72" s="2329"/>
    </row>
    <row r="73" spans="8:8" ht="16.5" customHeight="1">
      <c r="B73" s="2325"/>
      <c r="C73" s="2326"/>
      <c r="D73" s="2326"/>
      <c r="E73" s="2326"/>
      <c r="F73" s="2326"/>
      <c r="G73" s="2326"/>
      <c r="H73" s="2330"/>
      <c r="I73" s="2326"/>
      <c r="J73" s="2326"/>
      <c r="K73" s="2326"/>
      <c r="L73" s="2326"/>
      <c r="M73" s="2329"/>
      <c r="O73" s="2325"/>
      <c r="P73" s="2326"/>
      <c r="Q73" s="2326"/>
      <c r="R73" s="2326"/>
      <c r="S73" s="2326"/>
      <c r="T73" s="2327"/>
      <c r="U73" s="2328"/>
      <c r="V73" s="2326"/>
      <c r="W73" s="2326"/>
      <c r="X73" s="2326"/>
      <c r="Y73" s="2326"/>
      <c r="Z73" s="2329"/>
    </row>
    <row r="74" spans="8:8" ht="16.5" customHeight="1">
      <c r="B74" s="2325"/>
      <c r="C74" s="2326"/>
      <c r="D74" s="2326"/>
      <c r="E74" s="2326"/>
      <c r="F74" s="2326"/>
      <c r="G74" s="2326"/>
      <c r="H74" s="2330"/>
      <c r="I74" s="2326"/>
      <c r="J74" s="2326"/>
      <c r="K74" s="2326"/>
      <c r="L74" s="2326"/>
      <c r="M74" s="2329"/>
      <c r="O74" s="2325"/>
      <c r="P74" s="2326"/>
      <c r="Q74" s="2326"/>
      <c r="R74" s="2326"/>
      <c r="S74" s="2326"/>
      <c r="T74" s="2327"/>
      <c r="U74" s="2328"/>
      <c r="V74" s="2326"/>
      <c r="W74" s="2326"/>
      <c r="X74" s="2326"/>
      <c r="Y74" s="2326"/>
      <c r="Z74" s="2329"/>
    </row>
    <row r="75" spans="8:8" ht="16.5" customHeight="1">
      <c r="B75" s="2331" t="s">
        <v>3501</v>
      </c>
      <c r="C75" s="2332"/>
      <c r="D75" s="2332"/>
      <c r="E75" s="2332"/>
      <c r="F75" s="2332"/>
      <c r="G75" s="2333"/>
      <c r="H75" s="2334" t="s">
        <v>3502</v>
      </c>
      <c r="I75" s="2332"/>
      <c r="J75" s="2332"/>
      <c r="K75" s="2332"/>
      <c r="L75" s="2332"/>
      <c r="M75" s="2335"/>
      <c r="O75" s="2331" t="s">
        <v>3503</v>
      </c>
      <c r="P75" s="2332"/>
      <c r="Q75" s="2332"/>
      <c r="R75" s="2332"/>
      <c r="S75" s="2332"/>
      <c r="T75" s="2336"/>
      <c r="U75" s="2337" t="s">
        <v>3504</v>
      </c>
      <c r="V75" s="2332"/>
      <c r="W75" s="2332"/>
      <c r="X75" s="2332"/>
      <c r="Y75" s="2332"/>
      <c r="Z75" s="2335"/>
    </row>
    <row r="76" spans="8:8" ht="16.5" customHeight="1">
      <c r="B76" s="2338"/>
      <c r="C76" s="2339"/>
      <c r="D76" s="2339"/>
      <c r="E76" s="2339"/>
      <c r="F76" s="2339"/>
      <c r="G76" s="2339"/>
      <c r="H76" s="2340"/>
      <c r="I76" s="2339"/>
      <c r="J76" s="2339"/>
      <c r="K76" s="2339"/>
      <c r="L76" s="2339"/>
      <c r="M76" s="2341"/>
      <c r="O76" s="2338"/>
      <c r="P76" s="2339"/>
      <c r="Q76" s="2339"/>
      <c r="R76" s="2339"/>
      <c r="S76" s="2339"/>
      <c r="T76" s="2342"/>
      <c r="U76" s="2339"/>
      <c r="V76" s="2339"/>
      <c r="W76" s="2339"/>
      <c r="X76" s="2339"/>
      <c r="Y76" s="2339"/>
      <c r="Z76" s="2341"/>
    </row>
    <row r="77" spans="8:8" ht="16.5" customHeight="1">
      <c r="B77" s="2325" t="s">
        <v>3505</v>
      </c>
      <c r="C77" s="2326"/>
      <c r="D77" s="2326"/>
      <c r="E77" s="2326"/>
      <c r="F77" s="2326"/>
      <c r="G77" s="2326"/>
      <c r="H77" s="2326"/>
      <c r="I77" s="2326"/>
      <c r="J77" s="2326"/>
      <c r="K77" s="2326"/>
      <c r="L77" s="2326"/>
      <c r="M77" s="2329"/>
      <c r="O77" s="2325" t="s">
        <v>3506</v>
      </c>
      <c r="P77" s="2326"/>
      <c r="Q77" s="2326"/>
      <c r="R77" s="2326"/>
      <c r="S77" s="2326"/>
      <c r="T77" s="2326"/>
      <c r="U77" s="2326"/>
      <c r="V77" s="2326"/>
      <c r="W77" s="2326"/>
      <c r="X77" s="2326"/>
      <c r="Y77" s="2326"/>
      <c r="Z77" s="2329"/>
    </row>
    <row r="78" spans="8:8" ht="16.5" customHeight="1">
      <c r="B78" s="2325"/>
      <c r="C78" s="2326"/>
      <c r="D78" s="2326"/>
      <c r="E78" s="2326"/>
      <c r="F78" s="2326"/>
      <c r="G78" s="2326"/>
      <c r="H78" s="2326"/>
      <c r="I78" s="2326"/>
      <c r="J78" s="2326"/>
      <c r="K78" s="2326"/>
      <c r="L78" s="2326"/>
      <c r="M78" s="2329"/>
      <c r="O78" s="2325"/>
      <c r="P78" s="2326"/>
      <c r="Q78" s="2326"/>
      <c r="R78" s="2326"/>
      <c r="S78" s="2326"/>
      <c r="T78" s="2326"/>
      <c r="U78" s="2326"/>
      <c r="V78" s="2326"/>
      <c r="W78" s="2326"/>
      <c r="X78" s="2326"/>
      <c r="Y78" s="2326"/>
      <c r="Z78" s="2329"/>
    </row>
    <row r="79" spans="8:8" ht="16.5" customHeight="1">
      <c r="B79" s="2325"/>
      <c r="C79" s="2326"/>
      <c r="D79" s="2326"/>
      <c r="E79" s="2326"/>
      <c r="F79" s="2326"/>
      <c r="G79" s="2326"/>
      <c r="H79" s="2326"/>
      <c r="I79" s="2326"/>
      <c r="J79" s="2326"/>
      <c r="K79" s="2326"/>
      <c r="L79" s="2326"/>
      <c r="M79" s="2329"/>
      <c r="O79" s="2325"/>
      <c r="P79" s="2326"/>
      <c r="Q79" s="2326"/>
      <c r="R79" s="2326"/>
      <c r="S79" s="2326"/>
      <c r="T79" s="2326"/>
      <c r="U79" s="2326"/>
      <c r="V79" s="2326"/>
      <c r="W79" s="2326"/>
      <c r="X79" s="2326"/>
      <c r="Y79" s="2326"/>
      <c r="Z79" s="2329"/>
    </row>
    <row r="80" spans="8:8" ht="16.5" customHeight="1">
      <c r="B80" s="2343"/>
      <c r="C80" s="2344"/>
      <c r="D80" s="2344"/>
      <c r="E80" s="2344"/>
      <c r="F80" s="2344"/>
      <c r="G80" s="2344"/>
      <c r="H80" s="2344"/>
      <c r="I80" s="2344"/>
      <c r="J80" s="2344"/>
      <c r="K80" s="2344"/>
      <c r="L80" s="2344"/>
      <c r="M80" s="2345"/>
      <c r="O80" s="2343"/>
      <c r="P80" s="2344"/>
      <c r="Q80" s="2344"/>
      <c r="R80" s="2344"/>
      <c r="S80" s="2344"/>
      <c r="T80" s="2344"/>
      <c r="U80" s="2344"/>
      <c r="V80" s="2344"/>
      <c r="W80" s="2344"/>
      <c r="X80" s="2344"/>
      <c r="Y80" s="2344"/>
      <c r="Z80" s="2345"/>
    </row>
    <row r="81" spans="8:8" ht="16.5" customHeight="1">
      <c r="B81" s="2346" t="s">
        <v>3507</v>
      </c>
      <c r="C81" s="2347"/>
      <c r="D81" s="2347"/>
      <c r="E81" s="2347"/>
      <c r="F81" s="2347"/>
      <c r="G81" s="2347"/>
      <c r="H81" s="2347"/>
      <c r="I81" s="2347"/>
      <c r="J81" s="2348"/>
      <c r="K81" s="2349"/>
      <c r="L81" s="2349"/>
      <c r="M81" s="2350"/>
      <c r="N81" s="2350"/>
      <c r="O81" s="2350"/>
      <c r="P81" s="2350"/>
      <c r="Q81" s="2350"/>
      <c r="R81" s="2350"/>
      <c r="S81" s="2350"/>
      <c r="T81" s="2350"/>
      <c r="U81" s="2350"/>
      <c r="V81" s="2350"/>
      <c r="W81" s="2350"/>
      <c r="X81" s="2350"/>
      <c r="Y81" s="2350"/>
      <c r="Z81" s="2350"/>
      <c r="AA81" s="2351"/>
    </row>
    <row r="82" spans="8:8" ht="16.5" customHeight="1">
      <c r="B82" s="2346"/>
      <c r="C82" s="2352"/>
      <c r="D82" s="2352"/>
      <c r="E82" s="2352"/>
      <c r="F82" s="2352"/>
      <c r="G82" s="2352"/>
      <c r="H82" s="2352"/>
      <c r="I82" s="2352"/>
      <c r="J82" s="2348"/>
      <c r="K82" s="2349"/>
      <c r="L82" s="2349"/>
      <c r="N82"/>
      <c r="O82"/>
      <c r="P82"/>
      <c r="Q82"/>
      <c r="R82"/>
      <c r="S82"/>
      <c r="T82"/>
      <c r="U82"/>
      <c r="V82"/>
      <c r="W82"/>
      <c r="X82"/>
      <c r="Y82"/>
      <c r="Z82"/>
      <c r="AA82"/>
    </row>
    <row r="83" spans="8:8" ht="16.5" customHeight="1">
      <c r="B83" s="2346"/>
      <c r="C83" s="2352"/>
      <c r="D83" s="2352"/>
      <c r="E83" s="2352"/>
      <c r="F83" s="2352"/>
      <c r="G83" s="2352"/>
      <c r="H83" s="2352"/>
      <c r="I83" s="2352"/>
      <c r="J83" s="2348"/>
      <c r="K83" s="2349"/>
      <c r="L83" s="2349"/>
      <c r="N83"/>
      <c r="O83"/>
      <c r="P83"/>
      <c r="Q83"/>
      <c r="R83"/>
      <c r="S83"/>
      <c r="T83"/>
      <c r="U83"/>
      <c r="V83"/>
      <c r="W83"/>
      <c r="X83"/>
      <c r="Y83"/>
      <c r="Z83"/>
      <c r="AA83"/>
    </row>
    <row r="84" spans="8:8" ht="16.5" customHeight="1">
      <c r="B84" s="2353" t="s">
        <v>3508</v>
      </c>
      <c r="C84" s="2354"/>
      <c r="D84" s="2354"/>
      <c r="E84" s="2354"/>
      <c r="F84" s="2354"/>
      <c r="G84" s="2354"/>
      <c r="H84" s="2354"/>
      <c r="I84" s="2354"/>
      <c r="J84" s="2355"/>
      <c r="K84" s="2356"/>
      <c r="L84" s="2356"/>
      <c r="M84" s="2357"/>
      <c r="N84" s="2357"/>
      <c r="O84" s="2357"/>
      <c r="P84" s="2357"/>
      <c r="Q84" s="2357"/>
      <c r="R84" s="2357"/>
      <c r="S84" s="2357"/>
    </row>
    <row r="85" spans="8:8" ht="16.5" customHeight="1">
      <c r="B85" s="1255" t="s">
        <v>3509</v>
      </c>
      <c r="C85" s="1256"/>
      <c r="D85" s="1256"/>
      <c r="E85" s="1256"/>
      <c r="F85" s="1256"/>
      <c r="G85" s="1256"/>
      <c r="H85" s="1256"/>
      <c r="I85" s="1256"/>
      <c r="J85" s="2358"/>
      <c r="K85" s="2359"/>
      <c r="L85" s="2359"/>
      <c r="M85" s="2360"/>
      <c r="N85" s="2360"/>
      <c r="O85" s="2360"/>
      <c r="P85" s="2360"/>
      <c r="Q85" s="2360"/>
      <c r="R85" s="2360"/>
      <c r="S85" s="2360"/>
    </row>
    <row r="86" spans="8:8" ht="16.5" customHeight="1">
      <c r="K86" s="2351"/>
      <c r="L86" s="2351"/>
      <c r="M86" s="2360"/>
      <c r="N86" s="2360"/>
      <c r="O86" s="2360"/>
      <c r="P86" s="2360"/>
      <c r="Q86" s="2360"/>
      <c r="R86" s="2360"/>
      <c r="S86" s="2360"/>
    </row>
    <row r="87" spans="8:8" ht="16.5" customHeight="1">
      <c r="K87" s="2351"/>
      <c r="L87" s="2351"/>
      <c r="M87" s="2360"/>
      <c r="N87" s="2360"/>
      <c r="O87" s="2360"/>
      <c r="P87" s="2360"/>
      <c r="Q87" s="2360"/>
      <c r="R87" s="2360"/>
      <c r="S87" s="2360"/>
    </row>
    <row r="88" spans="8:8" ht="16.5" customHeight="1">
      <c r="K88" s="2351"/>
      <c r="L88" s="2351"/>
      <c r="M88" s="2360"/>
      <c r="N88" s="2360"/>
      <c r="O88" s="2360"/>
      <c r="P88" s="2360"/>
      <c r="Q88" s="2360"/>
      <c r="R88" s="2360"/>
      <c r="S88" s="2360"/>
    </row>
    <row r="89" spans="8:8" ht="16.5" customHeight="1">
      <c r="K89" s="2351"/>
      <c r="L89" s="2351"/>
      <c r="M89" s="2360"/>
      <c r="N89" s="2360"/>
      <c r="O89" s="2360"/>
      <c r="P89" s="2360"/>
      <c r="Q89" s="2360"/>
      <c r="R89" s="2360"/>
      <c r="S89" s="2360"/>
    </row>
    <row r="90" spans="8:8" ht="16.5" customHeight="1">
      <c r="K90" s="2351"/>
      <c r="L90" s="2351"/>
      <c r="M90" s="2360"/>
      <c r="N90" s="2360"/>
      <c r="O90" s="2360"/>
      <c r="P90" s="2360"/>
      <c r="Q90" s="2360"/>
      <c r="R90" s="2360"/>
      <c r="S90" s="2360"/>
    </row>
    <row r="91" spans="8:8" ht="16.5" customHeight="1">
      <c r="K91" s="2351"/>
      <c r="L91" s="2351"/>
      <c r="M91" s="2360"/>
      <c r="N91" s="2360"/>
      <c r="O91" s="2360"/>
      <c r="P91" s="2360"/>
      <c r="Q91" s="2360"/>
      <c r="R91" s="2360"/>
      <c r="S91" s="2360"/>
    </row>
    <row r="92" spans="8:8" ht="16.5" customHeight="1">
      <c r="K92" s="2351"/>
      <c r="L92" s="2351"/>
      <c r="M92" s="2360"/>
      <c r="N92" s="2360"/>
      <c r="O92" s="2360"/>
      <c r="P92" s="2360"/>
      <c r="Q92" s="2360"/>
      <c r="R92" s="2360"/>
      <c r="S92" s="2360"/>
      <c r="AB92" s="2361"/>
      <c r="AC92" s="2361"/>
    </row>
    <row r="93" spans="8:8" ht="16.5" customHeight="1">
      <c r="K93" s="2351"/>
      <c r="L93" s="2351"/>
      <c r="M93" s="2360"/>
      <c r="N93" s="2360"/>
      <c r="O93" s="2360"/>
      <c r="P93" s="2360"/>
      <c r="Q93" s="2360"/>
      <c r="R93" s="2360"/>
      <c r="S93" s="2360"/>
      <c r="AB93" s="2361"/>
      <c r="AC93" s="2361"/>
    </row>
    <row r="94" spans="8:8" ht="16.5" customHeight="1">
      <c r="B94" s="1443" t="s">
        <v>3510</v>
      </c>
      <c r="C94" s="1444"/>
      <c r="D94" s="1444"/>
      <c r="E94" s="1444"/>
      <c r="F94" s="1444"/>
      <c r="G94" s="1444"/>
      <c r="H94" s="1444"/>
      <c r="I94" s="1444"/>
      <c r="J94" s="1445"/>
      <c r="K94" s="2362"/>
      <c r="L94" s="2362"/>
      <c r="O94" s="2360"/>
      <c r="P94" s="2360"/>
      <c r="Q94" s="2360"/>
      <c r="R94" s="2360"/>
      <c r="S94" s="2360"/>
      <c r="T94" s="2360"/>
      <c r="U94" s="2360"/>
      <c r="V94" s="2360"/>
      <c r="W94" s="2360"/>
      <c r="X94" s="2360"/>
      <c r="Y94" s="2360"/>
      <c r="Z94" s="2360"/>
    </row>
    <row r="95" spans="8:8" ht="16.5" customHeight="1">
      <c r="B95" s="2363"/>
      <c r="C95" s="2364"/>
      <c r="D95" s="2364"/>
      <c r="E95" s="2364"/>
      <c r="F95" s="2364"/>
      <c r="G95" s="2364"/>
      <c r="H95" s="2364"/>
      <c r="I95" s="2364"/>
      <c r="J95" s="2365"/>
      <c r="K95" s="2362"/>
      <c r="L95" s="2362"/>
    </row>
    <row r="96" spans="8:8" ht="16.5" customHeight="1">
      <c r="B96" s="2325" t="s">
        <v>3511</v>
      </c>
      <c r="C96" s="2326"/>
      <c r="D96" s="2326"/>
      <c r="E96" s="2326"/>
      <c r="F96" s="2326"/>
      <c r="G96" s="2326"/>
      <c r="H96" s="2326"/>
      <c r="I96" s="2326"/>
      <c r="J96" s="2329"/>
      <c r="K96" s="2366"/>
      <c r="L96" s="2366"/>
    </row>
    <row r="97" spans="8:8" ht="16.5" customHeight="1">
      <c r="B97" s="2325"/>
      <c r="C97" s="2326"/>
      <c r="D97" s="2326"/>
      <c r="E97" s="2326"/>
      <c r="F97" s="2326"/>
      <c r="G97" s="2326"/>
      <c r="H97" s="2326"/>
      <c r="I97" s="2326"/>
      <c r="J97" s="2329"/>
      <c r="K97" s="2366"/>
      <c r="L97" s="2366"/>
    </row>
    <row r="98" spans="8:8" ht="16.5" customHeight="1">
      <c r="B98" s="2325"/>
      <c r="C98" s="2326"/>
      <c r="D98" s="2326"/>
      <c r="E98" s="2326"/>
      <c r="F98" s="2326"/>
      <c r="G98" s="2326"/>
      <c r="H98" s="2326"/>
      <c r="I98" s="2326"/>
      <c r="J98" s="2329"/>
      <c r="K98" s="2366"/>
      <c r="L98" s="2366"/>
    </row>
    <row r="99" spans="8:8" ht="16.5" customHeight="1">
      <c r="B99" s="2325"/>
      <c r="C99" s="2326"/>
      <c r="D99" s="2326"/>
      <c r="E99" s="2326"/>
      <c r="F99" s="2326"/>
      <c r="G99" s="2326"/>
      <c r="H99" s="2326"/>
      <c r="I99" s="2326"/>
      <c r="J99" s="2329"/>
      <c r="K99" s="2366"/>
      <c r="L99" s="2366"/>
    </row>
    <row r="100" spans="8:8" ht="16.5" customHeight="1">
      <c r="B100" s="2325"/>
      <c r="C100" s="2326"/>
      <c r="D100" s="2326"/>
      <c r="E100" s="2326"/>
      <c r="F100" s="2326"/>
      <c r="G100" s="2326"/>
      <c r="H100" s="2326"/>
      <c r="I100" s="2326"/>
      <c r="J100" s="2329"/>
      <c r="K100" s="2367"/>
      <c r="L100" s="2367"/>
    </row>
    <row r="101" spans="8:8" ht="16.5" customHeight="1">
      <c r="B101" s="2325"/>
      <c r="C101" s="2326"/>
      <c r="D101" s="2326"/>
      <c r="E101" s="2326"/>
      <c r="F101" s="2326"/>
      <c r="G101" s="2326"/>
      <c r="H101" s="2326"/>
      <c r="I101" s="2326"/>
      <c r="J101" s="2329"/>
      <c r="K101" s="2367"/>
      <c r="L101" s="2367"/>
    </row>
    <row r="102" spans="8:8" ht="16.5" customHeight="1">
      <c r="B102" s="2368" t="s">
        <v>3512</v>
      </c>
      <c r="C102" s="2369"/>
      <c r="D102" s="2369"/>
      <c r="E102" s="2369"/>
      <c r="F102" s="2369"/>
      <c r="G102" s="2369"/>
      <c r="H102" s="2369"/>
      <c r="I102" s="2369"/>
      <c r="J102" s="2370"/>
      <c r="K102" s="2367"/>
      <c r="L102" s="2367"/>
    </row>
    <row r="103" spans="8:8" s="2224" ht="16.5" customFormat="1" customHeight="1">
      <c r="A103" s="2223"/>
      <c r="B103" s="2371"/>
      <c r="C103" s="2372"/>
      <c r="D103" s="2372"/>
      <c r="E103" s="2372"/>
      <c r="F103" s="2372"/>
      <c r="G103" s="2372"/>
      <c r="H103" s="2372"/>
      <c r="I103" s="2372"/>
      <c r="J103" s="2373"/>
      <c r="K103" s="2367"/>
      <c r="L103" s="2367"/>
      <c r="M103" s="2223"/>
      <c r="N103" s="2223"/>
      <c r="O103" s="2223"/>
      <c r="P103" s="2223"/>
      <c r="Q103" s="2223"/>
      <c r="R103" s="2223"/>
      <c r="S103" s="2223"/>
      <c r="T103" s="2223"/>
      <c r="U103" s="2223"/>
      <c r="V103" s="2223"/>
      <c r="W103" s="2223"/>
      <c r="X103" s="2223"/>
      <c r="Y103" s="2223"/>
      <c r="Z103" s="2223"/>
      <c r="AA103" s="2223"/>
      <c r="AB103" s="2223"/>
    </row>
    <row r="104" spans="8:8" ht="16.5" customHeight="1">
      <c r="B104" s="2371"/>
      <c r="C104" s="2372"/>
      <c r="D104" s="2372"/>
      <c r="E104" s="2372"/>
      <c r="F104" s="2372"/>
      <c r="G104" s="2372"/>
      <c r="H104" s="2372"/>
      <c r="I104" s="2372"/>
      <c r="J104" s="2373"/>
    </row>
    <row r="105" spans="8:8" ht="16.5" customHeight="1">
      <c r="B105" s="2374"/>
      <c r="C105" s="2375"/>
      <c r="D105" s="2375"/>
      <c r="E105" s="2375"/>
      <c r="F105" s="2375"/>
      <c r="G105" s="2375"/>
      <c r="H105" s="2375"/>
      <c r="I105" s="2375"/>
      <c r="J105" s="2376"/>
    </row>
    <row r="106" spans="8:8" ht="16.5" customHeight="1"/>
    <row r="107" spans="8:8" ht="16.5" customHeight="1"/>
    <row r="108" spans="8:8" ht="16.5" customHeight="1"/>
    <row r="109" spans="8:8" ht="16.5" customHeight="1"/>
    <row r="110" spans="8:8" ht="16.5" customHeight="1">
      <c r="M110" s="2361"/>
      <c r="N110" s="2361"/>
      <c r="O110" s="2361"/>
      <c r="P110" s="2361"/>
      <c r="Q110" s="2361"/>
      <c r="R110" s="2361"/>
      <c r="S110" s="2361"/>
      <c r="T110" s="2361"/>
      <c r="U110" s="2361"/>
      <c r="V110" s="2361"/>
      <c r="W110" s="2361"/>
      <c r="X110" s="2361"/>
      <c r="Y110" s="2361"/>
      <c r="Z110" s="2361"/>
      <c r="AA110" s="2361"/>
    </row>
    <row r="111" spans="8:8" ht="16.5" customHeight="1">
      <c r="M111" s="2361"/>
      <c r="N111" s="2361"/>
      <c r="O111" s="2361"/>
      <c r="P111" s="2361"/>
      <c r="Q111" s="2361"/>
      <c r="R111" s="2361"/>
      <c r="S111" s="2361"/>
      <c r="T111" s="2361"/>
      <c r="U111" s="2361"/>
      <c r="V111" s="2361"/>
      <c r="W111" s="2361"/>
      <c r="X111" s="2361"/>
      <c r="Y111" s="2361"/>
      <c r="Z111" s="2361"/>
      <c r="AA111" s="2361"/>
    </row>
    <row r="112" spans="8:8" ht="16.5" customHeight="1"/>
    <row r="113" spans="8:8" ht="16.5" customHeight="1">
      <c r="B113" s="2302" t="s">
        <v>3513</v>
      </c>
      <c r="C113" s="2303"/>
      <c r="D113" s="2303"/>
      <c r="E113" s="2303"/>
      <c r="F113" s="2303"/>
      <c r="G113" s="2303"/>
      <c r="H113" s="2303"/>
      <c r="I113" s="2303"/>
      <c r="J113" s="2303"/>
      <c r="K113" s="2303"/>
      <c r="L113" s="2303"/>
      <c r="M113" s="2303"/>
      <c r="N113" s="2303"/>
      <c r="O113" s="2303"/>
      <c r="P113" s="2303"/>
      <c r="Q113" s="2303"/>
      <c r="R113" s="2303"/>
      <c r="S113" s="2303"/>
      <c r="T113" s="2303"/>
      <c r="U113" s="2303"/>
      <c r="V113" s="2303"/>
      <c r="W113" s="2303"/>
      <c r="X113" s="2303"/>
      <c r="Y113" s="2303"/>
      <c r="Z113" s="2304"/>
    </row>
    <row r="114" spans="8:8" ht="16.5" customHeight="1">
      <c r="B114" s="2305"/>
      <c r="C114" s="2306"/>
      <c r="D114" s="2306"/>
      <c r="E114" s="2306"/>
      <c r="F114" s="2306"/>
      <c r="G114" s="2306"/>
      <c r="H114" s="2306"/>
      <c r="I114" s="2306"/>
      <c r="J114" s="2306"/>
      <c r="K114" s="2306"/>
      <c r="L114" s="2306"/>
      <c r="M114" s="2306"/>
      <c r="N114" s="2306"/>
      <c r="O114" s="2306"/>
      <c r="P114" s="2306"/>
      <c r="Q114" s="2306"/>
      <c r="R114" s="2306"/>
      <c r="S114" s="2306"/>
      <c r="T114" s="2306"/>
      <c r="U114" s="2306"/>
      <c r="V114" s="2306"/>
      <c r="W114" s="2306"/>
      <c r="X114" s="2306"/>
      <c r="Y114" s="2306"/>
      <c r="Z114" s="2307"/>
    </row>
    <row r="115" spans="8:8" ht="16.5" customHeight="1">
      <c r="B115" s="2308"/>
      <c r="C115" s="2309"/>
      <c r="D115" s="2309"/>
      <c r="E115" s="2309"/>
      <c r="F115" s="2309"/>
      <c r="G115" s="2309"/>
      <c r="H115" s="2309"/>
      <c r="I115" s="2309"/>
      <c r="J115" s="2309"/>
      <c r="K115" s="2309"/>
      <c r="L115" s="2309"/>
      <c r="M115" s="2309"/>
      <c r="N115" s="2309"/>
      <c r="O115" s="2309"/>
      <c r="P115" s="2309"/>
      <c r="Q115" s="2309"/>
      <c r="R115" s="2309"/>
      <c r="S115" s="2309"/>
      <c r="T115" s="2309"/>
      <c r="U115" s="2309"/>
      <c r="V115" s="2309"/>
      <c r="W115" s="2309"/>
      <c r="X115" s="2309"/>
      <c r="Y115" s="2309"/>
      <c r="Z115" s="2310"/>
    </row>
    <row r="116" spans="8:8" ht="27.1" customHeight="1">
      <c r="B116" s="2377"/>
      <c r="C116" s="2377"/>
      <c r="D116" s="2377"/>
      <c r="E116" s="2377"/>
      <c r="F116" s="2377"/>
      <c r="G116" s="2377"/>
      <c r="H116" s="2377"/>
      <c r="I116" s="2377"/>
      <c r="J116" s="2377"/>
      <c r="K116" s="2377"/>
      <c r="L116" s="2377"/>
      <c r="M116" s="2377"/>
      <c r="N116" s="2377"/>
      <c r="O116" s="2377"/>
      <c r="P116" s="2377"/>
      <c r="Q116" s="2377"/>
      <c r="R116" s="2377"/>
      <c r="S116" s="2377"/>
      <c r="T116" s="2377"/>
      <c r="U116" s="2377"/>
      <c r="V116" s="2377"/>
      <c r="W116" s="2377"/>
      <c r="X116" s="2377"/>
      <c r="Y116" s="2377"/>
      <c r="Z116" s="2377"/>
    </row>
    <row r="117" spans="8:8" ht="16.5" customHeight="1">
      <c r="B117" s="1443" t="s">
        <v>3514</v>
      </c>
      <c r="C117" s="1444"/>
      <c r="D117" s="1444"/>
      <c r="E117" s="1445"/>
      <c r="F117" s="2378"/>
      <c r="G117" s="1443" t="s">
        <v>3515</v>
      </c>
      <c r="H117" s="1444"/>
      <c r="I117" s="1444"/>
      <c r="J117" s="1445"/>
      <c r="K117" s="2379"/>
      <c r="L117" s="1443" t="s">
        <v>3516</v>
      </c>
      <c r="M117" s="1444"/>
      <c r="N117" s="1444"/>
      <c r="O117" s="1444"/>
      <c r="P117" s="1444"/>
      <c r="Q117" s="1444"/>
      <c r="R117" s="1444"/>
      <c r="S117" s="1445"/>
      <c r="T117" s="2377"/>
      <c r="U117" s="1443" t="s">
        <v>3517</v>
      </c>
      <c r="V117" s="1444"/>
      <c r="W117" s="1444"/>
      <c r="X117" s="1444"/>
      <c r="Y117" s="1444"/>
      <c r="Z117" s="1445"/>
    </row>
    <row r="118" spans="8:8" ht="16.5" customHeight="1">
      <c r="B118" s="2363"/>
      <c r="C118" s="2364"/>
      <c r="D118" s="2364"/>
      <c r="E118" s="2365"/>
      <c r="F118" s="2378"/>
      <c r="G118" s="2363"/>
      <c r="H118" s="2364"/>
      <c r="I118" s="2364"/>
      <c r="J118" s="2365"/>
      <c r="K118" s="2379"/>
      <c r="L118" s="2363"/>
      <c r="M118" s="2364"/>
      <c r="N118" s="2364"/>
      <c r="O118" s="2364"/>
      <c r="P118" s="2364"/>
      <c r="Q118" s="2364"/>
      <c r="R118" s="2364"/>
      <c r="S118" s="2365"/>
      <c r="T118" s="2377"/>
      <c r="U118" s="2363"/>
      <c r="V118" s="2364"/>
      <c r="W118" s="2364"/>
      <c r="X118" s="2364"/>
      <c r="Y118" s="2364"/>
      <c r="Z118" s="2365"/>
    </row>
    <row r="119" spans="8:8" ht="16.5" customHeight="1">
      <c r="B119" s="2380" t="s">
        <v>3518</v>
      </c>
      <c r="C119" s="2381"/>
      <c r="D119" s="2381"/>
      <c r="E119" s="2382"/>
      <c r="F119" s="2383"/>
      <c r="G119" s="2380" t="s">
        <v>3519</v>
      </c>
      <c r="H119" s="2381"/>
      <c r="I119" s="2381"/>
      <c r="J119" s="2382"/>
      <c r="K119" s="2377"/>
      <c r="L119" s="2380" t="s">
        <v>3520</v>
      </c>
      <c r="M119" s="2381"/>
      <c r="N119" s="2381"/>
      <c r="O119" s="2381"/>
      <c r="P119" s="2381"/>
      <c r="Q119" s="2381"/>
      <c r="R119" s="2381"/>
      <c r="S119" s="2382"/>
      <c r="T119" s="2377"/>
      <c r="U119" s="2380" t="s">
        <v>3521</v>
      </c>
      <c r="V119" s="2381"/>
      <c r="W119" s="2381"/>
      <c r="X119" s="2381"/>
      <c r="Y119" s="2381"/>
      <c r="Z119" s="2382"/>
    </row>
    <row r="120" spans="8:8" ht="16.5" customHeight="1">
      <c r="B120" s="2380"/>
      <c r="C120" s="2381"/>
      <c r="D120" s="2381"/>
      <c r="E120" s="2382"/>
      <c r="F120" s="2383"/>
      <c r="G120" s="2380"/>
      <c r="H120" s="2381"/>
      <c r="I120" s="2381"/>
      <c r="J120" s="2382"/>
      <c r="K120" s="2377"/>
      <c r="L120" s="2380"/>
      <c r="M120" s="2381"/>
      <c r="N120" s="2381"/>
      <c r="O120" s="2381"/>
      <c r="P120" s="2381"/>
      <c r="Q120" s="2381"/>
      <c r="R120" s="2381"/>
      <c r="S120" s="2382"/>
      <c r="T120" s="2377"/>
      <c r="U120" s="2380"/>
      <c r="V120" s="2381"/>
      <c r="W120" s="2381"/>
      <c r="X120" s="2381"/>
      <c r="Y120" s="2381"/>
      <c r="Z120" s="2382"/>
    </row>
    <row r="121" spans="8:8" ht="16.5" customHeight="1">
      <c r="B121" s="2380"/>
      <c r="C121" s="2381"/>
      <c r="D121" s="2381"/>
      <c r="E121" s="2382"/>
      <c r="F121" s="2383"/>
      <c r="G121" s="2380"/>
      <c r="H121" s="2381"/>
      <c r="I121" s="2381"/>
      <c r="J121" s="2382"/>
      <c r="K121" s="2377"/>
      <c r="L121" s="2380"/>
      <c r="M121" s="2381"/>
      <c r="N121" s="2381"/>
      <c r="O121" s="2381"/>
      <c r="P121" s="2381"/>
      <c r="Q121" s="2381"/>
      <c r="R121" s="2381"/>
      <c r="S121" s="2382"/>
      <c r="T121" s="2377"/>
      <c r="U121" s="2380"/>
      <c r="V121" s="2381"/>
      <c r="W121" s="2381"/>
      <c r="X121" s="2381"/>
      <c r="Y121" s="2381"/>
      <c r="Z121" s="2382"/>
    </row>
    <row r="122" spans="8:8" ht="16.5" customHeight="1">
      <c r="B122" s="2380"/>
      <c r="C122" s="2381"/>
      <c r="D122" s="2381"/>
      <c r="E122" s="2382"/>
      <c r="F122" s="2383"/>
      <c r="G122" s="2380"/>
      <c r="H122" s="2381"/>
      <c r="I122" s="2381"/>
      <c r="J122" s="2382"/>
      <c r="K122" s="2377"/>
      <c r="L122" s="2380"/>
      <c r="M122" s="2381"/>
      <c r="N122" s="2381"/>
      <c r="O122" s="2381"/>
      <c r="P122" s="2381"/>
      <c r="Q122" s="2381"/>
      <c r="R122" s="2381"/>
      <c r="S122" s="2382"/>
      <c r="T122" s="2377"/>
      <c r="U122" s="2380"/>
      <c r="V122" s="2381"/>
      <c r="W122" s="2381"/>
      <c r="X122" s="2381"/>
      <c r="Y122" s="2381"/>
      <c r="Z122" s="2382"/>
    </row>
    <row r="123" spans="8:8" ht="24.05" customHeight="1">
      <c r="B123" s="2380"/>
      <c r="C123" s="2381"/>
      <c r="D123" s="2381"/>
      <c r="E123" s="2382"/>
      <c r="F123" s="2383"/>
      <c r="G123" s="2380"/>
      <c r="H123" s="2381"/>
      <c r="I123" s="2381"/>
      <c r="J123" s="2382"/>
      <c r="K123" s="2377"/>
      <c r="L123" s="2380"/>
      <c r="M123" s="2381"/>
      <c r="N123" s="2381"/>
      <c r="O123" s="2381"/>
      <c r="P123" s="2381"/>
      <c r="Q123" s="2381"/>
      <c r="R123" s="2381"/>
      <c r="S123" s="2382"/>
      <c r="T123" s="2377"/>
      <c r="U123" s="2380"/>
      <c r="V123" s="2381"/>
      <c r="W123" s="2381"/>
      <c r="X123" s="2381"/>
      <c r="Y123" s="2381"/>
      <c r="Z123" s="2382"/>
    </row>
    <row r="124" spans="8:8" ht="16.5" customHeight="1">
      <c r="B124" s="2380"/>
      <c r="C124" s="2381"/>
      <c r="D124" s="2381"/>
      <c r="E124" s="2382"/>
      <c r="F124" s="2383"/>
      <c r="G124" s="2380"/>
      <c r="H124" s="2381"/>
      <c r="I124" s="2381"/>
      <c r="J124" s="2382"/>
      <c r="K124" s="2377"/>
      <c r="L124" s="2384" t="s">
        <v>3522</v>
      </c>
      <c r="M124" s="2385"/>
      <c r="N124" s="2385"/>
      <c r="O124" s="2385"/>
      <c r="P124" s="2385"/>
      <c r="Q124" s="2385"/>
      <c r="R124" s="2385"/>
      <c r="S124" s="2386"/>
      <c r="T124" s="2377"/>
      <c r="U124" s="2380"/>
      <c r="V124" s="2381"/>
      <c r="W124" s="2381"/>
      <c r="X124" s="2381"/>
      <c r="Y124" s="2381"/>
      <c r="Z124" s="2382"/>
    </row>
    <row r="125" spans="8:8" ht="16.5" customHeight="1">
      <c r="B125" s="2387"/>
      <c r="C125" s="2388"/>
      <c r="D125" s="2388"/>
      <c r="E125" s="2389"/>
      <c r="F125" s="2383"/>
      <c r="G125" s="2387"/>
      <c r="H125" s="2388"/>
      <c r="I125" s="2388"/>
      <c r="J125" s="2389"/>
      <c r="K125" s="2377"/>
      <c r="L125" s="2380" t="s">
        <v>3523</v>
      </c>
      <c r="M125" s="2381"/>
      <c r="N125" s="2381"/>
      <c r="O125" s="2381"/>
      <c r="P125" s="2381"/>
      <c r="Q125" s="2381"/>
      <c r="R125" s="2381"/>
      <c r="S125" s="2382"/>
      <c r="T125" s="2377"/>
      <c r="U125" s="2380"/>
      <c r="V125" s="2381"/>
      <c r="W125" s="2381"/>
      <c r="X125" s="2381"/>
      <c r="Y125" s="2381"/>
      <c r="Z125" s="2382"/>
    </row>
    <row r="126" spans="8:8" ht="16.5" customHeight="1">
      <c r="B126" s="2377"/>
      <c r="C126" s="2377"/>
      <c r="D126" s="2377"/>
      <c r="E126" s="2377"/>
      <c r="F126" s="2377"/>
      <c r="G126" s="2377"/>
      <c r="H126" s="2377"/>
      <c r="I126" s="2377"/>
      <c r="J126" s="2377"/>
      <c r="K126" s="2377"/>
      <c r="L126" s="2380"/>
      <c r="M126" s="2381"/>
      <c r="N126" s="2381"/>
      <c r="O126" s="2381"/>
      <c r="P126" s="2381"/>
      <c r="Q126" s="2381"/>
      <c r="R126" s="2381"/>
      <c r="S126" s="2382"/>
      <c r="T126" s="2377"/>
      <c r="U126" s="2380"/>
      <c r="V126" s="2381"/>
      <c r="W126" s="2381"/>
      <c r="X126" s="2381"/>
      <c r="Y126" s="2381"/>
      <c r="Z126" s="2382"/>
    </row>
    <row r="127" spans="8:8" ht="16.5" customHeight="1">
      <c r="B127" s="2377"/>
      <c r="C127" s="2377"/>
      <c r="D127" s="2377"/>
      <c r="E127" s="2377"/>
      <c r="F127" s="2377"/>
      <c r="G127" s="2377"/>
      <c r="H127" s="2377"/>
      <c r="I127" s="2377"/>
      <c r="J127" s="2377"/>
      <c r="K127" s="2377"/>
      <c r="L127" s="2390" t="s">
        <v>3524</v>
      </c>
      <c r="M127" s="2391"/>
      <c r="N127" s="2391"/>
      <c r="O127" s="2391"/>
      <c r="P127" s="2392" t="s">
        <v>3525</v>
      </c>
      <c r="Q127" s="2391"/>
      <c r="R127" s="2392" t="s">
        <v>3526</v>
      </c>
      <c r="S127" s="2393"/>
      <c r="T127" s="2377"/>
      <c r="U127" s="2387"/>
      <c r="V127" s="2388"/>
      <c r="W127" s="2388"/>
      <c r="X127" s="2388"/>
      <c r="Y127" s="2388"/>
      <c r="Z127" s="2389"/>
    </row>
    <row r="128" spans="8:8" ht="16.5" customHeight="1">
      <c r="B128" s="2377"/>
      <c r="C128" s="2377"/>
      <c r="D128" s="2377"/>
      <c r="E128" s="2377"/>
      <c r="F128" s="2377"/>
      <c r="G128" s="2377"/>
      <c r="H128" s="2377"/>
      <c r="I128" s="2377"/>
      <c r="J128" s="2377"/>
      <c r="K128" s="2377"/>
      <c r="L128" s="2394"/>
      <c r="M128" s="2391"/>
      <c r="N128" s="2391"/>
      <c r="O128" s="2391"/>
      <c r="P128" s="2391"/>
      <c r="Q128" s="2391"/>
      <c r="R128" s="2391"/>
      <c r="S128" s="2393"/>
      <c r="T128" s="2377"/>
      <c r="U128" s="2377"/>
      <c r="V128" s="2377"/>
      <c r="W128" s="2377"/>
      <c r="X128" s="2377"/>
      <c r="Y128" s="2377"/>
      <c r="Z128" s="2377"/>
    </row>
    <row r="129" spans="8:8" ht="16.5" customHeight="1">
      <c r="B129" s="2377"/>
      <c r="C129" s="2377"/>
      <c r="D129" s="2377"/>
      <c r="E129" s="2377"/>
      <c r="F129" s="2377"/>
      <c r="G129" s="2377"/>
      <c r="H129" s="2377"/>
      <c r="I129" s="2377"/>
      <c r="J129" s="2377"/>
      <c r="K129" s="2377"/>
      <c r="L129" s="2394"/>
      <c r="M129" s="2391"/>
      <c r="N129" s="2391"/>
      <c r="O129" s="2391"/>
      <c r="P129" s="2392" t="s">
        <v>3527</v>
      </c>
      <c r="Q129" s="2391"/>
      <c r="R129" s="2392" t="s">
        <v>3528</v>
      </c>
      <c r="S129" s="2393"/>
      <c r="T129" s="2377"/>
      <c r="U129" s="2377"/>
      <c r="V129" s="2377"/>
      <c r="W129" s="2377"/>
      <c r="X129" s="2377"/>
      <c r="Y129" s="2377"/>
      <c r="Z129" s="2377"/>
    </row>
    <row r="130" spans="8:8" ht="16.5" customHeight="1">
      <c r="B130" s="2377"/>
      <c r="C130" s="2377"/>
      <c r="D130" s="2377"/>
      <c r="E130" s="2377"/>
      <c r="F130" s="2377"/>
      <c r="G130" s="2377"/>
      <c r="H130" s="2377"/>
      <c r="I130" s="2377"/>
      <c r="J130" s="2377"/>
      <c r="K130" s="2377"/>
      <c r="L130" s="2394"/>
      <c r="M130" s="2391"/>
      <c r="N130" s="2391"/>
      <c r="O130" s="2391"/>
      <c r="P130" s="2391"/>
      <c r="Q130" s="2391"/>
      <c r="R130" s="2391"/>
      <c r="S130" s="2393"/>
      <c r="T130" s="2377"/>
      <c r="U130" s="2377"/>
      <c r="V130" s="2377"/>
      <c r="W130" s="2377"/>
      <c r="X130" s="2377"/>
      <c r="Y130" s="2377"/>
      <c r="Z130" s="2377"/>
    </row>
    <row r="131" spans="8:8" ht="16.5" customHeight="1">
      <c r="B131" s="2377"/>
      <c r="C131" s="2377"/>
      <c r="D131" s="2377"/>
      <c r="E131" s="2377"/>
      <c r="F131" s="2377"/>
      <c r="G131" s="2377"/>
      <c r="H131" s="2377"/>
      <c r="I131" s="2377"/>
      <c r="J131" s="2377"/>
      <c r="K131" s="2377"/>
      <c r="L131" s="2395" t="s">
        <v>3529</v>
      </c>
      <c r="M131" s="2396"/>
      <c r="N131" s="2396"/>
      <c r="O131" s="2396"/>
      <c r="P131" s="2396"/>
      <c r="Q131" s="2396"/>
      <c r="R131" s="2396"/>
      <c r="S131" s="2397"/>
      <c r="T131" s="2377"/>
      <c r="U131" s="2377"/>
      <c r="V131" s="2377"/>
      <c r="W131" s="2377"/>
      <c r="X131" s="2377"/>
      <c r="Y131" s="2377"/>
      <c r="Z131" s="2377"/>
    </row>
    <row r="132" spans="8:8" ht="25.0" customHeight="1">
      <c r="B132" s="2377"/>
      <c r="C132" s="2377"/>
      <c r="D132" s="2377"/>
      <c r="E132" s="2377"/>
      <c r="F132" s="2377"/>
      <c r="G132" s="2377"/>
      <c r="H132" s="2377"/>
      <c r="I132" s="2377"/>
      <c r="J132" s="2377"/>
      <c r="K132" s="2377"/>
      <c r="L132" s="2398" t="s">
        <v>3530</v>
      </c>
      <c r="M132" s="2399" t="s">
        <v>3531</v>
      </c>
      <c r="N132" s="2399"/>
      <c r="O132" s="2399"/>
      <c r="P132" s="2399"/>
      <c r="Q132" s="2399"/>
      <c r="R132" s="2399"/>
      <c r="S132" s="2400"/>
      <c r="T132" s="2377"/>
      <c r="U132" s="2377"/>
      <c r="V132" s="2377"/>
      <c r="W132" s="2377"/>
      <c r="X132" s="2377"/>
      <c r="Y132" s="2377"/>
      <c r="Z132" s="2377"/>
    </row>
    <row r="133" spans="8:8" ht="16.5" customHeight="1">
      <c r="B133" s="2377"/>
      <c r="C133" s="2377"/>
      <c r="D133" s="2377"/>
      <c r="E133" s="2377"/>
      <c r="F133" s="2377"/>
      <c r="G133" s="2377"/>
      <c r="H133" s="2377"/>
      <c r="I133" s="2377"/>
      <c r="J133" s="2377"/>
      <c r="K133" s="2377"/>
      <c r="L133" s="2401"/>
      <c r="M133" s="2381"/>
      <c r="N133" s="2381"/>
      <c r="O133" s="2381"/>
      <c r="P133" s="2381"/>
      <c r="Q133" s="2381"/>
      <c r="R133" s="2381"/>
      <c r="S133" s="2382"/>
      <c r="T133" s="2377"/>
      <c r="U133" s="2377"/>
      <c r="V133" s="2377"/>
      <c r="W133" s="2377"/>
      <c r="X133" s="2377"/>
      <c r="Y133" s="2377"/>
      <c r="Z133" s="2377"/>
    </row>
    <row r="134" spans="8:8" ht="16.5" customHeight="1">
      <c r="B134" s="2377"/>
      <c r="C134" s="2377"/>
      <c r="D134" s="2377"/>
      <c r="E134" s="2377"/>
      <c r="F134" s="2377"/>
      <c r="G134" s="2377"/>
      <c r="H134" s="2377"/>
      <c r="I134" s="2377"/>
      <c r="J134" s="2377"/>
      <c r="K134" s="2377"/>
      <c r="L134" s="2401"/>
      <c r="M134" s="2381"/>
      <c r="N134" s="2381"/>
      <c r="O134" s="2381"/>
      <c r="P134" s="2381"/>
      <c r="Q134" s="2381"/>
      <c r="R134" s="2381"/>
      <c r="S134" s="2382"/>
      <c r="T134" s="2377"/>
      <c r="U134" s="2377"/>
      <c r="V134" s="2377"/>
      <c r="W134" s="2377"/>
      <c r="X134" s="2377"/>
      <c r="Y134" s="2377"/>
      <c r="Z134" s="2377"/>
    </row>
    <row r="135" spans="8:8" ht="16.5" customHeight="1">
      <c r="B135" s="2377"/>
      <c r="C135" s="2377"/>
      <c r="D135" s="2377"/>
      <c r="E135" s="2377"/>
      <c r="F135" s="2377"/>
      <c r="G135" s="2377"/>
      <c r="H135" s="2377"/>
      <c r="I135" s="2377"/>
      <c r="J135" s="2377"/>
      <c r="K135" s="2377"/>
      <c r="L135" s="2401"/>
      <c r="M135" s="2381"/>
      <c r="N135" s="2381"/>
      <c r="O135" s="2381"/>
      <c r="P135" s="2381"/>
      <c r="Q135" s="2381"/>
      <c r="R135" s="2381"/>
      <c r="S135" s="2382"/>
      <c r="T135" s="2377"/>
      <c r="U135" s="2377"/>
      <c r="V135" s="2377"/>
      <c r="W135" s="2377"/>
      <c r="X135" s="2377"/>
      <c r="Y135" s="2377"/>
      <c r="Z135" s="2377"/>
    </row>
    <row r="136" spans="8:8" ht="16.5" customHeight="1">
      <c r="B136" s="2377"/>
      <c r="C136" s="2377"/>
      <c r="D136" s="2377"/>
      <c r="E136" s="2377"/>
      <c r="F136" s="2377"/>
      <c r="G136" s="2377"/>
      <c r="H136" s="2377"/>
      <c r="I136" s="2377"/>
      <c r="J136" s="2377"/>
      <c r="K136" s="2377"/>
      <c r="L136" s="2401"/>
      <c r="M136" s="2381"/>
      <c r="N136" s="2381"/>
      <c r="O136" s="2381"/>
      <c r="P136" s="2381"/>
      <c r="Q136" s="2381"/>
      <c r="R136" s="2381"/>
      <c r="S136" s="2382"/>
      <c r="T136" s="2377"/>
      <c r="U136" s="2377"/>
      <c r="V136" s="2377"/>
      <c r="W136" s="2377"/>
      <c r="X136" s="2377"/>
      <c r="Y136" s="2377"/>
      <c r="Z136" s="2377"/>
    </row>
    <row r="137" spans="8:8" ht="16.5" customHeight="1">
      <c r="B137" s="2377"/>
      <c r="C137" s="2377"/>
      <c r="D137" s="2377"/>
      <c r="E137" s="2377"/>
      <c r="F137" s="2377"/>
      <c r="G137" s="2377"/>
      <c r="H137" s="2377"/>
      <c r="I137" s="2377"/>
      <c r="J137" s="2377"/>
      <c r="K137" s="2377"/>
      <c r="L137" s="2401"/>
      <c r="M137" s="2381"/>
      <c r="N137" s="2381"/>
      <c r="O137" s="2381"/>
      <c r="P137" s="2381"/>
      <c r="Q137" s="2381"/>
      <c r="R137" s="2381"/>
      <c r="S137" s="2382"/>
      <c r="T137" s="2377"/>
      <c r="U137" s="2377"/>
      <c r="V137" s="2377"/>
      <c r="W137" s="2377"/>
      <c r="X137" s="2377"/>
      <c r="Y137" s="2377"/>
      <c r="Z137" s="2377"/>
    </row>
    <row r="138" spans="8:8" ht="16.5" customHeight="1">
      <c r="B138" s="2377"/>
      <c r="C138" s="2377"/>
      <c r="D138" s="2377"/>
      <c r="E138" s="2377"/>
      <c r="F138" s="2377"/>
      <c r="G138" s="2377"/>
      <c r="H138" s="2377"/>
      <c r="I138" s="2377"/>
      <c r="J138" s="2377"/>
      <c r="K138" s="2377"/>
      <c r="L138" s="2401"/>
      <c r="M138" s="2381"/>
      <c r="N138" s="2381"/>
      <c r="O138" s="2381"/>
      <c r="P138" s="2381"/>
      <c r="Q138" s="2381"/>
      <c r="R138" s="2381"/>
      <c r="S138" s="2382"/>
      <c r="T138" s="2377"/>
      <c r="U138" s="2377"/>
      <c r="V138" s="2377"/>
      <c r="W138" s="2377"/>
      <c r="X138" s="2377"/>
      <c r="Y138" s="2377"/>
      <c r="Z138" s="2377"/>
    </row>
    <row r="139" spans="8:8" ht="16.5" customHeight="1">
      <c r="B139" s="2377"/>
      <c r="C139" s="2377"/>
      <c r="D139" s="2377"/>
      <c r="E139" s="2377"/>
      <c r="F139" s="2377"/>
      <c r="G139" s="2377"/>
      <c r="H139" s="2377"/>
      <c r="I139" s="2377"/>
      <c r="J139" s="2377"/>
      <c r="K139" s="2377"/>
      <c r="L139" s="2402"/>
      <c r="M139" s="2403"/>
      <c r="N139" s="2403"/>
      <c r="O139" s="2403"/>
      <c r="P139" s="2403"/>
      <c r="Q139" s="2403"/>
      <c r="R139" s="2403"/>
      <c r="S139" s="2404"/>
      <c r="T139" s="2377"/>
      <c r="U139" s="2377"/>
      <c r="V139" s="2377"/>
      <c r="W139" s="2377"/>
      <c r="X139" s="2377"/>
      <c r="Y139" s="2377"/>
      <c r="Z139" s="2377"/>
    </row>
    <row r="140" spans="8:8" ht="16.5" customHeight="1">
      <c r="B140" s="2377"/>
      <c r="C140" s="2377"/>
      <c r="D140" s="2377"/>
      <c r="E140" s="2377"/>
      <c r="F140" s="2377"/>
      <c r="G140" s="2377"/>
      <c r="H140" s="2377"/>
      <c r="I140" s="2377"/>
      <c r="J140" s="2377"/>
      <c r="K140" s="2377"/>
      <c r="L140" s="2401" t="s">
        <v>3532</v>
      </c>
      <c r="M140" s="2381" t="s">
        <v>3533</v>
      </c>
      <c r="N140" s="2381"/>
      <c r="O140" s="2381"/>
      <c r="P140" s="2381"/>
      <c r="Q140" s="2381"/>
      <c r="R140" s="2381"/>
      <c r="S140" s="2382"/>
      <c r="T140" s="2377"/>
      <c r="U140" s="2377"/>
      <c r="V140" s="2377"/>
      <c r="W140" s="2377"/>
      <c r="X140" s="2377"/>
      <c r="Y140" s="2377"/>
      <c r="Z140" s="2377"/>
    </row>
    <row r="141" spans="8:8" ht="16.5" customHeight="1">
      <c r="B141" s="2377"/>
      <c r="C141" s="2377"/>
      <c r="D141" s="2377"/>
      <c r="E141" s="2377"/>
      <c r="F141" s="2377"/>
      <c r="G141" s="2377"/>
      <c r="H141" s="2377"/>
      <c r="I141" s="2377"/>
      <c r="J141" s="2377"/>
      <c r="K141" s="2377"/>
      <c r="L141" s="2401"/>
      <c r="M141" s="2381"/>
      <c r="N141" s="2381"/>
      <c r="O141" s="2381"/>
      <c r="P141" s="2381"/>
      <c r="Q141" s="2381"/>
      <c r="R141" s="2381"/>
      <c r="S141" s="2382"/>
      <c r="T141" s="2377"/>
      <c r="U141" s="2377"/>
      <c r="V141" s="2377"/>
      <c r="W141" s="2377"/>
      <c r="X141" s="2377"/>
      <c r="Y141" s="2377"/>
      <c r="Z141" s="2377"/>
    </row>
    <row r="142" spans="8:8" ht="16.5" customHeight="1">
      <c r="B142" s="2377"/>
      <c r="C142" s="2377"/>
      <c r="D142" s="2377"/>
      <c r="E142" s="2377"/>
      <c r="F142" s="2377"/>
      <c r="G142" s="2377"/>
      <c r="H142" s="2377"/>
      <c r="I142" s="2377"/>
      <c r="J142" s="2377"/>
      <c r="K142" s="2377"/>
      <c r="L142" s="2401"/>
      <c r="M142" s="2381"/>
      <c r="N142" s="2381"/>
      <c r="O142" s="2381"/>
      <c r="P142" s="2381"/>
      <c r="Q142" s="2381"/>
      <c r="R142" s="2381"/>
      <c r="S142" s="2382"/>
      <c r="T142" s="2377"/>
      <c r="U142" s="2377"/>
      <c r="V142" s="2377"/>
      <c r="W142" s="2377"/>
      <c r="X142" s="2377"/>
      <c r="Y142" s="2377"/>
      <c r="Z142" s="2377"/>
    </row>
    <row r="143" spans="8:8" ht="16.5" customHeight="1">
      <c r="B143" s="2377"/>
      <c r="C143" s="2377"/>
      <c r="D143" s="2377"/>
      <c r="E143" s="2377"/>
      <c r="F143" s="2377"/>
      <c r="G143" s="2377"/>
      <c r="H143" s="2377"/>
      <c r="I143" s="2377"/>
      <c r="J143" s="2377"/>
      <c r="K143" s="2377"/>
      <c r="L143" s="2401"/>
      <c r="M143" s="2381"/>
      <c r="N143" s="2381"/>
      <c r="O143" s="2381"/>
      <c r="P143" s="2381"/>
      <c r="Q143" s="2381"/>
      <c r="R143" s="2381"/>
      <c r="S143" s="2382"/>
      <c r="T143" s="2377"/>
      <c r="U143" s="2377"/>
      <c r="V143" s="2377"/>
      <c r="W143" s="2377"/>
      <c r="X143" s="2377"/>
      <c r="Y143" s="2377"/>
      <c r="Z143" s="2377"/>
    </row>
    <row r="144" spans="8:8" ht="16.5" customHeight="1">
      <c r="B144" s="2377"/>
      <c r="C144" s="2377"/>
      <c r="D144" s="2377"/>
      <c r="E144" s="2377"/>
      <c r="F144" s="2377"/>
      <c r="G144" s="2377"/>
      <c r="H144" s="2377"/>
      <c r="I144" s="2377"/>
      <c r="J144" s="2377"/>
      <c r="K144" s="2377"/>
      <c r="L144" s="2401"/>
      <c r="M144" s="2381"/>
      <c r="N144" s="2381"/>
      <c r="O144" s="2381"/>
      <c r="P144" s="2381"/>
      <c r="Q144" s="2381"/>
      <c r="R144" s="2381"/>
      <c r="S144" s="2382"/>
      <c r="T144" s="2377"/>
      <c r="U144" s="2377"/>
      <c r="V144" s="2377"/>
      <c r="W144" s="2377"/>
      <c r="X144" s="2377"/>
      <c r="Y144" s="2377"/>
      <c r="Z144" s="2377"/>
    </row>
    <row r="145" spans="8:8" ht="16.5" customHeight="1">
      <c r="B145" s="2377"/>
      <c r="C145" s="2377"/>
      <c r="D145" s="2377"/>
      <c r="E145" s="2377"/>
      <c r="F145" s="2377"/>
      <c r="G145" s="2377"/>
      <c r="H145" s="2377"/>
      <c r="I145" s="2377"/>
      <c r="J145" s="2377"/>
      <c r="K145" s="2377"/>
      <c r="L145" s="2401"/>
      <c r="M145" s="2381"/>
      <c r="N145" s="2381"/>
      <c r="O145" s="2381"/>
      <c r="P145" s="2381"/>
      <c r="Q145" s="2381"/>
      <c r="R145" s="2381"/>
      <c r="S145" s="2382"/>
      <c r="T145" s="2377"/>
      <c r="U145" s="2377"/>
      <c r="V145" s="2377"/>
      <c r="W145" s="2377"/>
      <c r="X145" s="2377"/>
      <c r="Y145" s="2377"/>
      <c r="Z145" s="2377"/>
    </row>
    <row r="146" spans="8:8" ht="16.5" customHeight="1">
      <c r="B146" s="2377"/>
      <c r="C146" s="2377"/>
      <c r="D146" s="2377"/>
      <c r="E146" s="2377"/>
      <c r="F146" s="2377"/>
      <c r="G146" s="2377"/>
      <c r="H146" s="2377"/>
      <c r="I146" s="2377"/>
      <c r="J146" s="2377"/>
      <c r="K146" s="2377"/>
      <c r="L146" s="2401"/>
      <c r="M146" s="2381"/>
      <c r="N146" s="2381"/>
      <c r="O146" s="2381"/>
      <c r="P146" s="2381"/>
      <c r="Q146" s="2381"/>
      <c r="R146" s="2381"/>
      <c r="S146" s="2382"/>
      <c r="T146" s="2377"/>
      <c r="U146" s="2377"/>
      <c r="V146" s="2377"/>
      <c r="W146" s="2377"/>
      <c r="X146" s="2377"/>
      <c r="Y146" s="2377"/>
      <c r="Z146" s="2377"/>
    </row>
    <row r="147" spans="8:8" ht="16.5" customHeight="1">
      <c r="B147" s="2377"/>
      <c r="C147" s="2377"/>
      <c r="D147" s="2377"/>
      <c r="E147" s="2377"/>
      <c r="F147" s="2377"/>
      <c r="G147" s="2377"/>
      <c r="H147" s="2377"/>
      <c r="I147" s="2377"/>
      <c r="J147" s="2377"/>
      <c r="K147" s="2377"/>
      <c r="L147" s="2402"/>
      <c r="M147" s="2403"/>
      <c r="N147" s="2403"/>
      <c r="O147" s="2403"/>
      <c r="P147" s="2403"/>
      <c r="Q147" s="2403"/>
      <c r="R147" s="2403"/>
      <c r="S147" s="2404"/>
      <c r="T147" s="2377"/>
      <c r="U147" s="2377"/>
      <c r="V147" s="2377"/>
      <c r="W147" s="2377"/>
      <c r="X147" s="2377"/>
      <c r="Y147" s="2377"/>
      <c r="Z147" s="2377"/>
    </row>
    <row r="148" spans="8:8" ht="16.5" customHeight="1">
      <c r="B148" s="2377"/>
      <c r="C148" s="2377"/>
      <c r="D148" s="2377"/>
      <c r="E148" s="2377"/>
      <c r="F148" s="2377"/>
      <c r="G148" s="2377"/>
      <c r="H148" s="2377"/>
      <c r="I148" s="2377"/>
      <c r="J148" s="2377"/>
      <c r="K148" s="2377"/>
      <c r="L148" s="2401" t="s">
        <v>3534</v>
      </c>
      <c r="M148" s="2381" t="s">
        <v>3535</v>
      </c>
      <c r="N148" s="2381"/>
      <c r="O148" s="2381"/>
      <c r="P148" s="2381"/>
      <c r="Q148" s="2381"/>
      <c r="R148" s="2381"/>
      <c r="S148" s="2382"/>
      <c r="T148" s="2377"/>
      <c r="U148" s="2377"/>
      <c r="V148" s="2377"/>
      <c r="W148" s="2377"/>
      <c r="X148" s="2377"/>
      <c r="Y148" s="2377"/>
      <c r="Z148" s="2377"/>
    </row>
    <row r="149" spans="8:8" ht="16.5" customHeight="1">
      <c r="B149" s="2377"/>
      <c r="C149" s="2377"/>
      <c r="D149" s="2377"/>
      <c r="E149" s="2377"/>
      <c r="F149" s="2377"/>
      <c r="G149" s="2377"/>
      <c r="H149" s="2377"/>
      <c r="I149" s="2377"/>
      <c r="J149" s="2377"/>
      <c r="K149" s="2377"/>
      <c r="L149" s="2401"/>
      <c r="M149" s="2381"/>
      <c r="N149" s="2381"/>
      <c r="O149" s="2381"/>
      <c r="P149" s="2381"/>
      <c r="Q149" s="2381"/>
      <c r="R149" s="2381"/>
      <c r="S149" s="2382"/>
      <c r="T149" s="2377"/>
      <c r="U149" s="2377"/>
      <c r="V149" s="2377"/>
      <c r="W149" s="2377"/>
      <c r="X149" s="2377"/>
      <c r="Y149" s="2377"/>
      <c r="Z149" s="2377"/>
    </row>
    <row r="150" spans="8:8" ht="16.5" customHeight="1">
      <c r="B150" s="2377"/>
      <c r="C150" s="2377"/>
      <c r="D150" s="2377"/>
      <c r="E150" s="2377"/>
      <c r="F150" s="2377"/>
      <c r="G150" s="2377"/>
      <c r="H150" s="2377"/>
      <c r="I150" s="2377"/>
      <c r="J150" s="2377"/>
      <c r="K150" s="2377"/>
      <c r="L150" s="2401"/>
      <c r="M150" s="2381"/>
      <c r="N150" s="2381"/>
      <c r="O150" s="2381"/>
      <c r="P150" s="2381"/>
      <c r="Q150" s="2381"/>
      <c r="R150" s="2381"/>
      <c r="S150" s="2382"/>
      <c r="T150" s="2377"/>
      <c r="U150" s="2377"/>
      <c r="V150" s="2377"/>
      <c r="W150" s="2377"/>
      <c r="X150" s="2377"/>
      <c r="Y150" s="2377"/>
      <c r="Z150" s="2377"/>
    </row>
    <row r="151" spans="8:8" ht="16.5" customHeight="1">
      <c r="B151" s="2377"/>
      <c r="C151" s="2377"/>
      <c r="D151" s="2377"/>
      <c r="E151" s="2377"/>
      <c r="F151" s="2377"/>
      <c r="G151" s="2377"/>
      <c r="H151" s="2377"/>
      <c r="I151" s="2377"/>
      <c r="J151" s="2377"/>
      <c r="K151" s="2377"/>
      <c r="L151" s="2401"/>
      <c r="M151" s="2381"/>
      <c r="N151" s="2381"/>
      <c r="O151" s="2381"/>
      <c r="P151" s="2381"/>
      <c r="Q151" s="2381"/>
      <c r="R151" s="2381"/>
      <c r="S151" s="2382"/>
      <c r="T151" s="2377"/>
      <c r="U151" s="2377"/>
      <c r="V151" s="2377"/>
      <c r="W151" s="2377"/>
      <c r="X151" s="2377"/>
      <c r="Y151" s="2377"/>
      <c r="Z151" s="2377"/>
    </row>
    <row r="152" spans="8:8" ht="17.55">
      <c r="B152" s="2377"/>
      <c r="C152" s="2377"/>
      <c r="D152" s="2377"/>
      <c r="E152" s="2377"/>
      <c r="F152" s="2377"/>
      <c r="G152" s="2377"/>
      <c r="H152" s="2377"/>
      <c r="I152" s="2377"/>
      <c r="J152" s="2377"/>
      <c r="K152" s="2377"/>
      <c r="L152" s="2401"/>
      <c r="M152" s="2381"/>
      <c r="N152" s="2381"/>
      <c r="O152" s="2381"/>
      <c r="P152" s="2381"/>
      <c r="Q152" s="2381"/>
      <c r="R152" s="2381"/>
      <c r="S152" s="2382"/>
      <c r="T152" s="2377"/>
      <c r="U152" s="2377"/>
      <c r="V152" s="2377"/>
      <c r="W152" s="2377"/>
      <c r="X152" s="2377"/>
      <c r="Y152" s="2377"/>
      <c r="Z152" s="2377"/>
    </row>
    <row r="153" spans="8:8" ht="17.55">
      <c r="B153" s="2377"/>
      <c r="C153" s="2377"/>
      <c r="D153" s="2377"/>
      <c r="E153" s="2377"/>
      <c r="F153" s="2377"/>
      <c r="G153" s="2377"/>
      <c r="H153" s="2377"/>
      <c r="I153" s="2377"/>
      <c r="J153" s="2377"/>
      <c r="K153" s="2377"/>
      <c r="L153" s="2401"/>
      <c r="M153" s="2381"/>
      <c r="N153" s="2381"/>
      <c r="O153" s="2381"/>
      <c r="P153" s="2381"/>
      <c r="Q153" s="2381"/>
      <c r="R153" s="2381"/>
      <c r="S153" s="2382"/>
      <c r="T153" s="2377"/>
      <c r="U153" s="2377"/>
      <c r="V153" s="2377"/>
      <c r="W153" s="2377"/>
      <c r="X153" s="2377"/>
      <c r="Y153" s="2377"/>
      <c r="Z153" s="2377"/>
    </row>
    <row r="154" spans="8:8" ht="17.55">
      <c r="B154" s="2377"/>
      <c r="C154" s="2377"/>
      <c r="D154" s="2377"/>
      <c r="E154" s="2377"/>
      <c r="F154" s="2377"/>
      <c r="G154" s="2377"/>
      <c r="H154" s="2377"/>
      <c r="I154" s="2377"/>
      <c r="J154" s="2377"/>
      <c r="K154" s="2377"/>
      <c r="L154" s="2405"/>
      <c r="M154" s="2388"/>
      <c r="N154" s="2388"/>
      <c r="O154" s="2388"/>
      <c r="P154" s="2388"/>
      <c r="Q154" s="2388"/>
      <c r="R154" s="2388"/>
      <c r="S154" s="2389"/>
      <c r="T154" s="2406" t="s">
        <v>3536</v>
      </c>
      <c r="U154" s="2377"/>
      <c r="V154" s="2377"/>
      <c r="W154" s="2377"/>
      <c r="X154" s="2377"/>
      <c r="Y154" s="2377"/>
      <c r="Z154" s="2377"/>
    </row>
  </sheetData>
  <sheetProtection sheet="1" objects="1"/>
  <protectedRanges>
    <protectedRange sqref="AU41:AV44 AX37:AY40" name="技能表以上_1"/>
  </protectedRanges>
  <mergeCells count="92">
    <mergeCell ref="E4:F9"/>
    <mergeCell ref="N20:N21"/>
    <mergeCell ref="O8:Z8"/>
    <mergeCell ref="I11:J23"/>
    <mergeCell ref="N2:Z2"/>
    <mergeCell ref="N14:N15"/>
    <mergeCell ref="B75:G76"/>
    <mergeCell ref="R127:S128"/>
    <mergeCell ref="L127:O130"/>
    <mergeCell ref="B85:J85"/>
    <mergeCell ref="B119:E125"/>
    <mergeCell ref="B64:Z66"/>
    <mergeCell ref="M140:S147"/>
    <mergeCell ref="U117:Z118"/>
    <mergeCell ref="B96:J101"/>
    <mergeCell ref="L131:S131"/>
    <mergeCell ref="L117:S118"/>
    <mergeCell ref="G119:J125"/>
    <mergeCell ref="B3:D3"/>
    <mergeCell ref="O30:Z30"/>
    <mergeCell ref="N36:N37"/>
    <mergeCell ref="A2:A23"/>
    <mergeCell ref="O23:Z23"/>
    <mergeCell ref="I3:L3"/>
    <mergeCell ref="B25:G38"/>
    <mergeCell ref="M148:S154"/>
    <mergeCell ref="B84:J84"/>
    <mergeCell ref="U119:Z127"/>
    <mergeCell ref="M132:S139"/>
    <mergeCell ref="B102:J105"/>
    <mergeCell ref="H72:M74"/>
    <mergeCell ref="B10:H10"/>
    <mergeCell ref="O25:Z26"/>
    <mergeCell ref="M2:M24"/>
    <mergeCell ref="R129:S130"/>
    <mergeCell ref="B72:G74"/>
    <mergeCell ref="P129:Q130"/>
    <mergeCell ref="U75:Z76"/>
    <mergeCell ref="E3:F3"/>
    <mergeCell ref="B11:H23"/>
    <mergeCell ref="N38:Z38"/>
    <mergeCell ref="K10:L10"/>
    <mergeCell ref="B24:G24"/>
    <mergeCell ref="O4:Z4"/>
    <mergeCell ref="K11:L23"/>
    <mergeCell ref="O14:Z15"/>
    <mergeCell ref="B81:J83"/>
    <mergeCell ref="P127:Q128"/>
    <mergeCell ref="B113:Z115"/>
    <mergeCell ref="O77:Z80"/>
    <mergeCell ref="O39:Z40"/>
    <mergeCell ref="G4:H9"/>
    <mergeCell ref="O3:Z3"/>
    <mergeCell ref="O43:Z43"/>
    <mergeCell ref="N39:N40"/>
    <mergeCell ref="N41:Z41"/>
    <mergeCell ref="O70:Z71"/>
    <mergeCell ref="L125:S126"/>
    <mergeCell ref="B77:M80"/>
    <mergeCell ref="O72:T74"/>
    <mergeCell ref="O75:T76"/>
    <mergeCell ref="H75:M76"/>
    <mergeCell ref="B2:L2"/>
    <mergeCell ref="N35:Z35"/>
    <mergeCell ref="H25:L38"/>
    <mergeCell ref="B4:D9"/>
    <mergeCell ref="O32:Z32"/>
    <mergeCell ref="I4:L9"/>
    <mergeCell ref="O12:Z12"/>
    <mergeCell ref="N17:N18"/>
    <mergeCell ref="N25:N26"/>
    <mergeCell ref="O20:Z21"/>
    <mergeCell ref="U72:Z74"/>
    <mergeCell ref="O34:Z34"/>
    <mergeCell ref="I10:J10"/>
    <mergeCell ref="O6:Z6"/>
    <mergeCell ref="H24:L24"/>
    <mergeCell ref="O28:Z28"/>
    <mergeCell ref="O10:Z10"/>
    <mergeCell ref="O36:Z37"/>
    <mergeCell ref="B40:L60"/>
    <mergeCell ref="O45:Y45"/>
    <mergeCell ref="G3:H3"/>
    <mergeCell ref="B39:L39"/>
    <mergeCell ref="O17:Z18"/>
    <mergeCell ref="B70:M71"/>
    <mergeCell ref="L124:S124"/>
    <mergeCell ref="B94:J95"/>
    <mergeCell ref="G117:J118"/>
    <mergeCell ref="B117:E118"/>
    <mergeCell ref="L119:S123"/>
    <mergeCell ref="B68:Z69"/>
  </mergeCells>
  <pageMargins left="0.75" right="0.75" top="1.0" bottom="1.0" header="0.509027777777778" footer="0.509027777777778"/>
  <extLst>
    <ext xmlns:x14="http://schemas.microsoft.com/office/spreadsheetml/2009/9/main" uri="{CCE6A557-97BC-4b89-ADB6-D9C93CAAB3DF}">
      <x14:dataValidations xmlns:xm="http://schemas.microsoft.com/office/excel/2006/main" count="1">
        <x14:dataValidation allowBlank="1" type="list" errorStyle="stop" showInputMessage="1" showErrorMessage="1">
          <x14:formula1>
            <xm:f>附表!$B$95:$B$213</xm:f>
          </x14:formula1>
          <xm:sqref>B4:D9</xm:sqref>
        </x14:dataValidation>
      </x14:dataValidations>
    </ext>
  </extLst>
</worksheet>
</file>

<file path=xl/worksheets/sheet10.xml><?xml version="1.0" encoding="utf-8"?>
<worksheet xmlns:r="http://schemas.openxmlformats.org/officeDocument/2006/relationships" xmlns="http://schemas.openxmlformats.org/spreadsheetml/2006/main">
  <dimension ref="A1:EI192"/>
  <sheetViews>
    <sheetView workbookViewId="0" showGridLines="0" showRowColHeaders="0">
      <selection activeCell="B2" sqref="B2:AW2"/>
    </sheetView>
  </sheetViews>
  <sheetFormatPr defaultRowHeight="17.55" defaultColWidth="4"/>
  <cols>
    <col min="1" max="1" customWidth="1" width="4.0" style="2407"/>
    <col min="2" max="2" customWidth="1" width="4.3320312" style="2408"/>
    <col min="3" max="7" customWidth="1" width="4.0" style="2408"/>
    <col min="8" max="8" customWidth="1" width="4.3320312" style="2408"/>
    <col min="9" max="19" customWidth="1" width="4.0" style="2408"/>
    <col min="20" max="20" customWidth="1" width="4.3320312" style="2408"/>
    <col min="21" max="21" customWidth="1" width="4.0" style="2408"/>
    <col min="22" max="16384" customWidth="0" width="4.0" style="2408"/>
  </cols>
  <sheetData>
    <row r="1" spans="8:8">
      <c r="A1" s="629"/>
    </row>
    <row r="2" spans="8:8">
      <c r="A2" s="2407">
        <f>RANDBETWEEN(1,6)</f>
        <v>6.0</v>
      </c>
      <c r="B2" s="2409" t="s">
        <v>3537</v>
      </c>
      <c r="C2" s="2410"/>
      <c r="D2" s="2410"/>
      <c r="E2" s="2410"/>
      <c r="F2" s="2410"/>
      <c r="G2" s="2410"/>
      <c r="H2" s="2410"/>
      <c r="I2" s="2410"/>
      <c r="J2" s="2410"/>
      <c r="K2" s="2410"/>
      <c r="L2" s="2410"/>
      <c r="M2" s="2410"/>
      <c r="N2" s="2410"/>
      <c r="O2" s="2410"/>
      <c r="P2" s="2410"/>
      <c r="Q2" s="2410"/>
      <c r="R2" s="2410"/>
      <c r="S2" s="2410"/>
      <c r="T2" s="2410"/>
      <c r="U2" s="2410"/>
      <c r="V2" s="2410"/>
      <c r="W2" s="2410"/>
      <c r="X2" s="2410"/>
      <c r="Y2" s="2410"/>
      <c r="Z2" s="2410"/>
      <c r="AA2" s="2410"/>
      <c r="AB2" s="2410"/>
      <c r="AC2" s="2410"/>
      <c r="AD2" s="2410"/>
      <c r="AE2" s="2410"/>
      <c r="AF2" s="2410"/>
      <c r="AG2" s="2410"/>
      <c r="AH2" s="2410"/>
      <c r="AI2" s="2410"/>
      <c r="AJ2" s="2410"/>
      <c r="AK2" s="2410"/>
      <c r="AL2" s="2410"/>
      <c r="AM2" s="2410"/>
      <c r="AN2" s="2410"/>
      <c r="AO2" s="2410"/>
      <c r="AP2" s="2410"/>
      <c r="AQ2" s="2410"/>
      <c r="AR2" s="2410"/>
      <c r="AS2" s="2410"/>
      <c r="AT2" s="2410"/>
      <c r="AU2" s="2410"/>
      <c r="AV2" s="2410"/>
      <c r="AW2" s="2411"/>
    </row>
    <row r="3" spans="8:8">
      <c r="A3" s="2408"/>
      <c r="B3" s="2412" t="s">
        <v>3538</v>
      </c>
      <c r="C3" s="2413"/>
      <c r="D3" s="2413"/>
      <c r="E3" s="2413"/>
      <c r="F3" s="2413"/>
      <c r="G3" s="2413"/>
      <c r="H3" s="2414" t="s">
        <v>3539</v>
      </c>
      <c r="I3" s="2414"/>
      <c r="J3" s="2414"/>
      <c r="K3" s="2414"/>
      <c r="L3" s="2414"/>
      <c r="M3" s="2414"/>
      <c r="N3" s="2414" t="s">
        <v>3540</v>
      </c>
      <c r="O3" s="2414"/>
      <c r="P3" s="2414"/>
      <c r="Q3" s="2414"/>
      <c r="R3" s="2414"/>
      <c r="S3" s="2414"/>
      <c r="T3" s="2414" t="s">
        <v>3541</v>
      </c>
      <c r="U3" s="2414"/>
      <c r="V3" s="2414"/>
      <c r="W3" s="2414"/>
      <c r="X3" s="2414"/>
      <c r="Y3" s="2414"/>
      <c r="Z3" s="2414" t="s">
        <v>3542</v>
      </c>
      <c r="AA3" s="2414"/>
      <c r="AB3" s="2414"/>
      <c r="AC3" s="2414"/>
      <c r="AD3" s="2414"/>
      <c r="AE3" s="2414"/>
      <c r="AF3" s="2414" t="s">
        <v>3543</v>
      </c>
      <c r="AG3" s="2414"/>
      <c r="AH3" s="2414"/>
      <c r="AI3" s="2414"/>
      <c r="AJ3" s="2414"/>
      <c r="AK3" s="2414"/>
      <c r="AL3" s="2414" t="s">
        <v>3544</v>
      </c>
      <c r="AM3" s="2414"/>
      <c r="AN3" s="2414"/>
      <c r="AO3" s="2414"/>
      <c r="AP3" s="2414"/>
      <c r="AQ3" s="2414"/>
      <c r="AR3" s="2414" t="s">
        <v>3545</v>
      </c>
      <c r="AS3" s="2414"/>
      <c r="AT3" s="2414"/>
      <c r="AU3" s="2414"/>
      <c r="AV3" s="2414"/>
      <c r="AW3" s="2415"/>
    </row>
    <row r="4" spans="8:8">
      <c r="A4" s="2408"/>
      <c r="B4" s="2416" t="s">
        <v>3546</v>
      </c>
      <c r="C4" s="2417"/>
      <c r="D4" s="2417"/>
      <c r="E4" s="2417"/>
      <c r="F4" s="2417"/>
      <c r="G4" s="2417"/>
      <c r="H4" s="2418" t="s">
        <v>3546</v>
      </c>
      <c r="I4" s="2417"/>
      <c r="J4" s="2417"/>
      <c r="K4" s="2417"/>
      <c r="L4" s="2417"/>
      <c r="M4" s="2417"/>
      <c r="N4" s="2419" t="s">
        <v>3547</v>
      </c>
      <c r="O4" s="2420"/>
      <c r="P4" s="2420"/>
      <c r="Q4" s="2420"/>
      <c r="R4" s="2420"/>
      <c r="S4" s="2421"/>
      <c r="T4" s="2417" t="s">
        <v>3546</v>
      </c>
      <c r="U4" s="2417"/>
      <c r="V4" s="2417"/>
      <c r="W4" s="2417"/>
      <c r="X4" s="2417"/>
      <c r="Y4" s="2417"/>
      <c r="Z4" s="2422" t="s">
        <v>3546</v>
      </c>
      <c r="AA4" s="2417"/>
      <c r="AB4" s="2417"/>
      <c r="AC4" s="2417"/>
      <c r="AD4" s="2417"/>
      <c r="AE4" s="2417"/>
      <c r="AF4" s="2419" t="s">
        <v>3547</v>
      </c>
      <c r="AG4" s="2420"/>
      <c r="AH4" s="2420"/>
      <c r="AI4" s="2420"/>
      <c r="AJ4" s="2420"/>
      <c r="AK4" s="2420"/>
      <c r="AL4" s="2423" t="s">
        <v>3546</v>
      </c>
      <c r="AM4" s="2417"/>
      <c r="AN4" s="2417"/>
      <c r="AO4" s="2417"/>
      <c r="AP4" s="2417"/>
      <c r="AQ4" s="2417"/>
      <c r="AR4" s="2419" t="s">
        <v>3547</v>
      </c>
      <c r="AS4" s="2420"/>
      <c r="AT4" s="2420"/>
      <c r="AU4" s="2420"/>
      <c r="AV4" s="2420"/>
      <c r="AW4" s="2424"/>
    </row>
    <row r="5" spans="8:8">
      <c r="A5" s="2408"/>
      <c r="B5" s="2425"/>
      <c r="C5" s="2426"/>
      <c r="D5" s="2426"/>
      <c r="E5" s="2426"/>
      <c r="F5" s="2426"/>
      <c r="G5" s="2426"/>
      <c r="H5" s="2427"/>
      <c r="I5" s="2426"/>
      <c r="J5" s="2426"/>
      <c r="K5" s="2426"/>
      <c r="L5" s="2426"/>
      <c r="M5" s="2426"/>
      <c r="N5" s="2428"/>
      <c r="O5" s="2429"/>
      <c r="P5" s="2429"/>
      <c r="Q5" s="2429"/>
      <c r="R5" s="2429"/>
      <c r="S5" s="2430"/>
      <c r="T5" s="2426"/>
      <c r="U5" s="2426"/>
      <c r="V5" s="2426"/>
      <c r="W5" s="2426"/>
      <c r="X5" s="2426"/>
      <c r="Y5" s="2426"/>
      <c r="Z5" s="2431"/>
      <c r="AA5" s="2426"/>
      <c r="AB5" s="2426"/>
      <c r="AC5" s="2426"/>
      <c r="AD5" s="2426"/>
      <c r="AE5" s="2426"/>
      <c r="AF5" s="2428"/>
      <c r="AG5" s="2429"/>
      <c r="AH5" s="2429"/>
      <c r="AI5" s="2429"/>
      <c r="AJ5" s="2429"/>
      <c r="AK5" s="2429"/>
      <c r="AL5" s="2427"/>
      <c r="AM5" s="2426"/>
      <c r="AN5" s="2426"/>
      <c r="AO5" s="2426"/>
      <c r="AP5" s="2426"/>
      <c r="AQ5" s="2426"/>
      <c r="AR5" s="2428"/>
      <c r="AS5" s="2429"/>
      <c r="AT5" s="2429"/>
      <c r="AU5" s="2429"/>
      <c r="AV5" s="2429"/>
      <c r="AW5" s="2432"/>
    </row>
    <row r="6" spans="8:8">
      <c r="A6" s="2408"/>
    </row>
    <row r="7" spans="8:8">
      <c r="A7" s="2407">
        <f>RANDBETWEEN(1,6)</f>
        <v>1.0</v>
      </c>
      <c r="B7" s="2409" t="s">
        <v>3548</v>
      </c>
      <c r="C7" s="2410"/>
      <c r="D7" s="2410"/>
      <c r="E7" s="2410"/>
      <c r="F7" s="2410"/>
      <c r="G7" s="2410"/>
      <c r="H7" s="2410"/>
      <c r="I7" s="2410"/>
      <c r="J7" s="2410"/>
      <c r="K7" s="2410"/>
      <c r="L7" s="2410"/>
      <c r="M7" s="2410"/>
      <c r="N7" s="2410"/>
      <c r="O7" s="2410"/>
      <c r="P7" s="2410"/>
      <c r="Q7" s="2410"/>
      <c r="R7" s="2410"/>
      <c r="S7" s="2410"/>
      <c r="T7" s="2410"/>
      <c r="U7" s="2410"/>
      <c r="V7" s="2410"/>
      <c r="W7" s="2410"/>
      <c r="X7" s="2410"/>
      <c r="Y7" s="2410"/>
      <c r="Z7" s="2410"/>
      <c r="AA7" s="2410"/>
      <c r="AB7" s="2410"/>
      <c r="AC7" s="2410"/>
      <c r="AD7" s="2410"/>
      <c r="AE7" s="2410"/>
      <c r="AF7" s="2410"/>
      <c r="AG7" s="2410"/>
      <c r="AH7" s="2410"/>
      <c r="AI7" s="2410"/>
      <c r="AJ7" s="2410"/>
      <c r="AK7" s="2410"/>
      <c r="AL7" s="2410"/>
      <c r="AM7" s="2410"/>
      <c r="AN7" s="2410"/>
      <c r="AO7" s="2410"/>
      <c r="AP7" s="2410"/>
      <c r="AQ7" s="2410"/>
      <c r="AR7" s="2410"/>
      <c r="AS7" s="2410"/>
      <c r="AT7" s="2410"/>
      <c r="AU7" s="2410"/>
      <c r="AV7" s="2410"/>
      <c r="AW7" s="2411"/>
    </row>
    <row r="8" spans="8:8">
      <c r="A8" s="2407">
        <f>RANDBETWEEN(1,6)</f>
        <v>4.0</v>
      </c>
      <c r="B8" s="2433" t="s">
        <v>3538</v>
      </c>
      <c r="C8" s="2434"/>
      <c r="D8" s="2434"/>
      <c r="E8" s="2434"/>
      <c r="F8" s="2434"/>
      <c r="G8" s="2434"/>
      <c r="H8" s="2435" t="s">
        <v>3539</v>
      </c>
      <c r="I8" s="2435"/>
      <c r="J8" s="2435"/>
      <c r="K8" s="2435"/>
      <c r="L8" s="2435"/>
      <c r="M8" s="2435"/>
      <c r="N8" s="2435" t="s">
        <v>3540</v>
      </c>
      <c r="O8" s="2435"/>
      <c r="P8" s="2435"/>
      <c r="Q8" s="2435"/>
      <c r="R8" s="2435"/>
      <c r="S8" s="2435"/>
      <c r="T8" s="2435" t="s">
        <v>3541</v>
      </c>
      <c r="U8" s="2435"/>
      <c r="V8" s="2435"/>
      <c r="W8" s="2435"/>
      <c r="X8" s="2435"/>
      <c r="Y8" s="2435"/>
      <c r="Z8" s="2435" t="s">
        <v>3542</v>
      </c>
      <c r="AA8" s="2435"/>
      <c r="AB8" s="2435"/>
      <c r="AC8" s="2435"/>
      <c r="AD8" s="2435"/>
      <c r="AE8" s="2435"/>
      <c r="AF8" s="2435" t="s">
        <v>3543</v>
      </c>
      <c r="AG8" s="2435"/>
      <c r="AH8" s="2435"/>
      <c r="AI8" s="2435"/>
      <c r="AJ8" s="2435"/>
      <c r="AK8" s="2435"/>
      <c r="AL8" s="2435" t="s">
        <v>3544</v>
      </c>
      <c r="AM8" s="2435"/>
      <c r="AN8" s="2435"/>
      <c r="AO8" s="2435"/>
      <c r="AP8" s="2435"/>
      <c r="AQ8" s="2435"/>
      <c r="AR8" s="2435" t="s">
        <v>3545</v>
      </c>
      <c r="AS8" s="2435"/>
      <c r="AT8" s="2435"/>
      <c r="AU8" s="2435"/>
      <c r="AV8" s="2435"/>
      <c r="AW8" s="2436"/>
    </row>
    <row r="9" spans="8:8">
      <c r="A9" s="2407">
        <f>RANDBETWEEN(1,6)</f>
        <v>3.0</v>
      </c>
      <c r="B9" s="2437">
        <v>0.0</v>
      </c>
      <c r="C9" s="2438" t="s">
        <v>3549</v>
      </c>
      <c r="D9" s="2438"/>
      <c r="E9" s="2438"/>
      <c r="F9" s="2438"/>
      <c r="G9" s="2438"/>
      <c r="H9" s="2439">
        <v>0.0</v>
      </c>
      <c r="I9" s="2439" t="s">
        <v>3550</v>
      </c>
      <c r="J9" s="2439"/>
      <c r="K9" s="2439"/>
      <c r="L9" s="2439"/>
      <c r="M9" s="2439"/>
      <c r="N9" s="2439">
        <v>0.0</v>
      </c>
      <c r="O9" s="2439" t="s">
        <v>3551</v>
      </c>
      <c r="P9" s="2439"/>
      <c r="Q9" s="2439"/>
      <c r="R9" s="2439"/>
      <c r="S9" s="2439"/>
      <c r="T9" s="2439">
        <v>0.0</v>
      </c>
      <c r="U9" s="2439" t="s">
        <v>3552</v>
      </c>
      <c r="V9" s="2439"/>
      <c r="W9" s="2439"/>
      <c r="X9" s="2439"/>
      <c r="Y9" s="2439"/>
      <c r="Z9" s="2439">
        <v>0.0</v>
      </c>
      <c r="AA9" s="2438" t="s">
        <v>3553</v>
      </c>
      <c r="AB9" s="2438"/>
      <c r="AC9" s="2438"/>
      <c r="AD9" s="2438"/>
      <c r="AE9" s="2438"/>
      <c r="AF9" s="2439">
        <v>0.0</v>
      </c>
      <c r="AG9" s="2438" t="s">
        <v>3554</v>
      </c>
      <c r="AH9" s="2438"/>
      <c r="AI9" s="2438"/>
      <c r="AJ9" s="2438"/>
      <c r="AK9" s="2438"/>
      <c r="AL9" s="2439">
        <v>0.0</v>
      </c>
      <c r="AM9" s="2438" t="s">
        <v>3555</v>
      </c>
      <c r="AN9" s="2438"/>
      <c r="AO9" s="2438"/>
      <c r="AP9" s="2438"/>
      <c r="AQ9" s="2438"/>
      <c r="AR9" s="2439">
        <v>0.0</v>
      </c>
      <c r="AS9" s="2439" t="s">
        <v>3556</v>
      </c>
      <c r="AT9" s="2439"/>
      <c r="AU9" s="2439"/>
      <c r="AV9" s="2439"/>
      <c r="AW9" s="2440"/>
    </row>
    <row r="10" spans="8:8">
      <c r="A10" s="2407">
        <f>RANDBETWEEN(1,6)</f>
        <v>5.0</v>
      </c>
      <c r="B10" s="2437"/>
      <c r="C10" s="2438"/>
      <c r="D10" s="2438"/>
      <c r="E10" s="2438"/>
      <c r="F10" s="2438"/>
      <c r="G10" s="2438"/>
      <c r="H10" s="2439"/>
      <c r="I10" s="2439"/>
      <c r="J10" s="2439"/>
      <c r="K10" s="2439"/>
      <c r="L10" s="2439"/>
      <c r="M10" s="2439"/>
      <c r="N10" s="2439"/>
      <c r="O10" s="2439"/>
      <c r="P10" s="2439"/>
      <c r="Q10" s="2439"/>
      <c r="R10" s="2439"/>
      <c r="S10" s="2439"/>
      <c r="T10" s="2439"/>
      <c r="U10" s="2439"/>
      <c r="V10" s="2439"/>
      <c r="W10" s="2439"/>
      <c r="X10" s="2439"/>
      <c r="Y10" s="2439"/>
      <c r="Z10" s="2439"/>
      <c r="AA10" s="2438"/>
      <c r="AB10" s="2438"/>
      <c r="AC10" s="2438"/>
      <c r="AD10" s="2438"/>
      <c r="AE10" s="2438"/>
      <c r="AF10" s="2439"/>
      <c r="AG10" s="2438"/>
      <c r="AH10" s="2438"/>
      <c r="AI10" s="2438"/>
      <c r="AJ10" s="2438"/>
      <c r="AK10" s="2438"/>
      <c r="AL10" s="2439"/>
      <c r="AM10" s="2438"/>
      <c r="AN10" s="2438"/>
      <c r="AO10" s="2438"/>
      <c r="AP10" s="2438"/>
      <c r="AQ10" s="2438"/>
      <c r="AR10" s="2439"/>
      <c r="AS10" s="2439"/>
      <c r="AT10" s="2439"/>
      <c r="AU10" s="2439"/>
      <c r="AV10" s="2439"/>
      <c r="AW10" s="2440"/>
    </row>
    <row r="11" spans="8:8">
      <c r="B11" s="2441"/>
      <c r="C11" s="2442"/>
      <c r="D11" s="2442"/>
      <c r="E11" s="2442"/>
      <c r="F11" s="2442"/>
      <c r="G11" s="2442"/>
      <c r="H11" s="2443">
        <v>1.0</v>
      </c>
      <c r="I11" s="2442" t="s">
        <v>3557</v>
      </c>
      <c r="J11" s="2442"/>
      <c r="K11" s="2442"/>
      <c r="L11" s="2442"/>
      <c r="M11" s="2442"/>
      <c r="N11" s="2443">
        <v>1.0</v>
      </c>
      <c r="O11" s="2443" t="s">
        <v>3558</v>
      </c>
      <c r="P11" s="2443"/>
      <c r="Q11" s="2443"/>
      <c r="R11" s="2443"/>
      <c r="S11" s="2443"/>
      <c r="T11" s="2443"/>
      <c r="U11" s="2443"/>
      <c r="V11" s="2443"/>
      <c r="W11" s="2443"/>
      <c r="X11" s="2443"/>
      <c r="Y11" s="2443"/>
      <c r="Z11" s="2443"/>
      <c r="AA11" s="2442"/>
      <c r="AB11" s="2442"/>
      <c r="AC11" s="2442"/>
      <c r="AD11" s="2442"/>
      <c r="AE11" s="2442"/>
      <c r="AF11" s="2443"/>
      <c r="AG11" s="2442"/>
      <c r="AH11" s="2442"/>
      <c r="AI11" s="2442"/>
      <c r="AJ11" s="2442"/>
      <c r="AK11" s="2442"/>
      <c r="AL11" s="2417"/>
      <c r="AM11" s="2417"/>
      <c r="AN11" s="2417"/>
      <c r="AO11" s="2417"/>
      <c r="AP11" s="2417"/>
      <c r="AQ11" s="2417"/>
      <c r="AR11" s="2443">
        <v>15.0</v>
      </c>
      <c r="AS11" s="2443" t="s">
        <v>3559</v>
      </c>
      <c r="AT11" s="2443"/>
      <c r="AU11" s="2443"/>
      <c r="AV11" s="2443"/>
      <c r="AW11" s="2444"/>
    </row>
    <row r="12" spans="8:8">
      <c r="A12" s="2407">
        <f t="shared" si="0" ref="A12:A17">RANDBETWEEN(1,6)</f>
        <v>2.0</v>
      </c>
      <c r="B12" s="2441"/>
      <c r="C12" s="2442"/>
      <c r="D12" s="2442"/>
      <c r="E12" s="2442"/>
      <c r="F12" s="2442"/>
      <c r="G12" s="2442"/>
      <c r="H12" s="2443"/>
      <c r="I12" s="2442"/>
      <c r="J12" s="2442"/>
      <c r="K12" s="2442"/>
      <c r="L12" s="2442"/>
      <c r="M12" s="2442"/>
      <c r="N12" s="2443"/>
      <c r="O12" s="2443"/>
      <c r="P12" s="2443"/>
      <c r="Q12" s="2443"/>
      <c r="R12" s="2443"/>
      <c r="S12" s="2443"/>
      <c r="T12" s="2443"/>
      <c r="U12" s="2443"/>
      <c r="V12" s="2443"/>
      <c r="W12" s="2443"/>
      <c r="X12" s="2443"/>
      <c r="Y12" s="2443"/>
      <c r="Z12" s="2443"/>
      <c r="AA12" s="2442"/>
      <c r="AB12" s="2442"/>
      <c r="AC12" s="2442"/>
      <c r="AD12" s="2442"/>
      <c r="AE12" s="2442"/>
      <c r="AF12" s="2443"/>
      <c r="AG12" s="2442"/>
      <c r="AH12" s="2442"/>
      <c r="AI12" s="2442"/>
      <c r="AJ12" s="2442"/>
      <c r="AK12" s="2442"/>
      <c r="AL12" s="2417"/>
      <c r="AM12" s="2417"/>
      <c r="AN12" s="2417"/>
      <c r="AO12" s="2417"/>
      <c r="AP12" s="2417"/>
      <c r="AQ12" s="2417"/>
      <c r="AR12" s="2443"/>
      <c r="AS12" s="2443"/>
      <c r="AT12" s="2443"/>
      <c r="AU12" s="2443"/>
      <c r="AV12" s="2443"/>
      <c r="AW12" s="2444"/>
    </row>
    <row r="13" spans="8:8">
      <c r="A13" s="2407">
        <f t="shared" si="0"/>
        <v>2.0</v>
      </c>
      <c r="B13" s="2437">
        <v>15.0</v>
      </c>
      <c r="C13" s="2438" t="s">
        <v>3560</v>
      </c>
      <c r="D13" s="2438"/>
      <c r="E13" s="2438"/>
      <c r="F13" s="2438"/>
      <c r="G13" s="2438"/>
      <c r="H13" s="2439">
        <v>15.0</v>
      </c>
      <c r="I13" s="2438" t="s">
        <v>3561</v>
      </c>
      <c r="J13" s="2438"/>
      <c r="K13" s="2438"/>
      <c r="L13" s="2438"/>
      <c r="M13" s="2438"/>
      <c r="N13" s="2439">
        <v>15.0</v>
      </c>
      <c r="O13" s="2438" t="s">
        <v>3562</v>
      </c>
      <c r="P13" s="2438"/>
      <c r="Q13" s="2438"/>
      <c r="R13" s="2438"/>
      <c r="S13" s="2438"/>
      <c r="T13" s="2439">
        <v>15.0</v>
      </c>
      <c r="U13" s="2438" t="s">
        <v>3563</v>
      </c>
      <c r="V13" s="2438"/>
      <c r="W13" s="2438"/>
      <c r="X13" s="2438"/>
      <c r="Y13" s="2438"/>
      <c r="Z13" s="2439">
        <v>15.0</v>
      </c>
      <c r="AA13" s="2438" t="s">
        <v>3564</v>
      </c>
      <c r="AB13" s="2438"/>
      <c r="AC13" s="2438"/>
      <c r="AD13" s="2438"/>
      <c r="AE13" s="2438"/>
      <c r="AF13" s="2439">
        <v>15.0</v>
      </c>
      <c r="AG13" s="2438" t="s">
        <v>3565</v>
      </c>
      <c r="AH13" s="2438"/>
      <c r="AI13" s="2438"/>
      <c r="AJ13" s="2438"/>
      <c r="AK13" s="2438"/>
      <c r="AL13" s="2439">
        <v>15.0</v>
      </c>
      <c r="AM13" s="2438" t="s">
        <v>3566</v>
      </c>
      <c r="AN13" s="2438"/>
      <c r="AO13" s="2438"/>
      <c r="AP13" s="2438"/>
      <c r="AQ13" s="2438"/>
      <c r="AR13" s="2439">
        <v>60.0</v>
      </c>
      <c r="AS13" s="2438" t="s">
        <v>3567</v>
      </c>
      <c r="AT13" s="2438"/>
      <c r="AU13" s="2438"/>
      <c r="AV13" s="2438"/>
      <c r="AW13" s="2445"/>
    </row>
    <row r="14" spans="8:8">
      <c r="A14" s="2407">
        <f t="shared" si="0"/>
        <v>1.0</v>
      </c>
      <c r="B14" s="2437"/>
      <c r="C14" s="2438"/>
      <c r="D14" s="2438"/>
      <c r="E14" s="2438"/>
      <c r="F14" s="2438"/>
      <c r="G14" s="2438"/>
      <c r="H14" s="2439"/>
      <c r="I14" s="2438"/>
      <c r="J14" s="2438"/>
      <c r="K14" s="2438"/>
      <c r="L14" s="2438"/>
      <c r="M14" s="2438"/>
      <c r="N14" s="2439"/>
      <c r="O14" s="2438"/>
      <c r="P14" s="2438"/>
      <c r="Q14" s="2438"/>
      <c r="R14" s="2438"/>
      <c r="S14" s="2438"/>
      <c r="T14" s="2439"/>
      <c r="U14" s="2438"/>
      <c r="V14" s="2438"/>
      <c r="W14" s="2438"/>
      <c r="X14" s="2438"/>
      <c r="Y14" s="2438"/>
      <c r="Z14" s="2439"/>
      <c r="AA14" s="2438"/>
      <c r="AB14" s="2438"/>
      <c r="AC14" s="2438"/>
      <c r="AD14" s="2438"/>
      <c r="AE14" s="2438"/>
      <c r="AF14" s="2439"/>
      <c r="AG14" s="2438"/>
      <c r="AH14" s="2438"/>
      <c r="AI14" s="2438"/>
      <c r="AJ14" s="2438"/>
      <c r="AK14" s="2438"/>
      <c r="AL14" s="2439"/>
      <c r="AM14" s="2438"/>
      <c r="AN14" s="2438"/>
      <c r="AO14" s="2438"/>
      <c r="AP14" s="2438"/>
      <c r="AQ14" s="2438"/>
      <c r="AR14" s="2439"/>
      <c r="AS14" s="2438"/>
      <c r="AT14" s="2438"/>
      <c r="AU14" s="2438"/>
      <c r="AV14" s="2438"/>
      <c r="AW14" s="2445"/>
    </row>
    <row r="15" spans="8:8">
      <c r="A15" s="2407">
        <f t="shared" si="0"/>
        <v>6.0</v>
      </c>
      <c r="B15" s="2441">
        <v>50.0</v>
      </c>
      <c r="C15" s="2442" t="s">
        <v>3568</v>
      </c>
      <c r="D15" s="2442"/>
      <c r="E15" s="2442"/>
      <c r="F15" s="2442"/>
      <c r="G15" s="2442"/>
      <c r="H15" s="2443">
        <v>50.0</v>
      </c>
      <c r="I15" s="2442" t="s">
        <v>3569</v>
      </c>
      <c r="J15" s="2442"/>
      <c r="K15" s="2442"/>
      <c r="L15" s="2442"/>
      <c r="M15" s="2442"/>
      <c r="N15" s="2443">
        <v>65.0</v>
      </c>
      <c r="O15" s="2442" t="s">
        <v>3570</v>
      </c>
      <c r="P15" s="2442"/>
      <c r="Q15" s="2442"/>
      <c r="R15" s="2442"/>
      <c r="S15" s="2442"/>
      <c r="T15" s="2443">
        <v>50.0</v>
      </c>
      <c r="U15" s="2442" t="s">
        <v>3569</v>
      </c>
      <c r="V15" s="2442"/>
      <c r="W15" s="2442"/>
      <c r="X15" s="2442"/>
      <c r="Y15" s="2442"/>
      <c r="Z15" s="2443">
        <v>50.0</v>
      </c>
      <c r="AA15" s="2442" t="s">
        <v>3568</v>
      </c>
      <c r="AB15" s="2442"/>
      <c r="AC15" s="2442"/>
      <c r="AD15" s="2442"/>
      <c r="AE15" s="2442"/>
      <c r="AF15" s="2443">
        <v>50.0</v>
      </c>
      <c r="AG15" s="2442" t="s">
        <v>3568</v>
      </c>
      <c r="AH15" s="2442"/>
      <c r="AI15" s="2442"/>
      <c r="AJ15" s="2442"/>
      <c r="AK15" s="2442"/>
      <c r="AL15" s="2443">
        <v>50.0</v>
      </c>
      <c r="AM15" s="2442" t="s">
        <v>3571</v>
      </c>
      <c r="AN15" s="2442"/>
      <c r="AO15" s="2442"/>
      <c r="AP15" s="2442"/>
      <c r="AQ15" s="2442"/>
      <c r="AR15" s="2443">
        <v>70.0</v>
      </c>
      <c r="AS15" s="2442" t="s">
        <v>3572</v>
      </c>
      <c r="AT15" s="2442"/>
      <c r="AU15" s="2442"/>
      <c r="AV15" s="2442"/>
      <c r="AW15" s="2446"/>
    </row>
    <row r="16" spans="8:8">
      <c r="A16" s="2407">
        <f t="shared" si="0"/>
        <v>3.0</v>
      </c>
      <c r="B16" s="2441"/>
      <c r="C16" s="2442"/>
      <c r="D16" s="2442"/>
      <c r="E16" s="2442"/>
      <c r="F16" s="2442"/>
      <c r="G16" s="2442"/>
      <c r="H16" s="2443"/>
      <c r="I16" s="2442"/>
      <c r="J16" s="2442"/>
      <c r="K16" s="2442"/>
      <c r="L16" s="2442"/>
      <c r="M16" s="2442"/>
      <c r="N16" s="2443"/>
      <c r="O16" s="2442"/>
      <c r="P16" s="2442"/>
      <c r="Q16" s="2442"/>
      <c r="R16" s="2442"/>
      <c r="S16" s="2442"/>
      <c r="T16" s="2443"/>
      <c r="U16" s="2442"/>
      <c r="V16" s="2442"/>
      <c r="W16" s="2442"/>
      <c r="X16" s="2442"/>
      <c r="Y16" s="2442"/>
      <c r="Z16" s="2443"/>
      <c r="AA16" s="2442"/>
      <c r="AB16" s="2442"/>
      <c r="AC16" s="2442"/>
      <c r="AD16" s="2442"/>
      <c r="AE16" s="2442"/>
      <c r="AF16" s="2443"/>
      <c r="AG16" s="2442"/>
      <c r="AH16" s="2442"/>
      <c r="AI16" s="2442"/>
      <c r="AJ16" s="2442"/>
      <c r="AK16" s="2442"/>
      <c r="AL16" s="2443"/>
      <c r="AM16" s="2442"/>
      <c r="AN16" s="2442"/>
      <c r="AO16" s="2442"/>
      <c r="AP16" s="2442"/>
      <c r="AQ16" s="2442"/>
      <c r="AR16" s="2443"/>
      <c r="AS16" s="2442"/>
      <c r="AT16" s="2442"/>
      <c r="AU16" s="2442"/>
      <c r="AV16" s="2442"/>
      <c r="AW16" s="2446"/>
    </row>
    <row r="17" spans="8:8">
      <c r="A17" s="2407">
        <f t="shared" si="0"/>
        <v>4.0</v>
      </c>
      <c r="B17" s="2437">
        <v>90.0</v>
      </c>
      <c r="C17" s="2438" t="s">
        <v>3573</v>
      </c>
      <c r="D17" s="2438"/>
      <c r="E17" s="2438"/>
      <c r="F17" s="2438"/>
      <c r="G17" s="2438"/>
      <c r="H17" s="2439">
        <v>90.0</v>
      </c>
      <c r="I17" s="2438" t="s">
        <v>3574</v>
      </c>
      <c r="J17" s="2438"/>
      <c r="K17" s="2438"/>
      <c r="L17" s="2438"/>
      <c r="M17" s="2438"/>
      <c r="N17" s="2439">
        <v>80.0</v>
      </c>
      <c r="O17" s="2438" t="s">
        <v>3575</v>
      </c>
      <c r="P17" s="2438"/>
      <c r="Q17" s="2438"/>
      <c r="R17" s="2438"/>
      <c r="S17" s="2438"/>
      <c r="T17" s="2439">
        <v>90.0</v>
      </c>
      <c r="U17" s="2438" t="s">
        <v>3576</v>
      </c>
      <c r="V17" s="2438"/>
      <c r="W17" s="2438"/>
      <c r="X17" s="2438"/>
      <c r="Y17" s="2438"/>
      <c r="Z17" s="2439">
        <v>90.0</v>
      </c>
      <c r="AA17" s="2438" t="s">
        <v>3577</v>
      </c>
      <c r="AB17" s="2438"/>
      <c r="AC17" s="2438"/>
      <c r="AD17" s="2438"/>
      <c r="AE17" s="2438"/>
      <c r="AF17" s="2439">
        <v>90.0</v>
      </c>
      <c r="AG17" s="2438" t="s">
        <v>3578</v>
      </c>
      <c r="AH17" s="2438"/>
      <c r="AI17" s="2438"/>
      <c r="AJ17" s="2438"/>
      <c r="AK17" s="2438"/>
      <c r="AL17" s="2439">
        <v>90.0</v>
      </c>
      <c r="AM17" s="2438" t="s">
        <v>3579</v>
      </c>
      <c r="AN17" s="2438"/>
      <c r="AO17" s="2438"/>
      <c r="AP17" s="2438"/>
      <c r="AQ17" s="2438"/>
      <c r="AR17" s="2439">
        <v>80.0</v>
      </c>
      <c r="AS17" s="2438" t="s">
        <v>3580</v>
      </c>
      <c r="AT17" s="2438"/>
      <c r="AU17" s="2438"/>
      <c r="AV17" s="2438"/>
      <c r="AW17" s="2445"/>
    </row>
    <row r="18" spans="8:8">
      <c r="B18" s="2437"/>
      <c r="C18" s="2438"/>
      <c r="D18" s="2438"/>
      <c r="E18" s="2438"/>
      <c r="F18" s="2438"/>
      <c r="G18" s="2438"/>
      <c r="H18" s="2439"/>
      <c r="I18" s="2438"/>
      <c r="J18" s="2438"/>
      <c r="K18" s="2438"/>
      <c r="L18" s="2438"/>
      <c r="M18" s="2438"/>
      <c r="N18" s="2439"/>
      <c r="O18" s="2438"/>
      <c r="P18" s="2438"/>
      <c r="Q18" s="2438"/>
      <c r="R18" s="2438"/>
      <c r="S18" s="2438"/>
      <c r="T18" s="2439"/>
      <c r="U18" s="2438"/>
      <c r="V18" s="2438"/>
      <c r="W18" s="2438"/>
      <c r="X18" s="2438"/>
      <c r="Y18" s="2438"/>
      <c r="Z18" s="2439"/>
      <c r="AA18" s="2438"/>
      <c r="AB18" s="2438"/>
      <c r="AC18" s="2438"/>
      <c r="AD18" s="2438"/>
      <c r="AE18" s="2438"/>
      <c r="AF18" s="2439"/>
      <c r="AG18" s="2438"/>
      <c r="AH18" s="2438"/>
      <c r="AI18" s="2438"/>
      <c r="AJ18" s="2438"/>
      <c r="AK18" s="2438"/>
      <c r="AL18" s="2439"/>
      <c r="AM18" s="2438"/>
      <c r="AN18" s="2438"/>
      <c r="AO18" s="2438"/>
      <c r="AP18" s="2438"/>
      <c r="AQ18" s="2438"/>
      <c r="AR18" s="2439"/>
      <c r="AS18" s="2438"/>
      <c r="AT18" s="2438"/>
      <c r="AU18" s="2438"/>
      <c r="AV18" s="2438"/>
      <c r="AW18" s="2445"/>
    </row>
    <row r="19" spans="8:8">
      <c r="B19" s="2441">
        <v>99.0</v>
      </c>
      <c r="C19" s="2442" t="s">
        <v>3581</v>
      </c>
      <c r="D19" s="2442"/>
      <c r="E19" s="2442"/>
      <c r="F19" s="2442"/>
      <c r="G19" s="2442"/>
      <c r="H19" s="2443">
        <v>99.0</v>
      </c>
      <c r="I19" s="2442" t="s">
        <v>3582</v>
      </c>
      <c r="J19" s="2442"/>
      <c r="K19" s="2442"/>
      <c r="L19" s="2442"/>
      <c r="M19" s="2442"/>
      <c r="N19" s="2443">
        <v>99.0</v>
      </c>
      <c r="O19" s="2442" t="s">
        <v>3583</v>
      </c>
      <c r="P19" s="2442"/>
      <c r="Q19" s="2442"/>
      <c r="R19" s="2442"/>
      <c r="S19" s="2442"/>
      <c r="T19" s="2443">
        <v>99.0</v>
      </c>
      <c r="U19" s="2442" t="s">
        <v>3584</v>
      </c>
      <c r="V19" s="2442"/>
      <c r="W19" s="2442"/>
      <c r="X19" s="2442"/>
      <c r="Y19" s="2442"/>
      <c r="Z19" s="2443">
        <v>99.0</v>
      </c>
      <c r="AA19" s="2442" t="s">
        <v>3585</v>
      </c>
      <c r="AB19" s="2442"/>
      <c r="AC19" s="2442"/>
      <c r="AD19" s="2442"/>
      <c r="AE19" s="2442"/>
      <c r="AF19" s="2443">
        <v>99.0</v>
      </c>
      <c r="AG19" s="2442" t="s">
        <v>3586</v>
      </c>
      <c r="AH19" s="2442"/>
      <c r="AI19" s="2442"/>
      <c r="AJ19" s="2442"/>
      <c r="AK19" s="2442"/>
      <c r="AL19" s="2443">
        <v>100.0</v>
      </c>
      <c r="AM19" s="2442" t="s">
        <v>3587</v>
      </c>
      <c r="AN19" s="2442"/>
      <c r="AO19" s="2442"/>
      <c r="AP19" s="2442"/>
      <c r="AQ19" s="2442"/>
      <c r="AR19" s="2443">
        <v>90.0</v>
      </c>
      <c r="AS19" s="2442" t="s">
        <v>3588</v>
      </c>
      <c r="AT19" s="2442"/>
      <c r="AU19" s="2442"/>
      <c r="AV19" s="2442"/>
      <c r="AW19" s="2446"/>
    </row>
    <row r="20" spans="8:8">
      <c r="B20" s="2441"/>
      <c r="C20" s="2442"/>
      <c r="D20" s="2442"/>
      <c r="E20" s="2442"/>
      <c r="F20" s="2442"/>
      <c r="G20" s="2442"/>
      <c r="H20" s="2443"/>
      <c r="I20" s="2442"/>
      <c r="J20" s="2442"/>
      <c r="K20" s="2442"/>
      <c r="L20" s="2442"/>
      <c r="M20" s="2442"/>
      <c r="N20" s="2443"/>
      <c r="O20" s="2442"/>
      <c r="P20" s="2442"/>
      <c r="Q20" s="2442"/>
      <c r="R20" s="2442"/>
      <c r="S20" s="2442"/>
      <c r="T20" s="2443"/>
      <c r="U20" s="2442"/>
      <c r="V20" s="2442"/>
      <c r="W20" s="2442"/>
      <c r="X20" s="2442"/>
      <c r="Y20" s="2442"/>
      <c r="Z20" s="2443"/>
      <c r="AA20" s="2442"/>
      <c r="AB20" s="2442"/>
      <c r="AC20" s="2442"/>
      <c r="AD20" s="2442"/>
      <c r="AE20" s="2442"/>
      <c r="AF20" s="2443"/>
      <c r="AG20" s="2442"/>
      <c r="AH20" s="2442"/>
      <c r="AI20" s="2442"/>
      <c r="AJ20" s="2442"/>
      <c r="AK20" s="2442"/>
      <c r="AL20" s="2443"/>
      <c r="AM20" s="2442"/>
      <c r="AN20" s="2442"/>
      <c r="AO20" s="2442"/>
      <c r="AP20" s="2442"/>
      <c r="AQ20" s="2442"/>
      <c r="AR20" s="2443"/>
      <c r="AS20" s="2442"/>
      <c r="AT20" s="2442"/>
      <c r="AU20" s="2442"/>
      <c r="AV20" s="2442"/>
      <c r="AW20" s="2446"/>
    </row>
    <row r="21" spans="8:8">
      <c r="B21" s="2437">
        <v>140.0</v>
      </c>
      <c r="C21" s="2438" t="s">
        <v>3589</v>
      </c>
      <c r="D21" s="2438"/>
      <c r="E21" s="2438"/>
      <c r="F21" s="2438"/>
      <c r="G21" s="2438"/>
      <c r="H21" s="2439">
        <v>140.0</v>
      </c>
      <c r="I21" s="2438" t="s">
        <v>3590</v>
      </c>
      <c r="J21" s="2438"/>
      <c r="K21" s="2438"/>
      <c r="L21" s="2438"/>
      <c r="M21" s="2438"/>
      <c r="N21" s="2439">
        <v>150.0</v>
      </c>
      <c r="O21" s="2438" t="s">
        <v>3591</v>
      </c>
      <c r="P21" s="2438"/>
      <c r="Q21" s="2438"/>
      <c r="R21" s="2438"/>
      <c r="S21" s="2438"/>
      <c r="T21" s="2439">
        <v>120.0</v>
      </c>
      <c r="U21" s="2439" t="s">
        <v>3592</v>
      </c>
      <c r="V21" s="2439"/>
      <c r="W21" s="2439"/>
      <c r="X21" s="2439"/>
      <c r="Y21" s="2439"/>
      <c r="Z21" s="2439"/>
      <c r="AA21" s="2438"/>
      <c r="AB21" s="2438"/>
      <c r="AC21" s="2438"/>
      <c r="AD21" s="2438"/>
      <c r="AE21" s="2438"/>
      <c r="AF21" s="2439">
        <v>140.0</v>
      </c>
      <c r="AG21" s="2439" t="s">
        <v>3593</v>
      </c>
      <c r="AH21" s="2439"/>
      <c r="AI21" s="2439"/>
      <c r="AJ21" s="2439"/>
      <c r="AK21" s="2439"/>
      <c r="AL21" s="2439">
        <v>140.0</v>
      </c>
      <c r="AM21" s="2438" t="s">
        <v>3594</v>
      </c>
      <c r="AN21" s="2438"/>
      <c r="AO21" s="2438"/>
      <c r="AP21" s="2438"/>
      <c r="AQ21" s="2438"/>
      <c r="AR21" s="2439">
        <v>96.0</v>
      </c>
      <c r="AS21" s="2438" t="s">
        <v>3595</v>
      </c>
      <c r="AT21" s="2438"/>
      <c r="AU21" s="2438"/>
      <c r="AV21" s="2438"/>
      <c r="AW21" s="2445"/>
    </row>
    <row r="22" spans="8:8">
      <c r="B22" s="2437"/>
      <c r="C22" s="2438"/>
      <c r="D22" s="2438"/>
      <c r="E22" s="2438"/>
      <c r="F22" s="2438"/>
      <c r="G22" s="2438"/>
      <c r="H22" s="2439"/>
      <c r="I22" s="2438"/>
      <c r="J22" s="2438"/>
      <c r="K22" s="2438"/>
      <c r="L22" s="2438"/>
      <c r="M22" s="2438"/>
      <c r="N22" s="2439"/>
      <c r="O22" s="2438"/>
      <c r="P22" s="2438"/>
      <c r="Q22" s="2438"/>
      <c r="R22" s="2438"/>
      <c r="S22" s="2438"/>
      <c r="T22" s="2439"/>
      <c r="U22" s="2439"/>
      <c r="V22" s="2439"/>
      <c r="W22" s="2439"/>
      <c r="X22" s="2439"/>
      <c r="Y22" s="2439"/>
      <c r="Z22" s="2439"/>
      <c r="AA22" s="2438"/>
      <c r="AB22" s="2438"/>
      <c r="AC22" s="2438"/>
      <c r="AD22" s="2438"/>
      <c r="AE22" s="2438"/>
      <c r="AF22" s="2439"/>
      <c r="AG22" s="2439"/>
      <c r="AH22" s="2439"/>
      <c r="AI22" s="2439"/>
      <c r="AJ22" s="2439"/>
      <c r="AK22" s="2439"/>
      <c r="AL22" s="2439"/>
      <c r="AM22" s="2438"/>
      <c r="AN22" s="2438"/>
      <c r="AO22" s="2438"/>
      <c r="AP22" s="2438"/>
      <c r="AQ22" s="2438"/>
      <c r="AR22" s="2439"/>
      <c r="AS22" s="2438"/>
      <c r="AT22" s="2438"/>
      <c r="AU22" s="2438"/>
      <c r="AV22" s="2438"/>
      <c r="AW22" s="2445"/>
    </row>
    <row r="23" spans="8:8">
      <c r="B23" s="2447"/>
      <c r="C23" s="2448"/>
      <c r="D23" s="2448"/>
      <c r="E23" s="2448"/>
      <c r="F23" s="2448"/>
      <c r="G23" s="2448"/>
      <c r="H23" s="2443"/>
      <c r="I23" s="2442"/>
      <c r="J23" s="2442"/>
      <c r="K23" s="2442"/>
      <c r="L23" s="2442"/>
      <c r="M23" s="2442"/>
      <c r="N23" s="2443">
        <v>180.0</v>
      </c>
      <c r="O23" s="2442" t="s">
        <v>3596</v>
      </c>
      <c r="P23" s="2442"/>
      <c r="Q23" s="2442"/>
      <c r="R23" s="2442"/>
      <c r="S23" s="2442"/>
      <c r="T23" s="2443"/>
      <c r="U23" s="2442"/>
      <c r="V23" s="2442"/>
      <c r="W23" s="2442"/>
      <c r="X23" s="2442"/>
      <c r="Y23" s="2442"/>
      <c r="Z23" s="2443"/>
      <c r="AA23" s="2442"/>
      <c r="AB23" s="2442"/>
      <c r="AC23" s="2442"/>
      <c r="AD23" s="2442"/>
      <c r="AE23" s="2442"/>
      <c r="AF23" s="2443"/>
      <c r="AG23" s="2442"/>
      <c r="AH23" s="2442"/>
      <c r="AI23" s="2442"/>
      <c r="AJ23" s="2442"/>
      <c r="AK23" s="2442"/>
      <c r="AL23" s="2443"/>
      <c r="AM23" s="2442"/>
      <c r="AN23" s="2442"/>
      <c r="AO23" s="2442"/>
      <c r="AP23" s="2442"/>
      <c r="AQ23" s="2442"/>
      <c r="AR23" s="2443">
        <v>99.0</v>
      </c>
      <c r="AS23" s="2442" t="s">
        <v>3597</v>
      </c>
      <c r="AT23" s="2442"/>
      <c r="AU23" s="2442"/>
      <c r="AV23" s="2442"/>
      <c r="AW23" s="2446"/>
    </row>
    <row r="24" spans="8:8">
      <c r="B24" s="2447"/>
      <c r="C24" s="2448"/>
      <c r="D24" s="2448"/>
      <c r="E24" s="2448"/>
      <c r="F24" s="2448"/>
      <c r="G24" s="2448"/>
      <c r="H24" s="2443"/>
      <c r="I24" s="2442"/>
      <c r="J24" s="2442"/>
      <c r="K24" s="2442"/>
      <c r="L24" s="2442"/>
      <c r="M24" s="2442"/>
      <c r="N24" s="2443"/>
      <c r="O24" s="2442"/>
      <c r="P24" s="2442"/>
      <c r="Q24" s="2442"/>
      <c r="R24" s="2442"/>
      <c r="S24" s="2442"/>
      <c r="T24" s="2443"/>
      <c r="U24" s="2442"/>
      <c r="V24" s="2442"/>
      <c r="W24" s="2442"/>
      <c r="X24" s="2442"/>
      <c r="Y24" s="2442"/>
      <c r="Z24" s="2443"/>
      <c r="AA24" s="2442"/>
      <c r="AB24" s="2442"/>
      <c r="AC24" s="2442"/>
      <c r="AD24" s="2442"/>
      <c r="AE24" s="2442"/>
      <c r="AF24" s="2443"/>
      <c r="AG24" s="2442"/>
      <c r="AH24" s="2442"/>
      <c r="AI24" s="2442"/>
      <c r="AJ24" s="2442"/>
      <c r="AK24" s="2442"/>
      <c r="AL24" s="2443"/>
      <c r="AM24" s="2442"/>
      <c r="AN24" s="2442"/>
      <c r="AO24" s="2442"/>
      <c r="AP24" s="2442"/>
      <c r="AQ24" s="2442"/>
      <c r="AR24" s="2443"/>
      <c r="AS24" s="2442"/>
      <c r="AT24" s="2442"/>
      <c r="AU24" s="2442"/>
      <c r="AV24" s="2442"/>
      <c r="AW24" s="2446"/>
    </row>
    <row r="25" spans="8:8">
      <c r="B25" s="2437" t="s">
        <v>3598</v>
      </c>
      <c r="C25" s="2439" t="s">
        <v>3599</v>
      </c>
      <c r="D25" s="2439"/>
      <c r="E25" s="2439"/>
      <c r="F25" s="2439"/>
      <c r="G25" s="2439"/>
      <c r="H25" s="2439" t="s">
        <v>3598</v>
      </c>
      <c r="I25" s="2438" t="s">
        <v>3600</v>
      </c>
      <c r="J25" s="2438"/>
      <c r="K25" s="2438"/>
      <c r="L25" s="2438"/>
      <c r="M25" s="2438"/>
      <c r="N25" s="2439" t="s">
        <v>3598</v>
      </c>
      <c r="O25" s="2438" t="s">
        <v>3601</v>
      </c>
      <c r="P25" s="2438"/>
      <c r="Q25" s="2438"/>
      <c r="R25" s="2438"/>
      <c r="S25" s="2438"/>
      <c r="T25" s="2439" t="s">
        <v>3598</v>
      </c>
      <c r="U25" s="2438" t="s">
        <v>3602</v>
      </c>
      <c r="V25" s="2438"/>
      <c r="W25" s="2438"/>
      <c r="X25" s="2438"/>
      <c r="Y25" s="2438"/>
      <c r="Z25" s="2439"/>
      <c r="AA25" s="2438"/>
      <c r="AB25" s="2438"/>
      <c r="AC25" s="2438"/>
      <c r="AD25" s="2438"/>
      <c r="AE25" s="2438"/>
      <c r="AF25" s="2439" t="s">
        <v>3603</v>
      </c>
      <c r="AG25" s="2438" t="s">
        <v>3604</v>
      </c>
      <c r="AH25" s="2438"/>
      <c r="AI25" s="2438"/>
      <c r="AJ25" s="2438"/>
      <c r="AK25" s="2438"/>
      <c r="AL25" s="2439" t="s">
        <v>3603</v>
      </c>
      <c r="AM25" s="2438" t="s">
        <v>3605</v>
      </c>
      <c r="AN25" s="2438"/>
      <c r="AO25" s="2438"/>
      <c r="AP25" s="2438"/>
      <c r="AQ25" s="2438"/>
      <c r="AR25" s="2439"/>
      <c r="AS25" s="2438"/>
      <c r="AT25" s="2438"/>
      <c r="AU25" s="2438"/>
      <c r="AV25" s="2438"/>
      <c r="AW25" s="2445"/>
    </row>
    <row r="26" spans="8:8">
      <c r="B26" s="2449"/>
      <c r="C26" s="2450"/>
      <c r="D26" s="2450"/>
      <c r="E26" s="2450"/>
      <c r="F26" s="2450"/>
      <c r="G26" s="2450"/>
      <c r="H26" s="2450"/>
      <c r="I26" s="1467"/>
      <c r="J26" s="1467"/>
      <c r="K26" s="1467"/>
      <c r="L26" s="1467"/>
      <c r="M26" s="1467"/>
      <c r="N26" s="2450"/>
      <c r="O26" s="1467"/>
      <c r="P26" s="1467"/>
      <c r="Q26" s="1467"/>
      <c r="R26" s="1467"/>
      <c r="S26" s="1467"/>
      <c r="T26" s="2450"/>
      <c r="U26" s="1467"/>
      <c r="V26" s="1467"/>
      <c r="W26" s="1467"/>
      <c r="X26" s="1467"/>
      <c r="Y26" s="1467"/>
      <c r="Z26" s="2450"/>
      <c r="AA26" s="1467"/>
      <c r="AB26" s="1467"/>
      <c r="AC26" s="1467"/>
      <c r="AD26" s="1467"/>
      <c r="AE26" s="1467"/>
      <c r="AF26" s="2450"/>
      <c r="AG26" s="1467"/>
      <c r="AH26" s="1467"/>
      <c r="AI26" s="1467"/>
      <c r="AJ26" s="1467"/>
      <c r="AK26" s="1467"/>
      <c r="AL26" s="2450"/>
      <c r="AM26" s="1467"/>
      <c r="AN26" s="1467"/>
      <c r="AO26" s="1467"/>
      <c r="AP26" s="1467"/>
      <c r="AQ26" s="1467"/>
      <c r="AR26" s="2450"/>
      <c r="AS26" s="1467"/>
      <c r="AT26" s="1467"/>
      <c r="AU26" s="1467"/>
      <c r="AV26" s="1467"/>
      <c r="AW26" s="2451"/>
    </row>
    <row r="27" spans="8:8">
      <c r="A27" s="2452" t="s">
        <v>3606</v>
      </c>
      <c r="B27" s="2453" t="s">
        <v>3607</v>
      </c>
      <c r="C27" s="2454"/>
      <c r="D27" s="2454"/>
      <c r="E27" s="2454"/>
      <c r="F27" s="2454"/>
      <c r="G27" s="2455"/>
      <c r="H27" s="2453" t="s">
        <v>3608</v>
      </c>
      <c r="I27" s="2454"/>
      <c r="J27" s="2454"/>
      <c r="K27" s="2454"/>
      <c r="L27" s="2454"/>
      <c r="M27" s="2455"/>
      <c r="N27" s="2453" t="s">
        <v>3609</v>
      </c>
      <c r="O27" s="2454"/>
      <c r="P27" s="2454"/>
      <c r="Q27" s="2454"/>
      <c r="R27" s="2454"/>
      <c r="S27" s="2455"/>
      <c r="T27" s="2453" t="s">
        <v>3610</v>
      </c>
      <c r="U27" s="2454"/>
      <c r="V27" s="2454"/>
      <c r="W27" s="2454"/>
      <c r="X27" s="2454"/>
      <c r="Y27" s="2455"/>
      <c r="Z27" s="2453" t="s">
        <v>3611</v>
      </c>
      <c r="AA27" s="2454"/>
      <c r="AB27" s="2454"/>
      <c r="AC27" s="2454"/>
      <c r="AD27" s="2454"/>
      <c r="AE27" s="2455"/>
      <c r="AF27" s="2453" t="s">
        <v>3612</v>
      </c>
      <c r="AG27" s="2454"/>
      <c r="AH27" s="2454"/>
      <c r="AI27" s="2454"/>
      <c r="AJ27" s="2454"/>
      <c r="AK27" s="2455"/>
      <c r="AL27" s="2453" t="s">
        <v>3613</v>
      </c>
      <c r="AM27" s="2454"/>
      <c r="AN27" s="2454"/>
      <c r="AO27" s="2454"/>
      <c r="AP27" s="2454"/>
      <c r="AQ27" s="2455"/>
      <c r="AR27" s="2453" t="s">
        <v>3614</v>
      </c>
      <c r="AS27" s="2454"/>
      <c r="AT27" s="2454"/>
      <c r="AU27" s="2454"/>
      <c r="AV27" s="2454"/>
      <c r="AW27" s="2455"/>
    </row>
    <row r="28" spans="8:8">
      <c r="A28" s="2452"/>
      <c r="B28" s="2453"/>
      <c r="C28" s="2456"/>
      <c r="D28" s="2456"/>
      <c r="E28" s="2456"/>
      <c r="F28" s="2456"/>
      <c r="G28" s="2455"/>
      <c r="H28" s="2453"/>
      <c r="I28" s="2456"/>
      <c r="J28" s="2456"/>
      <c r="K28" s="2456"/>
      <c r="L28" s="2456"/>
      <c r="M28" s="2455"/>
      <c r="N28" s="2453"/>
      <c r="O28" s="2456"/>
      <c r="P28" s="2456"/>
      <c r="Q28" s="2456"/>
      <c r="R28" s="2456"/>
      <c r="S28" s="2455"/>
      <c r="T28" s="2453"/>
      <c r="U28" s="2456"/>
      <c r="V28" s="2456"/>
      <c r="W28" s="2456"/>
      <c r="X28" s="2456"/>
      <c r="Y28" s="2455"/>
      <c r="Z28" s="2453"/>
      <c r="AA28" s="2456"/>
      <c r="AB28" s="2456"/>
      <c r="AC28" s="2456"/>
      <c r="AD28" s="2456"/>
      <c r="AE28" s="2455"/>
      <c r="AF28" s="2453"/>
      <c r="AG28" s="2456"/>
      <c r="AH28" s="2456"/>
      <c r="AI28" s="2456"/>
      <c r="AJ28" s="2456"/>
      <c r="AK28" s="2455"/>
      <c r="AL28" s="2453"/>
      <c r="AM28" s="2456"/>
      <c r="AN28" s="2456"/>
      <c r="AO28" s="2456"/>
      <c r="AP28" s="2456"/>
      <c r="AQ28" s="2455"/>
      <c r="AR28" s="2453"/>
      <c r="AS28" s="2456"/>
      <c r="AT28" s="2456"/>
      <c r="AU28" s="2456"/>
      <c r="AV28" s="2456"/>
      <c r="AW28" s="2455"/>
    </row>
    <row r="29" spans="8:8">
      <c r="A29" s="2452"/>
      <c r="B29" s="2453"/>
      <c r="C29" s="2456"/>
      <c r="D29" s="2456"/>
      <c r="E29" s="2456"/>
      <c r="F29" s="2456"/>
      <c r="G29" s="2455"/>
      <c r="H29" s="2453"/>
      <c r="I29" s="2456"/>
      <c r="J29" s="2456"/>
      <c r="K29" s="2456"/>
      <c r="L29" s="2456"/>
      <c r="M29" s="2455"/>
      <c r="N29" s="2453"/>
      <c r="O29" s="2456"/>
      <c r="P29" s="2456"/>
      <c r="Q29" s="2456"/>
      <c r="R29" s="2456"/>
      <c r="S29" s="2455"/>
      <c r="T29" s="2453"/>
      <c r="U29" s="2456"/>
      <c r="V29" s="2456"/>
      <c r="W29" s="2456"/>
      <c r="X29" s="2456"/>
      <c r="Y29" s="2455"/>
      <c r="Z29" s="2453"/>
      <c r="AA29" s="2456"/>
      <c r="AB29" s="2456"/>
      <c r="AC29" s="2456"/>
      <c r="AD29" s="2456"/>
      <c r="AE29" s="2455"/>
      <c r="AF29" s="2453"/>
      <c r="AG29" s="2456"/>
      <c r="AH29" s="2456"/>
      <c r="AI29" s="2456"/>
      <c r="AJ29" s="2456"/>
      <c r="AK29" s="2455"/>
      <c r="AL29" s="2453"/>
      <c r="AM29" s="2456"/>
      <c r="AN29" s="2456"/>
      <c r="AO29" s="2456"/>
      <c r="AP29" s="2456"/>
      <c r="AQ29" s="2455"/>
      <c r="AR29" s="2453"/>
      <c r="AS29" s="2456"/>
      <c r="AT29" s="2456"/>
      <c r="AU29" s="2456"/>
      <c r="AV29" s="2456"/>
      <c r="AW29" s="2455"/>
    </row>
    <row r="30" spans="8:8">
      <c r="A30" s="2452"/>
      <c r="B30" s="2453"/>
      <c r="C30" s="2456"/>
      <c r="D30" s="2456"/>
      <c r="E30" s="2456"/>
      <c r="F30" s="2456"/>
      <c r="G30" s="2455"/>
      <c r="H30" s="2453"/>
      <c r="I30" s="2456"/>
      <c r="J30" s="2456"/>
      <c r="K30" s="2456"/>
      <c r="L30" s="2456"/>
      <c r="M30" s="2455"/>
      <c r="N30" s="2453"/>
      <c r="O30" s="2456"/>
      <c r="P30" s="2456"/>
      <c r="Q30" s="2456"/>
      <c r="R30" s="2456"/>
      <c r="S30" s="2455"/>
      <c r="T30" s="2453"/>
      <c r="U30" s="2456"/>
      <c r="V30" s="2456"/>
      <c r="W30" s="2456"/>
      <c r="X30" s="2456"/>
      <c r="Y30" s="2455"/>
      <c r="Z30" s="2453"/>
      <c r="AA30" s="2456"/>
      <c r="AB30" s="2456"/>
      <c r="AC30" s="2456"/>
      <c r="AD30" s="2456"/>
      <c r="AE30" s="2455"/>
      <c r="AF30" s="2453"/>
      <c r="AG30" s="2456"/>
      <c r="AH30" s="2456"/>
      <c r="AI30" s="2456"/>
      <c r="AJ30" s="2456"/>
      <c r="AK30" s="2455"/>
      <c r="AL30" s="2453"/>
      <c r="AM30" s="2456"/>
      <c r="AN30" s="2456"/>
      <c r="AO30" s="2456"/>
      <c r="AP30" s="2456"/>
      <c r="AQ30" s="2455"/>
      <c r="AR30" s="2453"/>
      <c r="AS30" s="2456"/>
      <c r="AT30" s="2456"/>
      <c r="AU30" s="2456"/>
      <c r="AV30" s="2456"/>
      <c r="AW30" s="2455"/>
    </row>
    <row r="31" spans="8:8">
      <c r="A31" s="2452"/>
      <c r="B31" s="2457"/>
      <c r="C31" s="2458"/>
      <c r="D31" s="2458"/>
      <c r="E31" s="2458"/>
      <c r="F31" s="2458"/>
      <c r="G31" s="2459"/>
      <c r="H31" s="2457"/>
      <c r="I31" s="2458"/>
      <c r="J31" s="2458"/>
      <c r="K31" s="2458"/>
      <c r="L31" s="2458"/>
      <c r="M31" s="2459"/>
      <c r="N31" s="2457"/>
      <c r="O31" s="2458"/>
      <c r="P31" s="2458"/>
      <c r="Q31" s="2458"/>
      <c r="R31" s="2458"/>
      <c r="S31" s="2459"/>
      <c r="T31" s="2457"/>
      <c r="U31" s="2458"/>
      <c r="V31" s="2458"/>
      <c r="W31" s="2458"/>
      <c r="X31" s="2458"/>
      <c r="Y31" s="2459"/>
      <c r="Z31" s="2457"/>
      <c r="AA31" s="2458"/>
      <c r="AB31" s="2458"/>
      <c r="AC31" s="2458"/>
      <c r="AD31" s="2458"/>
      <c r="AE31" s="2459"/>
      <c r="AF31" s="2457"/>
      <c r="AG31" s="2458"/>
      <c r="AH31" s="2458"/>
      <c r="AI31" s="2458"/>
      <c r="AJ31" s="2458"/>
      <c r="AK31" s="2459"/>
      <c r="AL31" s="2457"/>
      <c r="AM31" s="2458"/>
      <c r="AN31" s="2458"/>
      <c r="AO31" s="2458"/>
      <c r="AP31" s="2458"/>
      <c r="AQ31" s="2459"/>
      <c r="AR31" s="2457"/>
      <c r="AS31" s="2458"/>
      <c r="AT31" s="2458"/>
      <c r="AU31" s="2458"/>
      <c r="AV31" s="2458"/>
      <c r="AW31" s="2459"/>
    </row>
    <row r="32" spans="8:8" ht="26.05">
      <c r="A32" s="2460" t="s">
        <v>3615</v>
      </c>
      <c r="B32" s="2461" t="s">
        <v>3616</v>
      </c>
      <c r="C32" s="2461"/>
      <c r="D32" s="2461"/>
      <c r="E32" s="2461"/>
      <c r="F32" s="2461"/>
      <c r="G32" s="2461"/>
      <c r="H32" s="2461" t="s">
        <v>3617</v>
      </c>
      <c r="I32" s="2461"/>
      <c r="J32" s="2461"/>
      <c r="K32" s="2461"/>
      <c r="L32" s="2461"/>
      <c r="M32" s="2461"/>
      <c r="N32" s="2461" t="s">
        <v>3618</v>
      </c>
      <c r="O32" s="2461"/>
      <c r="P32" s="2461"/>
      <c r="Q32" s="2461"/>
      <c r="R32" s="2461"/>
      <c r="S32" s="2461"/>
      <c r="T32" s="2461" t="s">
        <v>3619</v>
      </c>
      <c r="U32" s="2461"/>
      <c r="V32" s="2461"/>
      <c r="W32" s="2461"/>
      <c r="X32" s="2461"/>
      <c r="Y32" s="2461"/>
      <c r="Z32" s="2461" t="s">
        <v>3620</v>
      </c>
      <c r="AA32" s="2461"/>
      <c r="AB32" s="2461"/>
      <c r="AC32" s="2461"/>
      <c r="AD32" s="2461"/>
      <c r="AE32" s="2461"/>
      <c r="AF32" s="2461" t="s">
        <v>3621</v>
      </c>
      <c r="AG32" s="2461"/>
      <c r="AH32" s="2461"/>
      <c r="AI32" s="2461"/>
      <c r="AJ32" s="2461"/>
      <c r="AK32" s="2461"/>
      <c r="AL32" s="2461"/>
      <c r="AM32" s="2461"/>
      <c r="AN32" s="2461"/>
      <c r="AO32" s="2461"/>
      <c r="AP32" s="2461"/>
      <c r="AQ32" s="2461"/>
      <c r="AR32" s="2461" t="s">
        <v>3622</v>
      </c>
      <c r="AS32" s="2461"/>
      <c r="AT32" s="2461"/>
      <c r="AU32" s="2461"/>
      <c r="AV32" s="2461"/>
      <c r="AW32" s="2461"/>
      <c r="BJ32" s="2462"/>
      <c r="BK32" s="2462"/>
    </row>
    <row r="33" spans="8:8">
      <c r="A33" s="2460"/>
      <c r="B33" s="2461"/>
      <c r="C33" s="2461"/>
      <c r="D33" s="2461"/>
      <c r="E33" s="2461"/>
      <c r="F33" s="2461"/>
      <c r="G33" s="2461"/>
      <c r="H33" s="2461"/>
      <c r="I33" s="2461"/>
      <c r="J33" s="2461"/>
      <c r="K33" s="2461"/>
      <c r="L33" s="2461"/>
      <c r="M33" s="2461"/>
      <c r="N33" s="2461"/>
      <c r="O33" s="2461"/>
      <c r="P33" s="2461"/>
      <c r="Q33" s="2461"/>
      <c r="R33" s="2461"/>
      <c r="S33" s="2461"/>
      <c r="T33" s="2461"/>
      <c r="U33" s="2461"/>
      <c r="V33" s="2461"/>
      <c r="W33" s="2461"/>
      <c r="X33" s="2461"/>
      <c r="Y33" s="2461"/>
      <c r="Z33" s="2461"/>
      <c r="AA33" s="2461"/>
      <c r="AB33" s="2461"/>
      <c r="AC33" s="2461"/>
      <c r="AD33" s="2461"/>
      <c r="AE33" s="2461"/>
      <c r="AF33" s="2461"/>
      <c r="AG33" s="2461"/>
      <c r="AH33" s="2461"/>
      <c r="AI33" s="2461"/>
      <c r="AJ33" s="2461"/>
      <c r="AK33" s="2461"/>
      <c r="AL33" s="2461"/>
      <c r="AM33" s="2461"/>
      <c r="AN33" s="2461"/>
      <c r="AO33" s="2461"/>
      <c r="AP33" s="2461"/>
      <c r="AQ33" s="2461"/>
      <c r="AR33" s="2461"/>
      <c r="AS33" s="2461"/>
      <c r="AT33" s="2461"/>
      <c r="AU33" s="2461"/>
      <c r="AV33" s="2461"/>
      <c r="AW33" s="2461"/>
    </row>
    <row r="34" spans="8:8">
      <c r="A34" s="2460"/>
      <c r="B34" s="2461"/>
      <c r="C34" s="2461"/>
      <c r="D34" s="2461"/>
      <c r="E34" s="2461"/>
      <c r="F34" s="2461"/>
      <c r="G34" s="2461"/>
      <c r="H34" s="2461"/>
      <c r="I34" s="2461"/>
      <c r="J34" s="2461"/>
      <c r="K34" s="2461"/>
      <c r="L34" s="2461"/>
      <c r="M34" s="2461"/>
      <c r="N34" s="2461"/>
      <c r="O34" s="2461"/>
      <c r="P34" s="2461"/>
      <c r="Q34" s="2461"/>
      <c r="R34" s="2461"/>
      <c r="S34" s="2461"/>
      <c r="T34" s="2461"/>
      <c r="U34" s="2461"/>
      <c r="V34" s="2461"/>
      <c r="W34" s="2461"/>
      <c r="X34" s="2461"/>
      <c r="Y34" s="2461"/>
      <c r="Z34" s="2461"/>
      <c r="AA34" s="2461"/>
      <c r="AB34" s="2461"/>
      <c r="AC34" s="2461"/>
      <c r="AD34" s="2461"/>
      <c r="AE34" s="2461"/>
      <c r="AF34" s="2461"/>
      <c r="AG34" s="2461"/>
      <c r="AH34" s="2461"/>
      <c r="AI34" s="2461"/>
      <c r="AJ34" s="2461"/>
      <c r="AK34" s="2461"/>
      <c r="AL34" s="2461"/>
      <c r="AM34" s="2461"/>
      <c r="AN34" s="2461"/>
      <c r="AO34" s="2461"/>
      <c r="AP34" s="2461"/>
      <c r="AQ34" s="2461"/>
      <c r="AR34" s="2461"/>
      <c r="AS34" s="2461"/>
      <c r="AT34" s="2461"/>
      <c r="AU34" s="2461"/>
      <c r="AV34" s="2461"/>
      <c r="AW34" s="2461"/>
    </row>
    <row r="35" spans="8:8">
      <c r="A35" s="2460"/>
      <c r="B35" s="2461"/>
      <c r="C35" s="2461"/>
      <c r="D35" s="2461"/>
      <c r="E35" s="2461"/>
      <c r="F35" s="2461"/>
      <c r="G35" s="2461"/>
      <c r="H35" s="2461"/>
      <c r="I35" s="2461"/>
      <c r="J35" s="2461"/>
      <c r="K35" s="2461"/>
      <c r="L35" s="2461"/>
      <c r="M35" s="2461"/>
      <c r="N35" s="2461"/>
      <c r="O35" s="2461"/>
      <c r="P35" s="2461"/>
      <c r="Q35" s="2461"/>
      <c r="R35" s="2461"/>
      <c r="S35" s="2461"/>
      <c r="T35" s="2461"/>
      <c r="U35" s="2461"/>
      <c r="V35" s="2461"/>
      <c r="W35" s="2461"/>
      <c r="X35" s="2461"/>
      <c r="Y35" s="2461"/>
      <c r="Z35" s="2461"/>
      <c r="AA35" s="2461"/>
      <c r="AB35" s="2461"/>
      <c r="AC35" s="2461"/>
      <c r="AD35" s="2461"/>
      <c r="AE35" s="2461"/>
      <c r="AF35" s="2461"/>
      <c r="AG35" s="2461"/>
      <c r="AH35" s="2461"/>
      <c r="AI35" s="2461"/>
      <c r="AJ35" s="2461"/>
      <c r="AK35" s="2461"/>
      <c r="AL35" s="2461"/>
      <c r="AM35" s="2461"/>
      <c r="AN35" s="2461"/>
      <c r="AO35" s="2461"/>
      <c r="AP35" s="2461"/>
      <c r="AQ35" s="2461"/>
      <c r="AR35" s="2463"/>
      <c r="AS35" s="2463"/>
      <c r="AT35" s="2463"/>
      <c r="AU35" s="2463"/>
      <c r="AV35" s="2463"/>
      <c r="AW35" s="2463"/>
    </row>
    <row r="36" spans="8:8" ht="17.25" customHeight="1">
      <c r="A36" s="2460" t="s">
        <v>3623</v>
      </c>
      <c r="B36" s="2461" t="s">
        <v>3624</v>
      </c>
      <c r="C36" s="2461"/>
      <c r="D36" s="2461"/>
      <c r="E36" s="2461"/>
      <c r="F36" s="2461"/>
      <c r="G36" s="2461"/>
      <c r="H36" s="2461" t="s">
        <v>3625</v>
      </c>
      <c r="I36" s="2461"/>
      <c r="J36" s="2461"/>
      <c r="K36" s="2461"/>
      <c r="L36" s="2461"/>
      <c r="M36" s="2461"/>
      <c r="N36" s="2461" t="s">
        <v>3626</v>
      </c>
      <c r="O36" s="2461"/>
      <c r="P36" s="2461"/>
      <c r="Q36" s="2461"/>
      <c r="R36" s="2461"/>
      <c r="S36" s="2461"/>
      <c r="T36" s="2461" t="s">
        <v>3627</v>
      </c>
      <c r="U36" s="2461"/>
      <c r="V36" s="2461"/>
      <c r="W36" s="2461"/>
      <c r="X36" s="2461"/>
      <c r="Y36" s="2461"/>
      <c r="Z36" s="2461" t="s">
        <v>3628</v>
      </c>
      <c r="AA36" s="2461"/>
      <c r="AB36" s="2461"/>
      <c r="AC36" s="2461"/>
      <c r="AD36" s="2461"/>
      <c r="AE36" s="2461"/>
      <c r="AF36" s="2461" t="s">
        <v>3629</v>
      </c>
      <c r="AG36" s="2461"/>
      <c r="AH36" s="2461"/>
      <c r="AI36" s="2461"/>
      <c r="AJ36" s="2461"/>
      <c r="AK36" s="2461"/>
      <c r="AL36" s="2461"/>
      <c r="AM36" s="2461"/>
      <c r="AN36" s="2461"/>
      <c r="AO36" s="2461"/>
      <c r="AP36" s="2461"/>
      <c r="AQ36" s="2464"/>
      <c r="AR36" s="2465"/>
      <c r="AS36" s="2466"/>
      <c r="AT36" s="2466"/>
      <c r="AU36" s="2466"/>
      <c r="AV36" s="2466"/>
      <c r="AW36" s="2467"/>
    </row>
    <row r="37" spans="8:8" ht="17.25" customHeight="1">
      <c r="A37" s="2460"/>
      <c r="B37" s="2461"/>
      <c r="C37" s="2461"/>
      <c r="D37" s="2461"/>
      <c r="E37" s="2461"/>
      <c r="F37" s="2461"/>
      <c r="G37" s="2461"/>
      <c r="H37" s="2461"/>
      <c r="I37" s="2461"/>
      <c r="J37" s="2461"/>
      <c r="K37" s="2461"/>
      <c r="L37" s="2461"/>
      <c r="M37" s="2461"/>
      <c r="N37" s="2461"/>
      <c r="O37" s="2461"/>
      <c r="P37" s="2461"/>
      <c r="Q37" s="2461"/>
      <c r="R37" s="2461"/>
      <c r="S37" s="2461"/>
      <c r="T37" s="2461"/>
      <c r="U37" s="2461"/>
      <c r="V37" s="2461"/>
      <c r="W37" s="2461"/>
      <c r="X37" s="2461"/>
      <c r="Y37" s="2461"/>
      <c r="Z37" s="2461"/>
      <c r="AA37" s="2461"/>
      <c r="AB37" s="2461"/>
      <c r="AC37" s="2461"/>
      <c r="AD37" s="2461"/>
      <c r="AE37" s="2461"/>
      <c r="AF37" s="2461"/>
      <c r="AG37" s="2461"/>
      <c r="AH37" s="2461"/>
      <c r="AI37" s="2461"/>
      <c r="AJ37" s="2461"/>
      <c r="AK37" s="2461"/>
      <c r="AL37" s="2461"/>
      <c r="AM37" s="2461"/>
      <c r="AN37" s="2461"/>
      <c r="AO37" s="2461"/>
      <c r="AP37" s="2461"/>
      <c r="AQ37" s="2464"/>
      <c r="AR37" s="2468"/>
      <c r="AS37" s="2469"/>
      <c r="AT37" s="2469"/>
      <c r="AU37" s="2469"/>
      <c r="AV37" s="2469"/>
      <c r="AW37" s="2470"/>
    </row>
    <row r="38" spans="8:8" ht="17.25" customHeight="1">
      <c r="A38" s="2460"/>
      <c r="B38" s="2461"/>
      <c r="C38" s="2461"/>
      <c r="D38" s="2461"/>
      <c r="E38" s="2461"/>
      <c r="F38" s="2461"/>
      <c r="G38" s="2461"/>
      <c r="H38" s="2461"/>
      <c r="I38" s="2461"/>
      <c r="J38" s="2461"/>
      <c r="K38" s="2461"/>
      <c r="L38" s="2461"/>
      <c r="M38" s="2461"/>
      <c r="N38" s="2461"/>
      <c r="O38" s="2461"/>
      <c r="P38" s="2461"/>
      <c r="Q38" s="2461"/>
      <c r="R38" s="2461"/>
      <c r="S38" s="2461"/>
      <c r="T38" s="2461"/>
      <c r="U38" s="2461"/>
      <c r="V38" s="2461"/>
      <c r="W38" s="2461"/>
      <c r="X38" s="2461"/>
      <c r="Y38" s="2461"/>
      <c r="Z38" s="2461"/>
      <c r="AA38" s="2461"/>
      <c r="AB38" s="2461"/>
      <c r="AC38" s="2461"/>
      <c r="AD38" s="2461"/>
      <c r="AE38" s="2461"/>
      <c r="AF38" s="2461"/>
      <c r="AG38" s="2461"/>
      <c r="AH38" s="2461"/>
      <c r="AI38" s="2461"/>
      <c r="AJ38" s="2461"/>
      <c r="AK38" s="2461"/>
      <c r="AL38" s="2461"/>
      <c r="AM38" s="2461"/>
      <c r="AN38" s="2461"/>
      <c r="AO38" s="2461"/>
      <c r="AP38" s="2461"/>
      <c r="AQ38" s="2464"/>
      <c r="AR38" s="2468"/>
      <c r="AS38" s="2469"/>
      <c r="AT38" s="2469"/>
      <c r="AU38" s="2469"/>
      <c r="AV38" s="2469"/>
      <c r="AW38" s="2470"/>
      <c r="BD38" s="2471"/>
      <c r="BE38" s="2471"/>
      <c r="BF38" s="2471"/>
      <c r="BG38" s="2471"/>
      <c r="BH38" s="2471"/>
      <c r="BI38" s="2471"/>
      <c r="BJ38" s="2471"/>
      <c r="BK38" s="2471"/>
      <c r="BL38" s="2471"/>
      <c r="BM38" s="2471"/>
      <c r="BN38" s="2471"/>
      <c r="BO38" s="2471"/>
      <c r="BP38" s="2471"/>
      <c r="BQ38" s="2471"/>
      <c r="BR38" s="2471"/>
      <c r="BS38" s="2471"/>
      <c r="BT38" s="2471"/>
      <c r="BU38" s="2471"/>
    </row>
    <row r="39" spans="8:8" ht="17.25" customHeight="1">
      <c r="A39" s="2460"/>
      <c r="B39" s="2461"/>
      <c r="C39" s="2461"/>
      <c r="D39" s="2461"/>
      <c r="E39" s="2461"/>
      <c r="F39" s="2461"/>
      <c r="G39" s="2461"/>
      <c r="H39" s="2461"/>
      <c r="I39" s="2461"/>
      <c r="J39" s="2461"/>
      <c r="K39" s="2461"/>
      <c r="L39" s="2461"/>
      <c r="M39" s="2461"/>
      <c r="N39" s="2461"/>
      <c r="O39" s="2461"/>
      <c r="P39" s="2461"/>
      <c r="Q39" s="2461"/>
      <c r="R39" s="2461"/>
      <c r="S39" s="2461"/>
      <c r="T39" s="2461"/>
      <c r="U39" s="2461"/>
      <c r="V39" s="2461"/>
      <c r="W39" s="2461"/>
      <c r="X39" s="2461"/>
      <c r="Y39" s="2461"/>
      <c r="Z39" s="2461"/>
      <c r="AA39" s="2461"/>
      <c r="AB39" s="2461"/>
      <c r="AC39" s="2461"/>
      <c r="AD39" s="2461"/>
      <c r="AE39" s="2461"/>
      <c r="AF39" s="2461"/>
      <c r="AG39" s="2461"/>
      <c r="AH39" s="2461"/>
      <c r="AI39" s="2461"/>
      <c r="AJ39" s="2461"/>
      <c r="AK39" s="2461"/>
      <c r="AL39" s="2461"/>
      <c r="AM39" s="2461"/>
      <c r="AN39" s="2461"/>
      <c r="AO39" s="2461"/>
      <c r="AP39" s="2461"/>
      <c r="AQ39" s="2464"/>
      <c r="AR39" s="2472"/>
      <c r="AS39" s="2473"/>
      <c r="AT39" s="2473"/>
      <c r="AU39" s="2473"/>
      <c r="AV39" s="2473"/>
      <c r="AW39" s="2474"/>
      <c r="BD39" s="2471"/>
      <c r="BE39" s="2471"/>
      <c r="BF39" s="2471"/>
      <c r="BG39" s="2471"/>
      <c r="BH39" s="2471"/>
      <c r="BI39" s="2471"/>
      <c r="BJ39" s="2471"/>
      <c r="BK39" s="2471"/>
      <c r="BL39" s="2471"/>
      <c r="BM39" s="2471"/>
      <c r="BN39" s="2471"/>
      <c r="BO39" s="2471"/>
      <c r="BP39" s="2471"/>
      <c r="BQ39" s="2471"/>
      <c r="BR39" s="2471"/>
      <c r="BS39" s="2471"/>
      <c r="BT39" s="2471"/>
      <c r="BU39" s="2471"/>
    </row>
    <row r="40" spans="8:8" ht="17.25" customHeight="1">
      <c r="A40" s="2452" t="s">
        <v>104</v>
      </c>
      <c r="B40" s="2465"/>
      <c r="C40" s="2466"/>
      <c r="D40" s="2466"/>
      <c r="E40" s="2466"/>
      <c r="F40" s="2466"/>
      <c r="G40" s="2466"/>
      <c r="H40" s="2465"/>
      <c r="I40" s="2466"/>
      <c r="J40" s="2466"/>
      <c r="K40" s="2466"/>
      <c r="L40" s="2466"/>
      <c r="M40" s="2466"/>
      <c r="N40" s="2465"/>
      <c r="O40" s="2466"/>
      <c r="P40" s="2466"/>
      <c r="Q40" s="2466"/>
      <c r="R40" s="2466"/>
      <c r="S40" s="2466"/>
      <c r="T40" s="2475" t="s">
        <v>3630</v>
      </c>
      <c r="U40" s="2476"/>
      <c r="V40" s="2476"/>
      <c r="W40" s="2476"/>
      <c r="X40" s="2476"/>
      <c r="Y40" s="2476"/>
      <c r="Z40" s="2475" t="s">
        <v>3631</v>
      </c>
      <c r="AA40" s="2466"/>
      <c r="AB40" s="2466"/>
      <c r="AC40" s="2466"/>
      <c r="AD40" s="2466"/>
      <c r="AE40" s="2467"/>
      <c r="AF40" s="2466"/>
      <c r="AG40" s="2466"/>
      <c r="AH40" s="2466"/>
      <c r="AI40" s="2466"/>
      <c r="AJ40" s="2466"/>
      <c r="AK40" s="2467"/>
      <c r="AL40" s="2476" t="s">
        <v>3632</v>
      </c>
      <c r="AM40" s="2466"/>
      <c r="AN40" s="2466"/>
      <c r="AO40" s="2466"/>
      <c r="AP40" s="2466"/>
      <c r="AQ40" s="2467"/>
      <c r="AR40" s="2476" t="s">
        <v>3633</v>
      </c>
      <c r="AS40" s="2466"/>
      <c r="AT40" s="2466"/>
      <c r="AU40" s="2466"/>
      <c r="AV40" s="2466"/>
      <c r="AW40" s="2467"/>
      <c r="AX40" s="2477"/>
      <c r="BD40" s="2471"/>
      <c r="BE40" s="2471"/>
      <c r="BF40" s="2471"/>
      <c r="BG40" s="2471"/>
      <c r="BH40" s="2471"/>
      <c r="BI40" s="2471"/>
      <c r="BJ40" s="2471"/>
      <c r="BK40" s="2471"/>
      <c r="BL40" s="2471"/>
      <c r="BM40" s="2471"/>
      <c r="BN40" s="2471"/>
      <c r="BO40" s="2471"/>
      <c r="BP40" s="2471"/>
      <c r="BQ40" s="2471"/>
      <c r="BR40" s="2471"/>
      <c r="BS40" s="2471"/>
      <c r="BT40" s="2471"/>
      <c r="BU40" s="2471"/>
    </row>
    <row r="41" spans="8:8" ht="17.25" customHeight="1">
      <c r="A41" s="2452"/>
      <c r="B41" s="2468"/>
      <c r="C41" s="2469"/>
      <c r="D41" s="2469"/>
      <c r="E41" s="2469"/>
      <c r="F41" s="2469"/>
      <c r="G41" s="2469"/>
      <c r="H41" s="2468"/>
      <c r="I41" s="2469"/>
      <c r="J41" s="2469"/>
      <c r="K41" s="2469"/>
      <c r="L41" s="2469"/>
      <c r="M41" s="2469"/>
      <c r="N41" s="2468"/>
      <c r="O41" s="2469"/>
      <c r="P41" s="2469"/>
      <c r="Q41" s="2469"/>
      <c r="R41" s="2469"/>
      <c r="S41" s="2469"/>
      <c r="T41" s="2453"/>
      <c r="U41" s="2456"/>
      <c r="V41" s="2456"/>
      <c r="W41" s="2456"/>
      <c r="X41" s="2456"/>
      <c r="Y41" s="2456"/>
      <c r="Z41" s="2468"/>
      <c r="AA41" s="2469"/>
      <c r="AB41" s="2469"/>
      <c r="AC41" s="2469"/>
      <c r="AD41" s="2469"/>
      <c r="AE41" s="2470"/>
      <c r="AF41" s="2469"/>
      <c r="AG41" s="2469"/>
      <c r="AH41" s="2469"/>
      <c r="AI41" s="2469"/>
      <c r="AJ41" s="2469"/>
      <c r="AK41" s="2470"/>
      <c r="AL41" s="2469"/>
      <c r="AM41" s="2469"/>
      <c r="AN41" s="2469"/>
      <c r="AO41" s="2469"/>
      <c r="AP41" s="2469"/>
      <c r="AQ41" s="2470"/>
      <c r="AR41" s="2469"/>
      <c r="AS41" s="2469"/>
      <c r="AT41" s="2469"/>
      <c r="AU41" s="2469"/>
      <c r="AV41" s="2469"/>
      <c r="AW41" s="2470"/>
      <c r="AX41" s="2477"/>
      <c r="BD41" s="2471"/>
      <c r="BE41" s="2471"/>
      <c r="BF41" s="2471"/>
      <c r="BG41" s="2471"/>
      <c r="BH41" s="2471"/>
      <c r="BI41" s="2471"/>
      <c r="BJ41" s="2471"/>
      <c r="BK41" s="2471"/>
      <c r="BL41" s="2471"/>
      <c r="BM41" s="2471"/>
      <c r="BN41" s="2471"/>
      <c r="BO41" s="2471"/>
      <c r="BP41" s="2471"/>
      <c r="BQ41" s="2471"/>
      <c r="BR41" s="2471"/>
      <c r="BS41" s="2471"/>
      <c r="BT41" s="2471"/>
      <c r="BU41" s="2471"/>
    </row>
    <row r="42" spans="8:8" ht="17.25" customHeight="1">
      <c r="A42" s="2452"/>
      <c r="B42" s="2468"/>
      <c r="C42" s="2469"/>
      <c r="D42" s="2469"/>
      <c r="E42" s="2469"/>
      <c r="F42" s="2469"/>
      <c r="G42" s="2469"/>
      <c r="H42" s="2468"/>
      <c r="I42" s="2469"/>
      <c r="J42" s="2469"/>
      <c r="K42" s="2469"/>
      <c r="L42" s="2469"/>
      <c r="M42" s="2469"/>
      <c r="N42" s="2468"/>
      <c r="O42" s="2469"/>
      <c r="P42" s="2469"/>
      <c r="Q42" s="2469"/>
      <c r="R42" s="2469"/>
      <c r="S42" s="2469"/>
      <c r="T42" s="2453"/>
      <c r="U42" s="2456"/>
      <c r="V42" s="2456"/>
      <c r="W42" s="2456"/>
      <c r="X42" s="2456"/>
      <c r="Y42" s="2456"/>
      <c r="Z42" s="2468"/>
      <c r="AA42" s="2469"/>
      <c r="AB42" s="2469"/>
      <c r="AC42" s="2469"/>
      <c r="AD42" s="2469"/>
      <c r="AE42" s="2470"/>
      <c r="AF42" s="2469"/>
      <c r="AG42" s="2469"/>
      <c r="AH42" s="2469"/>
      <c r="AI42" s="2469"/>
      <c r="AJ42" s="2469"/>
      <c r="AK42" s="2470"/>
      <c r="AL42" s="2469"/>
      <c r="AM42" s="2469"/>
      <c r="AN42" s="2469"/>
      <c r="AO42" s="2469"/>
      <c r="AP42" s="2469"/>
      <c r="AQ42" s="2470"/>
      <c r="AR42" s="2469"/>
      <c r="AS42" s="2469"/>
      <c r="AT42" s="2469"/>
      <c r="AU42" s="2469"/>
      <c r="AV42" s="2469"/>
      <c r="AW42" s="2470"/>
      <c r="AX42" s="2477"/>
      <c r="BD42" s="2471"/>
      <c r="BE42" s="2471"/>
      <c r="BF42" s="2471"/>
      <c r="BG42" s="2471"/>
      <c r="BH42" s="2471"/>
      <c r="BI42" s="2471"/>
      <c r="BJ42" s="2471"/>
      <c r="BK42" s="2471"/>
      <c r="BL42" s="2471"/>
      <c r="BM42" s="2471"/>
      <c r="BN42" s="2471"/>
      <c r="BO42" s="2471"/>
      <c r="BP42" s="2471"/>
      <c r="BQ42" s="2478"/>
      <c r="BR42" s="2471"/>
      <c r="BS42" s="2471"/>
      <c r="BT42" s="2471"/>
      <c r="BU42" s="2471"/>
    </row>
    <row r="43" spans="8:8" ht="17.25" customHeight="1">
      <c r="A43" s="2452"/>
      <c r="B43" s="2472"/>
      <c r="C43" s="2473"/>
      <c r="D43" s="2473"/>
      <c r="E43" s="2473"/>
      <c r="F43" s="2473"/>
      <c r="G43" s="2473"/>
      <c r="H43" s="2472"/>
      <c r="I43" s="2473"/>
      <c r="J43" s="2473"/>
      <c r="K43" s="2473"/>
      <c r="L43" s="2473"/>
      <c r="M43" s="2473"/>
      <c r="N43" s="2472"/>
      <c r="O43" s="2473"/>
      <c r="P43" s="2473"/>
      <c r="Q43" s="2473"/>
      <c r="R43" s="2473"/>
      <c r="S43" s="2473"/>
      <c r="T43" s="2457"/>
      <c r="U43" s="2458"/>
      <c r="V43" s="2458"/>
      <c r="W43" s="2458"/>
      <c r="X43" s="2458"/>
      <c r="Y43" s="2458"/>
      <c r="Z43" s="2472"/>
      <c r="AA43" s="2473"/>
      <c r="AB43" s="2473"/>
      <c r="AC43" s="2473"/>
      <c r="AD43" s="2473"/>
      <c r="AE43" s="2479"/>
      <c r="AF43" s="2473"/>
      <c r="AG43" s="2473"/>
      <c r="AH43" s="2473"/>
      <c r="AI43" s="2473"/>
      <c r="AJ43" s="2473"/>
      <c r="AK43" s="2474"/>
      <c r="AL43" s="2473"/>
      <c r="AM43" s="2473"/>
      <c r="AN43" s="2473"/>
      <c r="AO43" s="2473"/>
      <c r="AP43" s="2473"/>
      <c r="AQ43" s="2474"/>
      <c r="AR43" s="2473"/>
      <c r="AS43" s="2473"/>
      <c r="AT43" s="2473"/>
      <c r="AU43" s="2473"/>
      <c r="AV43" s="2473"/>
      <c r="AW43" s="2474"/>
      <c r="AX43" s="2477"/>
      <c r="BD43" s="2471"/>
      <c r="BE43" s="2471"/>
      <c r="BF43" s="2471"/>
      <c r="BG43" s="2471"/>
      <c r="BH43" s="2471"/>
      <c r="BI43" s="2471"/>
      <c r="BJ43" s="2471"/>
      <c r="BK43" s="2471"/>
      <c r="BL43" s="2471"/>
      <c r="BM43" s="2471"/>
      <c r="BN43" s="2471"/>
      <c r="BO43" s="2471"/>
      <c r="BP43" s="2471"/>
      <c r="BQ43" s="2471"/>
      <c r="BR43" s="2471"/>
      <c r="BS43" s="2471"/>
      <c r="BT43" s="2471"/>
      <c r="BU43" s="2471"/>
    </row>
    <row r="44" spans="8:8" ht="17.25" customHeight="1">
      <c r="A44" s="2480" t="s">
        <v>3634</v>
      </c>
      <c r="B44" s="2481" t="s">
        <v>3538</v>
      </c>
      <c r="C44" s="2481"/>
      <c r="D44" s="2481"/>
      <c r="E44" s="2481"/>
      <c r="F44" s="2481"/>
      <c r="G44" s="2481"/>
      <c r="H44" s="2482" t="s">
        <v>3539</v>
      </c>
      <c r="I44" s="2482"/>
      <c r="J44" s="2482"/>
      <c r="K44" s="2482"/>
      <c r="L44" s="2482"/>
      <c r="M44" s="2482"/>
      <c r="N44" s="2483" t="s">
        <v>3540</v>
      </c>
      <c r="O44" s="2483"/>
      <c r="P44" s="2483"/>
      <c r="Q44" s="2483"/>
      <c r="R44" s="2483"/>
      <c r="S44" s="2483"/>
      <c r="T44" s="2484" t="s">
        <v>3541</v>
      </c>
      <c r="U44" s="2484"/>
      <c r="V44" s="2484"/>
      <c r="W44" s="2484"/>
      <c r="X44" s="2484"/>
      <c r="Y44" s="2484"/>
      <c r="Z44" s="2485" t="s">
        <v>3542</v>
      </c>
      <c r="AA44" s="2485"/>
      <c r="AB44" s="2485"/>
      <c r="AC44" s="2485"/>
      <c r="AD44" s="2485"/>
      <c r="AE44" s="2485"/>
      <c r="AF44" s="2486" t="s">
        <v>3543</v>
      </c>
      <c r="AG44" s="2486"/>
      <c r="AH44" s="2486"/>
      <c r="AI44" s="2486"/>
      <c r="AJ44" s="2486"/>
      <c r="AK44" s="2486"/>
      <c r="AL44" s="2487" t="s">
        <v>3544</v>
      </c>
      <c r="AM44" s="2487"/>
      <c r="AN44" s="2487"/>
      <c r="AO44" s="2487"/>
      <c r="AP44" s="2487"/>
      <c r="AQ44" s="2487"/>
      <c r="AR44" s="2488" t="s">
        <v>3545</v>
      </c>
      <c r="AS44" s="2488"/>
      <c r="AT44" s="2488"/>
      <c r="AU44" s="2488"/>
      <c r="AV44" s="2488"/>
      <c r="AW44" s="2488"/>
      <c r="AX44" s="2477"/>
    </row>
    <row r="45" spans="8:8" ht="17.25" customHeight="1">
      <c r="A45" s="2489"/>
      <c r="B45" s="2481"/>
      <c r="C45" s="2481"/>
      <c r="D45" s="2481"/>
      <c r="E45" s="2481"/>
      <c r="F45" s="2481"/>
      <c r="G45" s="2481"/>
      <c r="H45" s="2482"/>
      <c r="I45" s="2482"/>
      <c r="J45" s="2482"/>
      <c r="K45" s="2482"/>
      <c r="L45" s="2482"/>
      <c r="M45" s="2482"/>
      <c r="N45" s="2483"/>
      <c r="O45" s="2483"/>
      <c r="P45" s="2483"/>
      <c r="Q45" s="2483"/>
      <c r="R45" s="2483"/>
      <c r="S45" s="2483"/>
      <c r="T45" s="2484"/>
      <c r="U45" s="2484"/>
      <c r="V45" s="2484"/>
      <c r="W45" s="2484"/>
      <c r="X45" s="2484"/>
      <c r="Y45" s="2484"/>
      <c r="Z45" s="2485"/>
      <c r="AA45" s="2485"/>
      <c r="AB45" s="2485"/>
      <c r="AC45" s="2485"/>
      <c r="AD45" s="2485"/>
      <c r="AE45" s="2485"/>
      <c r="AF45" s="2486"/>
      <c r="AG45" s="2486"/>
      <c r="AH45" s="2486"/>
      <c r="AI45" s="2486"/>
      <c r="AJ45" s="2486"/>
      <c r="AK45" s="2486"/>
      <c r="AL45" s="2487"/>
      <c r="AM45" s="2487"/>
      <c r="AN45" s="2487"/>
      <c r="AO45" s="2487"/>
      <c r="AP45" s="2487"/>
      <c r="AQ45" s="2487"/>
      <c r="AR45" s="2488"/>
      <c r="AS45" s="2488"/>
      <c r="AT45" s="2488"/>
      <c r="AU45" s="2488"/>
      <c r="AV45" s="2488"/>
      <c r="AW45" s="2488"/>
      <c r="AX45" s="2477"/>
      <c r="AY45" s="2477"/>
      <c r="AZ45" s="2477"/>
      <c r="BA45" s="2477"/>
    </row>
    <row r="46" spans="8:8" ht="17.25" customHeight="1">
      <c r="A46" s="2489"/>
      <c r="B46" s="2481"/>
      <c r="C46" s="2481"/>
      <c r="D46" s="2481"/>
      <c r="E46" s="2481"/>
      <c r="F46" s="2481"/>
      <c r="G46" s="2481"/>
      <c r="H46" s="2482"/>
      <c r="I46" s="2482"/>
      <c r="J46" s="2482"/>
      <c r="K46" s="2482"/>
      <c r="L46" s="2482"/>
      <c r="M46" s="2482"/>
      <c r="N46" s="2483"/>
      <c r="O46" s="2483"/>
      <c r="P46" s="2483"/>
      <c r="Q46" s="2483"/>
      <c r="R46" s="2483"/>
      <c r="S46" s="2483"/>
      <c r="T46" s="2484"/>
      <c r="U46" s="2484"/>
      <c r="V46" s="2484"/>
      <c r="W46" s="2484"/>
      <c r="X46" s="2484"/>
      <c r="Y46" s="2484"/>
      <c r="Z46" s="2485"/>
      <c r="AA46" s="2485"/>
      <c r="AB46" s="2485"/>
      <c r="AC46" s="2485"/>
      <c r="AD46" s="2485"/>
      <c r="AE46" s="2485"/>
      <c r="AF46" s="2486"/>
      <c r="AG46" s="2486"/>
      <c r="AH46" s="2486"/>
      <c r="AI46" s="2486"/>
      <c r="AJ46" s="2486"/>
      <c r="AK46" s="2486"/>
      <c r="AL46" s="2487"/>
      <c r="AM46" s="2487"/>
      <c r="AN46" s="2487"/>
      <c r="AO46" s="2487"/>
      <c r="AP46" s="2487"/>
      <c r="AQ46" s="2487"/>
      <c r="AR46" s="2488"/>
      <c r="AS46" s="2488"/>
      <c r="AT46" s="2488"/>
      <c r="AU46" s="2488"/>
      <c r="AV46" s="2488"/>
      <c r="AW46" s="2488"/>
      <c r="AX46" s="2477"/>
      <c r="AY46" s="2477"/>
      <c r="AZ46" s="2477"/>
      <c r="BA46" s="2477"/>
    </row>
    <row r="47" spans="8:8" ht="17.25" customHeight="1">
      <c r="A47" s="2489"/>
      <c r="E47" s="2490"/>
      <c r="L47" s="2491"/>
      <c r="N47" s="2492"/>
      <c r="R47" s="2493"/>
      <c r="W47" s="2494"/>
      <c r="AG47" s="2477"/>
      <c r="AH47" s="2495"/>
      <c r="AL47" s="2477"/>
      <c r="AN47" s="2496"/>
      <c r="AU47" s="2497"/>
      <c r="AX47" s="2477"/>
    </row>
    <row r="48" spans="8:8" ht="17.25" customHeight="1">
      <c r="A48" s="2489"/>
      <c r="E48" s="2490"/>
      <c r="L48" s="2491"/>
      <c r="N48" s="2492"/>
      <c r="R48" s="2493"/>
      <c r="W48" s="2494"/>
      <c r="AF48" s="2477"/>
      <c r="AG48" s="2477"/>
      <c r="AH48" s="2495"/>
      <c r="AI48" s="2477"/>
      <c r="AJ48" s="2477"/>
      <c r="AK48" s="2477"/>
      <c r="AL48" s="2477"/>
      <c r="AM48" s="2477"/>
      <c r="AN48" s="2496"/>
      <c r="AO48" s="2477"/>
      <c r="AP48" s="2477"/>
      <c r="AQ48" s="2477"/>
      <c r="AR48" s="2477"/>
      <c r="AS48" s="2477"/>
      <c r="AT48" s="2477"/>
      <c r="AU48" s="2497"/>
      <c r="AV48" s="2477"/>
      <c r="AW48" s="2477"/>
      <c r="AX48" s="2477"/>
    </row>
    <row r="49" spans="8:8" ht="17.25" customHeight="1">
      <c r="A49" s="2489"/>
      <c r="E49" s="2490"/>
      <c r="K49" s="2498" t="s">
        <v>3635</v>
      </c>
      <c r="L49" s="2499"/>
      <c r="M49" s="2499"/>
      <c r="N49" s="2499"/>
      <c r="O49" s="2499"/>
      <c r="P49" s="2499"/>
      <c r="R49" s="2493"/>
      <c r="T49" s="2500" t="s">
        <v>3636</v>
      </c>
      <c r="U49" s="2500"/>
      <c r="V49" s="2500"/>
      <c r="W49" s="2500"/>
      <c r="X49" s="2500"/>
      <c r="Y49" s="2500"/>
      <c r="Z49" s="2477"/>
      <c r="AA49" s="2477"/>
      <c r="AB49" s="2477"/>
      <c r="AC49" s="2477"/>
      <c r="AD49" s="2477"/>
      <c r="AE49" s="2477"/>
      <c r="AF49" s="2501" t="s">
        <v>3637</v>
      </c>
      <c r="AG49" s="2501"/>
      <c r="AH49" s="2501"/>
      <c r="AI49" s="2501"/>
      <c r="AJ49" s="2501"/>
      <c r="AK49" s="2501"/>
      <c r="AL49" s="2502" t="s">
        <v>3638</v>
      </c>
      <c r="AM49" s="2502"/>
      <c r="AN49" s="2502"/>
      <c r="AO49" s="2502"/>
      <c r="AP49" s="2502"/>
      <c r="AQ49" s="2502"/>
      <c r="AR49" s="2503" t="s">
        <v>3639</v>
      </c>
      <c r="AS49" s="2503"/>
      <c r="AT49" s="2503"/>
      <c r="AU49" s="2503"/>
      <c r="AV49" s="2503"/>
      <c r="AW49" s="2503"/>
    </row>
    <row r="50" spans="8:8" ht="17.25" customHeight="1">
      <c r="A50" s="2489"/>
      <c r="E50" s="2490"/>
      <c r="K50" s="2499"/>
      <c r="L50" s="2499"/>
      <c r="M50" s="2499"/>
      <c r="N50" s="2499"/>
      <c r="O50" s="2499"/>
      <c r="P50" s="2499"/>
      <c r="R50" s="2493"/>
      <c r="T50" s="2500"/>
      <c r="U50" s="2500"/>
      <c r="V50" s="2500"/>
      <c r="W50" s="2500"/>
      <c r="X50" s="2500"/>
      <c r="Y50" s="2500"/>
      <c r="Z50" s="2477"/>
      <c r="AA50" s="2477"/>
      <c r="AB50" s="2477"/>
      <c r="AC50" s="2477"/>
      <c r="AD50" s="2477"/>
      <c r="AE50" s="2477"/>
      <c r="AF50" s="2501"/>
      <c r="AG50" s="2501"/>
      <c r="AH50" s="2501"/>
      <c r="AI50" s="2501"/>
      <c r="AJ50" s="2501"/>
      <c r="AK50" s="2501"/>
      <c r="AL50" s="2502"/>
      <c r="AM50" s="2502"/>
      <c r="AN50" s="2502"/>
      <c r="AO50" s="2502"/>
      <c r="AP50" s="2502"/>
      <c r="AQ50" s="2502"/>
      <c r="AR50" s="2503"/>
      <c r="AS50" s="2503"/>
      <c r="AT50" s="2503"/>
      <c r="AU50" s="2503"/>
      <c r="AV50" s="2503"/>
      <c r="AW50" s="2503"/>
    </row>
    <row r="51" spans="8:8" ht="17.25" customHeight="1">
      <c r="A51" s="2489"/>
      <c r="E51" s="2490"/>
      <c r="K51" s="2499"/>
      <c r="L51" s="2499"/>
      <c r="M51" s="2499"/>
      <c r="N51" s="2499"/>
      <c r="O51" s="2499"/>
      <c r="P51" s="2499"/>
      <c r="R51" s="2493"/>
      <c r="T51" s="2500"/>
      <c r="U51" s="2500"/>
      <c r="V51" s="2504"/>
      <c r="W51" s="2500"/>
      <c r="X51" s="2500"/>
      <c r="Y51" s="2500"/>
      <c r="Z51" s="2477"/>
      <c r="AA51" s="2477"/>
      <c r="AB51" s="2477"/>
      <c r="AC51" s="2477"/>
      <c r="AD51" s="2477"/>
      <c r="AE51" s="2477"/>
      <c r="AF51" s="2501"/>
      <c r="AG51" s="2501"/>
      <c r="AH51" s="2501"/>
      <c r="AI51" s="2501"/>
      <c r="AJ51" s="2501"/>
      <c r="AK51" s="2501"/>
      <c r="AL51" s="2502"/>
      <c r="AM51" s="2502"/>
      <c r="AN51" s="2502"/>
      <c r="AO51" s="2502"/>
      <c r="AP51" s="2502"/>
      <c r="AQ51" s="2502"/>
      <c r="AR51" s="2503"/>
      <c r="AS51" s="2503"/>
      <c r="AT51" s="2503"/>
      <c r="AU51" s="2503"/>
      <c r="AV51" s="2503"/>
      <c r="AW51" s="2503"/>
    </row>
    <row r="52" spans="8:8" ht="17.25" customHeight="1">
      <c r="A52" s="2489"/>
      <c r="E52" s="2490"/>
      <c r="R52" s="2493"/>
      <c r="T52" s="2505"/>
      <c r="U52" s="2505"/>
      <c r="V52" s="2506"/>
      <c r="W52" s="2505"/>
      <c r="X52" s="2505"/>
      <c r="Y52" s="2505"/>
      <c r="AF52" s="2477"/>
      <c r="AG52" s="2477"/>
      <c r="AH52" s="2477"/>
      <c r="AI52" s="2477"/>
      <c r="AJ52" s="2477"/>
      <c r="AK52" s="2477"/>
      <c r="AL52" s="2507"/>
      <c r="AM52" s="2507"/>
      <c r="AN52" s="2508"/>
      <c r="AO52" s="2507"/>
      <c r="AP52" s="2507"/>
      <c r="AQ52" s="2507"/>
      <c r="AX52" s="2477"/>
    </row>
    <row r="53" spans="8:8" ht="17.25" customHeight="1">
      <c r="A53" s="2489"/>
      <c r="E53" s="2490"/>
      <c r="N53" s="2509"/>
      <c r="O53" s="2510"/>
      <c r="P53" s="2510"/>
      <c r="Q53" s="2510"/>
      <c r="R53" s="2511"/>
      <c r="V53" s="2512"/>
      <c r="AF53" s="2477"/>
      <c r="AG53" s="2477"/>
      <c r="AN53" s="2496"/>
      <c r="AO53" s="2513"/>
      <c r="AP53" s="2513"/>
      <c r="AQ53" s="2513"/>
      <c r="AR53" s="2514"/>
      <c r="AS53" s="2507"/>
      <c r="AT53" s="2507"/>
      <c r="AU53" s="2507"/>
      <c r="AV53" s="2507"/>
      <c r="AW53" s="2507"/>
      <c r="AX53" s="2477"/>
    </row>
    <row r="54" spans="8:8" ht="17.25" customHeight="1">
      <c r="A54" s="2489"/>
      <c r="B54" s="2515"/>
      <c r="C54" s="2515"/>
      <c r="D54" s="2515"/>
      <c r="E54" s="2516"/>
      <c r="F54" s="2515"/>
      <c r="G54" s="2515"/>
      <c r="H54" s="2517" t="s">
        <v>3640</v>
      </c>
      <c r="I54" s="2517"/>
      <c r="J54" s="2517"/>
      <c r="K54" s="2517"/>
      <c r="L54" s="2517"/>
      <c r="M54" s="2517"/>
      <c r="N54" s="2518" t="s">
        <v>3641</v>
      </c>
      <c r="O54" s="2518"/>
      <c r="P54" s="2518"/>
      <c r="Q54" s="2519"/>
      <c r="R54" s="2520"/>
      <c r="S54" s="2519"/>
      <c r="T54" s="2519"/>
      <c r="U54" s="2519"/>
      <c r="V54" s="2521"/>
      <c r="W54" s="2515"/>
      <c r="Y54" s="2522" t="s">
        <v>3642</v>
      </c>
      <c r="Z54" s="2522"/>
      <c r="AA54" s="2522"/>
      <c r="AB54" s="2522"/>
      <c r="AC54" s="2522"/>
      <c r="AD54" s="2522"/>
      <c r="AE54" s="2522"/>
      <c r="AF54" s="2522"/>
      <c r="AG54" s="2477"/>
      <c r="AL54" s="2502" t="s">
        <v>3643</v>
      </c>
      <c r="AM54" s="2502"/>
      <c r="AN54" s="2502"/>
      <c r="AO54" s="2502"/>
      <c r="AP54" s="2502"/>
      <c r="AQ54" s="2502"/>
      <c r="AR54" s="2523"/>
      <c r="AS54" s="2477"/>
      <c r="AT54" s="2477"/>
      <c r="AU54" s="2477"/>
      <c r="AV54" s="2477"/>
      <c r="AW54" s="2477"/>
      <c r="AX54" s="2477"/>
    </row>
    <row r="55" spans="8:8" ht="17.25" customHeight="1">
      <c r="A55" s="2489"/>
      <c r="B55" s="2515"/>
      <c r="C55" s="2515"/>
      <c r="D55" s="2515"/>
      <c r="E55" s="2524"/>
      <c r="F55" s="2524"/>
      <c r="G55" s="2525"/>
      <c r="H55" s="2517"/>
      <c r="I55" s="2517"/>
      <c r="J55" s="2517"/>
      <c r="K55" s="2517"/>
      <c r="L55" s="2517"/>
      <c r="M55" s="2517"/>
      <c r="N55" s="2518"/>
      <c r="O55" s="2518"/>
      <c r="P55" s="2518"/>
      <c r="Q55" s="2526"/>
      <c r="R55" s="2527"/>
      <c r="S55" s="2515"/>
      <c r="T55" s="2515"/>
      <c r="U55" s="2515"/>
      <c r="V55" s="2515"/>
      <c r="W55" s="2515"/>
      <c r="Y55" s="2522"/>
      <c r="Z55" s="2522"/>
      <c r="AA55" s="2522"/>
      <c r="AB55" s="2522"/>
      <c r="AC55" s="2522"/>
      <c r="AD55" s="2522"/>
      <c r="AE55" s="2522"/>
      <c r="AF55" s="2522"/>
      <c r="AG55" s="2528"/>
      <c r="AH55" s="2528"/>
      <c r="AI55" s="2528"/>
      <c r="AJ55" s="2528"/>
      <c r="AK55" s="2528"/>
      <c r="AL55" s="2502"/>
      <c r="AM55" s="2502"/>
      <c r="AN55" s="2502"/>
      <c r="AO55" s="2502"/>
      <c r="AP55" s="2502"/>
      <c r="AQ55" s="2502"/>
      <c r="AR55" s="2523"/>
      <c r="AS55" s="2477"/>
      <c r="AT55" s="2477"/>
      <c r="AU55" s="2477"/>
      <c r="AV55" s="2477"/>
      <c r="AW55" s="2477"/>
      <c r="AX55" s="2477"/>
    </row>
    <row r="56" spans="8:8" ht="17.25" customHeight="1">
      <c r="A56" s="2489"/>
      <c r="B56" s="2515"/>
      <c r="C56" s="2515"/>
      <c r="D56" s="2515"/>
      <c r="E56" s="2515"/>
      <c r="F56" s="2515"/>
      <c r="G56" s="2516"/>
      <c r="H56" s="2517"/>
      <c r="I56" s="2517"/>
      <c r="J56" s="2517"/>
      <c r="K56" s="2517"/>
      <c r="L56" s="2517"/>
      <c r="M56" s="2517"/>
      <c r="N56" s="2518"/>
      <c r="O56" s="2518"/>
      <c r="P56" s="2518"/>
      <c r="Q56" s="2526"/>
      <c r="R56" s="2527"/>
      <c r="S56" s="2529"/>
      <c r="T56" s="2529"/>
      <c r="U56" s="2529"/>
      <c r="V56" s="2529"/>
      <c r="W56" s="2529"/>
      <c r="X56" s="2530"/>
      <c r="Y56" s="2522"/>
      <c r="Z56" s="2522"/>
      <c r="AA56" s="2522"/>
      <c r="AB56" s="2522"/>
      <c r="AC56" s="2522"/>
      <c r="AD56" s="2522"/>
      <c r="AE56" s="2522"/>
      <c r="AF56" s="2522"/>
      <c r="AG56" s="2477"/>
      <c r="AH56" s="2477"/>
      <c r="AI56" s="2477"/>
      <c r="AJ56" s="2477"/>
      <c r="AK56" s="2477"/>
      <c r="AL56" s="2502"/>
      <c r="AM56" s="2502"/>
      <c r="AN56" s="2502"/>
      <c r="AO56" s="2502"/>
      <c r="AP56" s="2502"/>
      <c r="AQ56" s="2502"/>
      <c r="AR56" s="2523"/>
      <c r="AS56" s="2477"/>
      <c r="AT56" s="2477"/>
      <c r="AU56" s="2477"/>
      <c r="AV56" s="2477"/>
      <c r="AW56" s="2477"/>
      <c r="AX56" s="2477"/>
    </row>
    <row r="57" spans="8:8" ht="17.25" customHeight="1">
      <c r="A57" s="2489"/>
      <c r="B57" s="2515"/>
      <c r="C57" s="2515"/>
      <c r="D57" s="2515"/>
      <c r="E57" s="2515"/>
      <c r="F57" s="2515"/>
      <c r="G57" s="2516"/>
      <c r="H57" s="2517"/>
      <c r="I57" s="2517"/>
      <c r="J57" s="2517"/>
      <c r="K57" s="2517"/>
      <c r="L57" s="2517"/>
      <c r="M57" s="2517"/>
      <c r="N57" s="2518"/>
      <c r="O57" s="2518"/>
      <c r="P57" s="2518"/>
      <c r="Q57" s="2526"/>
      <c r="R57" s="2527"/>
      <c r="S57" s="2515"/>
      <c r="T57" s="2515"/>
      <c r="U57" s="2515"/>
      <c r="V57" s="2515"/>
      <c r="W57" s="2515"/>
      <c r="Y57" s="2522"/>
      <c r="Z57" s="2522"/>
      <c r="AA57" s="2522"/>
      <c r="AB57" s="2522"/>
      <c r="AC57" s="2522"/>
      <c r="AD57" s="2522"/>
      <c r="AE57" s="2522"/>
      <c r="AF57" s="2522"/>
      <c r="AG57" s="2477"/>
      <c r="AH57" s="2477"/>
      <c r="AI57" s="2477"/>
      <c r="AJ57" s="2477"/>
      <c r="AK57" s="2477"/>
      <c r="AL57" s="2477"/>
      <c r="AM57" s="2477"/>
      <c r="AN57" s="2477"/>
      <c r="AO57" s="2531"/>
      <c r="AP57" s="2477"/>
      <c r="AQ57" s="2477"/>
      <c r="AR57" s="2523"/>
      <c r="AS57" s="2477"/>
      <c r="AT57" s="2477"/>
      <c r="AU57" s="2477"/>
      <c r="AX57" s="2477"/>
    </row>
    <row r="58" spans="8:8" ht="17.25" customHeight="1">
      <c r="A58" s="2489"/>
      <c r="B58" s="2532"/>
      <c r="C58" s="2532"/>
      <c r="D58" s="2532"/>
      <c r="E58" s="2532"/>
      <c r="F58" s="2532"/>
      <c r="G58" s="2533"/>
      <c r="H58" s="2534" t="s">
        <v>3644</v>
      </c>
      <c r="I58" s="2534"/>
      <c r="J58" s="2534"/>
      <c r="K58" s="2534"/>
      <c r="L58" s="2534"/>
      <c r="M58" s="2534"/>
      <c r="N58" s="2535" t="s">
        <v>3645</v>
      </c>
      <c r="O58" s="2535"/>
      <c r="P58" s="2535"/>
      <c r="Q58" s="2526"/>
      <c r="R58" s="2527"/>
      <c r="S58" s="2515"/>
      <c r="T58" s="2515"/>
      <c r="U58" s="2515"/>
      <c r="V58" s="2515"/>
      <c r="W58" s="2515"/>
      <c r="AE58" s="2505"/>
      <c r="AF58" s="2477"/>
      <c r="AG58" s="2477"/>
      <c r="AH58" s="2477"/>
      <c r="AI58" s="2477"/>
      <c r="AJ58" s="2477"/>
      <c r="AK58" s="2477"/>
      <c r="AL58" s="2477"/>
      <c r="AM58" s="2477"/>
      <c r="AN58" s="2536"/>
      <c r="AO58" s="2477"/>
      <c r="AP58" s="2477"/>
      <c r="AQ58" s="2477"/>
      <c r="AR58" s="2523"/>
      <c r="AS58" s="2477"/>
      <c r="AT58" s="2477"/>
      <c r="AU58" s="2477"/>
      <c r="AX58" s="2477"/>
    </row>
    <row r="59" spans="8:8" ht="17.25" customHeight="1">
      <c r="A59" s="2489"/>
      <c r="B59" s="2532"/>
      <c r="C59" s="2532"/>
      <c r="D59" s="2532"/>
      <c r="E59" s="2532"/>
      <c r="F59" s="2537"/>
      <c r="G59" s="2538"/>
      <c r="H59" s="2534"/>
      <c r="I59" s="2534"/>
      <c r="J59" s="2534"/>
      <c r="K59" s="2534"/>
      <c r="L59" s="2534"/>
      <c r="M59" s="2534"/>
      <c r="N59" s="2535"/>
      <c r="O59" s="2535"/>
      <c r="P59" s="2535"/>
      <c r="Q59" s="2521"/>
      <c r="R59" s="2527"/>
      <c r="S59" s="2515"/>
      <c r="T59" s="2515"/>
      <c r="U59" s="2515"/>
      <c r="V59" s="2515"/>
      <c r="W59" s="2515"/>
      <c r="AE59" s="2505"/>
      <c r="AF59" s="2477"/>
      <c r="AG59" s="2477"/>
      <c r="AH59" s="2477"/>
      <c r="AI59" s="2477"/>
      <c r="AJ59" s="2477"/>
      <c r="AK59" s="2477"/>
      <c r="AL59" s="2539" t="s">
        <v>3646</v>
      </c>
      <c r="AM59" s="2539"/>
      <c r="AN59" s="2539"/>
      <c r="AO59" s="2539"/>
      <c r="AP59" s="2539"/>
      <c r="AQ59" s="2539"/>
      <c r="AR59" s="2523"/>
      <c r="AS59" s="2477"/>
      <c r="AT59" s="2477"/>
      <c r="AU59" s="2477"/>
      <c r="AX59" s="2477"/>
    </row>
    <row r="60" spans="8:8" ht="17.25" customHeight="1">
      <c r="A60" s="2489"/>
      <c r="B60" s="2532"/>
      <c r="C60" s="2532"/>
      <c r="D60" s="2532"/>
      <c r="E60" s="2532"/>
      <c r="F60" s="2537"/>
      <c r="G60" s="2532"/>
      <c r="H60" s="2534"/>
      <c r="I60" s="2534"/>
      <c r="J60" s="2534"/>
      <c r="K60" s="2534"/>
      <c r="L60" s="2534"/>
      <c r="M60" s="2534"/>
      <c r="N60" s="2535"/>
      <c r="O60" s="2535"/>
      <c r="P60" s="2535"/>
      <c r="Q60" s="2515"/>
      <c r="R60" s="2527"/>
      <c r="S60" s="2515"/>
      <c r="T60" s="2515"/>
      <c r="U60" s="2515"/>
      <c r="V60" s="2515"/>
      <c r="W60" s="2515"/>
      <c r="AF60" s="2477"/>
      <c r="AG60" s="2477"/>
      <c r="AH60" s="2477"/>
      <c r="AI60" s="2477"/>
      <c r="AJ60" s="2477"/>
      <c r="AK60" s="2477"/>
      <c r="AL60" s="2539"/>
      <c r="AM60" s="2539"/>
      <c r="AN60" s="2539"/>
      <c r="AO60" s="2539"/>
      <c r="AP60" s="2539"/>
      <c r="AQ60" s="2539"/>
      <c r="AR60" s="2523"/>
      <c r="AS60" s="2477"/>
      <c r="AT60" s="2477"/>
      <c r="AU60" s="2477"/>
      <c r="AV60" s="2477"/>
      <c r="AW60" s="2477"/>
      <c r="AX60" s="2477"/>
    </row>
    <row r="61" spans="8:8" ht="17.25" customHeight="1">
      <c r="A61" s="2489"/>
      <c r="B61" s="2532"/>
      <c r="C61" s="2532"/>
      <c r="D61" s="2532"/>
      <c r="E61" s="2532"/>
      <c r="F61" s="2537"/>
      <c r="G61" s="2532"/>
      <c r="H61" s="2534"/>
      <c r="I61" s="2534"/>
      <c r="J61" s="2534"/>
      <c r="K61" s="2534"/>
      <c r="L61" s="2534"/>
      <c r="M61" s="2534"/>
      <c r="N61" s="2535"/>
      <c r="O61" s="2535"/>
      <c r="P61" s="2535"/>
      <c r="Q61" s="2515"/>
      <c r="R61" s="2527"/>
      <c r="S61" s="2515"/>
      <c r="T61" s="2515"/>
      <c r="U61" s="2515"/>
      <c r="V61" s="2515"/>
      <c r="W61" s="2515"/>
      <c r="AG61" s="2477"/>
      <c r="AH61" s="2477"/>
      <c r="AI61" s="2477"/>
      <c r="AJ61" s="2477"/>
      <c r="AK61" s="2477"/>
      <c r="AL61" s="2539"/>
      <c r="AM61" s="2539"/>
      <c r="AN61" s="2539"/>
      <c r="AO61" s="2539"/>
      <c r="AP61" s="2539"/>
      <c r="AQ61" s="2539"/>
      <c r="AR61" s="2523"/>
      <c r="AS61" s="2477"/>
      <c r="AT61" s="2477"/>
      <c r="AU61" s="2477"/>
      <c r="AV61" s="2477"/>
      <c r="AW61" s="2477"/>
      <c r="AX61" s="2477"/>
    </row>
    <row r="62" spans="8:8" ht="17.25" customHeight="1">
      <c r="A62" s="2489"/>
      <c r="B62" s="2532"/>
      <c r="C62" s="2532"/>
      <c r="D62" s="2532"/>
      <c r="E62" s="2532"/>
      <c r="F62" s="2537"/>
      <c r="G62" s="2540"/>
      <c r="H62" s="2540"/>
      <c r="I62" s="2541"/>
      <c r="J62" s="2541"/>
      <c r="K62" s="2541"/>
      <c r="L62" s="2541"/>
      <c r="M62" s="2541"/>
      <c r="N62" s="2541"/>
      <c r="O62" s="2541"/>
      <c r="P62" s="2541"/>
      <c r="Q62" s="2541"/>
      <c r="R62" s="2542"/>
      <c r="S62" s="2515"/>
      <c r="T62" s="2515"/>
      <c r="U62" s="2515"/>
      <c r="V62" s="2515"/>
      <c r="W62" s="2515"/>
      <c r="X62" s="2477"/>
      <c r="AG62" s="2477"/>
      <c r="AH62" s="2477"/>
      <c r="AI62" s="2477"/>
      <c r="AJ62" s="2477"/>
      <c r="AK62" s="2477"/>
      <c r="AL62" s="2543"/>
      <c r="AM62" s="2543"/>
      <c r="AN62" s="2543"/>
      <c r="AO62" s="2543"/>
      <c r="AP62" s="2543"/>
      <c r="AQ62" s="2543"/>
      <c r="AR62" s="2523"/>
      <c r="AS62" s="2477"/>
      <c r="AT62" s="2477"/>
      <c r="AU62" s="2477"/>
      <c r="AV62" s="2477"/>
      <c r="AW62" s="2477"/>
      <c r="AX62" s="2477"/>
    </row>
    <row r="63" spans="8:8" ht="17.25" customHeight="1">
      <c r="A63" s="2489"/>
      <c r="B63" s="2532"/>
      <c r="C63" s="2532"/>
      <c r="D63" s="2532"/>
      <c r="E63" s="2532"/>
      <c r="F63" s="2537"/>
      <c r="G63" s="2540"/>
      <c r="H63" s="2540"/>
      <c r="I63" s="2544"/>
      <c r="J63" s="2540"/>
      <c r="K63" s="2540"/>
      <c r="L63" s="2540"/>
      <c r="M63" s="2540"/>
      <c r="N63" s="2540"/>
      <c r="O63" s="2540"/>
      <c r="P63" s="2540"/>
      <c r="Q63" s="2540"/>
      <c r="R63" s="2540"/>
      <c r="S63" s="2515"/>
      <c r="T63" s="2515"/>
      <c r="U63" s="2515"/>
      <c r="V63" s="2515"/>
      <c r="W63" s="2515"/>
      <c r="X63" s="2477"/>
      <c r="AG63" s="2477"/>
      <c r="AH63" s="2477"/>
      <c r="AI63" s="2477"/>
      <c r="AJ63" s="2477"/>
      <c r="AK63" s="2477"/>
      <c r="AR63" s="2523"/>
      <c r="AS63" s="2477"/>
      <c r="AT63" s="2477"/>
      <c r="AU63" s="2477"/>
      <c r="AV63" s="2477"/>
      <c r="AW63" s="2477"/>
      <c r="AX63" s="2477"/>
    </row>
    <row r="64" spans="8:8" ht="17.25" customHeight="1">
      <c r="A64" s="2489"/>
      <c r="B64" s="2532"/>
      <c r="C64" s="2532"/>
      <c r="D64" s="2532"/>
      <c r="E64" s="2532"/>
      <c r="F64" s="2537"/>
      <c r="G64" s="2540"/>
      <c r="H64" s="2540"/>
      <c r="I64" s="2544"/>
      <c r="J64" s="2540"/>
      <c r="K64" s="2540"/>
      <c r="L64" s="2540"/>
      <c r="M64" s="2540"/>
      <c r="N64" s="2540"/>
      <c r="O64" s="2540"/>
      <c r="P64" s="2540"/>
      <c r="Q64" s="2540"/>
      <c r="R64" s="2540"/>
      <c r="S64" s="2515"/>
      <c r="T64" s="2515"/>
      <c r="U64" s="2545" t="s">
        <v>3647</v>
      </c>
      <c r="V64" s="2546"/>
      <c r="W64" s="2547" t="s">
        <v>3648</v>
      </c>
      <c r="X64" s="2546"/>
      <c r="Y64" s="2546"/>
      <c r="Z64" s="2546"/>
      <c r="AA64" s="2546"/>
      <c r="AB64" s="2546"/>
      <c r="AC64" s="2546"/>
      <c r="AD64" s="2546"/>
      <c r="AE64" s="2546"/>
      <c r="AF64" s="2546"/>
      <c r="AG64" s="2546"/>
      <c r="AH64" s="2546"/>
      <c r="AI64" s="2546"/>
      <c r="AJ64" s="2548"/>
      <c r="AK64" s="2477"/>
      <c r="AN64" s="2549" t="s">
        <v>3649</v>
      </c>
      <c r="AO64" s="2549"/>
      <c r="AP64" s="2549"/>
      <c r="AQ64" s="2549"/>
      <c r="AR64" s="2549"/>
      <c r="AS64" s="2549"/>
      <c r="AT64" s="2549"/>
      <c r="AU64" s="2549"/>
      <c r="AV64" s="2549"/>
      <c r="AW64" s="2549"/>
      <c r="AX64" s="2477"/>
    </row>
    <row r="65" spans="8:8" ht="17.25" customHeight="1">
      <c r="A65" s="2489"/>
      <c r="F65" s="2550" t="s">
        <v>3650</v>
      </c>
      <c r="G65" s="2551"/>
      <c r="H65" s="2552" t="s">
        <v>3651</v>
      </c>
      <c r="I65" s="2552"/>
      <c r="J65" s="2552"/>
      <c r="K65" s="2552" t="s">
        <v>3652</v>
      </c>
      <c r="L65" s="2552"/>
      <c r="M65" s="2552" t="s">
        <v>3653</v>
      </c>
      <c r="N65" s="2552"/>
      <c r="O65" s="232" t="s">
        <v>3654</v>
      </c>
      <c r="P65" s="233"/>
      <c r="Q65" s="233"/>
      <c r="R65" s="234"/>
      <c r="T65" s="2515"/>
      <c r="U65" s="2553"/>
      <c r="V65" s="2554"/>
      <c r="W65" s="2554"/>
      <c r="X65" s="2554"/>
      <c r="Y65" s="2554"/>
      <c r="Z65" s="2554"/>
      <c r="AA65" s="2554"/>
      <c r="AB65" s="2554"/>
      <c r="AC65" s="2554"/>
      <c r="AD65" s="2554"/>
      <c r="AE65" s="2554"/>
      <c r="AF65" s="2554"/>
      <c r="AG65" s="2554"/>
      <c r="AH65" s="2554"/>
      <c r="AI65" s="2554"/>
      <c r="AJ65" s="2555"/>
      <c r="AK65" s="2477"/>
      <c r="AN65" s="2549"/>
      <c r="AO65" s="2549"/>
      <c r="AP65" s="2549"/>
      <c r="AQ65" s="2549"/>
      <c r="AR65" s="2549"/>
      <c r="AS65" s="2549"/>
      <c r="AT65" s="2549"/>
      <c r="AU65" s="2549"/>
      <c r="AV65" s="2549"/>
      <c r="AW65" s="2549"/>
      <c r="AX65" s="2556"/>
      <c r="AY65" s="2556"/>
      <c r="AZ65" s="2556"/>
      <c r="BA65" s="2556"/>
      <c r="BB65" s="2556"/>
      <c r="BC65" s="2556"/>
      <c r="BD65" s="2556"/>
      <c r="BE65" s="2556"/>
      <c r="BF65" s="2556"/>
      <c r="BG65" s="2505"/>
    </row>
    <row r="66" spans="8:8" ht="17.25" customHeight="1">
      <c r="A66" s="2489"/>
      <c r="F66" s="2557"/>
      <c r="G66" s="2558"/>
      <c r="H66" s="2559" t="s">
        <v>3655</v>
      </c>
      <c r="I66" s="2559"/>
      <c r="J66" s="2559"/>
      <c r="K66" s="2559">
        <v>-2.0</v>
      </c>
      <c r="L66" s="2559"/>
      <c r="M66" s="2559">
        <v>-2.0</v>
      </c>
      <c r="N66" s="2559"/>
      <c r="O66" s="2560" t="s">
        <v>3656</v>
      </c>
      <c r="P66" s="2561"/>
      <c r="Q66" s="2561"/>
      <c r="R66" s="2562">
        <v>-3.0</v>
      </c>
      <c r="T66" s="2515"/>
      <c r="U66" s="2553"/>
      <c r="V66" s="2554"/>
      <c r="W66" s="2554"/>
      <c r="X66" s="2554"/>
      <c r="Y66" s="2554"/>
      <c r="Z66" s="2554"/>
      <c r="AA66" s="2554"/>
      <c r="AB66" s="2554"/>
      <c r="AC66" s="2554"/>
      <c r="AD66" s="2554"/>
      <c r="AE66" s="2554"/>
      <c r="AF66" s="2554"/>
      <c r="AG66" s="2554"/>
      <c r="AH66" s="2554"/>
      <c r="AI66" s="2554"/>
      <c r="AJ66" s="2555"/>
      <c r="AK66" s="2477"/>
      <c r="AN66" s="2454" t="s">
        <v>3657</v>
      </c>
      <c r="AO66" s="2420"/>
      <c r="AP66" s="2420"/>
      <c r="AQ66" s="2420"/>
      <c r="AR66" s="2420"/>
      <c r="AS66" s="2420"/>
      <c r="AT66" s="2420"/>
      <c r="AU66" s="2420"/>
      <c r="AV66" s="2420"/>
      <c r="AW66" s="2420"/>
      <c r="AX66" s="2556"/>
      <c r="AY66" s="2556"/>
      <c r="AZ66" s="2556"/>
      <c r="BA66" s="2556"/>
      <c r="BB66" s="2556"/>
      <c r="BC66" s="2556"/>
      <c r="BD66" s="2556"/>
      <c r="BE66" s="2556"/>
      <c r="BF66" s="2556"/>
      <c r="BG66" s="2505"/>
    </row>
    <row r="67" spans="8:8" ht="17.25" customHeight="1">
      <c r="A67" s="2489"/>
      <c r="F67" s="2557"/>
      <c r="G67" s="2558"/>
      <c r="H67" s="2563" t="s">
        <v>3658</v>
      </c>
      <c r="I67" s="2563"/>
      <c r="J67" s="2563"/>
      <c r="K67" s="2563">
        <v>-1.0</v>
      </c>
      <c r="L67" s="2563"/>
      <c r="M67" s="2563">
        <v>-1.0</v>
      </c>
      <c r="N67" s="2563"/>
      <c r="O67" s="2564" t="s">
        <v>3659</v>
      </c>
      <c r="P67" s="2565"/>
      <c r="Q67" s="2565"/>
      <c r="R67" s="2566">
        <v>-2.0</v>
      </c>
      <c r="U67" s="2567" t="s">
        <v>3660</v>
      </c>
      <c r="V67" s="2568"/>
      <c r="W67" s="2569" t="s">
        <v>3661</v>
      </c>
      <c r="X67" s="2570"/>
      <c r="Y67" s="2570"/>
      <c r="Z67" s="2570"/>
      <c r="AA67" s="2570"/>
      <c r="AB67" s="2570"/>
      <c r="AC67" s="2570"/>
      <c r="AD67" s="2570"/>
      <c r="AE67" s="2570"/>
      <c r="AF67" s="2570"/>
      <c r="AG67" s="2570"/>
      <c r="AH67" s="2570"/>
      <c r="AI67" s="2570"/>
      <c r="AJ67" s="2571"/>
      <c r="AK67" s="2477"/>
      <c r="AN67" s="2420"/>
      <c r="AO67" s="2420"/>
      <c r="AP67" s="2420"/>
      <c r="AQ67" s="2420"/>
      <c r="AR67" s="2420"/>
      <c r="AS67" s="2420"/>
      <c r="AT67" s="2420"/>
      <c r="AU67" s="2420"/>
      <c r="AV67" s="2420"/>
      <c r="AW67" s="2420"/>
      <c r="AX67" s="2556"/>
      <c r="AY67" s="2556"/>
      <c r="AZ67" s="2556"/>
      <c r="BA67" s="2556"/>
      <c r="BB67" s="2556"/>
      <c r="BC67" s="2556"/>
      <c r="BD67" s="2556"/>
      <c r="BE67" s="2556"/>
      <c r="BF67" s="2556"/>
      <c r="BG67" s="2505"/>
    </row>
    <row r="68" spans="8:8" ht="17.25" customHeight="1">
      <c r="A68" s="2489"/>
      <c r="F68" s="2557"/>
      <c r="G68" s="2558"/>
      <c r="H68" s="2572" t="s">
        <v>3662</v>
      </c>
      <c r="I68" s="2572"/>
      <c r="J68" s="2572"/>
      <c r="K68" s="2572">
        <v>0.0</v>
      </c>
      <c r="L68" s="2572"/>
      <c r="M68" s="2572">
        <v>0.0</v>
      </c>
      <c r="N68" s="2572"/>
      <c r="O68" s="2560" t="s">
        <v>3663</v>
      </c>
      <c r="P68" s="2561"/>
      <c r="Q68" s="2561"/>
      <c r="R68" s="2562">
        <v>-1.0</v>
      </c>
      <c r="U68" s="2567"/>
      <c r="V68" s="2568"/>
      <c r="W68" s="2570"/>
      <c r="X68" s="2570"/>
      <c r="Y68" s="2570"/>
      <c r="Z68" s="2570"/>
      <c r="AA68" s="2570"/>
      <c r="AB68" s="2570"/>
      <c r="AC68" s="2570"/>
      <c r="AD68" s="2570"/>
      <c r="AE68" s="2570"/>
      <c r="AF68" s="2570"/>
      <c r="AG68" s="2570"/>
      <c r="AH68" s="2570"/>
      <c r="AI68" s="2570"/>
      <c r="AJ68" s="2571"/>
      <c r="AK68" s="2477"/>
      <c r="AL68" s="2477"/>
      <c r="AM68" s="2477"/>
      <c r="AN68" s="2420"/>
      <c r="AO68" s="2420"/>
      <c r="AP68" s="2420"/>
      <c r="AQ68" s="2420"/>
      <c r="AR68" s="2420"/>
      <c r="AS68" s="2420"/>
      <c r="AT68" s="2420"/>
      <c r="AU68" s="2420"/>
      <c r="AV68" s="2420"/>
      <c r="AW68" s="2420"/>
      <c r="AX68" s="2556"/>
      <c r="AY68" s="2556"/>
      <c r="AZ68" s="2556"/>
      <c r="BA68" s="2556"/>
      <c r="BB68" s="2556"/>
      <c r="BC68" s="2556"/>
      <c r="BD68" s="2556"/>
      <c r="BE68" s="2556"/>
      <c r="BF68" s="2556"/>
      <c r="BG68" s="2505"/>
    </row>
    <row r="69" spans="8:8" ht="17.25" customHeight="1">
      <c r="A69" s="2489"/>
      <c r="F69" s="2557"/>
      <c r="G69" s="2558"/>
      <c r="H69" s="2563" t="s">
        <v>3664</v>
      </c>
      <c r="I69" s="2563"/>
      <c r="J69" s="2563"/>
      <c r="K69" s="2563" t="s">
        <v>3665</v>
      </c>
      <c r="L69" s="2563"/>
      <c r="M69" s="2563">
        <v>1.0</v>
      </c>
      <c r="N69" s="2563"/>
      <c r="O69" s="2573" t="s">
        <v>3666</v>
      </c>
      <c r="P69" s="2574"/>
      <c r="Q69" s="2574"/>
      <c r="R69" s="2575">
        <v>0.0</v>
      </c>
      <c r="U69" s="2567"/>
      <c r="V69" s="2568"/>
      <c r="W69" s="2570"/>
      <c r="X69" s="2570"/>
      <c r="Y69" s="2570"/>
      <c r="Z69" s="2570"/>
      <c r="AA69" s="2570"/>
      <c r="AB69" s="2570"/>
      <c r="AC69" s="2570"/>
      <c r="AD69" s="2570"/>
      <c r="AE69" s="2570"/>
      <c r="AF69" s="2570"/>
      <c r="AG69" s="2570"/>
      <c r="AH69" s="2570"/>
      <c r="AI69" s="2570"/>
      <c r="AJ69" s="2571"/>
      <c r="AK69" s="2477"/>
      <c r="AL69" s="2477"/>
      <c r="AM69" s="2477"/>
      <c r="AN69" s="2420"/>
      <c r="AO69" s="2420"/>
      <c r="AP69" s="2420"/>
      <c r="AQ69" s="2420"/>
      <c r="AR69" s="2420"/>
      <c r="AS69" s="2420"/>
      <c r="AT69" s="2420"/>
      <c r="AU69" s="2420"/>
      <c r="AV69" s="2420"/>
      <c r="AW69" s="2420"/>
      <c r="AX69" s="2556"/>
      <c r="AY69" s="2556"/>
      <c r="AZ69" s="2556"/>
      <c r="BA69" s="2556"/>
      <c r="BB69" s="2556"/>
      <c r="BC69" s="2556"/>
      <c r="BD69" s="2556"/>
      <c r="BE69" s="2556"/>
      <c r="BF69" s="2556"/>
      <c r="BG69" s="2505"/>
    </row>
    <row r="70" spans="8:8" ht="17.25" customHeight="1">
      <c r="A70" s="2489"/>
      <c r="F70" s="2557"/>
      <c r="G70" s="2558"/>
      <c r="H70" s="2559" t="s">
        <v>3667</v>
      </c>
      <c r="I70" s="2559"/>
      <c r="J70" s="2559"/>
      <c r="K70" s="2559" t="s">
        <v>3668</v>
      </c>
      <c r="L70" s="2559"/>
      <c r="M70" s="2559">
        <v>2.0</v>
      </c>
      <c r="N70" s="2559"/>
      <c r="O70" s="2560" t="s">
        <v>3669</v>
      </c>
      <c r="P70" s="2561"/>
      <c r="Q70" s="2561"/>
      <c r="R70" s="2576" t="s">
        <v>3670</v>
      </c>
      <c r="U70" s="2553" t="s">
        <v>3671</v>
      </c>
      <c r="V70" s="2554"/>
      <c r="W70" s="2577" t="s">
        <v>3672</v>
      </c>
      <c r="X70" s="2554"/>
      <c r="Y70" s="2554"/>
      <c r="Z70" s="2554"/>
      <c r="AA70" s="2554"/>
      <c r="AB70" s="2554"/>
      <c r="AC70" s="2554"/>
      <c r="AD70" s="2554"/>
      <c r="AE70" s="2554"/>
      <c r="AF70" s="2554"/>
      <c r="AG70" s="2554"/>
      <c r="AH70" s="2554"/>
      <c r="AI70" s="2554"/>
      <c r="AJ70" s="2555"/>
      <c r="AK70" s="2477"/>
      <c r="AL70" s="2477"/>
      <c r="AM70" s="2477"/>
      <c r="AN70" s="2578" t="s">
        <v>3673</v>
      </c>
      <c r="AO70" s="2579"/>
      <c r="AP70" s="2579"/>
      <c r="AQ70" s="2579"/>
      <c r="AR70" s="2579"/>
      <c r="AS70" s="2579"/>
      <c r="AT70" s="2579"/>
      <c r="AU70" s="2579"/>
      <c r="AV70" s="2579"/>
      <c r="AW70" s="2579"/>
      <c r="AX70" s="2556"/>
      <c r="AY70" s="2556"/>
      <c r="AZ70" s="2556"/>
      <c r="BA70" s="2556"/>
      <c r="BB70" s="2556"/>
      <c r="BC70" s="2556"/>
      <c r="BD70" s="2556"/>
      <c r="BE70" s="2556"/>
      <c r="BF70" s="2556"/>
      <c r="BG70" s="2505"/>
    </row>
    <row r="71" spans="8:8">
      <c r="A71" s="2489"/>
      <c r="F71" s="2557"/>
      <c r="G71" s="2558"/>
      <c r="H71" s="2563" t="s">
        <v>3674</v>
      </c>
      <c r="I71" s="2563"/>
      <c r="J71" s="2563"/>
      <c r="K71" s="2563" t="s">
        <v>3675</v>
      </c>
      <c r="L71" s="2563"/>
      <c r="M71" s="2563">
        <v>3.0</v>
      </c>
      <c r="N71" s="2563"/>
      <c r="O71" s="2564" t="s">
        <v>3676</v>
      </c>
      <c r="P71" s="2565"/>
      <c r="Q71" s="2565"/>
      <c r="R71" s="2580" t="s">
        <v>3677</v>
      </c>
      <c r="U71" s="2553"/>
      <c r="V71" s="2554"/>
      <c r="W71" s="2554"/>
      <c r="X71" s="2554"/>
      <c r="Y71" s="2554"/>
      <c r="Z71" s="2554"/>
      <c r="AA71" s="2554"/>
      <c r="AB71" s="2554"/>
      <c r="AC71" s="2554"/>
      <c r="AD71" s="2554"/>
      <c r="AE71" s="2554"/>
      <c r="AF71" s="2554"/>
      <c r="AG71" s="2554"/>
      <c r="AH71" s="2554"/>
      <c r="AI71" s="2554"/>
      <c r="AJ71" s="2555"/>
      <c r="AK71" s="2477"/>
      <c r="AL71" s="2477"/>
      <c r="AM71" s="2477"/>
      <c r="AN71" s="2579"/>
      <c r="AO71" s="2579"/>
      <c r="AP71" s="2579"/>
      <c r="AQ71" s="2579"/>
      <c r="AR71" s="2579"/>
      <c r="AS71" s="2579"/>
      <c r="AT71" s="2579"/>
      <c r="AU71" s="2579"/>
      <c r="AV71" s="2579"/>
      <c r="AW71" s="2579"/>
    </row>
    <row r="72" spans="8:8">
      <c r="A72" s="2489"/>
      <c r="F72" s="2557"/>
      <c r="G72" s="2558"/>
      <c r="H72" s="2559" t="s">
        <v>3678</v>
      </c>
      <c r="I72" s="2559"/>
      <c r="J72" s="2559"/>
      <c r="K72" s="2559" t="s">
        <v>3679</v>
      </c>
      <c r="L72" s="2559"/>
      <c r="M72" s="2559">
        <v>4.0</v>
      </c>
      <c r="N72" s="2559"/>
      <c r="O72" s="2560" t="s">
        <v>3680</v>
      </c>
      <c r="P72" s="2561"/>
      <c r="Q72" s="2561"/>
      <c r="R72" s="2576" t="s">
        <v>3681</v>
      </c>
      <c r="U72" s="2553"/>
      <c r="V72" s="2554"/>
      <c r="W72" s="2554"/>
      <c r="X72" s="2554"/>
      <c r="Y72" s="2554"/>
      <c r="Z72" s="2554"/>
      <c r="AA72" s="2554"/>
      <c r="AB72" s="2554"/>
      <c r="AC72" s="2554"/>
      <c r="AD72" s="2554"/>
      <c r="AE72" s="2554"/>
      <c r="AF72" s="2554"/>
      <c r="AG72" s="2554"/>
      <c r="AH72" s="2554"/>
      <c r="AI72" s="2554"/>
      <c r="AJ72" s="2555"/>
      <c r="AN72" s="2579"/>
      <c r="AO72" s="2579"/>
      <c r="AP72" s="2579"/>
      <c r="AQ72" s="2579"/>
      <c r="AR72" s="2579"/>
      <c r="AS72" s="2579"/>
      <c r="AT72" s="2579"/>
      <c r="AU72" s="2579"/>
      <c r="AV72" s="2579"/>
      <c r="AW72" s="2579"/>
    </row>
    <row r="73" spans="8:8">
      <c r="A73" s="2489"/>
      <c r="F73" s="2581"/>
      <c r="G73" s="2582"/>
      <c r="H73" s="2583" t="s">
        <v>3682</v>
      </c>
      <c r="I73" s="2583"/>
      <c r="J73" s="2583"/>
      <c r="K73" s="2583" t="s">
        <v>3683</v>
      </c>
      <c r="L73" s="2583"/>
      <c r="M73" s="2583">
        <v>5.0</v>
      </c>
      <c r="N73" s="2583"/>
      <c r="O73" s="2584" t="s">
        <v>3684</v>
      </c>
      <c r="P73" s="2585"/>
      <c r="Q73" s="2585"/>
      <c r="R73" s="2586" t="s">
        <v>3685</v>
      </c>
      <c r="U73" s="2567" t="s">
        <v>3686</v>
      </c>
      <c r="V73" s="2568"/>
      <c r="W73" s="2587" t="s">
        <v>3687</v>
      </c>
      <c r="X73" s="2568"/>
      <c r="Y73" s="2568"/>
      <c r="Z73" s="2568"/>
      <c r="AA73" s="2568"/>
      <c r="AB73" s="2568"/>
      <c r="AC73" s="2568"/>
      <c r="AD73" s="2568"/>
      <c r="AE73" s="2568"/>
      <c r="AF73" s="2568"/>
      <c r="AG73" s="2568"/>
      <c r="AH73" s="2568"/>
      <c r="AI73" s="2568"/>
      <c r="AJ73" s="2588"/>
      <c r="AN73" s="2579"/>
      <c r="AO73" s="2579"/>
      <c r="AP73" s="2579"/>
      <c r="AQ73" s="2579"/>
      <c r="AR73" s="2579"/>
      <c r="AS73" s="2579"/>
      <c r="AT73" s="2579"/>
      <c r="AU73" s="2579"/>
      <c r="AV73" s="2579"/>
      <c r="AW73" s="2579"/>
    </row>
    <row r="74" spans="8:8">
      <c r="A74" s="2489"/>
      <c r="F74" s="2589" t="s">
        <v>3688</v>
      </c>
      <c r="G74" s="2589"/>
      <c r="H74" s="2589"/>
      <c r="I74" s="2589"/>
      <c r="J74" s="2589"/>
      <c r="K74" s="2589"/>
      <c r="L74" s="2589"/>
      <c r="M74" s="2589"/>
      <c r="N74" s="2589"/>
      <c r="Q74" s="2477"/>
      <c r="R74" s="2477"/>
      <c r="U74" s="2590"/>
      <c r="V74" s="2568"/>
      <c r="W74" s="2568"/>
      <c r="X74" s="2568"/>
      <c r="Y74" s="2568"/>
      <c r="Z74" s="2568"/>
      <c r="AA74" s="2568"/>
      <c r="AB74" s="2568"/>
      <c r="AC74" s="2568"/>
      <c r="AD74" s="2568"/>
      <c r="AE74" s="2568"/>
      <c r="AF74" s="2568"/>
      <c r="AG74" s="2568"/>
      <c r="AH74" s="2568"/>
      <c r="AI74" s="2568"/>
      <c r="AJ74" s="2588"/>
      <c r="AK74" s="2477"/>
      <c r="AL74" s="2477"/>
      <c r="AM74" s="2477"/>
      <c r="AN74" s="2591"/>
      <c r="AO74" s="2591"/>
      <c r="AP74" s="2591"/>
      <c r="AQ74" s="2591"/>
      <c r="AR74" s="2591"/>
      <c r="AS74" s="2591"/>
      <c r="AT74" s="2591"/>
      <c r="AU74" s="2591"/>
      <c r="AV74" s="2591"/>
      <c r="AW74" s="2591"/>
    </row>
    <row r="75" spans="8:8">
      <c r="A75" s="2489"/>
      <c r="F75" s="2589"/>
      <c r="G75" s="2589"/>
      <c r="H75" s="2589"/>
      <c r="I75" s="2589"/>
      <c r="J75" s="2589"/>
      <c r="K75" s="2589"/>
      <c r="L75" s="2589"/>
      <c r="M75" s="2589"/>
      <c r="N75" s="2589"/>
      <c r="Q75" s="2477"/>
      <c r="R75" s="2477"/>
      <c r="U75" s="2567"/>
      <c r="V75" s="2568"/>
      <c r="W75" s="2568"/>
      <c r="X75" s="2568"/>
      <c r="Y75" s="2568"/>
      <c r="Z75" s="2568"/>
      <c r="AA75" s="2568"/>
      <c r="AB75" s="2568"/>
      <c r="AC75" s="2568"/>
      <c r="AD75" s="2568"/>
      <c r="AE75" s="2568"/>
      <c r="AF75" s="2568"/>
      <c r="AG75" s="2568"/>
      <c r="AH75" s="2568"/>
      <c r="AI75" s="2568"/>
      <c r="AJ75" s="2588"/>
      <c r="AL75" s="2477"/>
      <c r="AM75" s="2477"/>
      <c r="AN75" s="2477"/>
      <c r="AO75" s="2556"/>
      <c r="AP75" s="2556"/>
      <c r="AQ75" s="2556"/>
      <c r="AR75" s="2556"/>
      <c r="AS75" s="2556"/>
      <c r="AT75" s="2556"/>
      <c r="AU75" s="2556"/>
      <c r="AV75" s="2556"/>
      <c r="AW75" s="2556"/>
    </row>
    <row r="76" spans="8:8">
      <c r="A76" s="2489"/>
      <c r="G76" s="2505"/>
      <c r="H76" s="2505"/>
      <c r="P76" s="2477"/>
      <c r="Q76" s="2477"/>
      <c r="R76" s="2477"/>
      <c r="U76" s="2553" t="s">
        <v>3689</v>
      </c>
      <c r="V76" s="2554"/>
      <c r="W76" s="2577" t="s">
        <v>3690</v>
      </c>
      <c r="X76" s="2554"/>
      <c r="Y76" s="2554"/>
      <c r="Z76" s="2554"/>
      <c r="AA76" s="2554"/>
      <c r="AB76" s="2554"/>
      <c r="AC76" s="2554"/>
      <c r="AD76" s="2554"/>
      <c r="AE76" s="2554"/>
      <c r="AF76" s="2554"/>
      <c r="AG76" s="2554"/>
      <c r="AH76" s="2554"/>
      <c r="AI76" s="2554"/>
      <c r="AJ76" s="2555"/>
      <c r="AL76" s="2477"/>
      <c r="AM76" s="2477"/>
      <c r="AN76" s="2477"/>
      <c r="AO76" s="2556"/>
      <c r="AP76" s="2556"/>
      <c r="AQ76" s="2556"/>
      <c r="AR76" s="2556"/>
      <c r="AS76" s="2556"/>
      <c r="AT76" s="2556"/>
      <c r="AU76" s="2556"/>
      <c r="AV76" s="2556"/>
      <c r="AW76" s="2556"/>
    </row>
    <row r="77" spans="8:8">
      <c r="A77" s="2489"/>
      <c r="Q77" s="2477"/>
      <c r="R77" s="2477"/>
      <c r="U77" s="2553"/>
      <c r="V77" s="2554"/>
      <c r="W77" s="2554"/>
      <c r="X77" s="2554"/>
      <c r="Y77" s="2554"/>
      <c r="Z77" s="2554"/>
      <c r="AA77" s="2554"/>
      <c r="AB77" s="2554"/>
      <c r="AC77" s="2554"/>
      <c r="AD77" s="2554"/>
      <c r="AE77" s="2554"/>
      <c r="AF77" s="2554"/>
      <c r="AG77" s="2554"/>
      <c r="AH77" s="2554"/>
      <c r="AI77" s="2554"/>
      <c r="AJ77" s="2555"/>
      <c r="AK77" s="2477"/>
      <c r="AL77" s="2477"/>
      <c r="AM77" s="2477"/>
      <c r="AN77" s="2477"/>
      <c r="AO77" s="2556"/>
      <c r="AP77" s="2556"/>
      <c r="AQ77" s="2556"/>
      <c r="AR77" s="2556"/>
      <c r="AS77" s="2556"/>
      <c r="AT77" s="2556"/>
      <c r="AU77" s="2556"/>
      <c r="AV77" s="2556"/>
      <c r="AW77" s="2556"/>
    </row>
    <row r="78" spans="8:8">
      <c r="A78" s="2489"/>
      <c r="Q78" s="2477"/>
      <c r="R78" s="2477"/>
      <c r="U78" s="2553"/>
      <c r="V78" s="2554"/>
      <c r="W78" s="2554"/>
      <c r="X78" s="2554"/>
      <c r="Y78" s="2554"/>
      <c r="Z78" s="2554"/>
      <c r="AA78" s="2554"/>
      <c r="AB78" s="2554"/>
      <c r="AC78" s="2554"/>
      <c r="AD78" s="2554"/>
      <c r="AE78" s="2554"/>
      <c r="AF78" s="2554"/>
      <c r="AG78" s="2554"/>
      <c r="AH78" s="2554"/>
      <c r="AI78" s="2554"/>
      <c r="AJ78" s="2555"/>
      <c r="AO78" s="2556"/>
      <c r="AP78" s="2556"/>
      <c r="AQ78" s="2556"/>
      <c r="AR78" s="2556"/>
      <c r="AS78" s="2556"/>
      <c r="AT78" s="2556"/>
      <c r="AU78" s="2556"/>
      <c r="AV78" s="2556"/>
      <c r="AW78" s="2556"/>
    </row>
    <row r="79" spans="8:8">
      <c r="A79" s="2489"/>
      <c r="U79" s="2567" t="s">
        <v>3691</v>
      </c>
      <c r="V79" s="2568"/>
      <c r="W79" s="2587" t="s">
        <v>3692</v>
      </c>
      <c r="X79" s="2568"/>
      <c r="Y79" s="2568"/>
      <c r="Z79" s="2568"/>
      <c r="AA79" s="2568"/>
      <c r="AB79" s="2568"/>
      <c r="AC79" s="2568"/>
      <c r="AD79" s="2568"/>
      <c r="AE79" s="2568"/>
      <c r="AF79" s="2568"/>
      <c r="AG79" s="2568"/>
      <c r="AH79" s="2568"/>
      <c r="AI79" s="2568"/>
      <c r="AJ79" s="2588"/>
      <c r="AV79" s="2477"/>
      <c r="AW79" s="2477"/>
    </row>
    <row r="80" spans="8:8">
      <c r="A80" s="2489"/>
      <c r="U80" s="2567"/>
      <c r="V80" s="2568"/>
      <c r="W80" s="2568"/>
      <c r="X80" s="2568"/>
      <c r="Y80" s="2568"/>
      <c r="Z80" s="2568"/>
      <c r="AA80" s="2568"/>
      <c r="AB80" s="2568"/>
      <c r="AC80" s="2568"/>
      <c r="AD80" s="2568"/>
      <c r="AE80" s="2568"/>
      <c r="AF80" s="2568"/>
      <c r="AG80" s="2568"/>
      <c r="AH80" s="2568"/>
      <c r="AI80" s="2568"/>
      <c r="AJ80" s="2588"/>
      <c r="AK80" s="2477"/>
      <c r="AL80" s="2477"/>
      <c r="AM80" s="2477"/>
      <c r="AN80" s="2477"/>
      <c r="AO80" s="2477"/>
      <c r="AP80" s="2477"/>
      <c r="AQ80" s="2477"/>
      <c r="AR80" s="2477"/>
      <c r="AS80" s="2477"/>
      <c r="AT80" s="2477"/>
      <c r="AU80" s="2477"/>
      <c r="AV80" s="2477"/>
      <c r="AW80" s="2477"/>
    </row>
    <row r="81" spans="8:8">
      <c r="A81" s="2489"/>
      <c r="U81" s="2567"/>
      <c r="V81" s="2568"/>
      <c r="W81" s="2568"/>
      <c r="X81" s="2568"/>
      <c r="Y81" s="2568"/>
      <c r="Z81" s="2568"/>
      <c r="AA81" s="2568"/>
      <c r="AB81" s="2568"/>
      <c r="AC81" s="2568"/>
      <c r="AD81" s="2568"/>
      <c r="AE81" s="2568"/>
      <c r="AF81" s="2568"/>
      <c r="AG81" s="2568"/>
      <c r="AH81" s="2568"/>
      <c r="AI81" s="2568"/>
      <c r="AJ81" s="2588"/>
    </row>
    <row r="82" spans="8:8">
      <c r="A82" s="2489"/>
      <c r="U82" s="2553" t="s">
        <v>3693</v>
      </c>
      <c r="V82" s="2554"/>
      <c r="W82" s="2554"/>
      <c r="X82" s="2554"/>
      <c r="Y82" s="2554"/>
      <c r="Z82" s="2554"/>
      <c r="AA82" s="2554"/>
      <c r="AB82" s="2554"/>
      <c r="AC82" s="2554"/>
      <c r="AD82" s="2554"/>
      <c r="AE82" s="2554"/>
      <c r="AF82" s="2554"/>
      <c r="AG82" s="2554"/>
      <c r="AH82" s="2554"/>
      <c r="AI82" s="2554"/>
      <c r="AJ82" s="2555"/>
    </row>
    <row r="83" spans="8:8">
      <c r="A83" s="2489"/>
      <c r="U83" s="2553"/>
      <c r="V83" s="2554"/>
      <c r="W83" s="2554"/>
      <c r="X83" s="2554"/>
      <c r="Y83" s="2554"/>
      <c r="Z83" s="2554"/>
      <c r="AA83" s="2554"/>
      <c r="AB83" s="2554"/>
      <c r="AC83" s="2554"/>
      <c r="AD83" s="2554"/>
      <c r="AE83" s="2554"/>
      <c r="AF83" s="2554"/>
      <c r="AG83" s="2554"/>
      <c r="AH83" s="2554"/>
      <c r="AI83" s="2554"/>
      <c r="AJ83" s="2555"/>
    </row>
    <row r="84" spans="8:8">
      <c r="A84" s="2592"/>
      <c r="U84" s="2593"/>
      <c r="V84" s="2594"/>
      <c r="W84" s="2594"/>
      <c r="X84" s="2594"/>
      <c r="Y84" s="2594"/>
      <c r="Z84" s="2594"/>
      <c r="AA84" s="2594"/>
      <c r="AB84" s="2594"/>
      <c r="AC84" s="2594"/>
      <c r="AD84" s="2594"/>
      <c r="AE84" s="2594"/>
      <c r="AF84" s="2594"/>
      <c r="AG84" s="2594"/>
      <c r="AH84" s="2594"/>
      <c r="AI84" s="2594"/>
      <c r="AJ84" s="2595"/>
    </row>
    <row r="86" spans="8:8">
      <c r="B86" s="2302" t="s">
        <v>3694</v>
      </c>
      <c r="C86" s="2303"/>
      <c r="D86" s="2303"/>
      <c r="E86" s="2303"/>
      <c r="F86" s="2303"/>
      <c r="G86" s="2303"/>
      <c r="H86" s="2303"/>
      <c r="I86" s="2303"/>
      <c r="J86" s="2303"/>
      <c r="K86" s="2303"/>
      <c r="L86" s="2303"/>
      <c r="M86" s="2303"/>
      <c r="N86" s="2303"/>
      <c r="O86" s="2303"/>
      <c r="P86" s="2303"/>
      <c r="Q86" s="2303"/>
      <c r="R86" s="2303"/>
      <c r="S86" s="2303"/>
      <c r="T86" s="2303"/>
      <c r="U86" s="2303"/>
      <c r="V86" s="2303"/>
      <c r="W86" s="2303"/>
      <c r="X86" s="2303"/>
      <c r="Y86" s="2303"/>
      <c r="Z86" s="2303"/>
      <c r="AA86" s="2303"/>
      <c r="AB86" s="2303"/>
      <c r="AC86" s="2303"/>
      <c r="AD86" s="2303"/>
      <c r="AE86" s="2303"/>
      <c r="AF86" s="2303"/>
      <c r="AG86" s="2303"/>
      <c r="AH86" s="2303"/>
      <c r="AI86" s="2303"/>
      <c r="AJ86" s="2303"/>
      <c r="AK86" s="2303"/>
      <c r="AL86" s="2303"/>
      <c r="AM86" s="2303"/>
      <c r="AN86" s="2303"/>
      <c r="AO86" s="2303"/>
      <c r="AP86" s="2303"/>
      <c r="AQ86" s="2303"/>
      <c r="AR86" s="2303"/>
      <c r="AS86" s="2303"/>
      <c r="AT86" s="2303"/>
      <c r="AU86" s="2304"/>
    </row>
    <row r="87" spans="8:8">
      <c r="B87" s="2305"/>
      <c r="C87" s="2306"/>
      <c r="D87" s="2306"/>
      <c r="E87" s="2306"/>
      <c r="F87" s="2306"/>
      <c r="G87" s="2306"/>
      <c r="H87" s="2306"/>
      <c r="I87" s="2306"/>
      <c r="J87" s="2306"/>
      <c r="K87" s="2306"/>
      <c r="L87" s="2306"/>
      <c r="M87" s="2306"/>
      <c r="N87" s="2306"/>
      <c r="O87" s="2306"/>
      <c r="P87" s="2306"/>
      <c r="Q87" s="2306"/>
      <c r="R87" s="2306"/>
      <c r="S87" s="2306"/>
      <c r="T87" s="2306"/>
      <c r="U87" s="2306"/>
      <c r="V87" s="2306"/>
      <c r="W87" s="2306"/>
      <c r="X87" s="2306"/>
      <c r="Y87" s="2306"/>
      <c r="Z87" s="2306"/>
      <c r="AA87" s="2306"/>
      <c r="AB87" s="2306"/>
      <c r="AC87" s="2306"/>
      <c r="AD87" s="2306"/>
      <c r="AE87" s="2306"/>
      <c r="AF87" s="2306"/>
      <c r="AG87" s="2306"/>
      <c r="AH87" s="2306"/>
      <c r="AI87" s="2306"/>
      <c r="AJ87" s="2306"/>
      <c r="AK87" s="2306"/>
      <c r="AL87" s="2306"/>
      <c r="AM87" s="2306"/>
      <c r="AN87" s="2306"/>
      <c r="AO87" s="2306"/>
      <c r="AP87" s="2306"/>
      <c r="AQ87" s="2306"/>
      <c r="AR87" s="2306"/>
      <c r="AS87" s="2306"/>
      <c r="AT87" s="2306"/>
      <c r="AU87" s="2307"/>
    </row>
    <row r="88" spans="8:8">
      <c r="B88" s="2308"/>
      <c r="C88" s="2309"/>
      <c r="D88" s="2309"/>
      <c r="E88" s="2309"/>
      <c r="F88" s="2309"/>
      <c r="G88" s="2309"/>
      <c r="H88" s="2309"/>
      <c r="I88" s="2309"/>
      <c r="J88" s="2309"/>
      <c r="K88" s="2309"/>
      <c r="L88" s="2309"/>
      <c r="M88" s="2309"/>
      <c r="N88" s="2309"/>
      <c r="O88" s="2309"/>
      <c r="P88" s="2309"/>
      <c r="Q88" s="2309"/>
      <c r="R88" s="2309"/>
      <c r="S88" s="2309"/>
      <c r="T88" s="2309"/>
      <c r="U88" s="2309"/>
      <c r="V88" s="2309"/>
      <c r="W88" s="2309"/>
      <c r="X88" s="2309"/>
      <c r="Y88" s="2309"/>
      <c r="Z88" s="2309"/>
      <c r="AA88" s="2309"/>
      <c r="AB88" s="2309"/>
      <c r="AC88" s="2309"/>
      <c r="AD88" s="2309"/>
      <c r="AE88" s="2309"/>
      <c r="AF88" s="2309"/>
      <c r="AG88" s="2309"/>
      <c r="AH88" s="2309"/>
      <c r="AI88" s="2309"/>
      <c r="AJ88" s="2309"/>
      <c r="AK88" s="2309"/>
      <c r="AL88" s="2309"/>
      <c r="AM88" s="2309"/>
      <c r="AN88" s="2309"/>
      <c r="AO88" s="2309"/>
      <c r="AP88" s="2309"/>
      <c r="AQ88" s="2309"/>
      <c r="AR88" s="2309"/>
      <c r="AS88" s="2309"/>
      <c r="AT88" s="2309"/>
      <c r="AU88" s="2310"/>
    </row>
    <row r="89" spans="8:8">
      <c r="B89" s="2596"/>
      <c r="C89" s="2596"/>
      <c r="D89" s="2596"/>
      <c r="E89" s="2596"/>
      <c r="F89" s="2596"/>
      <c r="G89" s="2596"/>
      <c r="H89" s="2596"/>
      <c r="I89" s="2596"/>
      <c r="J89" s="2596"/>
      <c r="K89" s="2596"/>
      <c r="L89" s="2596"/>
      <c r="M89" s="2596"/>
      <c r="N89" s="2596"/>
      <c r="O89" s="2596"/>
      <c r="P89" s="2596"/>
      <c r="Q89" s="2596"/>
      <c r="R89" s="2596"/>
      <c r="S89" s="2596"/>
      <c r="T89" s="2596"/>
      <c r="U89" s="2596"/>
      <c r="V89" s="2596"/>
      <c r="W89" s="2596"/>
      <c r="X89" s="2596"/>
      <c r="Y89" s="2596"/>
      <c r="Z89" s="2596"/>
      <c r="AA89" s="2596"/>
      <c r="AB89" s="2596"/>
      <c r="AC89" s="2596"/>
      <c r="AD89" s="2596"/>
      <c r="AE89" s="2596"/>
      <c r="AF89" s="2596"/>
      <c r="AG89" s="2596"/>
      <c r="AH89" s="2596"/>
      <c r="AI89" s="2596"/>
      <c r="AJ89" s="2596"/>
      <c r="AK89" s="2596"/>
      <c r="AL89" s="2596"/>
      <c r="AM89" s="2596"/>
      <c r="AN89" s="2596"/>
      <c r="AO89" s="2596"/>
      <c r="AP89" s="2596"/>
      <c r="AQ89" s="2596"/>
      <c r="AR89" s="2596"/>
      <c r="AS89" s="2596"/>
      <c r="AT89" s="2596"/>
      <c r="AU89" s="2596"/>
    </row>
    <row r="90" spans="8:8" ht="18.0" customHeight="1">
      <c r="B90" s="2597" t="s">
        <v>3695</v>
      </c>
      <c r="C90" s="2598"/>
      <c r="D90" s="2598"/>
      <c r="E90" s="2598"/>
      <c r="F90" s="2598"/>
      <c r="G90" s="2598"/>
      <c r="H90" s="2598"/>
      <c r="I90" s="2598"/>
      <c r="J90" s="2598"/>
      <c r="K90" s="2598"/>
      <c r="L90" s="2598"/>
      <c r="M90" s="2598"/>
      <c r="N90" s="2598"/>
      <c r="O90" s="2598"/>
      <c r="P90" s="2598"/>
      <c r="Q90" s="2598"/>
      <c r="R90" s="2598"/>
      <c r="S90" s="2598"/>
      <c r="T90" s="2598"/>
      <c r="U90" s="2598"/>
      <c r="V90" s="2598"/>
      <c r="W90" s="2599"/>
      <c r="X90" s="2596"/>
      <c r="Y90" s="2596"/>
      <c r="Z90" s="2597" t="s">
        <v>3696</v>
      </c>
      <c r="AA90" s="2598"/>
      <c r="AB90" s="2598"/>
      <c r="AC90" s="2598"/>
      <c r="AD90" s="2598"/>
      <c r="AE90" s="2598"/>
      <c r="AF90" s="2598"/>
      <c r="AG90" s="2598"/>
      <c r="AH90" s="2598"/>
      <c r="AI90" s="2598"/>
      <c r="AJ90" s="2598"/>
      <c r="AK90" s="2598"/>
      <c r="AL90" s="2598"/>
      <c r="AM90" s="2598"/>
      <c r="AN90" s="2598"/>
      <c r="AO90" s="2598"/>
      <c r="AP90" s="2598"/>
      <c r="AQ90" s="2598"/>
      <c r="AR90" s="2598"/>
      <c r="AS90" s="2598"/>
      <c r="AT90" s="2598"/>
      <c r="AU90" s="2599"/>
    </row>
    <row r="91" spans="8:8" ht="18.0" customHeight="1">
      <c r="B91" s="2600"/>
      <c r="C91" s="2601"/>
      <c r="D91" s="2601"/>
      <c r="E91" s="2601"/>
      <c r="F91" s="2601"/>
      <c r="G91" s="2601"/>
      <c r="H91" s="2601"/>
      <c r="I91" s="2601"/>
      <c r="J91" s="2601"/>
      <c r="K91" s="2601"/>
      <c r="L91" s="2601"/>
      <c r="M91" s="2601"/>
      <c r="N91" s="2602"/>
      <c r="O91" s="2601"/>
      <c r="P91" s="2601"/>
      <c r="Q91" s="2601"/>
      <c r="R91" s="2601"/>
      <c r="S91" s="2601"/>
      <c r="T91" s="2601"/>
      <c r="U91" s="2601"/>
      <c r="V91" s="2601"/>
      <c r="W91" s="2603"/>
      <c r="X91" s="2596"/>
      <c r="Y91" s="2596"/>
      <c r="Z91" s="2600"/>
      <c r="AA91" s="2601"/>
      <c r="AB91" s="2601"/>
      <c r="AC91" s="2601"/>
      <c r="AD91" s="2601"/>
      <c r="AE91" s="2601"/>
      <c r="AF91" s="2601"/>
      <c r="AG91" s="2601"/>
      <c r="AH91" s="2601"/>
      <c r="AI91" s="2601"/>
      <c r="AJ91" s="2601"/>
      <c r="AK91" s="2601"/>
      <c r="AL91" s="2601"/>
      <c r="AM91" s="2601"/>
      <c r="AN91" s="2601"/>
      <c r="AO91" s="2601"/>
      <c r="AP91" s="2601"/>
      <c r="AQ91" s="2601"/>
      <c r="AR91" s="2601"/>
      <c r="AS91" s="2601"/>
      <c r="AT91" s="2601"/>
      <c r="AU91" s="2603"/>
    </row>
    <row r="92" spans="8:8">
      <c r="B92" s="2368" t="s">
        <v>3697</v>
      </c>
      <c r="C92" s="2369"/>
      <c r="D92" s="2369"/>
      <c r="E92" s="2369"/>
      <c r="F92" s="2369"/>
      <c r="G92" s="2369"/>
      <c r="H92" s="2369"/>
      <c r="I92" s="2369"/>
      <c r="J92" s="2369"/>
      <c r="K92" s="2369"/>
      <c r="L92" s="2369"/>
      <c r="M92" s="2604" t="s">
        <v>3698</v>
      </c>
      <c r="N92" s="2605"/>
      <c r="O92" s="2605"/>
      <c r="P92" s="2605"/>
      <c r="Q92" s="2605"/>
      <c r="R92" s="2605"/>
      <c r="S92" s="2605"/>
      <c r="T92" s="2605"/>
      <c r="U92" s="2605"/>
      <c r="V92" s="2605"/>
      <c r="W92" s="2606"/>
      <c r="X92" s="2596"/>
      <c r="Y92" s="2596"/>
      <c r="Z92" s="2607" t="s">
        <v>3699</v>
      </c>
      <c r="AA92" s="2608"/>
      <c r="AB92" s="2608"/>
      <c r="AC92" s="2608"/>
      <c r="AD92" s="2608"/>
      <c r="AE92" s="2608"/>
      <c r="AF92" s="2608"/>
      <c r="AG92" s="2608"/>
      <c r="AH92" s="2608"/>
      <c r="AI92" s="2608"/>
      <c r="AJ92" s="2608"/>
      <c r="AK92" s="2609"/>
      <c r="AL92" s="2609"/>
      <c r="AM92" s="2608"/>
      <c r="AN92" s="2608"/>
      <c r="AO92" s="2608"/>
      <c r="AP92" s="2610"/>
      <c r="AQ92" s="2608"/>
      <c r="AR92" s="2608"/>
      <c r="AS92" s="2608"/>
      <c r="AT92" s="2610"/>
      <c r="AU92" s="2611"/>
      <c r="AX92" s="2591"/>
      <c r="AY92" s="2591"/>
      <c r="AZ92" s="2591"/>
    </row>
    <row r="93" spans="8:8">
      <c r="B93" s="2371"/>
      <c r="C93" s="2372"/>
      <c r="D93" s="2372"/>
      <c r="E93" s="2372"/>
      <c r="F93" s="2372"/>
      <c r="G93" s="2372"/>
      <c r="H93" s="2372"/>
      <c r="I93" s="2372"/>
      <c r="J93" s="2372"/>
      <c r="K93" s="2372"/>
      <c r="L93" s="2372"/>
      <c r="M93" s="2612"/>
      <c r="N93" s="2613"/>
      <c r="O93" s="2613"/>
      <c r="P93" s="2613"/>
      <c r="Q93" s="2613"/>
      <c r="R93" s="2613"/>
      <c r="S93" s="2613"/>
      <c r="T93" s="2613"/>
      <c r="U93" s="2613"/>
      <c r="V93" s="2613"/>
      <c r="W93" s="2614"/>
      <c r="X93" s="2596"/>
      <c r="Y93" s="2596"/>
      <c r="Z93" s="2368" t="s">
        <v>3700</v>
      </c>
      <c r="AA93" s="2605"/>
      <c r="AB93" s="2605"/>
      <c r="AC93" s="2605"/>
      <c r="AD93" s="2605"/>
      <c r="AE93" s="2605"/>
      <c r="AF93" s="2605"/>
      <c r="AG93" s="2605"/>
      <c r="AH93" s="2605"/>
      <c r="AI93" s="2605"/>
      <c r="AJ93" s="2605"/>
      <c r="AK93" s="2604" t="s">
        <v>3701</v>
      </c>
      <c r="AL93" s="2605"/>
      <c r="AM93" s="2605"/>
      <c r="AN93" s="2605"/>
      <c r="AO93" s="2605"/>
      <c r="AP93" s="2605"/>
      <c r="AQ93" s="2605"/>
      <c r="AR93" s="2605"/>
      <c r="AS93" s="2605"/>
      <c r="AT93" s="2605"/>
      <c r="AU93" s="2606"/>
      <c r="AX93" s="2591"/>
      <c r="AY93" s="2591"/>
      <c r="AZ93" s="2591"/>
    </row>
    <row r="94" spans="8:8">
      <c r="B94" s="2371"/>
      <c r="C94" s="2372"/>
      <c r="D94" s="2372"/>
      <c r="E94" s="2372"/>
      <c r="F94" s="2372"/>
      <c r="G94" s="2372"/>
      <c r="H94" s="2372"/>
      <c r="I94" s="2372"/>
      <c r="J94" s="2372"/>
      <c r="K94" s="2372"/>
      <c r="L94" s="2372"/>
      <c r="M94" s="2604" t="s">
        <v>3702</v>
      </c>
      <c r="N94" s="2605"/>
      <c r="O94" s="2605"/>
      <c r="P94" s="2605"/>
      <c r="Q94" s="2605"/>
      <c r="R94" s="2605"/>
      <c r="S94" s="2605"/>
      <c r="T94" s="2605"/>
      <c r="U94" s="2605"/>
      <c r="V94" s="2605"/>
      <c r="W94" s="2606"/>
      <c r="X94" s="2596"/>
      <c r="Y94" s="2596"/>
      <c r="Z94" s="1244"/>
      <c r="AA94" s="1254"/>
      <c r="AB94" s="1254"/>
      <c r="AC94" s="1254"/>
      <c r="AD94" s="1254"/>
      <c r="AE94" s="1254"/>
      <c r="AF94" s="1254"/>
      <c r="AG94" s="1254"/>
      <c r="AH94" s="1254"/>
      <c r="AI94" s="1254"/>
      <c r="AJ94" s="1254"/>
      <c r="AK94" s="2615"/>
      <c r="AL94" s="1254"/>
      <c r="AM94" s="1254"/>
      <c r="AN94" s="1254"/>
      <c r="AO94" s="1254"/>
      <c r="AP94" s="1254"/>
      <c r="AQ94" s="1254"/>
      <c r="AR94" s="1254"/>
      <c r="AS94" s="1254"/>
      <c r="AT94" s="1254"/>
      <c r="AU94" s="2616"/>
      <c r="AX94" s="2591"/>
      <c r="AY94" s="2591"/>
      <c r="AZ94" s="2591"/>
    </row>
    <row r="95" spans="8:8">
      <c r="B95" s="2371"/>
      <c r="C95" s="2372"/>
      <c r="D95" s="2372"/>
      <c r="E95" s="2372"/>
      <c r="F95" s="2372"/>
      <c r="G95" s="2372"/>
      <c r="H95" s="2372"/>
      <c r="I95" s="2372"/>
      <c r="J95" s="2372"/>
      <c r="K95" s="2372"/>
      <c r="L95" s="2372"/>
      <c r="M95" s="2612"/>
      <c r="N95" s="2613"/>
      <c r="O95" s="2613"/>
      <c r="P95" s="2613"/>
      <c r="Q95" s="2613"/>
      <c r="R95" s="2613"/>
      <c r="S95" s="2613"/>
      <c r="T95" s="2613"/>
      <c r="U95" s="2613"/>
      <c r="V95" s="2613"/>
      <c r="W95" s="2614"/>
      <c r="X95" s="2596"/>
      <c r="Y95" s="2596"/>
      <c r="Z95" s="1244"/>
      <c r="AA95" s="1254"/>
      <c r="AB95" s="1254"/>
      <c r="AC95" s="1254"/>
      <c r="AD95" s="1254"/>
      <c r="AE95" s="1254"/>
      <c r="AF95" s="1254"/>
      <c r="AG95" s="1254"/>
      <c r="AH95" s="1254"/>
      <c r="AI95" s="1254"/>
      <c r="AJ95" s="1254"/>
      <c r="AK95" s="2615"/>
      <c r="AL95" s="1254"/>
      <c r="AM95" s="1254"/>
      <c r="AN95" s="1254"/>
      <c r="AO95" s="1254"/>
      <c r="AP95" s="1254"/>
      <c r="AQ95" s="1254"/>
      <c r="AR95" s="1254"/>
      <c r="AS95" s="1254"/>
      <c r="AT95" s="1254"/>
      <c r="AU95" s="2616"/>
      <c r="AX95" s="2591"/>
      <c r="AY95" s="2591"/>
      <c r="AZ95" s="2591"/>
    </row>
    <row r="96" spans="8:8">
      <c r="B96" s="2371"/>
      <c r="C96" s="2372"/>
      <c r="D96" s="2372"/>
      <c r="E96" s="2372"/>
      <c r="F96" s="2372"/>
      <c r="G96" s="2372"/>
      <c r="H96" s="2372"/>
      <c r="I96" s="2372"/>
      <c r="J96" s="2372"/>
      <c r="K96" s="2372"/>
      <c r="L96" s="2372"/>
      <c r="M96" s="2617" t="s">
        <v>3703</v>
      </c>
      <c r="N96" s="2618"/>
      <c r="O96" s="2618"/>
      <c r="P96" s="2618"/>
      <c r="Q96" s="2618"/>
      <c r="R96" s="2618"/>
      <c r="S96" s="2618"/>
      <c r="T96" s="2618"/>
      <c r="U96" s="2618"/>
      <c r="V96" s="2618"/>
      <c r="W96" s="2619"/>
      <c r="X96" s="2596"/>
      <c r="Y96" s="2596"/>
      <c r="Z96" s="2620"/>
      <c r="AA96" s="2621"/>
      <c r="AB96" s="2621"/>
      <c r="AC96" s="2621"/>
      <c r="AD96" s="2621"/>
      <c r="AE96" s="2621"/>
      <c r="AF96" s="2621"/>
      <c r="AG96" s="2621"/>
      <c r="AH96" s="2621"/>
      <c r="AI96" s="2621"/>
      <c r="AJ96" s="2622"/>
      <c r="AK96" s="2623"/>
      <c r="AL96" s="1256"/>
      <c r="AM96" s="1256"/>
      <c r="AN96" s="1256"/>
      <c r="AO96" s="1256"/>
      <c r="AP96" s="1256"/>
      <c r="AQ96" s="1256"/>
      <c r="AR96" s="1256"/>
      <c r="AS96" s="1256"/>
      <c r="AT96" s="1256"/>
      <c r="AU96" s="2358"/>
      <c r="AX96" s="2591"/>
      <c r="AY96" s="2591"/>
      <c r="AZ96" s="2591"/>
    </row>
    <row r="97" spans="8:8">
      <c r="B97" s="2371"/>
      <c r="C97" s="2372"/>
      <c r="D97" s="2372"/>
      <c r="E97" s="2372"/>
      <c r="F97" s="2372"/>
      <c r="G97" s="2372"/>
      <c r="H97" s="2372"/>
      <c r="I97" s="2372"/>
      <c r="J97" s="2372"/>
      <c r="K97" s="2372"/>
      <c r="L97" s="2372"/>
      <c r="M97" s="2624"/>
      <c r="N97" s="2625"/>
      <c r="O97" s="2625"/>
      <c r="P97" s="2625"/>
      <c r="Q97" s="2625"/>
      <c r="R97" s="2625"/>
      <c r="S97" s="2625"/>
      <c r="T97" s="2625"/>
      <c r="U97" s="2625"/>
      <c r="V97" s="2625"/>
      <c r="W97" s="2626"/>
      <c r="X97" s="2596"/>
      <c r="Y97" s="2596"/>
      <c r="Z97" s="2359"/>
      <c r="AA97" s="2627"/>
      <c r="AB97" s="2627"/>
      <c r="AC97" s="2627"/>
      <c r="AD97" s="2627"/>
      <c r="AE97" s="2627"/>
      <c r="AF97" s="2627"/>
      <c r="AG97" s="2627"/>
      <c r="AH97" s="2627"/>
      <c r="AI97" s="2627"/>
      <c r="AJ97" s="2627"/>
      <c r="AK97" s="2359"/>
      <c r="AL97" s="2627"/>
      <c r="AM97" s="2627"/>
      <c r="AN97" s="2627"/>
      <c r="AO97" s="2627"/>
      <c r="AP97" s="2627"/>
      <c r="AQ97" s="2627"/>
      <c r="AR97" s="2627"/>
      <c r="AS97" s="2627"/>
      <c r="AT97" s="2627"/>
      <c r="AU97" s="2359"/>
      <c r="AX97" s="2591"/>
      <c r="AY97" s="2591"/>
      <c r="AZ97" s="2591"/>
    </row>
    <row r="98" spans="8:8" ht="27.85">
      <c r="B98" s="2371"/>
      <c r="C98" s="2372"/>
      <c r="D98" s="2372"/>
      <c r="E98" s="2372"/>
      <c r="F98" s="2372"/>
      <c r="G98" s="2372"/>
      <c r="H98" s="2372"/>
      <c r="I98" s="2372"/>
      <c r="J98" s="2372"/>
      <c r="K98" s="2372"/>
      <c r="L98" s="2372"/>
      <c r="M98" s="2604" t="s">
        <v>3704</v>
      </c>
      <c r="N98" s="2605"/>
      <c r="O98" s="2605"/>
      <c r="P98" s="2605"/>
      <c r="Q98" s="2605"/>
      <c r="R98" s="2605"/>
      <c r="S98" s="2605"/>
      <c r="T98" s="2605"/>
      <c r="U98" s="2605"/>
      <c r="V98" s="2605"/>
      <c r="W98" s="2606"/>
      <c r="X98" s="2596"/>
      <c r="Y98" s="2596"/>
      <c r="Z98" s="2628"/>
      <c r="AA98" s="2628"/>
      <c r="AB98" s="2628"/>
      <c r="AC98" s="2628"/>
      <c r="AD98" s="2628"/>
      <c r="AE98" s="2628"/>
      <c r="AF98" s="2628"/>
      <c r="AG98" s="2628"/>
      <c r="AH98" s="2629"/>
      <c r="AI98" s="2628"/>
      <c r="AJ98" s="2628"/>
      <c r="AK98" s="2628"/>
      <c r="AL98" s="2628"/>
      <c r="AM98" s="2628"/>
      <c r="AN98" s="2628"/>
      <c r="AO98" s="2628"/>
      <c r="AP98" s="2628"/>
      <c r="AQ98" s="2628"/>
      <c r="AR98" s="2628"/>
      <c r="AS98" s="2628"/>
      <c r="AT98" s="2628"/>
      <c r="AU98" s="2628"/>
      <c r="AV98" s="2630"/>
      <c r="AW98" s="2630"/>
      <c r="AX98" s="2591"/>
      <c r="AY98" s="2591"/>
      <c r="AZ98" s="2591"/>
    </row>
    <row r="99" spans="8:8" ht="16.05" customHeight="1">
      <c r="B99" s="2371"/>
      <c r="C99" s="2372"/>
      <c r="D99" s="2372"/>
      <c r="E99" s="2372"/>
      <c r="F99" s="2372"/>
      <c r="G99" s="2372"/>
      <c r="H99" s="2372"/>
      <c r="I99" s="2372"/>
      <c r="J99" s="2372"/>
      <c r="K99" s="2372"/>
      <c r="L99" s="2372"/>
      <c r="M99" s="2612"/>
      <c r="N99" s="2613"/>
      <c r="O99" s="2613"/>
      <c r="P99" s="2613"/>
      <c r="Q99" s="2613"/>
      <c r="R99" s="2613"/>
      <c r="S99" s="2613"/>
      <c r="T99" s="2613"/>
      <c r="U99" s="2613"/>
      <c r="V99" s="2613"/>
      <c r="W99" s="2614"/>
      <c r="X99" s="2596"/>
      <c r="Y99" s="2596"/>
      <c r="Z99" s="2628"/>
      <c r="AA99" s="2628"/>
      <c r="AB99" s="2628"/>
      <c r="AC99" s="2628"/>
      <c r="AD99" s="2628"/>
      <c r="AE99" s="2628"/>
      <c r="AF99" s="2628"/>
      <c r="AG99" s="2628"/>
      <c r="AH99" s="2629"/>
      <c r="AI99" s="2628"/>
      <c r="AJ99" s="2628"/>
      <c r="AK99" s="2628"/>
      <c r="AL99" s="2628"/>
      <c r="AM99" s="2628"/>
      <c r="AN99" s="2628"/>
      <c r="AO99" s="2628"/>
      <c r="AP99" s="2628"/>
      <c r="AQ99" s="2628"/>
      <c r="AR99" s="2628"/>
      <c r="AS99" s="2628"/>
      <c r="AT99" s="2628"/>
      <c r="AU99" s="2628"/>
      <c r="AV99" s="2630"/>
      <c r="AW99" s="2630"/>
      <c r="AX99" s="2357"/>
      <c r="AY99" s="2357"/>
      <c r="AZ99" s="2357"/>
    </row>
    <row r="100" spans="8:8" ht="16.95" customHeight="1">
      <c r="B100" s="2371"/>
      <c r="C100" s="2372"/>
      <c r="D100" s="2372"/>
      <c r="E100" s="2372"/>
      <c r="F100" s="2372"/>
      <c r="G100" s="2372"/>
      <c r="H100" s="2372"/>
      <c r="I100" s="2372"/>
      <c r="J100" s="2372"/>
      <c r="K100" s="2372"/>
      <c r="L100" s="2372"/>
      <c r="M100" s="2631" t="s">
        <v>3705</v>
      </c>
      <c r="N100" s="2605"/>
      <c r="O100" s="2605"/>
      <c r="P100" s="2605"/>
      <c r="Q100" s="2605"/>
      <c r="R100" s="2605"/>
      <c r="S100" s="2605"/>
      <c r="T100" s="2605"/>
      <c r="U100" s="2605"/>
      <c r="V100" s="2605"/>
      <c r="W100" s="2606"/>
      <c r="X100" s="2627"/>
      <c r="Y100" s="2627"/>
      <c r="Z100" s="2632"/>
      <c r="AA100" s="2632"/>
      <c r="AB100" s="2632"/>
      <c r="AC100" s="2632"/>
      <c r="AD100" s="2632"/>
      <c r="AE100" s="2632"/>
      <c r="AF100" s="2632"/>
      <c r="AG100" s="2632"/>
      <c r="AH100" s="2632"/>
      <c r="AI100" s="2632"/>
      <c r="AJ100" s="2632"/>
      <c r="AK100" s="2632"/>
      <c r="AL100" s="2632"/>
      <c r="AM100" s="2632"/>
      <c r="AN100" s="2632"/>
      <c r="AO100" s="2632"/>
      <c r="AP100" s="2632"/>
      <c r="AQ100" s="2632"/>
      <c r="AR100" s="2632"/>
      <c r="AS100" s="2632"/>
      <c r="AT100" s="2632"/>
      <c r="AU100" s="2632"/>
      <c r="AV100" s="2515"/>
      <c r="AW100" s="2515"/>
      <c r="AX100" s="2357"/>
      <c r="AY100" s="2357"/>
      <c r="AZ100" s="2357"/>
    </row>
    <row r="101" spans="8:8">
      <c r="B101" s="2374"/>
      <c r="C101" s="2375"/>
      <c r="D101" s="2375"/>
      <c r="E101" s="2375"/>
      <c r="F101" s="2375"/>
      <c r="G101" s="2375"/>
      <c r="H101" s="2375"/>
      <c r="I101" s="2375"/>
      <c r="J101" s="2375"/>
      <c r="K101" s="2375"/>
      <c r="L101" s="2375"/>
      <c r="M101" s="2623"/>
      <c r="N101" s="1256"/>
      <c r="O101" s="1256"/>
      <c r="P101" s="1256"/>
      <c r="Q101" s="1256"/>
      <c r="R101" s="1256"/>
      <c r="S101" s="1256"/>
      <c r="T101" s="1256"/>
      <c r="U101" s="1256"/>
      <c r="V101" s="1256"/>
      <c r="W101" s="2358"/>
      <c r="X101" s="2627"/>
      <c r="Y101" s="2627"/>
      <c r="Z101" s="2632"/>
      <c r="AA101" s="2632"/>
      <c r="AB101" s="2632"/>
      <c r="AC101" s="2632"/>
      <c r="AD101" s="2632"/>
      <c r="AE101" s="2632"/>
      <c r="AF101" s="2632"/>
      <c r="AG101" s="2632"/>
      <c r="AH101" s="2632"/>
      <c r="AI101" s="2632"/>
      <c r="AJ101" s="2632"/>
      <c r="AK101" s="2632"/>
      <c r="AL101" s="2632"/>
      <c r="AM101" s="2632"/>
      <c r="AN101" s="2632"/>
      <c r="AO101" s="2632"/>
      <c r="AP101" s="2632"/>
      <c r="AQ101" s="2632"/>
      <c r="AR101" s="2632"/>
      <c r="AS101" s="2632"/>
      <c r="AT101" s="2632"/>
      <c r="AU101" s="2632"/>
      <c r="AV101" s="2515"/>
      <c r="AW101" s="2515"/>
      <c r="AX101" s="2633"/>
      <c r="AY101" s="2633"/>
      <c r="AZ101" s="2633"/>
    </row>
    <row r="102" spans="8:8">
      <c r="B102" s="2596"/>
      <c r="C102" s="2596"/>
      <c r="D102" s="2596"/>
      <c r="E102" s="2596"/>
      <c r="F102" s="2596"/>
      <c r="G102" s="2596"/>
      <c r="H102" s="2596"/>
      <c r="I102" s="2596"/>
      <c r="J102" s="2596"/>
      <c r="K102" s="2596"/>
      <c r="L102" s="2596"/>
      <c r="M102" s="2634"/>
      <c r="N102" s="2634"/>
      <c r="O102" s="2596"/>
      <c r="P102" s="2596"/>
      <c r="Q102" s="2596"/>
      <c r="R102" s="2596"/>
      <c r="S102" s="2596"/>
      <c r="T102" s="2596"/>
      <c r="U102" s="2596"/>
      <c r="V102" s="2596"/>
      <c r="W102" s="2596"/>
      <c r="X102" s="2627"/>
      <c r="Y102" s="2627"/>
      <c r="Z102" s="2632"/>
      <c r="AA102" s="2632"/>
      <c r="AB102" s="2632"/>
      <c r="AC102" s="2632"/>
      <c r="AD102" s="2632"/>
      <c r="AE102" s="2632"/>
      <c r="AF102" s="2632"/>
      <c r="AG102" s="2632"/>
      <c r="AH102" s="2632"/>
      <c r="AI102" s="2632"/>
      <c r="AJ102" s="2632"/>
      <c r="AK102" s="2632"/>
      <c r="AL102" s="2632"/>
      <c r="AM102" s="2632"/>
      <c r="AN102" s="2632"/>
      <c r="AO102" s="2632"/>
      <c r="AP102" s="2632"/>
      <c r="AQ102" s="2632"/>
      <c r="AR102" s="2632"/>
      <c r="AS102" s="2632"/>
      <c r="AT102" s="2632"/>
      <c r="AU102" s="2632"/>
      <c r="AV102" s="2515"/>
      <c r="AW102" s="2515"/>
      <c r="AX102" s="2633"/>
      <c r="AY102" s="2633"/>
      <c r="AZ102" s="2633"/>
    </row>
    <row r="103" spans="8:8">
      <c r="B103" s="2302" t="s">
        <v>3706</v>
      </c>
      <c r="C103" s="2303"/>
      <c r="D103" s="2303"/>
      <c r="E103" s="2303"/>
      <c r="F103" s="2303"/>
      <c r="G103" s="2303"/>
      <c r="H103" s="2303"/>
      <c r="I103" s="2303"/>
      <c r="J103" s="2303"/>
      <c r="K103" s="2303"/>
      <c r="L103" s="2303"/>
      <c r="M103" s="2303"/>
      <c r="N103" s="2303"/>
      <c r="O103" s="2303"/>
      <c r="P103" s="2303"/>
      <c r="Q103" s="2303"/>
      <c r="R103" s="2303"/>
      <c r="S103" s="2303"/>
      <c r="T103" s="2303"/>
      <c r="U103" s="2303"/>
      <c r="V103" s="2303"/>
      <c r="W103" s="2303"/>
      <c r="X103" s="2303"/>
      <c r="Y103" s="2303"/>
      <c r="Z103" s="2303"/>
      <c r="AA103" s="2303"/>
      <c r="AB103" s="2303"/>
      <c r="AC103" s="2303"/>
      <c r="AD103" s="2303"/>
      <c r="AE103" s="2303"/>
      <c r="AF103" s="2303"/>
      <c r="AG103" s="2303"/>
      <c r="AH103" s="2303"/>
      <c r="AI103" s="2303"/>
      <c r="AJ103" s="2303"/>
      <c r="AK103" s="2303"/>
      <c r="AL103" s="2303"/>
      <c r="AM103" s="2303"/>
      <c r="AN103" s="2303"/>
      <c r="AO103" s="2303"/>
      <c r="AP103" s="2303"/>
      <c r="AQ103" s="2303"/>
      <c r="AR103" s="2303"/>
      <c r="AS103" s="2303"/>
      <c r="AT103" s="2303"/>
      <c r="AU103" s="2304"/>
      <c r="AV103" s="2635"/>
      <c r="AW103" s="2515"/>
      <c r="AX103" s="2505"/>
      <c r="AY103" s="2505"/>
      <c r="AZ103" s="2505"/>
    </row>
    <row r="104" spans="8:8">
      <c r="B104" s="2305"/>
      <c r="C104" s="2306"/>
      <c r="D104" s="2306"/>
      <c r="E104" s="2306"/>
      <c r="F104" s="2306"/>
      <c r="G104" s="2306"/>
      <c r="H104" s="2306"/>
      <c r="I104" s="2306"/>
      <c r="J104" s="2306"/>
      <c r="K104" s="2306"/>
      <c r="L104" s="2306"/>
      <c r="M104" s="2306"/>
      <c r="N104" s="2306"/>
      <c r="O104" s="2306"/>
      <c r="P104" s="2306"/>
      <c r="Q104" s="2306"/>
      <c r="R104" s="2306"/>
      <c r="S104" s="2306"/>
      <c r="T104" s="2306"/>
      <c r="U104" s="2306"/>
      <c r="V104" s="2306"/>
      <c r="W104" s="2306"/>
      <c r="X104" s="2306"/>
      <c r="Y104" s="2306"/>
      <c r="Z104" s="2306"/>
      <c r="AA104" s="2306"/>
      <c r="AB104" s="2306"/>
      <c r="AC104" s="2306"/>
      <c r="AD104" s="2306"/>
      <c r="AE104" s="2306"/>
      <c r="AF104" s="2306"/>
      <c r="AG104" s="2306"/>
      <c r="AH104" s="2306"/>
      <c r="AI104" s="2306"/>
      <c r="AJ104" s="2306"/>
      <c r="AK104" s="2306"/>
      <c r="AL104" s="2306"/>
      <c r="AM104" s="2306"/>
      <c r="AN104" s="2306"/>
      <c r="AO104" s="2306"/>
      <c r="AP104" s="2306"/>
      <c r="AQ104" s="2306"/>
      <c r="AR104" s="2306"/>
      <c r="AS104" s="2306"/>
      <c r="AT104" s="2306"/>
      <c r="AU104" s="2307"/>
      <c r="AV104" s="2635"/>
      <c r="AW104" s="2515"/>
      <c r="AX104" s="2505"/>
      <c r="AY104" s="2505"/>
      <c r="AZ104" s="2505"/>
    </row>
    <row r="105" spans="8:8">
      <c r="B105" s="2308"/>
      <c r="C105" s="2309"/>
      <c r="D105" s="2309"/>
      <c r="E105" s="2309"/>
      <c r="F105" s="2309"/>
      <c r="G105" s="2309"/>
      <c r="H105" s="2309"/>
      <c r="I105" s="2309"/>
      <c r="J105" s="2309"/>
      <c r="K105" s="2309"/>
      <c r="L105" s="2309"/>
      <c r="M105" s="2309"/>
      <c r="N105" s="2309"/>
      <c r="O105" s="2309"/>
      <c r="P105" s="2309"/>
      <c r="Q105" s="2309"/>
      <c r="R105" s="2309"/>
      <c r="S105" s="2309"/>
      <c r="T105" s="2309"/>
      <c r="U105" s="2309"/>
      <c r="V105" s="2309"/>
      <c r="W105" s="2309"/>
      <c r="X105" s="2309"/>
      <c r="Y105" s="2309"/>
      <c r="Z105" s="2309"/>
      <c r="AA105" s="2309"/>
      <c r="AB105" s="2309"/>
      <c r="AC105" s="2309"/>
      <c r="AD105" s="2309"/>
      <c r="AE105" s="2309"/>
      <c r="AF105" s="2309"/>
      <c r="AG105" s="2309"/>
      <c r="AH105" s="2309"/>
      <c r="AI105" s="2309"/>
      <c r="AJ105" s="2309"/>
      <c r="AK105" s="2309"/>
      <c r="AL105" s="2309"/>
      <c r="AM105" s="2309"/>
      <c r="AN105" s="2309"/>
      <c r="AO105" s="2309"/>
      <c r="AP105" s="2309"/>
      <c r="AQ105" s="2309"/>
      <c r="AR105" s="2309"/>
      <c r="AS105" s="2309"/>
      <c r="AT105" s="2309"/>
      <c r="AU105" s="2310"/>
      <c r="AV105" s="2635"/>
      <c r="AW105" s="2515"/>
      <c r="AX105" s="2505"/>
      <c r="AY105" s="2505"/>
      <c r="AZ105" s="2505"/>
    </row>
    <row r="106" spans="8:8">
      <c r="B106" s="2223"/>
      <c r="C106" s="2223"/>
      <c r="D106" s="2223"/>
      <c r="E106" s="2223"/>
      <c r="F106" s="2223"/>
      <c r="G106" s="2223"/>
      <c r="H106" s="2223"/>
      <c r="I106" s="2223"/>
      <c r="J106" s="2223"/>
      <c r="K106" s="2223"/>
      <c r="L106" s="2223"/>
      <c r="M106" s="2223"/>
      <c r="N106" s="2223"/>
      <c r="O106" s="2223"/>
      <c r="P106" s="2223"/>
      <c r="Q106" s="2223"/>
      <c r="R106" s="2223"/>
      <c r="S106" s="2223"/>
      <c r="T106" s="2632"/>
      <c r="U106" s="2632"/>
      <c r="V106" s="2632"/>
      <c r="W106" s="2632"/>
      <c r="X106" s="2591"/>
      <c r="Y106" s="2627"/>
      <c r="Z106" s="2632"/>
      <c r="AA106" s="2632"/>
      <c r="AB106" s="2632"/>
      <c r="AC106" s="2632"/>
      <c r="AD106" s="2632"/>
      <c r="AE106" s="2632"/>
      <c r="AF106" s="2632"/>
      <c r="AG106" s="2632"/>
      <c r="AH106" s="2632"/>
      <c r="AI106" s="2632"/>
      <c r="AJ106" s="2632"/>
      <c r="AK106" s="2632"/>
      <c r="AL106" s="2632"/>
      <c r="AM106" s="2632"/>
      <c r="AN106" s="2632"/>
      <c r="AO106" s="2632"/>
      <c r="AP106" s="2632"/>
      <c r="AQ106" s="2632"/>
      <c r="AR106" s="2632"/>
      <c r="AS106" s="2632"/>
      <c r="AT106" s="2632"/>
      <c r="AU106" s="2632"/>
      <c r="AV106" s="2635"/>
      <c r="AW106" s="2515"/>
      <c r="AX106" s="2505"/>
      <c r="AY106" s="2505"/>
      <c r="AZ106" s="2505"/>
    </row>
    <row r="107" spans="8:8" ht="18.0" customHeight="1">
      <c r="B107" s="2597" t="s">
        <v>3707</v>
      </c>
      <c r="C107" s="2598"/>
      <c r="D107" s="2598"/>
      <c r="E107" s="2598"/>
      <c r="F107" s="2598"/>
      <c r="G107" s="2598"/>
      <c r="H107" s="2598"/>
      <c r="I107" s="2598"/>
      <c r="J107" s="2598"/>
      <c r="K107" s="2598"/>
      <c r="L107" s="2598"/>
      <c r="M107" s="2598"/>
      <c r="N107" s="2598"/>
      <c r="O107" s="2598"/>
      <c r="P107" s="2599"/>
      <c r="R107" s="2597" t="s">
        <v>3708</v>
      </c>
      <c r="S107" s="2598"/>
      <c r="T107" s="2598"/>
      <c r="U107" s="2598"/>
      <c r="V107" s="2598"/>
      <c r="W107" s="2598"/>
      <c r="X107" s="2598"/>
      <c r="Y107" s="2598"/>
      <c r="Z107" s="2598"/>
      <c r="AA107" s="2599"/>
      <c r="AB107" s="2357"/>
      <c r="AC107" s="2597" t="s">
        <v>3709</v>
      </c>
      <c r="AD107" s="2598"/>
      <c r="AE107" s="2598"/>
      <c r="AF107" s="2598"/>
      <c r="AG107" s="2598"/>
      <c r="AH107" s="2598"/>
      <c r="AI107" s="2598"/>
      <c r="AJ107" s="2598"/>
      <c r="AK107" s="2598"/>
      <c r="AL107" s="2598"/>
      <c r="AM107" s="2599"/>
      <c r="AO107" s="2597" t="s">
        <v>3710</v>
      </c>
      <c r="AP107" s="2598"/>
      <c r="AQ107" s="2598"/>
      <c r="AR107" s="2598"/>
      <c r="AS107" s="2598"/>
      <c r="AT107" s="2598"/>
      <c r="AU107" s="2599"/>
      <c r="AV107" s="2357"/>
      <c r="AW107" s="2357"/>
      <c r="AX107" s="2636"/>
      <c r="AY107" s="2636"/>
      <c r="AZ107" s="2636"/>
    </row>
    <row r="108" spans="8:8" ht="18.0" customHeight="1">
      <c r="B108" s="2600"/>
      <c r="C108" s="2601"/>
      <c r="D108" s="2601"/>
      <c r="E108" s="2601"/>
      <c r="F108" s="2601"/>
      <c r="G108" s="2601"/>
      <c r="H108" s="2601"/>
      <c r="I108" s="2601"/>
      <c r="J108" s="2601"/>
      <c r="K108" s="2601"/>
      <c r="L108" s="2601"/>
      <c r="M108" s="2601"/>
      <c r="N108" s="2601"/>
      <c r="O108" s="2601"/>
      <c r="P108" s="2603"/>
      <c r="R108" s="2637"/>
      <c r="S108" s="2638"/>
      <c r="T108" s="2638"/>
      <c r="U108" s="2638"/>
      <c r="V108" s="2638"/>
      <c r="W108" s="2638"/>
      <c r="X108" s="2638"/>
      <c r="Y108" s="2638"/>
      <c r="Z108" s="2638"/>
      <c r="AA108" s="2639"/>
      <c r="AB108" s="2357"/>
      <c r="AC108" s="2637"/>
      <c r="AD108" s="2638"/>
      <c r="AE108" s="2638"/>
      <c r="AF108" s="2638"/>
      <c r="AG108" s="2638"/>
      <c r="AH108" s="2638"/>
      <c r="AI108" s="2638"/>
      <c r="AJ108" s="2638"/>
      <c r="AK108" s="2638"/>
      <c r="AL108" s="2638"/>
      <c r="AM108" s="2639"/>
      <c r="AO108" s="2600"/>
      <c r="AP108" s="2601"/>
      <c r="AQ108" s="2601"/>
      <c r="AR108" s="2601"/>
      <c r="AS108" s="2601"/>
      <c r="AT108" s="2601"/>
      <c r="AU108" s="2603"/>
      <c r="AV108" s="2357"/>
      <c r="AW108" s="2357"/>
      <c r="AX108" s="2636"/>
      <c r="AY108" s="2636"/>
      <c r="AZ108" s="2636"/>
    </row>
    <row r="109" spans="8:8" ht="18.0" customHeight="1">
      <c r="B109" s="2640" t="s">
        <v>3711</v>
      </c>
      <c r="C109" s="2641"/>
      <c r="D109" s="2641"/>
      <c r="E109" s="2641"/>
      <c r="F109" s="2641"/>
      <c r="G109" s="2641"/>
      <c r="H109" s="2641"/>
      <c r="I109" s="2641"/>
      <c r="J109" s="2641"/>
      <c r="K109" s="2641"/>
      <c r="L109" s="2641"/>
      <c r="M109" s="2641"/>
      <c r="N109" s="2642" t="s">
        <v>3712</v>
      </c>
      <c r="O109" s="2643"/>
      <c r="P109" s="2644"/>
      <c r="R109" s="2645" t="s">
        <v>3713</v>
      </c>
      <c r="S109" s="2643"/>
      <c r="T109" s="2643"/>
      <c r="U109" s="2643"/>
      <c r="V109" s="2643"/>
      <c r="W109" s="2643"/>
      <c r="X109" s="2646" t="s">
        <v>3714</v>
      </c>
      <c r="Y109" s="2647"/>
      <c r="Z109" s="2647"/>
      <c r="AA109" s="2648"/>
      <c r="AB109" s="2477"/>
      <c r="AC109" s="2645" t="s">
        <v>3715</v>
      </c>
      <c r="AD109" s="2642"/>
      <c r="AE109" s="2649"/>
      <c r="AF109" s="2649"/>
      <c r="AG109" s="2649"/>
      <c r="AH109" s="2649"/>
      <c r="AI109" s="2650"/>
      <c r="AJ109" s="2651" t="s">
        <v>3714</v>
      </c>
      <c r="AK109" s="2647"/>
      <c r="AL109" s="2647"/>
      <c r="AM109" s="2648"/>
      <c r="AO109" s="2645" t="s">
        <v>3716</v>
      </c>
      <c r="AP109" s="2643"/>
      <c r="AQ109" s="2643"/>
      <c r="AR109" s="2643"/>
      <c r="AS109" s="2643"/>
      <c r="AT109" s="2643"/>
      <c r="AU109" s="2644"/>
      <c r="AV109" s="2633"/>
      <c r="AW109" s="2633"/>
      <c r="AX109" s="2636"/>
      <c r="AY109" s="2636"/>
      <c r="AZ109" s="2636"/>
    </row>
    <row r="110" spans="8:8" ht="18.0" customHeight="1">
      <c r="B110" s="2640"/>
      <c r="C110" s="2641"/>
      <c r="D110" s="2641"/>
      <c r="E110" s="2641"/>
      <c r="F110" s="2641"/>
      <c r="G110" s="2641"/>
      <c r="H110" s="2641"/>
      <c r="I110" s="2641"/>
      <c r="J110" s="2641"/>
      <c r="K110" s="2641"/>
      <c r="L110" s="2641"/>
      <c r="M110" s="2641"/>
      <c r="N110" s="2642"/>
      <c r="O110" s="2643"/>
      <c r="P110" s="2644"/>
      <c r="R110" s="2645"/>
      <c r="S110" s="2643"/>
      <c r="T110" s="2643"/>
      <c r="U110" s="2643"/>
      <c r="V110" s="2643"/>
      <c r="W110" s="2643"/>
      <c r="X110" s="2652" t="s">
        <v>3717</v>
      </c>
      <c r="Y110" s="2653"/>
      <c r="Z110" s="2653"/>
      <c r="AA110" s="2654"/>
      <c r="AB110" s="2477"/>
      <c r="AC110" s="2645"/>
      <c r="AD110" s="2642"/>
      <c r="AE110" s="2643"/>
      <c r="AF110" s="2643"/>
      <c r="AG110" s="2643"/>
      <c r="AH110" s="2643"/>
      <c r="AI110" s="2650"/>
      <c r="AJ110" s="2649" t="s">
        <v>3718</v>
      </c>
      <c r="AK110" s="2643"/>
      <c r="AL110" s="2643"/>
      <c r="AM110" s="2644"/>
      <c r="AO110" s="2645"/>
      <c r="AP110" s="2643"/>
      <c r="AQ110" s="2643"/>
      <c r="AR110" s="2643"/>
      <c r="AS110" s="2643"/>
      <c r="AT110" s="2643"/>
      <c r="AU110" s="2644"/>
      <c r="AV110" s="2633"/>
      <c r="AW110" s="2633"/>
      <c r="AX110" s="2636"/>
      <c r="AY110" s="2636"/>
      <c r="AZ110" s="2636"/>
    </row>
    <row r="111" spans="8:8" ht="18.0" customHeight="1">
      <c r="B111" s="2640"/>
      <c r="C111" s="2641"/>
      <c r="D111" s="2641"/>
      <c r="E111" s="2641"/>
      <c r="F111" s="2641"/>
      <c r="G111" s="2641"/>
      <c r="H111" s="2641"/>
      <c r="I111" s="2641"/>
      <c r="J111" s="2641"/>
      <c r="K111" s="2641"/>
      <c r="L111" s="2641"/>
      <c r="M111" s="2641"/>
      <c r="N111" s="2642"/>
      <c r="O111" s="2643"/>
      <c r="P111" s="2644"/>
      <c r="R111" s="2645"/>
      <c r="S111" s="2643"/>
      <c r="T111" s="2643"/>
      <c r="U111" s="2643"/>
      <c r="V111" s="2643"/>
      <c r="W111" s="2643"/>
      <c r="X111" s="2652"/>
      <c r="Y111" s="2653"/>
      <c r="Z111" s="2653"/>
      <c r="AA111" s="2654"/>
      <c r="AB111" s="2477"/>
      <c r="AC111" s="2645"/>
      <c r="AD111" s="2642"/>
      <c r="AE111" s="2643"/>
      <c r="AF111" s="2643"/>
      <c r="AG111" s="2643"/>
      <c r="AH111" s="2643"/>
      <c r="AI111" s="2650"/>
      <c r="AJ111" s="2655"/>
      <c r="AK111" s="2655"/>
      <c r="AL111" s="2655"/>
      <c r="AM111" s="2656"/>
      <c r="AO111" s="2645"/>
      <c r="AP111" s="2643"/>
      <c r="AQ111" s="2643"/>
      <c r="AR111" s="2643"/>
      <c r="AS111" s="2643"/>
      <c r="AT111" s="2643"/>
      <c r="AU111" s="2644"/>
      <c r="AV111" s="2505"/>
      <c r="AW111" s="2505"/>
      <c r="AX111" s="2636"/>
      <c r="AY111" s="2636"/>
      <c r="AZ111" s="2636"/>
    </row>
    <row r="112" spans="8:8" ht="18.0" customHeight="1">
      <c r="B112" s="2640"/>
      <c r="C112" s="2641"/>
      <c r="D112" s="2641"/>
      <c r="E112" s="2641"/>
      <c r="F112" s="2641"/>
      <c r="G112" s="2641"/>
      <c r="H112" s="2641"/>
      <c r="I112" s="2641"/>
      <c r="J112" s="2641"/>
      <c r="K112" s="2641"/>
      <c r="L112" s="2641"/>
      <c r="M112" s="2641"/>
      <c r="N112" s="2642"/>
      <c r="O112" s="2643"/>
      <c r="P112" s="2644"/>
      <c r="R112" s="2645"/>
      <c r="S112" s="2643"/>
      <c r="T112" s="2643"/>
      <c r="U112" s="2643"/>
      <c r="V112" s="2643"/>
      <c r="W112" s="2643"/>
      <c r="X112" s="2657" t="s">
        <v>3719</v>
      </c>
      <c r="Y112" s="2658"/>
      <c r="Z112" s="2658"/>
      <c r="AA112" s="2659"/>
      <c r="AB112" s="2477"/>
      <c r="AC112" s="2645"/>
      <c r="AD112" s="2642"/>
      <c r="AE112" s="2643"/>
      <c r="AF112" s="2643"/>
      <c r="AG112" s="2643"/>
      <c r="AH112" s="2643"/>
      <c r="AI112" s="2650"/>
      <c r="AJ112" s="2651" t="s">
        <v>3719</v>
      </c>
      <c r="AK112" s="2647"/>
      <c r="AL112" s="2647"/>
      <c r="AM112" s="2648"/>
      <c r="AO112" s="2660" t="s">
        <v>3720</v>
      </c>
      <c r="AP112" s="2661"/>
      <c r="AQ112" s="2661"/>
      <c r="AR112" s="2661"/>
      <c r="AS112" s="2661"/>
      <c r="AT112" s="2661"/>
      <c r="AU112" s="2662"/>
      <c r="AV112" s="2505"/>
      <c r="AW112" s="2505"/>
      <c r="AX112" s="2636"/>
      <c r="AY112" s="2636"/>
      <c r="AZ112" s="2636"/>
    </row>
    <row r="113" spans="8:8" ht="18.0" customHeight="1">
      <c r="B113" s="2640"/>
      <c r="C113" s="2641"/>
      <c r="D113" s="2641"/>
      <c r="E113" s="2641"/>
      <c r="F113" s="2641"/>
      <c r="G113" s="2641"/>
      <c r="H113" s="2641"/>
      <c r="I113" s="2641"/>
      <c r="J113" s="2641"/>
      <c r="K113" s="2641"/>
      <c r="L113" s="2641"/>
      <c r="M113" s="2641"/>
      <c r="N113" s="2642"/>
      <c r="O113" s="2643"/>
      <c r="P113" s="2644"/>
      <c r="R113" s="2645"/>
      <c r="S113" s="2643"/>
      <c r="T113" s="2643"/>
      <c r="U113" s="2643"/>
      <c r="V113" s="2643"/>
      <c r="W113" s="2643"/>
      <c r="X113" s="2652" t="s">
        <v>3721</v>
      </c>
      <c r="Y113" s="2653"/>
      <c r="Z113" s="2653"/>
      <c r="AA113" s="2654"/>
      <c r="AB113" s="2477"/>
      <c r="AC113" s="2645"/>
      <c r="AD113" s="2642"/>
      <c r="AE113" s="2643"/>
      <c r="AF113" s="2643"/>
      <c r="AG113" s="2643"/>
      <c r="AH113" s="2643"/>
      <c r="AI113" s="2650"/>
      <c r="AJ113" s="2663" t="s">
        <v>3722</v>
      </c>
      <c r="AK113" s="2653"/>
      <c r="AL113" s="2653"/>
      <c r="AM113" s="2654"/>
      <c r="AO113" s="2660"/>
      <c r="AP113" s="2661"/>
      <c r="AQ113" s="2661"/>
      <c r="AR113" s="2661"/>
      <c r="AS113" s="2661"/>
      <c r="AT113" s="2661"/>
      <c r="AU113" s="2662"/>
      <c r="AV113" s="2505"/>
      <c r="AW113" s="2505"/>
      <c r="AX113" s="2636"/>
      <c r="AY113" s="2636"/>
      <c r="AZ113" s="2636"/>
    </row>
    <row r="114" spans="8:8" ht="18.0" customHeight="1">
      <c r="A114" s="2664"/>
      <c r="B114" s="2640"/>
      <c r="C114" s="2641"/>
      <c r="D114" s="2641"/>
      <c r="E114" s="2641"/>
      <c r="F114" s="2641"/>
      <c r="G114" s="2641"/>
      <c r="H114" s="2641"/>
      <c r="I114" s="2641"/>
      <c r="J114" s="2641"/>
      <c r="K114" s="2641"/>
      <c r="L114" s="2641"/>
      <c r="M114" s="2641"/>
      <c r="N114" s="2642"/>
      <c r="O114" s="2643"/>
      <c r="P114" s="2644"/>
      <c r="R114" s="2665"/>
      <c r="S114" s="2655"/>
      <c r="T114" s="2655"/>
      <c r="U114" s="2655"/>
      <c r="V114" s="2655"/>
      <c r="W114" s="2655"/>
      <c r="X114" s="2666"/>
      <c r="Y114" s="2667"/>
      <c r="Z114" s="2668"/>
      <c r="AA114" s="2669"/>
      <c r="AB114" s="2477"/>
      <c r="AC114" s="2665"/>
      <c r="AD114" s="2670"/>
      <c r="AE114" s="2655"/>
      <c r="AF114" s="2655"/>
      <c r="AG114" s="2655"/>
      <c r="AH114" s="2655"/>
      <c r="AI114" s="2671"/>
      <c r="AJ114" s="2672"/>
      <c r="AK114" s="2672"/>
      <c r="AL114" s="2672"/>
      <c r="AM114" s="2673"/>
      <c r="AO114" s="2660"/>
      <c r="AP114" s="2661"/>
      <c r="AQ114" s="2661"/>
      <c r="AR114" s="2661"/>
      <c r="AS114" s="2661"/>
      <c r="AT114" s="2661"/>
      <c r="AU114" s="2662"/>
      <c r="AV114" s="2505"/>
      <c r="AW114" s="2505"/>
    </row>
    <row r="115" spans="8:8" ht="18.0" customHeight="1">
      <c r="A115" s="2674"/>
      <c r="B115" s="2675"/>
      <c r="C115" s="2676"/>
      <c r="D115" s="2676"/>
      <c r="E115" s="2676"/>
      <c r="F115" s="2676"/>
      <c r="G115" s="2676"/>
      <c r="H115" s="2676"/>
      <c r="I115" s="2676"/>
      <c r="J115" s="2676"/>
      <c r="K115" s="2676"/>
      <c r="L115" s="2676"/>
      <c r="M115" s="2676"/>
      <c r="N115" s="2642"/>
      <c r="O115" s="2643"/>
      <c r="P115" s="2644"/>
      <c r="R115" s="2660" t="s">
        <v>3723</v>
      </c>
      <c r="S115" s="2661"/>
      <c r="T115" s="2661"/>
      <c r="U115" s="2661"/>
      <c r="V115" s="2661"/>
      <c r="W115" s="2661"/>
      <c r="X115" s="2661"/>
      <c r="Y115" s="2661"/>
      <c r="Z115" s="2661"/>
      <c r="AA115" s="2662"/>
      <c r="AB115" s="2636"/>
      <c r="AC115" s="2660" t="s">
        <v>3724</v>
      </c>
      <c r="AD115" s="2661"/>
      <c r="AE115" s="2661"/>
      <c r="AF115" s="2661"/>
      <c r="AG115" s="2661"/>
      <c r="AH115" s="2661"/>
      <c r="AI115" s="2661"/>
      <c r="AJ115" s="2661"/>
      <c r="AK115" s="2661"/>
      <c r="AL115" s="2661"/>
      <c r="AM115" s="2662"/>
      <c r="AO115" s="2660"/>
      <c r="AP115" s="2661"/>
      <c r="AQ115" s="2661"/>
      <c r="AR115" s="2661"/>
      <c r="AS115" s="2661"/>
      <c r="AT115" s="2661"/>
      <c r="AU115" s="2662"/>
      <c r="AV115" s="2636"/>
      <c r="AW115" s="2636"/>
    </row>
    <row r="116" spans="8:8" ht="18.0" customHeight="1">
      <c r="B116" s="2640" t="s">
        <v>3725</v>
      </c>
      <c r="C116" s="2641"/>
      <c r="D116" s="2641"/>
      <c r="E116" s="2641"/>
      <c r="F116" s="2641"/>
      <c r="G116" s="2641"/>
      <c r="H116" s="2641"/>
      <c r="I116" s="2641"/>
      <c r="J116" s="2641"/>
      <c r="K116" s="2641"/>
      <c r="L116" s="2641"/>
      <c r="M116" s="2641"/>
      <c r="N116" s="2642"/>
      <c r="O116" s="2643"/>
      <c r="P116" s="2644"/>
      <c r="R116" s="2660"/>
      <c r="S116" s="2661"/>
      <c r="T116" s="2661"/>
      <c r="U116" s="2661"/>
      <c r="V116" s="2661"/>
      <c r="W116" s="2661"/>
      <c r="X116" s="2661"/>
      <c r="Y116" s="2661"/>
      <c r="Z116" s="2661"/>
      <c r="AA116" s="2662"/>
      <c r="AB116" s="2636"/>
      <c r="AC116" s="2660"/>
      <c r="AD116" s="2661"/>
      <c r="AE116" s="2661"/>
      <c r="AF116" s="2661"/>
      <c r="AG116" s="2661"/>
      <c r="AH116" s="2661"/>
      <c r="AI116" s="2661"/>
      <c r="AJ116" s="2661"/>
      <c r="AK116" s="2661"/>
      <c r="AL116" s="2661"/>
      <c r="AM116" s="2662"/>
      <c r="AO116" s="2660"/>
      <c r="AP116" s="2661"/>
      <c r="AQ116" s="2661"/>
      <c r="AR116" s="2661"/>
      <c r="AS116" s="2661"/>
      <c r="AT116" s="2661"/>
      <c r="AU116" s="2662"/>
      <c r="AV116" s="2636"/>
      <c r="AW116" s="2636"/>
    </row>
    <row r="117" spans="8:8" ht="18.0" customHeight="1">
      <c r="B117" s="2640"/>
      <c r="C117" s="2641"/>
      <c r="D117" s="2641"/>
      <c r="E117" s="2641"/>
      <c r="F117" s="2641"/>
      <c r="G117" s="2641"/>
      <c r="H117" s="2641"/>
      <c r="I117" s="2641"/>
      <c r="J117" s="2641"/>
      <c r="K117" s="2641"/>
      <c r="L117" s="2641"/>
      <c r="M117" s="2641"/>
      <c r="N117" s="2642"/>
      <c r="O117" s="2643"/>
      <c r="P117" s="2644"/>
      <c r="R117" s="2660"/>
      <c r="S117" s="2661"/>
      <c r="T117" s="2661"/>
      <c r="U117" s="2661"/>
      <c r="V117" s="2661"/>
      <c r="W117" s="2661"/>
      <c r="X117" s="2661"/>
      <c r="Y117" s="2661"/>
      <c r="Z117" s="2661"/>
      <c r="AA117" s="2662"/>
      <c r="AB117" s="2636"/>
      <c r="AC117" s="2660"/>
      <c r="AD117" s="2661"/>
      <c r="AE117" s="2661"/>
      <c r="AF117" s="2661"/>
      <c r="AG117" s="2661"/>
      <c r="AH117" s="2661"/>
      <c r="AI117" s="2661"/>
      <c r="AJ117" s="2661"/>
      <c r="AK117" s="2661"/>
      <c r="AL117" s="2661"/>
      <c r="AM117" s="2662"/>
      <c r="AO117" s="2660"/>
      <c r="AP117" s="2661"/>
      <c r="AQ117" s="2661"/>
      <c r="AR117" s="2661"/>
      <c r="AS117" s="2661"/>
      <c r="AT117" s="2661"/>
      <c r="AU117" s="2662"/>
      <c r="AV117" s="2636"/>
      <c r="AW117" s="2636"/>
    </row>
    <row r="118" spans="8:8" ht="18.0" customHeight="1">
      <c r="B118" s="2640"/>
      <c r="C118" s="2641"/>
      <c r="D118" s="2641"/>
      <c r="E118" s="2641"/>
      <c r="F118" s="2641"/>
      <c r="G118" s="2641"/>
      <c r="H118" s="2641"/>
      <c r="I118" s="2641"/>
      <c r="J118" s="2641"/>
      <c r="K118" s="2641"/>
      <c r="L118" s="2641"/>
      <c r="M118" s="2641"/>
      <c r="N118" s="2642"/>
      <c r="O118" s="2643"/>
      <c r="P118" s="2644"/>
      <c r="R118" s="2660"/>
      <c r="S118" s="2661"/>
      <c r="T118" s="2661"/>
      <c r="U118" s="2661"/>
      <c r="V118" s="2661"/>
      <c r="W118" s="2661"/>
      <c r="X118" s="2661"/>
      <c r="Y118" s="2661"/>
      <c r="Z118" s="2661"/>
      <c r="AA118" s="2662"/>
      <c r="AB118" s="2636"/>
      <c r="AC118" s="2660"/>
      <c r="AD118" s="2661"/>
      <c r="AE118" s="2661"/>
      <c r="AF118" s="2661"/>
      <c r="AG118" s="2661"/>
      <c r="AH118" s="2661"/>
      <c r="AI118" s="2661"/>
      <c r="AJ118" s="2661"/>
      <c r="AK118" s="2661"/>
      <c r="AL118" s="2661"/>
      <c r="AM118" s="2662"/>
      <c r="AO118" s="2660"/>
      <c r="AP118" s="2661"/>
      <c r="AQ118" s="2661"/>
      <c r="AR118" s="2661"/>
      <c r="AS118" s="2661"/>
      <c r="AT118" s="2661"/>
      <c r="AU118" s="2662"/>
      <c r="AV118" s="2636"/>
      <c r="AW118" s="2636"/>
    </row>
    <row r="119" spans="8:8" ht="18.0" customHeight="1">
      <c r="B119" s="2640"/>
      <c r="C119" s="2641"/>
      <c r="D119" s="2641"/>
      <c r="E119" s="2641"/>
      <c r="F119" s="2641"/>
      <c r="G119" s="2641"/>
      <c r="H119" s="2641"/>
      <c r="I119" s="2641"/>
      <c r="J119" s="2641"/>
      <c r="K119" s="2641"/>
      <c r="L119" s="2641"/>
      <c r="M119" s="2641"/>
      <c r="N119" s="2642"/>
      <c r="O119" s="2643"/>
      <c r="P119" s="2644"/>
      <c r="R119" s="2660"/>
      <c r="S119" s="2661"/>
      <c r="T119" s="2661"/>
      <c r="U119" s="2661"/>
      <c r="V119" s="2661"/>
      <c r="W119" s="2661"/>
      <c r="X119" s="2661"/>
      <c r="Y119" s="2661"/>
      <c r="Z119" s="2661"/>
      <c r="AA119" s="2662"/>
      <c r="AB119" s="2636"/>
      <c r="AC119" s="2660"/>
      <c r="AD119" s="2661"/>
      <c r="AE119" s="2661"/>
      <c r="AF119" s="2661"/>
      <c r="AG119" s="2661"/>
      <c r="AH119" s="2661"/>
      <c r="AI119" s="2661"/>
      <c r="AJ119" s="2661"/>
      <c r="AK119" s="2661"/>
      <c r="AL119" s="2661"/>
      <c r="AM119" s="2662"/>
      <c r="AO119" s="2660"/>
      <c r="AP119" s="2661"/>
      <c r="AQ119" s="2661"/>
      <c r="AR119" s="2661"/>
      <c r="AS119" s="2661"/>
      <c r="AT119" s="2661"/>
      <c r="AU119" s="2662"/>
      <c r="AV119" s="2636"/>
      <c r="AW119" s="2636"/>
    </row>
    <row r="120" spans="8:8" ht="18.0" customHeight="1">
      <c r="B120" s="2640"/>
      <c r="C120" s="2641"/>
      <c r="D120" s="2641"/>
      <c r="E120" s="2641"/>
      <c r="F120" s="2641"/>
      <c r="G120" s="2641"/>
      <c r="H120" s="2641"/>
      <c r="I120" s="2641"/>
      <c r="J120" s="2641"/>
      <c r="K120" s="2641"/>
      <c r="L120" s="2641"/>
      <c r="M120" s="2641"/>
      <c r="N120" s="2642"/>
      <c r="O120" s="2643"/>
      <c r="P120" s="2644"/>
      <c r="R120" s="2660"/>
      <c r="S120" s="2661"/>
      <c r="T120" s="2661"/>
      <c r="U120" s="2661"/>
      <c r="V120" s="2661"/>
      <c r="W120" s="2661"/>
      <c r="X120" s="2661"/>
      <c r="Y120" s="2661"/>
      <c r="Z120" s="2661"/>
      <c r="AA120" s="2662"/>
      <c r="AB120" s="2360"/>
      <c r="AC120" s="2660"/>
      <c r="AD120" s="2661"/>
      <c r="AE120" s="2661"/>
      <c r="AF120" s="2661"/>
      <c r="AG120" s="2661"/>
      <c r="AH120" s="2661"/>
      <c r="AI120" s="2661"/>
      <c r="AJ120" s="2661"/>
      <c r="AK120" s="2661"/>
      <c r="AL120" s="2661"/>
      <c r="AM120" s="2662"/>
      <c r="AO120" s="2660"/>
      <c r="AP120" s="2661"/>
      <c r="AQ120" s="2661"/>
      <c r="AR120" s="2661"/>
      <c r="AS120" s="2661"/>
      <c r="AT120" s="2661"/>
      <c r="AU120" s="2662"/>
      <c r="AV120" s="2636"/>
      <c r="AW120" s="2636"/>
    </row>
    <row r="121" spans="8:8" ht="18.0" customHeight="1">
      <c r="B121" s="2677"/>
      <c r="C121" s="2678"/>
      <c r="D121" s="2678"/>
      <c r="E121" s="2678"/>
      <c r="F121" s="2678"/>
      <c r="G121" s="2678"/>
      <c r="H121" s="2678"/>
      <c r="I121" s="2678"/>
      <c r="J121" s="2678"/>
      <c r="K121" s="2678"/>
      <c r="L121" s="2678"/>
      <c r="M121" s="2678"/>
      <c r="N121" s="2679"/>
      <c r="O121" s="2680"/>
      <c r="P121" s="2681"/>
      <c r="R121" s="2682"/>
      <c r="S121" s="2683"/>
      <c r="T121" s="2683"/>
      <c r="U121" s="2683"/>
      <c r="V121" s="2683"/>
      <c r="W121" s="2683"/>
      <c r="X121" s="2683"/>
      <c r="Y121" s="2683"/>
      <c r="Z121" s="2683"/>
      <c r="AA121" s="2684"/>
      <c r="AB121" s="2591"/>
      <c r="AC121" s="2682"/>
      <c r="AD121" s="2683"/>
      <c r="AE121" s="2683"/>
      <c r="AF121" s="2683"/>
      <c r="AG121" s="2683"/>
      <c r="AH121" s="2683"/>
      <c r="AI121" s="2683"/>
      <c r="AJ121" s="2683"/>
      <c r="AK121" s="2683"/>
      <c r="AL121" s="2683"/>
      <c r="AM121" s="2684"/>
      <c r="AO121" s="2682"/>
      <c r="AP121" s="2683"/>
      <c r="AQ121" s="2683"/>
      <c r="AR121" s="2683"/>
      <c r="AS121" s="2683"/>
      <c r="AT121" s="2683"/>
      <c r="AU121" s="2684"/>
      <c r="AV121" s="2636"/>
      <c r="AW121" s="2636"/>
    </row>
    <row r="122" spans="8:8" ht="18.0" customHeight="1">
      <c r="B122" s="2685"/>
      <c r="C122" s="2685"/>
      <c r="D122" s="2685"/>
      <c r="E122" s="2685"/>
      <c r="F122" s="2685"/>
      <c r="G122" s="2685"/>
      <c r="H122" s="2685"/>
      <c r="I122" s="2685"/>
      <c r="J122" s="2685"/>
      <c r="K122" s="2685"/>
    </row>
    <row r="123" spans="8:8" ht="18.0" customHeight="1">
      <c r="B123" s="2686"/>
      <c r="C123" s="629"/>
      <c r="D123" s="629"/>
      <c r="E123" s="629"/>
      <c r="F123" s="629"/>
      <c r="G123" s="629"/>
      <c r="H123" s="629"/>
      <c r="I123" s="629"/>
      <c r="J123" s="629"/>
      <c r="K123" s="2687"/>
    </row>
    <row r="124" spans="8:8" ht="18.0" customHeight="1">
      <c r="B124" s="2685"/>
      <c r="C124" s="2685"/>
      <c r="D124" s="2685"/>
      <c r="E124" s="2685"/>
      <c r="F124" s="2685"/>
      <c r="G124" s="2685"/>
      <c r="H124" s="2685"/>
      <c r="I124" s="2685"/>
      <c r="J124" s="2685"/>
      <c r="K124" s="2685"/>
      <c r="T124" s="629"/>
      <c r="U124" s="629"/>
    </row>
    <row r="125" spans="8:8" ht="18.0" customHeight="1">
      <c r="B125" s="2685"/>
      <c r="C125" s="2685"/>
      <c r="D125" s="2685"/>
      <c r="E125" s="2685"/>
      <c r="F125" s="2685"/>
      <c r="G125" s="2685"/>
      <c r="H125" s="2685"/>
      <c r="I125" s="2685"/>
      <c r="J125" s="2685"/>
      <c r="K125" s="2685"/>
      <c r="T125" s="629"/>
      <c r="U125" s="629"/>
    </row>
    <row r="126" spans="8:8" ht="18.0" customHeight="1">
      <c r="B126" s="2685"/>
      <c r="C126" s="2685"/>
      <c r="D126" s="2685"/>
      <c r="E126" s="2685"/>
      <c r="F126" s="2685"/>
      <c r="G126" s="2685"/>
      <c r="H126" s="2685"/>
      <c r="I126" s="2685"/>
      <c r="J126" s="2685"/>
      <c r="K126" s="2685"/>
      <c r="T126" s="629"/>
      <c r="U126" s="629"/>
      <c r="AL126" s="629"/>
      <c r="AM126" s="629"/>
      <c r="AN126" s="629"/>
      <c r="AO126" s="629"/>
    </row>
    <row r="127" spans="8:8" ht="18.0" customHeight="1">
      <c r="B127" s="2685"/>
      <c r="C127" s="2685"/>
      <c r="D127" s="2685"/>
      <c r="E127" s="2685"/>
      <c r="F127" s="2685"/>
      <c r="G127" s="2685"/>
      <c r="H127" s="2685"/>
      <c r="I127" s="2685"/>
      <c r="J127" s="2685"/>
      <c r="K127" s="2685"/>
      <c r="T127" s="629"/>
      <c r="U127" s="629"/>
      <c r="AL127" s="629"/>
      <c r="AM127" s="629"/>
      <c r="AN127" s="629"/>
      <c r="AO127" s="629"/>
    </row>
    <row r="128" spans="8:8" ht="18.0" customHeight="1">
      <c r="B128" s="2685"/>
      <c r="C128" s="2685"/>
      <c r="D128" s="2685"/>
      <c r="E128" s="2685"/>
      <c r="F128" s="2685"/>
      <c r="G128" s="2685"/>
      <c r="H128" s="2685"/>
      <c r="I128" s="2685"/>
      <c r="J128" s="2685"/>
      <c r="K128" s="2685"/>
      <c r="T128" s="629"/>
      <c r="U128" s="629"/>
      <c r="AL128" s="629"/>
      <c r="AM128" s="629"/>
      <c r="AN128" s="629"/>
      <c r="AO128" s="629"/>
    </row>
    <row r="129" spans="8:8" ht="18.0" customHeight="1">
      <c r="B129" s="2685"/>
      <c r="C129" s="2685"/>
      <c r="D129" s="2685"/>
      <c r="E129" s="2685"/>
      <c r="F129" s="2685"/>
      <c r="G129" s="2685"/>
      <c r="H129" s="2685"/>
      <c r="I129" s="2685"/>
      <c r="J129" s="2685"/>
      <c r="K129" s="2685"/>
      <c r="T129" s="629"/>
      <c r="U129" s="629"/>
      <c r="AL129" s="629"/>
      <c r="AM129" s="629"/>
      <c r="AN129" s="629"/>
      <c r="AO129" s="629"/>
      <c r="AP129" s="629"/>
      <c r="AQ129" s="629"/>
      <c r="AR129" s="629"/>
      <c r="AS129" s="629"/>
      <c r="AT129" s="629"/>
      <c r="AU129" s="629"/>
    </row>
    <row r="130" spans="8:8" ht="18.0" customHeight="1">
      <c r="B130" s="2685"/>
      <c r="C130" s="2685"/>
      <c r="D130" s="2685"/>
      <c r="E130" s="2685"/>
      <c r="F130" s="2685"/>
      <c r="G130" s="2685"/>
      <c r="H130" s="2685"/>
      <c r="I130" s="2685"/>
      <c r="J130" s="2685"/>
      <c r="K130" s="2685"/>
      <c r="T130" s="629"/>
      <c r="U130" s="629"/>
      <c r="AL130" s="629"/>
      <c r="AM130" s="629"/>
      <c r="AN130" s="629"/>
      <c r="AO130" s="629"/>
      <c r="AP130" s="629"/>
      <c r="AQ130" s="629"/>
      <c r="AR130" s="629"/>
      <c r="AS130" s="629"/>
      <c r="AT130" s="629"/>
      <c r="AU130" s="629"/>
    </row>
    <row r="131" spans="8:8" ht="18.0" customHeight="1">
      <c r="B131" s="2685"/>
      <c r="C131" s="2685"/>
      <c r="D131" s="2685"/>
      <c r="E131" s="2685"/>
      <c r="F131" s="2685"/>
      <c r="G131" s="2685"/>
      <c r="H131" s="2685"/>
      <c r="I131" s="2685"/>
      <c r="J131" s="2685"/>
      <c r="K131" s="2685"/>
      <c r="T131" s="629"/>
      <c r="U131" s="629"/>
      <c r="AL131" s="629"/>
      <c r="AM131" s="629"/>
      <c r="AN131" s="629"/>
      <c r="AO131" s="629"/>
      <c r="AP131" s="629"/>
      <c r="AQ131" s="629"/>
      <c r="AR131" s="629"/>
      <c r="AS131" s="629"/>
      <c r="AT131" s="629"/>
      <c r="AU131" s="629"/>
    </row>
    <row r="132" spans="8:8" ht="18.0" customHeight="1">
      <c r="B132" s="2685"/>
      <c r="C132" s="2685"/>
      <c r="D132" s="2685"/>
      <c r="E132" s="2685"/>
      <c r="F132" s="2685"/>
      <c r="G132" s="2685"/>
      <c r="H132" s="2685"/>
      <c r="I132" s="2685"/>
      <c r="J132" s="2685"/>
      <c r="K132" s="2685"/>
      <c r="T132" s="629"/>
      <c r="U132" s="629"/>
      <c r="AL132" s="629"/>
      <c r="AM132" s="629"/>
      <c r="AN132" s="629"/>
      <c r="AO132" s="629"/>
      <c r="AP132" s="629"/>
      <c r="AQ132" s="629"/>
      <c r="AR132" s="629"/>
      <c r="AS132" s="629"/>
      <c r="AT132" s="629"/>
      <c r="AU132" s="629"/>
    </row>
    <row r="133" spans="8:8" ht="18.0" customHeight="1">
      <c r="B133" s="2685"/>
      <c r="C133" s="2685"/>
      <c r="D133" s="2685"/>
      <c r="E133" s="2685"/>
      <c r="F133" s="2685"/>
      <c r="G133" s="2685"/>
      <c r="H133" s="2685"/>
      <c r="I133" s="2685"/>
      <c r="J133" s="2685"/>
      <c r="K133" s="2685"/>
      <c r="T133" s="629"/>
      <c r="U133" s="629"/>
      <c r="AL133" s="629"/>
      <c r="AM133" s="629"/>
      <c r="AN133" s="629"/>
      <c r="AO133" s="629"/>
      <c r="AP133" s="629"/>
      <c r="AQ133" s="629"/>
      <c r="AR133" s="629"/>
      <c r="AS133" s="629"/>
      <c r="AT133" s="629"/>
      <c r="AU133" s="629"/>
    </row>
    <row r="134" spans="8:8" ht="18.0" customHeight="1">
      <c r="B134" s="2685"/>
      <c r="C134" s="2685"/>
      <c r="D134" s="2685"/>
      <c r="E134" s="2685"/>
      <c r="F134" s="2685"/>
      <c r="G134" s="2685"/>
      <c r="H134" s="2685"/>
      <c r="I134" s="2685"/>
      <c r="J134" s="2685"/>
      <c r="K134" s="2685"/>
      <c r="T134" s="629"/>
      <c r="U134" s="629"/>
      <c r="AL134" s="629"/>
      <c r="AM134" s="629"/>
      <c r="AN134" s="629"/>
      <c r="AO134" s="629"/>
      <c r="AP134" s="629"/>
      <c r="AQ134" s="629"/>
      <c r="AR134" s="629"/>
      <c r="AS134" s="629"/>
      <c r="AT134" s="629"/>
      <c r="AU134" s="629"/>
    </row>
    <row r="135" spans="8:8" ht="18.0" customHeight="1">
      <c r="B135" s="2685"/>
      <c r="C135" s="2685"/>
      <c r="D135" s="2685"/>
      <c r="E135" s="2685"/>
      <c r="F135" s="2685"/>
      <c r="G135" s="2685"/>
      <c r="H135" s="2685"/>
      <c r="I135" s="2685"/>
      <c r="J135" s="2685"/>
      <c r="K135" s="2685"/>
      <c r="T135" s="629"/>
      <c r="U135" s="629"/>
      <c r="AD135" s="629"/>
      <c r="AE135" s="629"/>
      <c r="AF135" s="629"/>
      <c r="AG135" s="629"/>
      <c r="AH135" s="629"/>
      <c r="AI135" s="629"/>
      <c r="AJ135" s="629"/>
      <c r="AK135" s="629"/>
      <c r="AL135" s="629"/>
      <c r="AM135" s="629"/>
      <c r="AN135" s="629"/>
      <c r="AO135" s="629"/>
      <c r="AP135" s="629"/>
      <c r="AQ135" s="629"/>
      <c r="AR135" s="629"/>
      <c r="AS135" s="629"/>
      <c r="AT135" s="629"/>
      <c r="AU135" s="629"/>
    </row>
    <row r="136" spans="8:8" ht="18.0" customHeight="1">
      <c r="B136" s="2685"/>
      <c r="C136" s="2685"/>
      <c r="D136" s="2685"/>
      <c r="E136" s="2685"/>
      <c r="F136" s="2685"/>
      <c r="G136" s="2685"/>
      <c r="H136" s="2685"/>
      <c r="I136" s="2685"/>
      <c r="J136" s="2685"/>
      <c r="K136" s="2685"/>
      <c r="T136" s="629"/>
      <c r="U136" s="629"/>
      <c r="AD136" s="629"/>
      <c r="AE136" s="629"/>
      <c r="AF136" s="629"/>
      <c r="AG136" s="629"/>
      <c r="AH136" s="629"/>
      <c r="AI136" s="629"/>
      <c r="AJ136" s="629"/>
      <c r="AK136" s="629"/>
      <c r="AL136" s="629"/>
      <c r="AM136" s="629"/>
      <c r="AN136" s="629"/>
      <c r="AO136" s="629"/>
      <c r="AP136" s="629"/>
      <c r="AQ136" s="629"/>
      <c r="AR136" s="629"/>
      <c r="AS136" s="629"/>
      <c r="AT136" s="629"/>
      <c r="AU136" s="629"/>
    </row>
    <row r="137" spans="8:8" ht="18.0" customHeight="1">
      <c r="B137" s="2685"/>
      <c r="C137" s="2685"/>
      <c r="D137" s="2685"/>
      <c r="E137" s="2685"/>
      <c r="F137" s="2685"/>
      <c r="G137" s="2685"/>
      <c r="H137" s="2685"/>
      <c r="I137" s="2685"/>
      <c r="J137" s="2685"/>
      <c r="K137" s="2685"/>
      <c r="T137" s="629"/>
      <c r="U137" s="629"/>
      <c r="AD137" s="629"/>
      <c r="AE137" s="629"/>
      <c r="AF137" s="629"/>
      <c r="AG137" s="629"/>
      <c r="AH137" s="629"/>
      <c r="AI137" s="629"/>
      <c r="AJ137" s="629"/>
      <c r="AK137" s="629"/>
      <c r="AL137" s="629"/>
      <c r="AM137" s="629"/>
      <c r="AN137" s="629"/>
      <c r="AO137" s="629"/>
      <c r="AP137" s="629"/>
      <c r="AQ137" s="629"/>
      <c r="AR137" s="629"/>
      <c r="AS137" s="629"/>
      <c r="AT137" s="629"/>
      <c r="AU137" s="629"/>
    </row>
    <row r="138" spans="8:8" ht="18.0" customHeight="1">
      <c r="B138" s="629"/>
      <c r="C138" s="629"/>
      <c r="D138" s="629"/>
      <c r="E138" s="629"/>
      <c r="F138" s="629"/>
      <c r="G138" s="629"/>
      <c r="H138" s="629"/>
      <c r="I138" s="629"/>
      <c r="J138" s="629"/>
      <c r="K138" s="629"/>
      <c r="L138" s="629"/>
      <c r="M138" s="629"/>
      <c r="N138" s="629"/>
      <c r="O138" s="629"/>
      <c r="P138" s="629"/>
      <c r="Q138" s="629"/>
      <c r="R138" s="629"/>
      <c r="S138" s="629"/>
      <c r="T138" s="629"/>
      <c r="U138" s="629"/>
      <c r="V138" s="629"/>
      <c r="W138" s="629"/>
      <c r="X138" s="629"/>
      <c r="Y138" s="629"/>
      <c r="Z138" s="629"/>
      <c r="AA138" s="629"/>
      <c r="AB138" s="629"/>
      <c r="AC138" s="629"/>
      <c r="AD138" s="629"/>
      <c r="AE138" s="629"/>
      <c r="AF138" s="629"/>
      <c r="AG138" s="629"/>
      <c r="AH138" s="629"/>
      <c r="AI138" s="629"/>
      <c r="AJ138" s="629"/>
      <c r="AK138" s="629"/>
      <c r="AL138" s="629"/>
      <c r="AM138" s="629"/>
      <c r="AN138" s="629"/>
      <c r="AO138" s="629"/>
      <c r="AP138" s="629"/>
      <c r="AQ138" s="629"/>
      <c r="AR138" s="629"/>
      <c r="AS138" s="629"/>
      <c r="AT138" s="629"/>
      <c r="AU138" s="629"/>
    </row>
    <row r="139" spans="8:8" ht="18.0" customHeight="1">
      <c r="B139" s="629"/>
      <c r="C139" s="629"/>
      <c r="D139" s="629"/>
      <c r="E139" s="629"/>
      <c r="F139" s="629"/>
      <c r="G139" s="629"/>
      <c r="H139" s="629"/>
      <c r="I139" s="629"/>
      <c r="J139" s="629"/>
      <c r="K139" s="629"/>
      <c r="L139" s="629"/>
      <c r="M139" s="629"/>
      <c r="N139" s="629"/>
      <c r="O139" s="629"/>
      <c r="P139" s="629"/>
      <c r="Q139" s="629"/>
      <c r="R139" s="629"/>
      <c r="S139" s="629"/>
      <c r="T139" s="629"/>
      <c r="U139" s="629"/>
      <c r="V139" s="629"/>
      <c r="W139" s="629"/>
      <c r="X139" s="629"/>
      <c r="Y139" s="629"/>
      <c r="Z139" s="629"/>
      <c r="AA139" s="629"/>
      <c r="AB139" s="629"/>
      <c r="AC139" s="629"/>
      <c r="AD139" s="629"/>
      <c r="AE139" s="629"/>
      <c r="AF139" s="629"/>
      <c r="AG139" s="629"/>
      <c r="AH139" s="629"/>
      <c r="AI139" s="629"/>
      <c r="AJ139" s="629"/>
      <c r="AK139" s="629"/>
      <c r="AL139" s="629"/>
      <c r="AM139" s="629"/>
      <c r="AN139" s="629"/>
      <c r="AO139" s="629"/>
      <c r="AP139" s="629"/>
      <c r="AQ139" s="629"/>
      <c r="AR139" s="629"/>
      <c r="AS139" s="629"/>
      <c r="AT139" s="629"/>
      <c r="AU139" s="629"/>
    </row>
    <row r="140" spans="8:8">
      <c r="A140" s="2596"/>
      <c r="B140" s="2596"/>
      <c r="C140" s="2596"/>
      <c r="D140" s="2596"/>
      <c r="E140" s="2596"/>
      <c r="F140" s="2596"/>
      <c r="G140" s="2596"/>
      <c r="H140" s="2596"/>
      <c r="I140" s="2596"/>
      <c r="J140" s="2596"/>
      <c r="K140" s="2596"/>
      <c r="L140" s="2596"/>
      <c r="M140" s="2596"/>
      <c r="N140" s="2596"/>
      <c r="O140" s="2596"/>
      <c r="P140" s="2596"/>
      <c r="Q140" s="2596"/>
      <c r="R140" s="2596"/>
      <c r="S140" s="2596"/>
      <c r="T140" s="2596"/>
      <c r="U140" s="2596"/>
      <c r="V140" s="2596"/>
      <c r="W140" s="2596"/>
      <c r="X140" s="2596"/>
      <c r="Y140" s="2596"/>
      <c r="Z140" s="2596"/>
      <c r="AA140" s="2596"/>
      <c r="AB140" s="2596"/>
      <c r="AC140" s="2596"/>
      <c r="AD140" s="2596"/>
      <c r="AE140" s="2596"/>
      <c r="AF140" s="2596"/>
      <c r="AG140" s="2596"/>
      <c r="AH140" s="2596"/>
      <c r="AI140" s="2596"/>
      <c r="AJ140" s="2596"/>
      <c r="AK140" s="2596"/>
      <c r="AL140" s="2596"/>
      <c r="AM140" s="2596"/>
      <c r="AN140" s="2596"/>
      <c r="AO140" s="2596"/>
      <c r="AP140" s="2596"/>
      <c r="AQ140" s="2596"/>
      <c r="AR140" s="2596"/>
      <c r="AS140" s="2596"/>
      <c r="AT140" s="2596"/>
      <c r="AU140" s="2596"/>
    </row>
    <row r="141" spans="8:8">
      <c r="A141" s="2674"/>
      <c r="B141" s="2596"/>
      <c r="C141" s="2596"/>
      <c r="D141" s="2596"/>
      <c r="E141" s="2596"/>
      <c r="F141" s="2596"/>
      <c r="G141" s="2596"/>
      <c r="H141" s="2596"/>
      <c r="I141" s="2596"/>
      <c r="J141" s="2596"/>
      <c r="K141" s="2596"/>
      <c r="L141" s="2596"/>
      <c r="M141" s="2596"/>
      <c r="N141" s="2596"/>
      <c r="O141" s="2596"/>
      <c r="P141" s="2596"/>
      <c r="Q141" s="2596"/>
      <c r="R141" s="2596"/>
      <c r="S141" s="2596"/>
      <c r="T141" s="2596"/>
      <c r="U141" s="2596"/>
      <c r="V141" s="2596"/>
      <c r="W141" s="2596"/>
      <c r="X141" s="2596"/>
      <c r="Y141" s="2596"/>
      <c r="Z141" s="2596"/>
      <c r="AA141" s="2596"/>
      <c r="AB141" s="2596"/>
      <c r="AC141" s="2596"/>
      <c r="AD141" s="2596"/>
      <c r="AE141" s="2596"/>
      <c r="AF141" s="2596"/>
      <c r="AG141" s="2596"/>
      <c r="AH141" s="2596"/>
      <c r="AI141" s="2596"/>
      <c r="AJ141" s="2596"/>
      <c r="AK141" s="2596"/>
      <c r="AL141" s="2596"/>
      <c r="AM141" s="2596"/>
      <c r="AN141" s="2596"/>
      <c r="AO141" s="2596"/>
      <c r="AP141" s="2596"/>
      <c r="AQ141" s="2596"/>
      <c r="AR141" s="2596"/>
      <c r="AS141" s="2596"/>
      <c r="AT141" s="2596"/>
      <c r="AU141" s="2596"/>
    </row>
    <row r="142" spans="8:8">
      <c r="A142" s="2674"/>
      <c r="B142" s="2596"/>
      <c r="C142" s="2596"/>
      <c r="D142" s="2596"/>
      <c r="E142" s="2596"/>
      <c r="F142" s="2596"/>
      <c r="G142" s="2596"/>
      <c r="H142" s="2596"/>
      <c r="I142" s="2596"/>
      <c r="J142" s="2596"/>
      <c r="K142" s="2596"/>
      <c r="L142" s="2596"/>
      <c r="M142" s="2596"/>
      <c r="N142" s="2596"/>
      <c r="O142" s="2596"/>
      <c r="P142" s="2596"/>
      <c r="Q142" s="2596"/>
      <c r="R142" s="2596"/>
      <c r="S142" s="2596"/>
      <c r="T142" s="2596"/>
      <c r="U142" s="2596"/>
      <c r="V142" s="2596"/>
      <c r="W142" s="2596"/>
      <c r="X142" s="2596"/>
      <c r="Y142" s="2596"/>
      <c r="Z142" s="2596"/>
      <c r="AA142" s="2596"/>
      <c r="AB142" s="2596"/>
      <c r="AC142" s="2596"/>
      <c r="AD142" s="2596"/>
      <c r="AE142" s="2596"/>
      <c r="AF142" s="2596"/>
      <c r="AG142" s="2596"/>
      <c r="AH142" s="2596"/>
      <c r="AI142" s="2596"/>
      <c r="AJ142" s="2596"/>
      <c r="AK142" s="2596"/>
      <c r="AL142" s="2596"/>
      <c r="AM142" s="2596"/>
      <c r="AN142" s="2596"/>
      <c r="AO142" s="2596"/>
      <c r="AP142" s="2596"/>
      <c r="AQ142" s="2596"/>
      <c r="AR142" s="2596"/>
      <c r="AS142" s="2596"/>
      <c r="AT142" s="2596"/>
      <c r="AU142" s="2596"/>
    </row>
    <row r="143" spans="8:8">
      <c r="A143" s="2674"/>
      <c r="B143" s="2596"/>
      <c r="C143" s="2596"/>
      <c r="D143" s="2596"/>
      <c r="E143" s="2596"/>
      <c r="F143" s="2596"/>
      <c r="G143" s="2596"/>
      <c r="H143" s="2596"/>
      <c r="I143" s="2596"/>
      <c r="J143" s="2596"/>
      <c r="K143" s="2596"/>
      <c r="L143" s="2596"/>
      <c r="M143" s="2596"/>
      <c r="N143" s="2596"/>
      <c r="O143" s="2596"/>
      <c r="P143" s="2596"/>
      <c r="Q143" s="2596"/>
      <c r="R143" s="2596"/>
      <c r="S143" s="2596"/>
      <c r="T143" s="2596"/>
      <c r="U143" s="2596"/>
      <c r="V143" s="2596"/>
      <c r="W143" s="2596"/>
      <c r="X143" s="2596"/>
      <c r="Y143" s="2596"/>
      <c r="Z143" s="2596"/>
      <c r="AA143" s="2596"/>
      <c r="AB143" s="2596"/>
      <c r="AC143" s="2596"/>
      <c r="AD143" s="2596"/>
      <c r="AE143" s="2596"/>
      <c r="AF143" s="2596"/>
      <c r="AG143" s="2596"/>
      <c r="AH143" s="2596"/>
      <c r="AI143" s="2596"/>
      <c r="AJ143" s="2596"/>
      <c r="AK143" s="2596"/>
      <c r="AL143" s="2596"/>
      <c r="AM143" s="2596"/>
      <c r="AN143" s="2596"/>
      <c r="AO143" s="2596"/>
      <c r="AP143" s="2596"/>
      <c r="AQ143" s="2596"/>
      <c r="AR143" s="2596"/>
      <c r="AS143" s="2596"/>
      <c r="AT143" s="2596"/>
      <c r="AU143" s="2596"/>
    </row>
    <row r="144" spans="8:8">
      <c r="A144" s="2674"/>
      <c r="B144" s="2596"/>
      <c r="C144" s="2596"/>
      <c r="D144" s="2596"/>
      <c r="E144" s="2596"/>
      <c r="F144" s="2596"/>
      <c r="G144" s="2596"/>
      <c r="H144" s="2596"/>
      <c r="I144" s="2596"/>
      <c r="J144" s="2596"/>
      <c r="K144" s="2596"/>
      <c r="L144" s="2596"/>
      <c r="M144" s="2596"/>
      <c r="N144" s="2596"/>
      <c r="O144" s="2596"/>
      <c r="P144" s="2596"/>
      <c r="Q144" s="2596"/>
      <c r="R144" s="2596"/>
      <c r="S144" s="2596"/>
      <c r="T144" s="2596"/>
      <c r="U144" s="2596"/>
      <c r="V144" s="2596"/>
      <c r="W144" s="2596"/>
      <c r="X144" s="2596"/>
      <c r="Y144" s="2596"/>
      <c r="Z144" s="2596"/>
      <c r="AA144" s="2596"/>
      <c r="AB144" s="2596"/>
      <c r="AC144" s="2596"/>
      <c r="AD144" s="2596"/>
      <c r="AE144" s="2596"/>
      <c r="AF144" s="2596"/>
      <c r="AG144" s="2596"/>
      <c r="AH144" s="2596"/>
      <c r="AI144" s="2596"/>
      <c r="AJ144" s="2596"/>
      <c r="AK144" s="2596"/>
      <c r="AL144" s="2596"/>
      <c r="AM144" s="2596"/>
      <c r="AN144" s="2596"/>
      <c r="AO144" s="2596"/>
      <c r="AP144" s="2596"/>
      <c r="AQ144" s="2596"/>
      <c r="AR144" s="2596"/>
      <c r="AS144" s="2596"/>
      <c r="AT144" s="2596"/>
      <c r="AU144" s="2596"/>
    </row>
    <row r="145" spans="8:8">
      <c r="A145" s="2674"/>
      <c r="B145" s="2596"/>
      <c r="C145" s="2596"/>
      <c r="D145" s="2596"/>
      <c r="E145" s="2596"/>
      <c r="F145" s="2596"/>
      <c r="G145" s="2596"/>
      <c r="H145" s="2596"/>
      <c r="I145" s="2596"/>
      <c r="J145" s="2596"/>
      <c r="K145" s="2596"/>
      <c r="L145" s="2596"/>
      <c r="M145" s="2596"/>
      <c r="N145" s="2596"/>
      <c r="O145" s="2596"/>
      <c r="P145" s="2596"/>
      <c r="Q145" s="2596"/>
      <c r="R145" s="2596"/>
      <c r="S145" s="2596"/>
      <c r="T145" s="2596"/>
      <c r="U145" s="2596"/>
      <c r="V145" s="2596"/>
      <c r="W145" s="2596"/>
      <c r="X145" s="2596"/>
      <c r="Y145" s="2596"/>
      <c r="Z145" s="2596"/>
      <c r="AA145" s="2596"/>
      <c r="AB145" s="2596"/>
      <c r="AC145" s="2596"/>
      <c r="AD145" s="2596"/>
      <c r="AE145" s="2596"/>
      <c r="AF145" s="2596"/>
      <c r="AG145" s="2596"/>
      <c r="AH145" s="2596"/>
      <c r="AI145" s="2596"/>
      <c r="AJ145" s="2596"/>
      <c r="AK145" s="2596"/>
      <c r="AL145" s="2596"/>
      <c r="AM145" s="2596"/>
      <c r="AN145" s="2596"/>
      <c r="AO145" s="2596"/>
      <c r="AP145" s="2596"/>
      <c r="AQ145" s="2596"/>
      <c r="AR145" s="2596"/>
      <c r="AS145" s="2596"/>
      <c r="AT145" s="2596"/>
      <c r="AU145" s="2596"/>
    </row>
    <row r="146" spans="8:8">
      <c r="A146" s="2674"/>
      <c r="B146" s="2596"/>
      <c r="C146" s="2596"/>
      <c r="D146" s="2596"/>
      <c r="E146" s="2596"/>
      <c r="F146" s="2596"/>
      <c r="G146" s="2596"/>
      <c r="H146" s="2596"/>
      <c r="I146" s="2596"/>
      <c r="J146" s="2596"/>
      <c r="K146" s="2596"/>
      <c r="L146" s="2596"/>
      <c r="M146" s="2596"/>
      <c r="N146" s="2596"/>
      <c r="O146" s="2596"/>
      <c r="P146" s="2596"/>
      <c r="Q146" s="2596"/>
      <c r="R146" s="2596"/>
      <c r="S146" s="2596"/>
      <c r="T146" s="2596"/>
      <c r="U146" s="2596"/>
      <c r="V146" s="2596"/>
      <c r="W146" s="2596"/>
      <c r="X146" s="2596"/>
      <c r="Y146" s="2596"/>
      <c r="Z146" s="2596"/>
      <c r="AA146" s="2596"/>
      <c r="AB146" s="2596"/>
      <c r="AC146" s="2596"/>
      <c r="AD146" s="2596"/>
      <c r="AE146" s="2596"/>
      <c r="AF146" s="2596"/>
      <c r="AG146" s="2596"/>
      <c r="AH146" s="2596"/>
      <c r="AI146" s="2596"/>
      <c r="AJ146" s="2596"/>
      <c r="AK146" s="2596"/>
      <c r="AL146" s="2596"/>
      <c r="AM146" s="2596"/>
      <c r="AN146" s="2596"/>
      <c r="AO146" s="2596"/>
      <c r="AP146" s="2596"/>
      <c r="AQ146" s="2596"/>
      <c r="AR146" s="2596"/>
      <c r="AS146" s="2596"/>
      <c r="AT146" s="2596"/>
      <c r="AU146" s="2596"/>
    </row>
    <row r="147" spans="8:8">
      <c r="A147" s="2674"/>
      <c r="B147" s="2596"/>
      <c r="C147" s="2596"/>
      <c r="D147" s="2596"/>
      <c r="E147" s="2596"/>
      <c r="F147" s="2596"/>
      <c r="G147" s="2596"/>
      <c r="H147" s="2596"/>
      <c r="I147" s="2596"/>
      <c r="J147" s="2596"/>
      <c r="K147" s="2596"/>
      <c r="L147" s="2596"/>
      <c r="M147" s="2596"/>
      <c r="N147" s="2596"/>
      <c r="O147" s="2596"/>
      <c r="P147" s="2596"/>
      <c r="Q147" s="2596"/>
      <c r="R147" s="2596"/>
      <c r="S147" s="2596"/>
      <c r="T147" s="2596"/>
      <c r="U147" s="2596"/>
      <c r="V147" s="2596"/>
      <c r="W147" s="2596"/>
      <c r="X147" s="2596"/>
      <c r="Y147" s="2596"/>
      <c r="Z147" s="2596"/>
      <c r="AA147" s="2596"/>
      <c r="AB147" s="2596"/>
      <c r="AC147" s="2596"/>
      <c r="AD147" s="2596"/>
      <c r="AE147" s="2596"/>
      <c r="AF147" s="2596"/>
      <c r="AG147" s="2596"/>
      <c r="AH147" s="2596"/>
      <c r="AI147" s="2596"/>
      <c r="AJ147" s="2596"/>
      <c r="AK147" s="2596"/>
      <c r="AL147" s="2596"/>
      <c r="AM147" s="2596"/>
      <c r="AN147" s="2596"/>
      <c r="AO147" s="2596"/>
      <c r="AP147" s="2596"/>
      <c r="AQ147" s="2596"/>
      <c r="AR147" s="2596"/>
      <c r="AS147" s="2596"/>
      <c r="AT147" s="2596"/>
      <c r="AU147" s="2596"/>
    </row>
    <row r="148" spans="8:8">
      <c r="A148" s="2674"/>
      <c r="B148" s="2596"/>
      <c r="C148" s="2596"/>
      <c r="D148" s="2596"/>
    </row>
    <row r="149" spans="8:8">
      <c r="A149" s="2674"/>
      <c r="B149" s="2596"/>
      <c r="C149" s="2596"/>
      <c r="D149" s="2596"/>
    </row>
    <row r="150" spans="8:8">
      <c r="A150" s="2674"/>
      <c r="B150" s="2596"/>
      <c r="C150" s="2596"/>
      <c r="D150" s="2596"/>
    </row>
    <row r="151" spans="8:8">
      <c r="A151" s="2674"/>
      <c r="B151" s="2596"/>
      <c r="C151" s="2596"/>
      <c r="D151" s="2596"/>
    </row>
    <row r="152" spans="8:8">
      <c r="B152" s="2596"/>
      <c r="C152" s="2596"/>
      <c r="D152" s="2596"/>
    </row>
    <row r="153" spans="8:8">
      <c r="B153" s="2596"/>
      <c r="C153" s="2596"/>
      <c r="D153" s="2596"/>
    </row>
    <row r="154" spans="8:8">
      <c r="B154" s="2596"/>
      <c r="C154" s="2596"/>
      <c r="D154" s="2596"/>
    </row>
    <row r="155" spans="8:8">
      <c r="B155" s="2596"/>
      <c r="C155" s="2596"/>
      <c r="D155" s="2596"/>
    </row>
    <row r="156" spans="8:8">
      <c r="B156" s="2596"/>
      <c r="C156" s="2596"/>
      <c r="D156" s="2596"/>
    </row>
    <row r="157" spans="8:8">
      <c r="B157" s="2596"/>
      <c r="C157" s="2596"/>
      <c r="D157" s="2596"/>
    </row>
    <row r="158" spans="8:8">
      <c r="B158" s="2596"/>
      <c r="C158" s="2596"/>
      <c r="D158" s="2596"/>
    </row>
    <row r="159" spans="8:8">
      <c r="B159" s="2596"/>
      <c r="C159" s="2596"/>
      <c r="D159" s="2596"/>
    </row>
    <row r="160" spans="8:8">
      <c r="B160" s="2596"/>
      <c r="C160" s="2596"/>
      <c r="D160" s="2596"/>
    </row>
    <row r="161" spans="8:8">
      <c r="B161" s="2596"/>
      <c r="C161" s="2596"/>
      <c r="D161" s="2596"/>
    </row>
    <row r="162" spans="8:8">
      <c r="B162" s="2596"/>
      <c r="C162" s="2596"/>
      <c r="D162" s="2596"/>
    </row>
    <row r="163" spans="8:8">
      <c r="B163" s="2596"/>
      <c r="C163" s="2596"/>
      <c r="D163" s="2596"/>
    </row>
    <row r="164" spans="8:8">
      <c r="B164" s="2596"/>
      <c r="C164" s="2596"/>
      <c r="D164" s="2596"/>
    </row>
    <row r="165" spans="8:8">
      <c r="B165" s="2596"/>
      <c r="C165" s="2596"/>
      <c r="D165" s="2596"/>
    </row>
    <row r="166" spans="8:8">
      <c r="B166" s="2596"/>
      <c r="C166" s="2596"/>
      <c r="D166" s="2596"/>
    </row>
    <row r="167" spans="8:8">
      <c r="B167" s="2596"/>
      <c r="C167" s="2596"/>
      <c r="D167" s="2596"/>
    </row>
    <row r="168" spans="8:8">
      <c r="B168" s="2596"/>
      <c r="C168" s="2596"/>
      <c r="D168" s="2596"/>
    </row>
    <row r="169" spans="8:8">
      <c r="B169" s="2596"/>
      <c r="C169" s="2596"/>
      <c r="D169" s="2596"/>
    </row>
    <row r="170" spans="8:8">
      <c r="B170" s="2596"/>
      <c r="C170" s="2596"/>
      <c r="D170" s="2596"/>
    </row>
    <row r="171" spans="8:8">
      <c r="B171" s="2596"/>
      <c r="C171" s="2596"/>
      <c r="D171" s="2596"/>
    </row>
    <row r="180" spans="8:8">
      <c r="AU180" s="2596"/>
    </row>
    <row r="181" spans="8:8">
      <c r="AU181" s="2596"/>
    </row>
    <row r="182" spans="8:8">
      <c r="AU182" s="2596"/>
    </row>
    <row r="183" spans="8:8">
      <c r="AU183" s="2596"/>
    </row>
    <row r="184" spans="8:8">
      <c r="AU184" s="2596"/>
    </row>
    <row r="185" spans="8:8">
      <c r="AU185" s="2596"/>
    </row>
    <row r="186" spans="8:8">
      <c r="AU186" s="2596"/>
    </row>
    <row r="187" spans="8:8">
      <c r="AU187" s="2596"/>
    </row>
    <row r="188" spans="8:8">
      <c r="AU188" s="2596"/>
    </row>
    <row r="189" spans="8:8">
      <c r="AU189" s="2596"/>
    </row>
    <row r="190" spans="8:8">
      <c r="AU190" s="2596"/>
    </row>
    <row r="191" spans="8:8">
      <c r="AU191" s="2596"/>
    </row>
    <row r="192" spans="8:8">
      <c r="AU192" s="2596"/>
    </row>
  </sheetData>
  <sheetProtection password="d857" sheet="1" objects="1"/>
  <mergeCells count="316">
    <mergeCell ref="AN70:AW73"/>
    <mergeCell ref="AG9:AK10"/>
    <mergeCell ref="AJ113:AM114"/>
    <mergeCell ref="X113:AA114"/>
    <mergeCell ref="X112:AA112"/>
    <mergeCell ref="AC109:AI114"/>
    <mergeCell ref="AC115:AM121"/>
    <mergeCell ref="AA23:AE24"/>
    <mergeCell ref="O67:Q67"/>
    <mergeCell ref="C13:G14"/>
    <mergeCell ref="Z32:AE35"/>
    <mergeCell ref="O72:Q72"/>
    <mergeCell ref="H19:H20"/>
    <mergeCell ref="B44:G46"/>
    <mergeCell ref="M73:N73"/>
    <mergeCell ref="B109:M115"/>
    <mergeCell ref="I17:M18"/>
    <mergeCell ref="U67:V69"/>
    <mergeCell ref="Z9:Z10"/>
    <mergeCell ref="H68:J68"/>
    <mergeCell ref="H3:M3"/>
    <mergeCell ref="B19:B20"/>
    <mergeCell ref="A44:A84"/>
    <mergeCell ref="U82:AJ84"/>
    <mergeCell ref="AL3:AQ3"/>
    <mergeCell ref="AO109:AU111"/>
    <mergeCell ref="AR27:AW31"/>
    <mergeCell ref="A40:A43"/>
    <mergeCell ref="O11:S12"/>
    <mergeCell ref="AF49:AK51"/>
    <mergeCell ref="AM17:AQ18"/>
    <mergeCell ref="AR44:AW46"/>
    <mergeCell ref="A36:A39"/>
    <mergeCell ref="T19:T20"/>
    <mergeCell ref="H58:M61"/>
    <mergeCell ref="C21:G22"/>
    <mergeCell ref="N9:N10"/>
    <mergeCell ref="AR8:AW8"/>
    <mergeCell ref="AK93:AU96"/>
    <mergeCell ref="AF23:AF24"/>
    <mergeCell ref="AL11:AL12"/>
    <mergeCell ref="AR23:AR24"/>
    <mergeCell ref="AL19:AL20"/>
    <mergeCell ref="BD38:BU43"/>
    <mergeCell ref="M98:W99"/>
    <mergeCell ref="U19:Y20"/>
    <mergeCell ref="K68:L68"/>
    <mergeCell ref="AA25:AE26"/>
    <mergeCell ref="N54:P57"/>
    <mergeCell ref="U79:V81"/>
    <mergeCell ref="T11:T12"/>
    <mergeCell ref="AF15:AF16"/>
    <mergeCell ref="W64:AJ66"/>
    <mergeCell ref="AF3:AK3"/>
    <mergeCell ref="M92:W93"/>
    <mergeCell ref="I25:M26"/>
    <mergeCell ref="H54:M57"/>
    <mergeCell ref="N21:N22"/>
    <mergeCell ref="M96:W97"/>
    <mergeCell ref="U11:Y12"/>
    <mergeCell ref="N3:S3"/>
    <mergeCell ref="U9:Y10"/>
    <mergeCell ref="H65:J65"/>
    <mergeCell ref="O23:S24"/>
    <mergeCell ref="B17:B18"/>
    <mergeCell ref="H25:H26"/>
    <mergeCell ref="N40:S43"/>
    <mergeCell ref="F65:G73"/>
    <mergeCell ref="B7:AW7"/>
    <mergeCell ref="U23:Y24"/>
    <mergeCell ref="I9:M10"/>
    <mergeCell ref="AF25:AF26"/>
    <mergeCell ref="AR15:AR16"/>
    <mergeCell ref="B21:B22"/>
    <mergeCell ref="AL25:AL26"/>
    <mergeCell ref="O9:S10"/>
    <mergeCell ref="B90:W91"/>
    <mergeCell ref="Z23:Z24"/>
    <mergeCell ref="N13:N14"/>
    <mergeCell ref="Z93:AJ96"/>
    <mergeCell ref="AM19:AQ20"/>
    <mergeCell ref="T36:Y39"/>
    <mergeCell ref="AA11:AE12"/>
    <mergeCell ref="Z40:AE43"/>
    <mergeCell ref="AM21:AQ22"/>
    <mergeCell ref="AO112:AU121"/>
    <mergeCell ref="AA19:AE20"/>
    <mergeCell ref="M66:N66"/>
    <mergeCell ref="I13:M14"/>
    <mergeCell ref="B36:G39"/>
    <mergeCell ref="C19:G20"/>
    <mergeCell ref="U70:V72"/>
    <mergeCell ref="AA9:AE10"/>
    <mergeCell ref="H73:J73"/>
    <mergeCell ref="H71:J71"/>
    <mergeCell ref="AF19:AF20"/>
    <mergeCell ref="H15:H16"/>
    <mergeCell ref="AF21:AF22"/>
    <mergeCell ref="N17:N18"/>
    <mergeCell ref="O19:S20"/>
    <mergeCell ref="AF44:AK46"/>
    <mergeCell ref="AL49:AQ51"/>
    <mergeCell ref="T40:Y43"/>
    <mergeCell ref="AG11:AK12"/>
    <mergeCell ref="U13:Y14"/>
    <mergeCell ref="AG25:AK26"/>
    <mergeCell ref="I19:M20"/>
    <mergeCell ref="H67:J67"/>
    <mergeCell ref="T15:T16"/>
    <mergeCell ref="U64:V66"/>
    <mergeCell ref="B25:B26"/>
    <mergeCell ref="O66:Q66"/>
    <mergeCell ref="N109:P121"/>
    <mergeCell ref="R115:AA121"/>
    <mergeCell ref="B116:M121"/>
    <mergeCell ref="Z21:Z22"/>
    <mergeCell ref="O68:Q68"/>
    <mergeCell ref="H32:M35"/>
    <mergeCell ref="N11:N12"/>
    <mergeCell ref="B27:G31"/>
    <mergeCell ref="Z90:AU91"/>
    <mergeCell ref="AL17:AL18"/>
    <mergeCell ref="AJ112:AM112"/>
    <mergeCell ref="AN66:AW69"/>
    <mergeCell ref="Y54:AF57"/>
    <mergeCell ref="I15:M16"/>
    <mergeCell ref="B32:G35"/>
    <mergeCell ref="K65:L65"/>
    <mergeCell ref="T49:Y51"/>
    <mergeCell ref="AF8:AK8"/>
    <mergeCell ref="AM9:AQ10"/>
    <mergeCell ref="B2:AW2"/>
    <mergeCell ref="AL54:AQ56"/>
    <mergeCell ref="AF4:AK5"/>
    <mergeCell ref="AS23:AW24"/>
    <mergeCell ref="AM13:AQ14"/>
    <mergeCell ref="AL8:AQ8"/>
    <mergeCell ref="AF11:AF12"/>
    <mergeCell ref="AJ109:AM109"/>
    <mergeCell ref="B13:B14"/>
    <mergeCell ref="K67:L67"/>
    <mergeCell ref="T32:Y35"/>
    <mergeCell ref="A27:A31"/>
    <mergeCell ref="K66:L66"/>
    <mergeCell ref="U25:Y26"/>
    <mergeCell ref="T9:T10"/>
    <mergeCell ref="I11:M12"/>
    <mergeCell ref="O17:S18"/>
    <mergeCell ref="N19:N20"/>
    <mergeCell ref="Z44:AE46"/>
    <mergeCell ref="Z19:Z20"/>
    <mergeCell ref="O65:R65"/>
    <mergeCell ref="H9:H10"/>
    <mergeCell ref="B4:G5"/>
    <mergeCell ref="AS19:AW20"/>
    <mergeCell ref="T21:T22"/>
    <mergeCell ref="AL40:AQ43"/>
    <mergeCell ref="T17:T18"/>
    <mergeCell ref="AL9:AL10"/>
    <mergeCell ref="AS21:AW22"/>
    <mergeCell ref="K49:P51"/>
    <mergeCell ref="M68:N68"/>
    <mergeCell ref="M69:N69"/>
    <mergeCell ref="AL44:AQ46"/>
    <mergeCell ref="H27:M31"/>
    <mergeCell ref="AF9:AF10"/>
    <mergeCell ref="Z3:AE3"/>
    <mergeCell ref="H23:H24"/>
    <mergeCell ref="AR21:AR22"/>
    <mergeCell ref="AR17:AR18"/>
    <mergeCell ref="H13:H14"/>
    <mergeCell ref="N36:S39"/>
    <mergeCell ref="AL15:AL16"/>
    <mergeCell ref="AG13:AK14"/>
    <mergeCell ref="AF13:AF14"/>
    <mergeCell ref="AG15:AK16"/>
    <mergeCell ref="AN64:AW65"/>
    <mergeCell ref="M100:W101"/>
    <mergeCell ref="Z25:Z26"/>
    <mergeCell ref="R109:W114"/>
    <mergeCell ref="N32:S35"/>
    <mergeCell ref="T27:Y31"/>
    <mergeCell ref="O71:Q71"/>
    <mergeCell ref="H66:J66"/>
    <mergeCell ref="T23:T24"/>
    <mergeCell ref="U76:V78"/>
    <mergeCell ref="B92:L101"/>
    <mergeCell ref="B103:AU105"/>
    <mergeCell ref="T3:Y3"/>
    <mergeCell ref="M70:N70"/>
    <mergeCell ref="X110:AA111"/>
    <mergeCell ref="AO107:AU108"/>
    <mergeCell ref="AG23:AK24"/>
    <mergeCell ref="AS15:AW16"/>
    <mergeCell ref="AS9:AW10"/>
    <mergeCell ref="AG19:AK20"/>
    <mergeCell ref="AR36:AW39"/>
    <mergeCell ref="AL59:AQ61"/>
    <mergeCell ref="Z92:AU92"/>
    <mergeCell ref="C11:G12"/>
    <mergeCell ref="Z27:AE31"/>
    <mergeCell ref="AR13:AR14"/>
    <mergeCell ref="H17:H18"/>
    <mergeCell ref="B15:B16"/>
    <mergeCell ref="A32:A35"/>
    <mergeCell ref="AL36:AQ39"/>
    <mergeCell ref="U17:Y18"/>
    <mergeCell ref="N25:N26"/>
    <mergeCell ref="AA15:AE16"/>
    <mergeCell ref="AL4:AQ5"/>
    <mergeCell ref="O21:S22"/>
    <mergeCell ref="H72:J72"/>
    <mergeCell ref="B3:G3"/>
    <mergeCell ref="AS17:AW18"/>
    <mergeCell ref="Z4:AE5"/>
    <mergeCell ref="Z8:AE8"/>
    <mergeCell ref="B11:B12"/>
    <mergeCell ref="H8:M8"/>
    <mergeCell ref="AR19:AR20"/>
    <mergeCell ref="K69:L69"/>
    <mergeCell ref="U73:V75"/>
    <mergeCell ref="M72:N72"/>
    <mergeCell ref="AL23:AL24"/>
    <mergeCell ref="AF32:AK35"/>
    <mergeCell ref="M67:N67"/>
    <mergeCell ref="B86:AU88"/>
    <mergeCell ref="AL21:AL22"/>
    <mergeCell ref="AS11:AW12"/>
    <mergeCell ref="W76:AJ78"/>
    <mergeCell ref="W67:AJ69"/>
    <mergeCell ref="W70:AJ72"/>
    <mergeCell ref="H4:M5"/>
    <mergeCell ref="AS13:AW14"/>
    <mergeCell ref="I21:M22"/>
    <mergeCell ref="B9:B10"/>
    <mergeCell ref="I23:M24"/>
    <mergeCell ref="AS25:AW26"/>
    <mergeCell ref="K70:L70"/>
    <mergeCell ref="Z17:Z18"/>
    <mergeCell ref="C25:G26"/>
    <mergeCell ref="N58:P61"/>
    <mergeCell ref="K71:L71"/>
    <mergeCell ref="O73:Q73"/>
    <mergeCell ref="B107:P108"/>
    <mergeCell ref="U15:Y16"/>
    <mergeCell ref="AL32:AQ35"/>
    <mergeCell ref="AR4:AW5"/>
    <mergeCell ref="AR9:AR10"/>
    <mergeCell ref="AJ110:AM111"/>
    <mergeCell ref="AR3:AW3"/>
    <mergeCell ref="O15:S16"/>
    <mergeCell ref="AA21:AE22"/>
    <mergeCell ref="N8:S8"/>
    <mergeCell ref="T13:T14"/>
    <mergeCell ref="K73:L73"/>
    <mergeCell ref="B8:G8"/>
    <mergeCell ref="H69:J69"/>
    <mergeCell ref="O70:Q70"/>
    <mergeCell ref="O69:Q69"/>
    <mergeCell ref="M94:W95"/>
    <mergeCell ref="AM25:AQ26"/>
    <mergeCell ref="X109:AA109"/>
    <mergeCell ref="W79:AJ81"/>
    <mergeCell ref="AI98:AU99"/>
    <mergeCell ref="AC107:AM108"/>
    <mergeCell ref="Z98:AG99"/>
    <mergeCell ref="AF36:AK39"/>
    <mergeCell ref="N15:N16"/>
    <mergeCell ref="AM11:AQ12"/>
    <mergeCell ref="N4:S5"/>
    <mergeCell ref="AG17:AK18"/>
    <mergeCell ref="Z15:Z16"/>
    <mergeCell ref="C9:G10"/>
    <mergeCell ref="AF17:AF18"/>
    <mergeCell ref="AA13:AE14"/>
    <mergeCell ref="Z13:Z14"/>
    <mergeCell ref="AR40:AW43"/>
    <mergeCell ref="T44:Y46"/>
    <mergeCell ref="Z36:AE39"/>
    <mergeCell ref="AM15:AQ16"/>
    <mergeCell ref="AA17:AE18"/>
    <mergeCell ref="H70:J70"/>
    <mergeCell ref="O13:S14"/>
    <mergeCell ref="T25:T26"/>
    <mergeCell ref="O25:S26"/>
    <mergeCell ref="N23:N24"/>
    <mergeCell ref="M65:N65"/>
    <mergeCell ref="W73:AJ75"/>
    <mergeCell ref="AR49:AW51"/>
    <mergeCell ref="U21:Y22"/>
    <mergeCell ref="AR11:AR12"/>
    <mergeCell ref="R107:AA108"/>
    <mergeCell ref="AL27:AQ31"/>
    <mergeCell ref="M71:N71"/>
    <mergeCell ref="AM23:AQ24"/>
    <mergeCell ref="Z11:Z12"/>
    <mergeCell ref="F74:N75"/>
    <mergeCell ref="K72:L72"/>
    <mergeCell ref="AR32:AW35"/>
    <mergeCell ref="T8:Y8"/>
    <mergeCell ref="H21:H22"/>
    <mergeCell ref="AF27:AK31"/>
    <mergeCell ref="C17:G18"/>
    <mergeCell ref="T4:Y5"/>
    <mergeCell ref="AL13:AL14"/>
    <mergeCell ref="AF40:AK43"/>
    <mergeCell ref="H40:M43"/>
    <mergeCell ref="H36:M39"/>
    <mergeCell ref="AR25:AR26"/>
    <mergeCell ref="H11:H12"/>
    <mergeCell ref="N27:S31"/>
    <mergeCell ref="C15:G16"/>
    <mergeCell ref="AG21:AK22"/>
    <mergeCell ref="B40:G43"/>
    <mergeCell ref="N44:S46"/>
    <mergeCell ref="H44:M46"/>
  </mergeCells>
  <pageMargins left="0.75" right="0.75" top="1.0" bottom="1.0" header="0.509027777777778" footer="0.509027777777778"/>
</worksheet>
</file>

<file path=xl/worksheets/sheet11.xml><?xml version="1.0" encoding="utf-8"?>
<worksheet xmlns:r="http://schemas.openxmlformats.org/officeDocument/2006/relationships" xmlns="http://schemas.openxmlformats.org/spreadsheetml/2006/main">
  <dimension ref="A1:CQ235"/>
  <sheetViews>
    <sheetView workbookViewId="0" showGridLines="0" showRowColHeaders="0" zoomScale="85">
      <selection activeCell="B2" sqref="B2:AA4"/>
    </sheetView>
  </sheetViews>
  <sheetFormatPr defaultRowHeight="14.55" defaultColWidth="9"/>
  <cols>
    <col min="1" max="1" customWidth="1" width="5.7773438" style="629"/>
    <col min="2" max="4" customWidth="1" width="9.0" style="629"/>
    <col min="5" max="5" customWidth="1" width="8.109375" style="629"/>
    <col min="6" max="6" customWidth="1" width="8.0" style="629"/>
    <col min="7" max="8" customWidth="1" width="6.6640625" style="629"/>
    <col min="9" max="10" customWidth="1" width="7.6640625" style="629"/>
    <col min="11" max="13" customWidth="1" width="9.0" style="629"/>
    <col min="14" max="14" customWidth="1" width="8.0" style="629"/>
    <col min="15" max="16" customWidth="1" width="6.6640625" style="629"/>
    <col min="17" max="18" customWidth="1" width="7.6640625" style="629"/>
    <col min="19" max="21" customWidth="1" width="9.0" style="629"/>
    <col min="22" max="22" customWidth="1" width="8.0" style="629"/>
    <col min="23" max="23" customWidth="1" width="8.109375" style="629"/>
    <col min="24" max="24" customWidth="1" width="6.6640625" style="629"/>
    <col min="25" max="25" customWidth="1" width="8.0" style="629"/>
    <col min="26" max="26" customWidth="1" width="7.6640625" style="629"/>
    <col min="27" max="27" customWidth="1" width="9.0" style="629"/>
    <col min="28" max="16384" customWidth="0" width="9.0" style="629"/>
  </cols>
  <sheetData>
    <row r="1" spans="8:8" ht="21.05" customHeight="1"/>
    <row r="2" spans="8:8" s="2223" ht="11.95" customFormat="1" customHeight="1">
      <c r="B2" s="2302" t="s">
        <v>3726</v>
      </c>
      <c r="C2" s="2303"/>
      <c r="D2" s="2303"/>
      <c r="E2" s="2303"/>
      <c r="F2" s="2303"/>
      <c r="G2" s="2303"/>
      <c r="H2" s="2303"/>
      <c r="I2" s="2303"/>
      <c r="J2" s="2303"/>
      <c r="K2" s="2303"/>
      <c r="L2" s="2303"/>
      <c r="M2" s="2303"/>
      <c r="N2" s="2303"/>
      <c r="O2" s="2303"/>
      <c r="P2" s="2303"/>
      <c r="Q2" s="2303"/>
      <c r="R2" s="2303"/>
      <c r="S2" s="2303"/>
      <c r="T2" s="2303"/>
      <c r="U2" s="2303"/>
      <c r="V2" s="2303"/>
      <c r="W2" s="2303"/>
      <c r="X2" s="2303"/>
      <c r="Y2" s="2303"/>
      <c r="Z2" s="2303"/>
      <c r="AA2" s="2304"/>
      <c r="AB2" s="2688"/>
    </row>
    <row r="3" spans="8:8" s="2223" ht="13.05" customFormat="1" customHeight="1">
      <c r="B3" s="2305"/>
      <c r="C3" s="2306"/>
      <c r="D3" s="2306"/>
      <c r="E3" s="2306"/>
      <c r="F3" s="2306"/>
      <c r="G3" s="2306"/>
      <c r="H3" s="2306"/>
      <c r="I3" s="2306"/>
      <c r="J3" s="2306"/>
      <c r="K3" s="2306"/>
      <c r="L3" s="2306"/>
      <c r="M3" s="2306"/>
      <c r="N3" s="2306"/>
      <c r="O3" s="2306"/>
      <c r="P3" s="2306"/>
      <c r="Q3" s="2306"/>
      <c r="R3" s="2306"/>
      <c r="S3" s="2306"/>
      <c r="T3" s="2306"/>
      <c r="U3" s="2306"/>
      <c r="V3" s="2306"/>
      <c r="W3" s="2306"/>
      <c r="X3" s="2306"/>
      <c r="Y3" s="2306"/>
      <c r="Z3" s="2306"/>
      <c r="AA3" s="2307"/>
      <c r="AB3" s="2688"/>
    </row>
    <row r="4" spans="8:8" s="2223" ht="18.0" customFormat="1" customHeight="1">
      <c r="A4" s="2224"/>
      <c r="B4" s="2308"/>
      <c r="C4" s="2309"/>
      <c r="D4" s="2309"/>
      <c r="E4" s="2309"/>
      <c r="F4" s="2309"/>
      <c r="G4" s="2309"/>
      <c r="H4" s="2309"/>
      <c r="I4" s="2309"/>
      <c r="J4" s="2309"/>
      <c r="K4" s="2309"/>
      <c r="L4" s="2309"/>
      <c r="M4" s="2309"/>
      <c r="N4" s="2309"/>
      <c r="O4" s="2309"/>
      <c r="P4" s="2309"/>
      <c r="Q4" s="2309"/>
      <c r="R4" s="2309"/>
      <c r="S4" s="2309"/>
      <c r="T4" s="2309"/>
      <c r="U4" s="2309"/>
      <c r="V4" s="2309"/>
      <c r="W4" s="2309"/>
      <c r="X4" s="2309"/>
      <c r="Y4" s="2309"/>
      <c r="Z4" s="2309"/>
      <c r="AA4" s="2310"/>
      <c r="AB4" s="2688"/>
    </row>
    <row r="5" spans="8:8" s="2223" ht="15.75" customFormat="1">
      <c r="B5" s="2689"/>
      <c r="C5" s="2689"/>
      <c r="D5" s="2689"/>
      <c r="E5" s="2689"/>
      <c r="F5" s="2689"/>
      <c r="G5" s="2689"/>
      <c r="H5" s="2689"/>
      <c r="I5" s="2689"/>
      <c r="J5" s="2689"/>
      <c r="K5" s="2689"/>
      <c r="L5" s="2689"/>
      <c r="M5" s="2689"/>
      <c r="N5" s="2689"/>
      <c r="O5" s="2689"/>
      <c r="P5" s="2689"/>
      <c r="Q5" s="2689"/>
      <c r="R5" s="2689"/>
      <c r="S5" s="2689"/>
      <c r="T5" s="2689"/>
      <c r="V5" s="2690"/>
      <c r="W5" s="2690"/>
      <c r="X5" s="2690"/>
      <c r="Y5" s="2690"/>
      <c r="Z5" s="2690"/>
      <c r="AA5" s="2690"/>
      <c r="AB5" s="2691"/>
    </row>
    <row r="6" spans="8:8" s="2223" ht="15.75" customFormat="1">
      <c r="A6" s="2692" t="s">
        <v>5935</v>
      </c>
      <c r="B6" s="2692"/>
      <c r="C6" s="2692"/>
      <c r="D6" s="2692"/>
      <c r="E6" s="2693" t="s">
        <v>3727</v>
      </c>
      <c r="F6" s="2694"/>
      <c r="G6" s="2694"/>
      <c r="H6" s="2694"/>
      <c r="I6" s="2694"/>
      <c r="J6" s="2694"/>
      <c r="K6" s="2695"/>
      <c r="L6" s="1"/>
      <c r="M6" s="2693" t="s">
        <v>3728</v>
      </c>
      <c r="N6" s="2694"/>
      <c r="O6" s="2694"/>
      <c r="P6" s="2694"/>
      <c r="Q6" s="2694"/>
      <c r="R6" s="2694"/>
      <c r="S6" s="2695"/>
      <c r="T6" s="1"/>
      <c r="U6" s="2693" t="s">
        <v>3729</v>
      </c>
      <c r="V6" s="2694"/>
      <c r="W6" s="2694"/>
      <c r="X6" s="2694"/>
      <c r="Y6" s="2694"/>
      <c r="Z6" s="2694"/>
      <c r="AA6" s="2695"/>
      <c r="AB6" s="2351"/>
      <c r="AC6" s="2351"/>
    </row>
    <row r="7" spans="8:8" s="2223" ht="15.75" customFormat="1">
      <c r="A7" s="2692"/>
      <c r="B7" s="2692"/>
      <c r="C7" s="2692"/>
      <c r="D7" s="2692"/>
      <c r="E7" s="2696" t="s">
        <v>176</v>
      </c>
      <c r="F7" s="2697" t="s">
        <v>90</v>
      </c>
      <c r="G7" s="2698" t="s">
        <v>3730</v>
      </c>
      <c r="H7" s="2698"/>
      <c r="I7" s="2698" t="s">
        <v>178</v>
      </c>
      <c r="J7" s="2698"/>
      <c r="K7" s="2699" t="s">
        <v>177</v>
      </c>
      <c r="L7" s="1"/>
      <c r="M7" s="2696" t="s">
        <v>176</v>
      </c>
      <c r="N7" s="2697" t="s">
        <v>90</v>
      </c>
      <c r="O7" s="2698" t="s">
        <v>3730</v>
      </c>
      <c r="P7" s="2698"/>
      <c r="Q7" s="2698" t="s">
        <v>178</v>
      </c>
      <c r="R7" s="2698"/>
      <c r="S7" s="2699" t="s">
        <v>177</v>
      </c>
      <c r="T7" s="1"/>
      <c r="U7" s="2696" t="s">
        <v>176</v>
      </c>
      <c r="V7" s="2697" t="s">
        <v>90</v>
      </c>
      <c r="W7" s="2698" t="s">
        <v>3730</v>
      </c>
      <c r="X7" s="2698"/>
      <c r="Y7" s="2698" t="s">
        <v>178</v>
      </c>
      <c r="Z7" s="2698"/>
      <c r="AA7" s="2699" t="s">
        <v>177</v>
      </c>
    </row>
    <row r="8" spans="8:8" s="2223" ht="39.95" customFormat="1" customHeight="1">
      <c r="A8" s="2692"/>
      <c r="B8" s="2692"/>
      <c r="C8" s="2692"/>
      <c r="D8" s="2692"/>
      <c r="E8" s="2700" t="s">
        <v>3731</v>
      </c>
      <c r="F8" s="425">
        <v>0.0</v>
      </c>
      <c r="G8" s="2701">
        <v>0.5</v>
      </c>
      <c r="H8" s="2701"/>
      <c r="I8" s="2701" t="s">
        <v>3732</v>
      </c>
      <c r="J8" s="2701"/>
      <c r="K8" s="2702">
        <v>0.5</v>
      </c>
      <c r="L8" s="1"/>
      <c r="M8" s="2703" t="s">
        <v>3731</v>
      </c>
      <c r="N8" s="425">
        <v>0.0</v>
      </c>
      <c r="O8" s="2701">
        <v>100.0</v>
      </c>
      <c r="P8" s="2701"/>
      <c r="Q8" s="2701" t="s">
        <v>3732</v>
      </c>
      <c r="R8" s="2701"/>
      <c r="S8" s="2702">
        <v>50.0</v>
      </c>
      <c r="T8" s="1"/>
      <c r="U8" s="2703" t="s">
        <v>3731</v>
      </c>
      <c r="V8" s="425">
        <v>0.0</v>
      </c>
      <c r="W8" s="2701">
        <v>1000.0</v>
      </c>
      <c r="X8" s="2701"/>
      <c r="Y8" s="2701" t="s">
        <v>3732</v>
      </c>
      <c r="Z8" s="2701"/>
      <c r="AA8" s="2702">
        <v>500.0</v>
      </c>
    </row>
    <row r="9" spans="8:8" s="2223" ht="39.95" customFormat="1" customHeight="1">
      <c r="A9" s="2704" t="s">
        <v>3733</v>
      </c>
      <c r="B9" s="2704"/>
      <c r="C9" s="2704"/>
      <c r="D9" s="2705"/>
      <c r="E9" s="2706" t="s">
        <v>3734</v>
      </c>
      <c r="F9" s="2707" t="s">
        <v>3735</v>
      </c>
      <c r="G9" s="2708" t="s">
        <v>3736</v>
      </c>
      <c r="H9" s="2708"/>
      <c r="I9" s="2708" t="s">
        <v>3737</v>
      </c>
      <c r="J9" s="2708"/>
      <c r="K9" s="2709">
        <v>2.0</v>
      </c>
      <c r="L9" s="1"/>
      <c r="M9" s="2710" t="s">
        <v>3734</v>
      </c>
      <c r="N9" s="2707" t="s">
        <v>3735</v>
      </c>
      <c r="O9" s="2708" t="s">
        <v>3738</v>
      </c>
      <c r="P9" s="2708"/>
      <c r="Q9" s="2708" t="s">
        <v>3739</v>
      </c>
      <c r="R9" s="2708"/>
      <c r="S9" s="2709">
        <v>100.0</v>
      </c>
      <c r="T9" s="1"/>
      <c r="U9" s="2710" t="s">
        <v>3734</v>
      </c>
      <c r="V9" s="2707" t="s">
        <v>3735</v>
      </c>
      <c r="W9" s="2708" t="s">
        <v>3740</v>
      </c>
      <c r="X9" s="2708"/>
      <c r="Y9" s="2708" t="s">
        <v>3741</v>
      </c>
      <c r="Z9" s="2708"/>
      <c r="AA9" s="2709">
        <v>2000.0</v>
      </c>
    </row>
    <row r="10" spans="8:8" s="2223" ht="39.95" customFormat="1" customHeight="1">
      <c r="A10" s="2704"/>
      <c r="B10" s="2704"/>
      <c r="C10" s="2704"/>
      <c r="D10" s="2705"/>
      <c r="E10" s="2700" t="s">
        <v>3742</v>
      </c>
      <c r="F10" s="425" t="s">
        <v>3743</v>
      </c>
      <c r="G10" s="2711" t="s">
        <v>3744</v>
      </c>
      <c r="H10" s="2711"/>
      <c r="I10" s="2711" t="s">
        <v>3745</v>
      </c>
      <c r="J10" s="2711"/>
      <c r="K10" s="2702">
        <v>10.0</v>
      </c>
      <c r="L10" s="1"/>
      <c r="M10" s="2703" t="s">
        <v>3742</v>
      </c>
      <c r="N10" s="425" t="s">
        <v>3743</v>
      </c>
      <c r="O10" s="2711" t="s">
        <v>3746</v>
      </c>
      <c r="P10" s="2711"/>
      <c r="Q10" s="2711" t="s">
        <v>3747</v>
      </c>
      <c r="R10" s="2711"/>
      <c r="S10" s="2702">
        <v>1000.0</v>
      </c>
      <c r="T10" s="1"/>
      <c r="U10" s="2703" t="s">
        <v>3742</v>
      </c>
      <c r="V10" s="425" t="s">
        <v>3748</v>
      </c>
      <c r="W10" s="2711" t="s">
        <v>3749</v>
      </c>
      <c r="X10" s="2711"/>
      <c r="Y10" s="2711" t="s">
        <v>3750</v>
      </c>
      <c r="Z10" s="2711"/>
      <c r="AA10" s="2702">
        <v>25000.0</v>
      </c>
    </row>
    <row r="11" spans="8:8" s="2223" ht="39.95" customFormat="1" customHeight="1">
      <c r="A11" s="2704"/>
      <c r="B11" s="2704"/>
      <c r="C11" s="2704"/>
      <c r="D11" s="2705"/>
      <c r="E11" s="2706" t="s">
        <v>3751</v>
      </c>
      <c r="F11" s="2707" t="s">
        <v>3752</v>
      </c>
      <c r="G11" s="2708" t="s">
        <v>3753</v>
      </c>
      <c r="H11" s="2708"/>
      <c r="I11" s="2708" t="s">
        <v>3754</v>
      </c>
      <c r="J11" s="2708"/>
      <c r="K11" s="2709">
        <v>50.0</v>
      </c>
      <c r="L11" s="1"/>
      <c r="M11" s="2710" t="s">
        <v>3751</v>
      </c>
      <c r="N11" s="2707" t="s">
        <v>3752</v>
      </c>
      <c r="O11" s="2708" t="s">
        <v>3754</v>
      </c>
      <c r="P11" s="2708"/>
      <c r="Q11" s="2708" t="s">
        <v>3755</v>
      </c>
      <c r="R11" s="2708"/>
      <c r="S11" s="2709">
        <v>5000.0</v>
      </c>
      <c r="T11" s="1"/>
      <c r="U11" s="2710" t="s">
        <v>3751</v>
      </c>
      <c r="V11" s="2707" t="s">
        <v>3752</v>
      </c>
      <c r="W11" s="2708" t="s">
        <v>3756</v>
      </c>
      <c r="X11" s="2708"/>
      <c r="Y11" s="2708" t="s">
        <v>3757</v>
      </c>
      <c r="Z11" s="2708"/>
      <c r="AA11" s="2709" t="s">
        <v>3758</v>
      </c>
    </row>
    <row r="12" spans="8:8" s="2223" ht="39.95" customFormat="1" customHeight="1">
      <c r="A12" s="2278" t="s">
        <v>3759</v>
      </c>
      <c r="B12" s="2278"/>
      <c r="C12" s="2278"/>
      <c r="D12" s="2278"/>
      <c r="E12" s="2700" t="s">
        <v>3760</v>
      </c>
      <c r="F12" s="425" t="s">
        <v>3761</v>
      </c>
      <c r="G12" s="2711" t="s">
        <v>3762</v>
      </c>
      <c r="H12" s="2711"/>
      <c r="I12" s="2711" t="s">
        <v>3740</v>
      </c>
      <c r="J12" s="2711"/>
      <c r="K12" s="2702">
        <v>250.0</v>
      </c>
      <c r="L12" s="1"/>
      <c r="M12" s="2703" t="s">
        <v>3760</v>
      </c>
      <c r="N12" s="425" t="s">
        <v>3761</v>
      </c>
      <c r="O12" s="2711" t="s">
        <v>3763</v>
      </c>
      <c r="P12" s="2711"/>
      <c r="Q12" s="2711" t="s">
        <v>3764</v>
      </c>
      <c r="R12" s="2711"/>
      <c r="S12" s="2702" t="s">
        <v>3765</v>
      </c>
      <c r="T12" s="1"/>
      <c r="U12" s="2703" t="s">
        <v>3760</v>
      </c>
      <c r="V12" s="425" t="s">
        <v>3761</v>
      </c>
      <c r="W12" s="2711" t="s">
        <v>3766</v>
      </c>
      <c r="X12" s="2711"/>
      <c r="Y12" s="2711" t="s">
        <v>3767</v>
      </c>
      <c r="Z12" s="2711"/>
      <c r="AA12" s="2702" t="s">
        <v>3768</v>
      </c>
    </row>
    <row r="13" spans="8:8" s="2223" ht="39.95" customFormat="1" customHeight="1">
      <c r="A13" s="2278"/>
      <c r="B13" s="2278"/>
      <c r="C13" s="2278"/>
      <c r="D13" s="2278"/>
      <c r="E13" s="2712" t="s">
        <v>3769</v>
      </c>
      <c r="F13" s="2713">
        <v>99.0</v>
      </c>
      <c r="G13" s="2714" t="s">
        <v>3770</v>
      </c>
      <c r="H13" s="2714"/>
      <c r="I13" s="2714" t="s">
        <v>3771</v>
      </c>
      <c r="J13" s="2714"/>
      <c r="K13" s="2715">
        <v>5000.0</v>
      </c>
      <c r="L13" s="1"/>
      <c r="M13" s="2716" t="s">
        <v>3769</v>
      </c>
      <c r="N13" s="2713">
        <v>99.0</v>
      </c>
      <c r="O13" s="2714" t="s">
        <v>3772</v>
      </c>
      <c r="P13" s="2714"/>
      <c r="Q13" s="2714" t="s">
        <v>3773</v>
      </c>
      <c r="R13" s="2714"/>
      <c r="S13" s="2715" t="s">
        <v>3758</v>
      </c>
      <c r="T13" s="1"/>
      <c r="U13" s="2716" t="s">
        <v>3769</v>
      </c>
      <c r="V13" s="2713">
        <v>99.0</v>
      </c>
      <c r="W13" s="2714" t="s">
        <v>3774</v>
      </c>
      <c r="X13" s="2714"/>
      <c r="Y13" s="2714" t="s">
        <v>3775</v>
      </c>
      <c r="Z13" s="2714"/>
      <c r="AA13" s="2715" t="s">
        <v>3776</v>
      </c>
    </row>
    <row r="14" spans="8:8" s="2223" ht="14.1" customFormat="1" customHeight="1">
      <c r="B14" s="2717"/>
      <c r="C14" s="2718"/>
      <c r="D14" s="2719"/>
      <c r="E14" s="2720"/>
      <c r="F14" s="2720"/>
      <c r="G14" s="2720"/>
      <c r="H14" s="2720"/>
      <c r="I14" s="2720"/>
      <c r="J14" s="2720"/>
      <c r="K14" s="2720"/>
      <c r="L14" s="1"/>
      <c r="M14" s="2721"/>
      <c r="N14" s="1"/>
      <c r="O14" s="1"/>
      <c r="P14" s="1"/>
      <c r="Q14" s="1"/>
      <c r="R14" s="1"/>
      <c r="S14" s="1"/>
      <c r="T14" s="1"/>
      <c r="U14" s="2721"/>
      <c r="V14" s="1"/>
      <c r="W14" s="1"/>
      <c r="X14" s="1"/>
      <c r="Y14" s="1"/>
      <c r="Z14" s="1"/>
      <c r="AA14" s="1"/>
    </row>
    <row r="15" spans="8:8" s="2223" ht="14.1" customFormat="1" customHeight="1">
      <c r="B15" s="2717"/>
      <c r="C15" s="2718"/>
      <c r="D15" s="2719"/>
      <c r="E15" s="2722" t="s">
        <v>3777</v>
      </c>
      <c r="F15" s="2723"/>
      <c r="G15" s="2723"/>
      <c r="H15" s="2723"/>
      <c r="I15" s="2723"/>
      <c r="J15" s="2723"/>
      <c r="K15" s="2724"/>
      <c r="L15" s="1"/>
      <c r="M15" s="2693" t="s">
        <v>3778</v>
      </c>
      <c r="N15" s="2694"/>
      <c r="O15" s="2694"/>
      <c r="P15" s="2694"/>
      <c r="Q15" s="2694"/>
      <c r="R15" s="2694"/>
      <c r="S15" s="2695"/>
      <c r="T15" s="1"/>
      <c r="U15" s="2693" t="s">
        <v>3779</v>
      </c>
      <c r="V15" s="2694"/>
      <c r="W15" s="2694"/>
      <c r="X15" s="2694"/>
      <c r="Y15" s="2694"/>
      <c r="Z15" s="2694"/>
      <c r="AA15" s="2695"/>
    </row>
    <row r="16" spans="8:8" s="2223" ht="19.4" customFormat="1">
      <c r="B16" s="2717"/>
      <c r="C16" s="2718"/>
      <c r="D16" s="2719"/>
      <c r="E16" s="2725" t="s">
        <v>176</v>
      </c>
      <c r="F16" s="2726" t="s">
        <v>90</v>
      </c>
      <c r="G16" s="2727" t="s">
        <v>3730</v>
      </c>
      <c r="H16" s="2727"/>
      <c r="I16" s="2727" t="s">
        <v>178</v>
      </c>
      <c r="J16" s="2727"/>
      <c r="K16" s="2728" t="s">
        <v>177</v>
      </c>
      <c r="L16" s="1"/>
      <c r="M16" s="2696" t="s">
        <v>176</v>
      </c>
      <c r="N16" s="2697" t="s">
        <v>90</v>
      </c>
      <c r="O16" s="2698" t="s">
        <v>3730</v>
      </c>
      <c r="P16" s="2698"/>
      <c r="Q16" s="2698" t="s">
        <v>178</v>
      </c>
      <c r="R16" s="2698"/>
      <c r="S16" s="2699" t="s">
        <v>177</v>
      </c>
      <c r="T16" s="1"/>
      <c r="U16" s="2696" t="s">
        <v>176</v>
      </c>
      <c r="V16" s="2697" t="s">
        <v>90</v>
      </c>
      <c r="W16" s="2698" t="s">
        <v>3730</v>
      </c>
      <c r="X16" s="2698"/>
      <c r="Y16" s="2698" t="s">
        <v>178</v>
      </c>
      <c r="Z16" s="2698"/>
      <c r="AA16" s="2699" t="s">
        <v>177</v>
      </c>
    </row>
    <row r="17" spans="8:8" s="2223" ht="39.95" customFormat="1" customHeight="1">
      <c r="B17" s="2717"/>
      <c r="C17" s="2718"/>
      <c r="D17" s="2719"/>
      <c r="E17" s="2700" t="s">
        <v>3731</v>
      </c>
      <c r="F17" s="425">
        <v>0.0</v>
      </c>
      <c r="G17" s="2701">
        <v>10.0</v>
      </c>
      <c r="H17" s="2701"/>
      <c r="I17" s="2701" t="s">
        <v>3732</v>
      </c>
      <c r="J17" s="2701"/>
      <c r="K17" s="2702">
        <v>10.0</v>
      </c>
      <c r="L17" s="1"/>
      <c r="M17" s="2703" t="s">
        <v>3731</v>
      </c>
      <c r="N17" s="425">
        <v>0.0</v>
      </c>
      <c r="O17" s="2701" t="s">
        <v>3780</v>
      </c>
      <c r="P17" s="2701"/>
      <c r="Q17" s="2701" t="s">
        <v>3732</v>
      </c>
      <c r="R17" s="2701"/>
      <c r="S17" s="2702" t="s">
        <v>3781</v>
      </c>
      <c r="T17" s="1"/>
      <c r="U17" s="2703" t="s">
        <v>3731</v>
      </c>
      <c r="V17" s="425">
        <v>0.0</v>
      </c>
      <c r="W17" s="2701">
        <v>10.0</v>
      </c>
      <c r="X17" s="2701"/>
      <c r="Y17" s="2701" t="s">
        <v>3732</v>
      </c>
      <c r="Z17" s="2701"/>
      <c r="AA17" s="2702">
        <v>10.0</v>
      </c>
    </row>
    <row r="18" spans="8:8" s="2223" ht="39.95" customFormat="1" customHeight="1">
      <c r="B18" s="2717"/>
      <c r="C18" s="2718"/>
      <c r="D18" s="2719"/>
      <c r="E18" s="2706" t="s">
        <v>3734</v>
      </c>
      <c r="F18" s="2707" t="s">
        <v>3735</v>
      </c>
      <c r="G18" s="2708" t="s">
        <v>3782</v>
      </c>
      <c r="H18" s="2708"/>
      <c r="I18" s="2708" t="s">
        <v>3783</v>
      </c>
      <c r="J18" s="2708"/>
      <c r="K18" s="2709">
        <v>40.0</v>
      </c>
      <c r="L18" s="1"/>
      <c r="M18" s="2710" t="s">
        <v>3734</v>
      </c>
      <c r="N18" s="2707" t="s">
        <v>3735</v>
      </c>
      <c r="O18" s="2708" t="s">
        <v>3784</v>
      </c>
      <c r="P18" s="2708"/>
      <c r="Q18" s="2708" t="s">
        <v>3785</v>
      </c>
      <c r="R18" s="2708"/>
      <c r="S18" s="2709" t="s">
        <v>3786</v>
      </c>
      <c r="T18" s="1"/>
      <c r="U18" s="2710" t="s">
        <v>3734</v>
      </c>
      <c r="V18" s="2707" t="s">
        <v>3735</v>
      </c>
      <c r="W18" s="2708" t="s">
        <v>3787</v>
      </c>
      <c r="X18" s="2708"/>
      <c r="Y18" s="2708" t="s">
        <v>3788</v>
      </c>
      <c r="Z18" s="2708"/>
      <c r="AA18" s="2709">
        <v>35.0</v>
      </c>
    </row>
    <row r="19" spans="8:8" s="2223" ht="39.95" customFormat="1" customHeight="1">
      <c r="B19" s="2717"/>
      <c r="C19" s="2718"/>
      <c r="D19" s="2719"/>
      <c r="E19" s="2700" t="s">
        <v>3742</v>
      </c>
      <c r="F19" s="425" t="s">
        <v>3743</v>
      </c>
      <c r="G19" s="2711" t="s">
        <v>3789</v>
      </c>
      <c r="H19" s="2711"/>
      <c r="I19" s="2711" t="s">
        <v>3739</v>
      </c>
      <c r="J19" s="2711"/>
      <c r="K19" s="2702">
        <v>200.0</v>
      </c>
      <c r="L19" s="1"/>
      <c r="M19" s="2703" t="s">
        <v>3742</v>
      </c>
      <c r="N19" s="425" t="s">
        <v>3743</v>
      </c>
      <c r="O19" s="2711" t="s">
        <v>3785</v>
      </c>
      <c r="P19" s="2711"/>
      <c r="Q19" s="2711" t="s">
        <v>3762</v>
      </c>
      <c r="R19" s="2711"/>
      <c r="S19" s="2729" t="s">
        <v>3790</v>
      </c>
      <c r="T19" s="1"/>
      <c r="U19" s="2703" t="s">
        <v>3742</v>
      </c>
      <c r="V19" s="425" t="s">
        <v>3743</v>
      </c>
      <c r="W19" s="2711" t="s">
        <v>3791</v>
      </c>
      <c r="X19" s="2711"/>
      <c r="Y19" s="2711" t="s">
        <v>3754</v>
      </c>
      <c r="Z19" s="2711"/>
      <c r="AA19" s="2702">
        <v>140.0</v>
      </c>
    </row>
    <row r="20" spans="8:8" s="2223" ht="39.95" customFormat="1" customHeight="1">
      <c r="B20" s="2717"/>
      <c r="C20" s="2718"/>
      <c r="D20" s="2719"/>
      <c r="E20" s="2706" t="s">
        <v>3751</v>
      </c>
      <c r="F20" s="2707" t="s">
        <v>3752</v>
      </c>
      <c r="G20" s="2708" t="s">
        <v>3738</v>
      </c>
      <c r="H20" s="2708"/>
      <c r="I20" s="2708" t="s">
        <v>3792</v>
      </c>
      <c r="J20" s="2708"/>
      <c r="K20" s="2709">
        <v>1000.0</v>
      </c>
      <c r="L20" s="1"/>
      <c r="M20" s="2710" t="s">
        <v>3751</v>
      </c>
      <c r="N20" s="2707" t="s">
        <v>3752</v>
      </c>
      <c r="O20" s="2708" t="s">
        <v>3793</v>
      </c>
      <c r="P20" s="2708"/>
      <c r="Q20" s="2708" t="s">
        <v>3746</v>
      </c>
      <c r="R20" s="2708"/>
      <c r="S20" s="2709">
        <v>15.0</v>
      </c>
      <c r="T20" s="1"/>
      <c r="U20" s="2710" t="s">
        <v>3751</v>
      </c>
      <c r="V20" s="2707" t="s">
        <v>3752</v>
      </c>
      <c r="W20" s="2708" t="s">
        <v>3794</v>
      </c>
      <c r="X20" s="2708"/>
      <c r="Y20" s="2708" t="s">
        <v>3795</v>
      </c>
      <c r="Z20" s="2708"/>
      <c r="AA20" s="2709">
        <v>700.0</v>
      </c>
    </row>
    <row r="21" spans="8:8" s="2223" ht="39.95" customFormat="1" customHeight="1">
      <c r="B21" s="2717"/>
      <c r="C21" s="2718"/>
      <c r="D21" s="2719"/>
      <c r="E21" s="2700" t="s">
        <v>3760</v>
      </c>
      <c r="F21" s="425" t="s">
        <v>3761</v>
      </c>
      <c r="G21" s="2711" t="s">
        <v>3796</v>
      </c>
      <c r="H21" s="2711"/>
      <c r="I21" s="2711" t="s">
        <v>3797</v>
      </c>
      <c r="J21" s="2711"/>
      <c r="K21" s="2702">
        <v>5000.0</v>
      </c>
      <c r="L21" s="1"/>
      <c r="M21" s="2703" t="s">
        <v>3760</v>
      </c>
      <c r="N21" s="425" t="s">
        <v>3761</v>
      </c>
      <c r="O21" s="2711" t="s">
        <v>3745</v>
      </c>
      <c r="P21" s="2711"/>
      <c r="Q21" s="2711" t="s">
        <v>3754</v>
      </c>
      <c r="R21" s="2711"/>
      <c r="S21" s="2702">
        <v>50.0</v>
      </c>
      <c r="T21" s="1"/>
      <c r="U21" s="2703" t="s">
        <v>3760</v>
      </c>
      <c r="V21" s="425" t="s">
        <v>3761</v>
      </c>
      <c r="W21" s="2711" t="s">
        <v>3798</v>
      </c>
      <c r="X21" s="2711"/>
      <c r="Y21" s="2711" t="s">
        <v>3799</v>
      </c>
      <c r="Z21" s="2711"/>
      <c r="AA21" s="2702">
        <v>4000.0</v>
      </c>
    </row>
    <row r="22" spans="8:8" s="2223" ht="39.95" customFormat="1" customHeight="1">
      <c r="B22" s="2717"/>
      <c r="C22" s="2718"/>
      <c r="D22" s="2719"/>
      <c r="E22" s="2712" t="s">
        <v>3769</v>
      </c>
      <c r="F22" s="2713">
        <v>99.0</v>
      </c>
      <c r="G22" s="2714" t="s">
        <v>3772</v>
      </c>
      <c r="H22" s="2714"/>
      <c r="I22" s="2714" t="s">
        <v>3800</v>
      </c>
      <c r="J22" s="2714"/>
      <c r="K22" s="2715" t="s">
        <v>3758</v>
      </c>
      <c r="L22" s="1"/>
      <c r="M22" s="2716" t="s">
        <v>3769</v>
      </c>
      <c r="N22" s="2713">
        <v>99.0</v>
      </c>
      <c r="O22" s="2714" t="s">
        <v>3801</v>
      </c>
      <c r="P22" s="2714"/>
      <c r="Q22" s="2714" t="s">
        <v>3802</v>
      </c>
      <c r="R22" s="2714"/>
      <c r="S22" s="2715">
        <v>250.0</v>
      </c>
      <c r="T22" s="1"/>
      <c r="U22" s="2716" t="s">
        <v>3769</v>
      </c>
      <c r="V22" s="2713">
        <v>99.0</v>
      </c>
      <c r="W22" s="2714" t="s">
        <v>3772</v>
      </c>
      <c r="X22" s="2714"/>
      <c r="Y22" s="2714" t="s">
        <v>3803</v>
      </c>
      <c r="Z22" s="2714"/>
      <c r="AA22" s="2715" t="s">
        <v>3804</v>
      </c>
    </row>
    <row r="23" spans="8:8" s="2223" ht="15.75" customFormat="1">
      <c r="E23" s="1"/>
      <c r="F23" s="1"/>
      <c r="G23" s="1"/>
      <c r="H23" s="1"/>
      <c r="I23" s="1"/>
      <c r="J23" s="1"/>
      <c r="K23" s="1"/>
      <c r="L23" s="1"/>
      <c r="M23" s="521" t="s">
        <v>3805</v>
      </c>
      <c r="N23" s="521"/>
      <c r="O23" s="521"/>
      <c r="P23" s="521"/>
      <c r="Q23" s="521"/>
      <c r="R23" s="521"/>
      <c r="S23" s="521"/>
      <c r="U23" s="1"/>
      <c r="V23" s="1"/>
      <c r="W23" s="1"/>
      <c r="X23" s="1"/>
      <c r="Y23" s="1"/>
      <c r="Z23" s="1"/>
      <c r="AA23" s="1"/>
      <c r="AB23" s="1"/>
    </row>
    <row r="24" spans="8:8" s="2223" ht="15.75" customFormat="1">
      <c r="E24" s="1"/>
      <c r="F24" s="1"/>
      <c r="G24" s="1"/>
      <c r="H24" s="1"/>
      <c r="I24" s="1"/>
      <c r="J24" s="1"/>
      <c r="K24" s="1"/>
      <c r="L24" s="1"/>
      <c r="M24" s="1"/>
      <c r="U24" s="1"/>
      <c r="V24" s="1"/>
      <c r="W24" s="1"/>
      <c r="X24" s="1"/>
      <c r="Y24" s="1"/>
      <c r="Z24" s="1"/>
      <c r="AA24" s="1"/>
      <c r="AB24" s="1"/>
    </row>
    <row r="25" spans="8:8" s="2223" ht="16.35" customFormat="1">
      <c r="E25" s="1"/>
      <c r="F25" s="2730" t="s">
        <v>3731</v>
      </c>
      <c r="G25" s="2731"/>
      <c r="H25" s="2731"/>
      <c r="I25" s="2731"/>
      <c r="J25" s="2732"/>
      <c r="K25" s="1"/>
      <c r="L25" s="1"/>
      <c r="M25" s="1"/>
      <c r="N25" s="2733" t="s">
        <v>3806</v>
      </c>
      <c r="O25" s="2734"/>
      <c r="P25" s="2734"/>
      <c r="Q25" s="2734"/>
      <c r="R25" s="2735"/>
      <c r="S25" s="2736"/>
      <c r="T25" s="1"/>
      <c r="U25" s="1"/>
      <c r="V25" s="1"/>
      <c r="W25" s="2736"/>
      <c r="X25" s="2736"/>
      <c r="Y25" s="2736"/>
      <c r="Z25" s="2736"/>
      <c r="AA25" s="2736"/>
      <c r="AB25" s="1"/>
    </row>
    <row r="26" spans="8:8" s="2223" ht="63.1" customFormat="1" customHeight="1">
      <c r="E26" s="1"/>
      <c r="F26" s="2737" t="s">
        <v>3807</v>
      </c>
      <c r="G26" s="2738"/>
      <c r="H26" s="2738"/>
      <c r="I26" s="2738"/>
      <c r="J26" s="2705"/>
      <c r="K26" s="1"/>
      <c r="L26" s="1"/>
      <c r="M26" s="1"/>
      <c r="N26" s="2737" t="s">
        <v>3808</v>
      </c>
      <c r="O26" s="2738"/>
      <c r="P26" s="2738"/>
      <c r="Q26" s="2738"/>
      <c r="R26" s="2705"/>
      <c r="S26" s="2739"/>
      <c r="T26" s="1"/>
      <c r="U26" s="1"/>
      <c r="V26" s="1"/>
      <c r="W26" s="2739"/>
      <c r="X26" s="2739"/>
      <c r="Y26" s="2739"/>
      <c r="Z26" s="2739"/>
      <c r="AA26" s="2739"/>
      <c r="AB26" s="1"/>
    </row>
    <row r="27" spans="8:8" s="2223" ht="15.75" customFormat="1">
      <c r="B27" s="2740"/>
      <c r="E27" s="1"/>
      <c r="F27" s="2741" t="s">
        <v>3809</v>
      </c>
      <c r="G27" s="2698"/>
      <c r="H27" s="2698"/>
      <c r="I27" s="2698"/>
      <c r="J27" s="2742"/>
      <c r="K27" s="1"/>
      <c r="L27" s="1"/>
      <c r="M27" s="1"/>
      <c r="N27" s="2741" t="s">
        <v>3810</v>
      </c>
      <c r="O27" s="2698"/>
      <c r="P27" s="2698"/>
      <c r="Q27" s="2698"/>
      <c r="R27" s="2742"/>
      <c r="S27" s="2736"/>
      <c r="T27" s="1"/>
      <c r="U27" s="1"/>
      <c r="V27" s="1"/>
      <c r="W27" s="2736"/>
      <c r="X27" s="2736"/>
      <c r="Y27" s="2736"/>
      <c r="Z27" s="2736"/>
      <c r="AA27" s="2736"/>
      <c r="AB27" s="1"/>
    </row>
    <row r="28" spans="8:8" s="2223" ht="87.0" customFormat="1" customHeight="1">
      <c r="E28" s="1"/>
      <c r="F28" s="2737" t="s">
        <v>3811</v>
      </c>
      <c r="G28" s="2738"/>
      <c r="H28" s="2738"/>
      <c r="I28" s="2738"/>
      <c r="J28" s="2705"/>
      <c r="K28" s="1"/>
      <c r="L28" s="1"/>
      <c r="M28" s="1"/>
      <c r="N28" s="2737" t="s">
        <v>3812</v>
      </c>
      <c r="O28" s="2738"/>
      <c r="P28" s="2738"/>
      <c r="Q28" s="2738"/>
      <c r="R28" s="2705"/>
      <c r="S28" s="2739"/>
      <c r="T28" s="1"/>
      <c r="U28" s="1"/>
      <c r="V28" s="1"/>
      <c r="W28" s="2739"/>
      <c r="X28" s="2739"/>
      <c r="Y28" s="2739"/>
      <c r="Z28" s="2739"/>
      <c r="AA28" s="2739"/>
      <c r="AB28" s="1"/>
    </row>
    <row r="29" spans="8:8" s="2223" ht="15.75" customFormat="1">
      <c r="E29" s="1"/>
      <c r="F29" s="2741" t="s">
        <v>3742</v>
      </c>
      <c r="G29" s="2698"/>
      <c r="H29" s="2698"/>
      <c r="I29" s="2698"/>
      <c r="J29" s="2742"/>
      <c r="K29" s="1"/>
      <c r="L29" s="1"/>
      <c r="M29" s="1"/>
      <c r="N29" s="2741" t="s">
        <v>3813</v>
      </c>
      <c r="O29" s="2698"/>
      <c r="P29" s="2698"/>
      <c r="Q29" s="2698"/>
      <c r="R29" s="2742"/>
      <c r="S29" s="2736"/>
      <c r="T29" s="1"/>
      <c r="U29" s="1"/>
      <c r="V29" s="1"/>
      <c r="W29" s="2736"/>
      <c r="X29" s="2736"/>
      <c r="Y29" s="2736"/>
      <c r="Z29" s="2736"/>
      <c r="AA29" s="2736"/>
      <c r="AB29" s="1"/>
    </row>
    <row r="30" spans="8:8" s="2223" ht="50.1" customFormat="1" customHeight="1">
      <c r="E30" s="1"/>
      <c r="F30" s="2737" t="s">
        <v>3814</v>
      </c>
      <c r="G30" s="2738"/>
      <c r="H30" s="2738"/>
      <c r="I30" s="2738"/>
      <c r="J30" s="2705"/>
      <c r="K30" s="1"/>
      <c r="L30" s="1"/>
      <c r="M30" s="1"/>
      <c r="N30" s="2737" t="s">
        <v>3815</v>
      </c>
      <c r="O30" s="2738"/>
      <c r="P30" s="2738"/>
      <c r="Q30" s="2738"/>
      <c r="R30" s="2705"/>
      <c r="S30" s="2739"/>
      <c r="T30" s="1"/>
      <c r="U30" s="1"/>
      <c r="V30" s="1"/>
      <c r="W30" s="2739"/>
      <c r="X30" s="2739"/>
      <c r="Y30" s="2739"/>
      <c r="Z30" s="2739"/>
      <c r="AA30" s="2739"/>
      <c r="AB30" s="1"/>
    </row>
    <row r="31" spans="8:8" s="2223" ht="15.75" customFormat="1">
      <c r="E31" s="1"/>
      <c r="F31" s="2741" t="s">
        <v>3751</v>
      </c>
      <c r="G31" s="2698"/>
      <c r="H31" s="2698"/>
      <c r="I31" s="2698"/>
      <c r="J31" s="2742"/>
      <c r="K31" s="1"/>
      <c r="L31" s="1"/>
      <c r="M31" s="1"/>
      <c r="N31" s="2741" t="s">
        <v>3816</v>
      </c>
      <c r="O31" s="2698"/>
      <c r="P31" s="2698"/>
      <c r="Q31" s="2698"/>
      <c r="R31" s="2742"/>
      <c r="S31" s="2736"/>
      <c r="T31" s="1"/>
      <c r="U31" s="1"/>
      <c r="V31" s="1"/>
      <c r="W31" s="2736"/>
      <c r="X31" s="2736"/>
      <c r="Y31" s="2736"/>
      <c r="Z31" s="2736"/>
      <c r="AA31" s="2736"/>
      <c r="AB31" s="1"/>
    </row>
    <row r="32" spans="8:8" s="2223" ht="50.1" customFormat="1" customHeight="1">
      <c r="E32" s="1"/>
      <c r="F32" s="2737" t="s">
        <v>3817</v>
      </c>
      <c r="G32" s="2738"/>
      <c r="H32" s="2738"/>
      <c r="I32" s="2738"/>
      <c r="J32" s="2705"/>
      <c r="K32" s="1"/>
      <c r="L32" s="1"/>
      <c r="M32" s="1"/>
      <c r="N32" s="2737" t="s">
        <v>3818</v>
      </c>
      <c r="O32" s="2704"/>
      <c r="P32" s="2704"/>
      <c r="Q32" s="2704"/>
      <c r="R32" s="2705"/>
      <c r="S32" s="2739"/>
      <c r="T32" s="1"/>
      <c r="U32" s="1"/>
      <c r="V32" s="1"/>
      <c r="W32" s="2739"/>
      <c r="X32" s="2739"/>
      <c r="Y32" s="2739"/>
      <c r="Z32" s="2739"/>
      <c r="AA32" s="2739"/>
      <c r="AB32" s="1"/>
    </row>
    <row r="33" spans="8:8" s="2223" ht="15.75" customFormat="1">
      <c r="E33" s="1"/>
      <c r="F33" s="2741" t="s">
        <v>3760</v>
      </c>
      <c r="G33" s="2698"/>
      <c r="H33" s="2698"/>
      <c r="I33" s="2698"/>
      <c r="J33" s="2742"/>
      <c r="K33" s="1"/>
      <c r="L33" s="1"/>
      <c r="M33" s="1"/>
      <c r="N33" s="2737"/>
      <c r="O33" s="2704"/>
      <c r="P33" s="2704"/>
      <c r="Q33" s="2704"/>
      <c r="R33" s="2705"/>
      <c r="S33" s="2736"/>
      <c r="T33" s="1"/>
      <c r="U33" s="1"/>
      <c r="V33" s="1"/>
      <c r="W33" s="2736"/>
      <c r="X33" s="2736"/>
      <c r="Y33" s="2736"/>
      <c r="Z33" s="2736"/>
      <c r="AA33" s="2736"/>
      <c r="AB33" s="1"/>
    </row>
    <row r="34" spans="8:8" s="2223" ht="50.1" customFormat="1" customHeight="1">
      <c r="E34" s="1"/>
      <c r="F34" s="2737" t="s">
        <v>3819</v>
      </c>
      <c r="G34" s="2738"/>
      <c r="H34" s="2738"/>
      <c r="I34" s="2738"/>
      <c r="J34" s="2705"/>
      <c r="K34" s="1"/>
      <c r="L34" s="1"/>
      <c r="M34" s="1"/>
      <c r="N34" s="2737"/>
      <c r="O34" s="2704"/>
      <c r="P34" s="2704"/>
      <c r="Q34" s="2704"/>
      <c r="R34" s="2705"/>
      <c r="S34" s="2739"/>
      <c r="T34" s="1"/>
      <c r="U34" s="1"/>
      <c r="V34" s="1"/>
      <c r="W34" s="2739"/>
      <c r="X34" s="2739"/>
      <c r="Y34" s="2739"/>
      <c r="Z34" s="2739"/>
      <c r="AA34" s="2739"/>
      <c r="AB34" s="1"/>
    </row>
    <row r="35" spans="8:8" s="2223" ht="15.75" customFormat="1">
      <c r="B35" s="2740"/>
      <c r="E35" s="1"/>
      <c r="F35" s="2741" t="s">
        <v>3820</v>
      </c>
      <c r="G35" s="2698"/>
      <c r="H35" s="2698"/>
      <c r="I35" s="2698"/>
      <c r="J35" s="2742"/>
      <c r="K35" s="1"/>
      <c r="L35" s="1"/>
      <c r="M35" s="1"/>
      <c r="N35" s="2741" t="s">
        <v>3821</v>
      </c>
      <c r="O35" s="2698"/>
      <c r="P35" s="2698"/>
      <c r="Q35" s="2698"/>
      <c r="R35" s="2742"/>
      <c r="S35" s="2736"/>
      <c r="T35" s="1"/>
      <c r="U35" s="1"/>
      <c r="V35" s="1"/>
      <c r="W35" s="2736"/>
      <c r="X35" s="2736"/>
      <c r="Y35" s="2736"/>
      <c r="Z35" s="2736"/>
      <c r="AA35" s="2736"/>
      <c r="AB35" s="1"/>
    </row>
    <row r="36" spans="8:8" s="2223" ht="50.1" customFormat="1" customHeight="1">
      <c r="E36" s="1"/>
      <c r="F36" s="2743" t="s">
        <v>3822</v>
      </c>
      <c r="G36" s="2744"/>
      <c r="H36" s="2744"/>
      <c r="I36" s="2744"/>
      <c r="J36" s="2745"/>
      <c r="K36" s="1"/>
      <c r="L36" s="1"/>
      <c r="M36" s="1"/>
      <c r="N36" s="2743" t="s">
        <v>3823</v>
      </c>
      <c r="O36" s="2744"/>
      <c r="P36" s="2744"/>
      <c r="Q36" s="2744"/>
      <c r="R36" s="2745"/>
      <c r="S36" s="2739"/>
      <c r="T36" s="1"/>
      <c r="U36" s="1"/>
      <c r="V36" s="1"/>
      <c r="W36" s="2739"/>
      <c r="X36" s="2739"/>
      <c r="Y36" s="2739"/>
      <c r="Z36" s="2739"/>
      <c r="AA36" s="2739"/>
      <c r="AB36" s="1"/>
    </row>
    <row r="39" spans="8:8" ht="15.0" customHeight="1">
      <c r="B39" s="2302" t="s">
        <v>3824</v>
      </c>
      <c r="C39" s="2303"/>
      <c r="D39" s="2303"/>
      <c r="E39" s="2303"/>
      <c r="F39" s="2303"/>
      <c r="G39" s="2303"/>
      <c r="H39" s="2303"/>
      <c r="I39" s="2303"/>
      <c r="J39" s="2303"/>
      <c r="K39" s="2303"/>
      <c r="L39" s="2303"/>
      <c r="M39" s="2303"/>
      <c r="N39" s="2303"/>
      <c r="O39" s="2303"/>
      <c r="P39" s="2303"/>
      <c r="Q39" s="2303"/>
      <c r="R39" s="2303"/>
      <c r="S39" s="2303"/>
      <c r="T39" s="2303"/>
      <c r="U39" s="2303"/>
      <c r="V39" s="2303"/>
      <c r="W39" s="2303"/>
      <c r="X39" s="2303"/>
      <c r="Y39" s="2303"/>
      <c r="Z39" s="2303"/>
      <c r="AA39" s="2304"/>
      <c r="AB39" s="2746"/>
    </row>
    <row r="40" spans="8:8" ht="15.0" customHeight="1">
      <c r="B40" s="2305"/>
      <c r="C40" s="2306"/>
      <c r="D40" s="2306"/>
      <c r="E40" s="2306"/>
      <c r="F40" s="2306"/>
      <c r="G40" s="2306"/>
      <c r="H40" s="2306"/>
      <c r="I40" s="2306"/>
      <c r="J40" s="2306"/>
      <c r="K40" s="2306"/>
      <c r="L40" s="2306"/>
      <c r="M40" s="2306"/>
      <c r="N40" s="2306"/>
      <c r="O40" s="2306"/>
      <c r="P40" s="2306"/>
      <c r="Q40" s="2306"/>
      <c r="R40" s="2306"/>
      <c r="S40" s="2306"/>
      <c r="T40" s="2306"/>
      <c r="U40" s="2306"/>
      <c r="V40" s="2306"/>
      <c r="W40" s="2306"/>
      <c r="X40" s="2306"/>
      <c r="Y40" s="2306"/>
      <c r="Z40" s="2306"/>
      <c r="AA40" s="2307"/>
      <c r="AB40" s="2746"/>
    </row>
    <row r="41" spans="8:8" ht="15.0" customHeight="1">
      <c r="B41" s="2308"/>
      <c r="C41" s="2309"/>
      <c r="D41" s="2309"/>
      <c r="E41" s="2309"/>
      <c r="F41" s="2309"/>
      <c r="G41" s="2309"/>
      <c r="H41" s="2309"/>
      <c r="I41" s="2309"/>
      <c r="J41" s="2309"/>
      <c r="K41" s="2309"/>
      <c r="L41" s="2309"/>
      <c r="M41" s="2309"/>
      <c r="N41" s="2309"/>
      <c r="O41" s="2309"/>
      <c r="P41" s="2309"/>
      <c r="Q41" s="2309"/>
      <c r="R41" s="2309"/>
      <c r="S41" s="2309"/>
      <c r="T41" s="2309"/>
      <c r="U41" s="2309"/>
      <c r="V41" s="2309"/>
      <c r="W41" s="2309"/>
      <c r="X41" s="2309"/>
      <c r="Y41" s="2309"/>
      <c r="Z41" s="2309"/>
      <c r="AA41" s="2310"/>
      <c r="AB41" s="2746"/>
    </row>
    <row r="42" spans="8:8">
      <c r="B42" s="2747" t="s">
        <v>3825</v>
      </c>
      <c r="C42" s="2748"/>
      <c r="D42" s="2748"/>
      <c r="E42" s="2748"/>
      <c r="F42" s="2748"/>
      <c r="G42" s="2748"/>
      <c r="H42" s="2748"/>
      <c r="I42" s="2748"/>
      <c r="J42" s="2748"/>
      <c r="K42" s="2748"/>
      <c r="L42" s="2748"/>
      <c r="M42" s="2748"/>
      <c r="N42" s="2748"/>
      <c r="O42" s="2748"/>
      <c r="P42" s="2748"/>
      <c r="Q42" s="2748"/>
      <c r="R42" s="2748"/>
      <c r="S42" s="2748"/>
      <c r="T42" s="2748"/>
      <c r="U42" s="2748"/>
      <c r="V42" s="2748"/>
      <c r="W42" s="2748"/>
      <c r="X42" s="2748"/>
      <c r="Y42" s="2748"/>
      <c r="Z42" s="2748"/>
      <c r="AA42" s="2748"/>
    </row>
    <row r="43" spans="8:8" ht="16.05" customHeight="1">
      <c r="B43" s="2749" t="s">
        <v>3826</v>
      </c>
      <c r="C43" s="2750"/>
      <c r="D43" s="2750"/>
      <c r="E43" s="2751"/>
      <c r="F43" s="2752"/>
      <c r="G43" s="2749" t="s">
        <v>3827</v>
      </c>
      <c r="H43" s="2750"/>
      <c r="I43" s="2750"/>
      <c r="J43" s="2750"/>
      <c r="K43" s="2751"/>
      <c r="L43" s="2752"/>
      <c r="M43" s="2753" t="s">
        <v>3828</v>
      </c>
      <c r="N43" s="2754"/>
      <c r="O43" s="2754"/>
      <c r="P43" s="2755"/>
      <c r="Q43" s="2752"/>
      <c r="R43" s="2753" t="s">
        <v>3829</v>
      </c>
      <c r="S43" s="2754"/>
      <c r="T43" s="2755"/>
      <c r="U43" s="2756"/>
      <c r="V43" s="2753" t="s">
        <v>3830</v>
      </c>
      <c r="W43" s="2754"/>
      <c r="X43" s="2754"/>
      <c r="Y43" s="2754"/>
      <c r="Z43" s="2754"/>
      <c r="AA43" s="2755"/>
      <c r="AC43" s="2757"/>
    </row>
    <row r="44" spans="8:8" ht="16.05" customHeight="1">
      <c r="B44" s="2758" t="s">
        <v>1453</v>
      </c>
      <c r="C44" s="2759"/>
      <c r="D44" s="2759"/>
      <c r="E44" s="2760" t="s">
        <v>3831</v>
      </c>
      <c r="F44" s="2752"/>
      <c r="G44" s="2758" t="s">
        <v>1453</v>
      </c>
      <c r="H44" s="2759"/>
      <c r="I44" s="2759"/>
      <c r="J44" s="2759"/>
      <c r="K44" s="2760" t="s">
        <v>3831</v>
      </c>
      <c r="L44" s="2752"/>
      <c r="M44" s="2761" t="s">
        <v>1453</v>
      </c>
      <c r="N44" s="2762"/>
      <c r="O44" s="2762"/>
      <c r="P44" s="2763" t="s">
        <v>3831</v>
      </c>
      <c r="Q44" s="2752"/>
      <c r="R44" s="2761" t="s">
        <v>1453</v>
      </c>
      <c r="S44" s="2762"/>
      <c r="T44" s="2763" t="s">
        <v>3831</v>
      </c>
      <c r="U44" s="2752"/>
      <c r="V44" s="2761" t="s">
        <v>1453</v>
      </c>
      <c r="W44" s="2762"/>
      <c r="X44" s="2762"/>
      <c r="Y44" s="2762"/>
      <c r="Z44" s="2764" t="s">
        <v>3832</v>
      </c>
      <c r="AA44" s="2763" t="s">
        <v>3831</v>
      </c>
      <c r="AC44" s="2757"/>
    </row>
    <row r="45" spans="8:8" ht="16.05" customHeight="1">
      <c r="B45" s="2765" t="s">
        <v>3833</v>
      </c>
      <c r="C45" s="2766"/>
      <c r="D45" s="2766"/>
      <c r="E45" s="2767" t="s">
        <v>3834</v>
      </c>
      <c r="F45" s="2752"/>
      <c r="G45" s="2768" t="s">
        <v>3835</v>
      </c>
      <c r="H45" s="2769"/>
      <c r="I45" s="2769"/>
      <c r="J45" s="2769"/>
      <c r="K45" s="2767" t="s">
        <v>3836</v>
      </c>
      <c r="L45" s="2752"/>
      <c r="M45" s="2765" t="s">
        <v>3837</v>
      </c>
      <c r="N45" s="2766"/>
      <c r="O45" s="2766"/>
      <c r="P45" s="2767">
        <v>25.0</v>
      </c>
      <c r="Q45" s="2752"/>
      <c r="R45" s="2765" t="s">
        <v>3838</v>
      </c>
      <c r="S45" s="2766"/>
      <c r="T45" s="2770">
        <v>20.0</v>
      </c>
      <c r="U45" s="2752"/>
      <c r="V45" s="2771" t="s">
        <v>3839</v>
      </c>
      <c r="W45" s="2772"/>
      <c r="X45" s="2772"/>
      <c r="Y45" s="2772"/>
      <c r="Z45" s="2773">
        <v>500.0</v>
      </c>
      <c r="AA45" s="2770">
        <v>21.0</v>
      </c>
      <c r="AC45" s="2774"/>
    </row>
    <row r="46" spans="8:8" ht="16.05" customHeight="1">
      <c r="B46" s="2775" t="s">
        <v>3840</v>
      </c>
      <c r="C46" s="2776"/>
      <c r="D46" s="2776"/>
      <c r="E46" s="2777">
        <v>350.0</v>
      </c>
      <c r="F46" s="2752"/>
      <c r="G46" s="2778" t="s">
        <v>3841</v>
      </c>
      <c r="H46" s="2779"/>
      <c r="I46" s="2779"/>
      <c r="J46" s="2779"/>
      <c r="K46" s="2777" t="s">
        <v>3842</v>
      </c>
      <c r="L46" s="2752"/>
      <c r="M46" s="2775" t="s">
        <v>3843</v>
      </c>
      <c r="N46" s="2776"/>
      <c r="O46" s="2776"/>
      <c r="P46" s="2777">
        <v>60.0</v>
      </c>
      <c r="Q46" s="2752"/>
      <c r="R46" s="2775" t="s">
        <v>3844</v>
      </c>
      <c r="S46" s="2776"/>
      <c r="T46" s="2780">
        <v>50.0</v>
      </c>
      <c r="U46" s="2752"/>
      <c r="V46" s="2781" t="s">
        <v>3845</v>
      </c>
      <c r="W46" s="2782"/>
      <c r="X46" s="2782"/>
      <c r="Y46" s="2782"/>
      <c r="Z46" s="2783">
        <v>50.0</v>
      </c>
      <c r="AA46" s="2780">
        <v>24.0</v>
      </c>
      <c r="AC46" s="2774"/>
    </row>
    <row r="47" spans="8:8" ht="16.05" customHeight="1">
      <c r="B47" s="2765" t="s">
        <v>3846</v>
      </c>
      <c r="C47" s="2766"/>
      <c r="D47" s="2766"/>
      <c r="E47" s="2767">
        <v>200.0</v>
      </c>
      <c r="F47" s="2752"/>
      <c r="G47" s="2761" t="s">
        <v>3847</v>
      </c>
      <c r="H47" s="2762"/>
      <c r="I47" s="2762"/>
      <c r="J47" s="2762"/>
      <c r="K47" s="2763" t="s">
        <v>3831</v>
      </c>
      <c r="L47" s="2752"/>
      <c r="M47" s="2765" t="s">
        <v>3848</v>
      </c>
      <c r="N47" s="2766"/>
      <c r="O47" s="2766"/>
      <c r="P47" s="2767">
        <v>110.0</v>
      </c>
      <c r="Q47" s="2752"/>
      <c r="R47" s="2784" t="s">
        <v>3849</v>
      </c>
      <c r="S47" s="2785"/>
      <c r="T47" s="2786">
        <v>50.0</v>
      </c>
      <c r="U47" s="2752"/>
      <c r="V47" s="2787" t="s">
        <v>3850</v>
      </c>
      <c r="W47" s="2788"/>
      <c r="X47" s="2788"/>
      <c r="Y47" s="2788"/>
      <c r="Z47" s="2789">
        <v>50.0</v>
      </c>
      <c r="AA47" s="2770">
        <v>15.0</v>
      </c>
      <c r="AC47" s="2774"/>
    </row>
    <row r="48" spans="8:8" ht="16.05" customHeight="1">
      <c r="B48" s="2775" t="s">
        <v>3851</v>
      </c>
      <c r="C48" s="2776"/>
      <c r="D48" s="2776"/>
      <c r="E48" s="2777">
        <v>50.0</v>
      </c>
      <c r="F48" s="2752"/>
      <c r="G48" s="2768" t="s">
        <v>3852</v>
      </c>
      <c r="H48" s="2769"/>
      <c r="I48" s="2769"/>
      <c r="J48" s="2769"/>
      <c r="K48" s="2767" t="s">
        <v>3853</v>
      </c>
      <c r="L48" s="2752"/>
      <c r="M48" s="2775" t="s">
        <v>3854</v>
      </c>
      <c r="N48" s="2776"/>
      <c r="O48" s="2776"/>
      <c r="P48" s="2777">
        <v>30.0</v>
      </c>
      <c r="Q48" s="2752"/>
      <c r="R48" s="2790"/>
      <c r="S48" s="2790"/>
      <c r="T48" s="2773"/>
      <c r="U48" s="2752"/>
      <c r="V48" s="2791" t="s">
        <v>3855</v>
      </c>
      <c r="W48" s="2792"/>
      <c r="X48" s="2792"/>
      <c r="Y48" s="2792"/>
      <c r="Z48" s="2793">
        <v>50.0</v>
      </c>
      <c r="AA48" s="2780">
        <v>15.0</v>
      </c>
      <c r="AC48" s="2774"/>
    </row>
    <row r="49" spans="8:8" ht="16.05" customHeight="1">
      <c r="B49" s="2765" t="s">
        <v>3856</v>
      </c>
      <c r="C49" s="2766"/>
      <c r="D49" s="2766"/>
      <c r="E49" s="2767">
        <v>200.0</v>
      </c>
      <c r="F49" s="2752"/>
      <c r="G49" s="2778" t="s">
        <v>3857</v>
      </c>
      <c r="H49" s="2779"/>
      <c r="I49" s="2779"/>
      <c r="J49" s="2779"/>
      <c r="K49" s="2777" t="s">
        <v>3858</v>
      </c>
      <c r="L49" s="2752"/>
      <c r="M49" s="2765" t="s">
        <v>3859</v>
      </c>
      <c r="N49" s="2766"/>
      <c r="O49" s="2766"/>
      <c r="P49" s="2767">
        <v>200.0</v>
      </c>
      <c r="Q49" s="2752"/>
      <c r="R49" s="2753" t="s">
        <v>363</v>
      </c>
      <c r="S49" s="2754"/>
      <c r="T49" s="2755"/>
      <c r="U49" s="2752"/>
      <c r="V49" s="2771" t="s">
        <v>3860</v>
      </c>
      <c r="W49" s="2772"/>
      <c r="X49" s="2772"/>
      <c r="Y49" s="2772"/>
      <c r="Z49" s="2794">
        <v>50.0</v>
      </c>
      <c r="AA49" s="2770">
        <v>15.0</v>
      </c>
      <c r="AC49" s="2774"/>
    </row>
    <row r="50" spans="8:8" ht="16.05" customHeight="1">
      <c r="B50" s="2775" t="s">
        <v>3861</v>
      </c>
      <c r="C50" s="2776"/>
      <c r="D50" s="2776"/>
      <c r="E50" s="2777">
        <v>250.0</v>
      </c>
      <c r="F50" s="2752"/>
      <c r="G50" s="2768" t="s">
        <v>3862</v>
      </c>
      <c r="H50" s="2769"/>
      <c r="I50" s="2769"/>
      <c r="J50" s="2769"/>
      <c r="K50" s="2767">
        <v>62.5</v>
      </c>
      <c r="L50" s="2752"/>
      <c r="M50" s="2775" t="s">
        <v>3863</v>
      </c>
      <c r="N50" s="2776"/>
      <c r="O50" s="2776"/>
      <c r="P50" s="2777">
        <v>30.0</v>
      </c>
      <c r="Q50" s="2752"/>
      <c r="R50" s="2761" t="s">
        <v>1453</v>
      </c>
      <c r="S50" s="2762"/>
      <c r="T50" s="2763" t="s">
        <v>3831</v>
      </c>
      <c r="U50" s="2752"/>
      <c r="V50" s="2795" t="s">
        <v>3864</v>
      </c>
      <c r="W50" s="2796"/>
      <c r="X50" s="2796"/>
      <c r="Y50" s="2796"/>
      <c r="Z50" s="2797">
        <v>50.0</v>
      </c>
      <c r="AA50" s="2780">
        <v>22.0</v>
      </c>
      <c r="AC50" s="2774"/>
    </row>
    <row r="51" spans="8:8" ht="16.05" customHeight="1">
      <c r="B51" s="2765" t="s">
        <v>3865</v>
      </c>
      <c r="C51" s="2766"/>
      <c r="D51" s="2766"/>
      <c r="E51" s="2767">
        <v>35.0</v>
      </c>
      <c r="F51" s="2752"/>
      <c r="G51" s="2798" t="s">
        <v>3866</v>
      </c>
      <c r="H51" s="2799"/>
      <c r="I51" s="2799"/>
      <c r="J51" s="2799"/>
      <c r="K51" s="2763" t="s">
        <v>3831</v>
      </c>
      <c r="L51" s="2752"/>
      <c r="M51" s="2765" t="s">
        <v>3867</v>
      </c>
      <c r="N51" s="2766"/>
      <c r="O51" s="2766"/>
      <c r="P51" s="2767">
        <v>1300.0</v>
      </c>
      <c r="Q51" s="2752"/>
      <c r="R51" s="2765" t="s">
        <v>3868</v>
      </c>
      <c r="S51" s="2766"/>
      <c r="T51" s="2770" t="s">
        <v>3834</v>
      </c>
      <c r="U51" s="2752"/>
      <c r="V51" s="2771" t="s">
        <v>3869</v>
      </c>
      <c r="W51" s="2772"/>
      <c r="X51" s="2772"/>
      <c r="Y51" s="2772"/>
      <c r="Z51" s="2794">
        <v>50.0</v>
      </c>
      <c r="AA51" s="2770">
        <v>17.0</v>
      </c>
      <c r="AC51" s="2774"/>
    </row>
    <row r="52" spans="8:8" ht="16.05" customHeight="1">
      <c r="B52" s="2775" t="s">
        <v>3870</v>
      </c>
      <c r="C52" s="2776"/>
      <c r="D52" s="2776"/>
      <c r="E52" s="2777">
        <v>36.0</v>
      </c>
      <c r="F52" s="2752"/>
      <c r="G52" s="2768" t="s">
        <v>3871</v>
      </c>
      <c r="H52" s="2769"/>
      <c r="I52" s="2769"/>
      <c r="J52" s="2769"/>
      <c r="K52" s="2767" t="s">
        <v>3872</v>
      </c>
      <c r="L52" s="2752"/>
      <c r="M52" s="2775" t="s">
        <v>3873</v>
      </c>
      <c r="N52" s="2776"/>
      <c r="O52" s="2776"/>
      <c r="P52" s="2777">
        <v>65.0</v>
      </c>
      <c r="Q52" s="2752"/>
      <c r="R52" s="2775" t="s">
        <v>3874</v>
      </c>
      <c r="S52" s="2776"/>
      <c r="T52" s="2780" t="s">
        <v>3875</v>
      </c>
      <c r="U52" s="2752"/>
      <c r="V52" s="2795" t="s">
        <v>3876</v>
      </c>
      <c r="W52" s="2796"/>
      <c r="X52" s="2796"/>
      <c r="Y52" s="2796"/>
      <c r="Z52" s="2797">
        <v>50.0</v>
      </c>
      <c r="AA52" s="2780">
        <v>24.0</v>
      </c>
    </row>
    <row r="53" spans="8:8" ht="16.05" customHeight="1">
      <c r="B53" s="2765" t="s">
        <v>3877</v>
      </c>
      <c r="C53" s="2766"/>
      <c r="D53" s="2766"/>
      <c r="E53" s="2767">
        <v>35.0</v>
      </c>
      <c r="F53" s="2752"/>
      <c r="G53" s="2778" t="s">
        <v>3878</v>
      </c>
      <c r="H53" s="2779"/>
      <c r="I53" s="2779"/>
      <c r="J53" s="2779"/>
      <c r="K53" s="2777" t="s">
        <v>3879</v>
      </c>
      <c r="L53" s="2752"/>
      <c r="M53" s="2765" t="s">
        <v>3880</v>
      </c>
      <c r="N53" s="2766"/>
      <c r="O53" s="2766"/>
      <c r="P53" s="2767">
        <v>30.0</v>
      </c>
      <c r="Q53" s="2752"/>
      <c r="R53" s="2765" t="s">
        <v>3881</v>
      </c>
      <c r="S53" s="2766"/>
      <c r="T53" s="2770" t="s">
        <v>3882</v>
      </c>
      <c r="U53" s="2752"/>
      <c r="V53" s="2771" t="s">
        <v>3883</v>
      </c>
      <c r="W53" s="2772"/>
      <c r="X53" s="2772"/>
      <c r="Y53" s="2772"/>
      <c r="Z53" s="2794">
        <v>50.0</v>
      </c>
      <c r="AA53" s="2770">
        <v>12.0</v>
      </c>
    </row>
    <row r="54" spans="8:8" ht="16.05" customHeight="1">
      <c r="B54" s="2775" t="s">
        <v>3884</v>
      </c>
      <c r="C54" s="2776"/>
      <c r="D54" s="2776"/>
      <c r="E54" s="2777">
        <v>40.0</v>
      </c>
      <c r="F54" s="2752"/>
      <c r="G54" s="2800" t="s">
        <v>3885</v>
      </c>
      <c r="H54" s="2801"/>
      <c r="I54" s="2801"/>
      <c r="J54" s="2801"/>
      <c r="K54" s="2802" t="s">
        <v>3886</v>
      </c>
      <c r="L54" s="2752"/>
      <c r="M54" s="2775" t="s">
        <v>3887</v>
      </c>
      <c r="N54" s="2776"/>
      <c r="O54" s="2776"/>
      <c r="P54" s="2777">
        <v>20.0</v>
      </c>
      <c r="Q54" s="2752"/>
      <c r="R54" s="2775" t="s">
        <v>3888</v>
      </c>
      <c r="S54" s="2776"/>
      <c r="T54" s="2780" t="s">
        <v>3889</v>
      </c>
      <c r="U54" s="2752"/>
      <c r="V54" s="2795" t="s">
        <v>3890</v>
      </c>
      <c r="W54" s="2796"/>
      <c r="X54" s="2796"/>
      <c r="Y54" s="2796"/>
      <c r="Z54" s="2797">
        <v>50.0</v>
      </c>
      <c r="AA54" s="2780">
        <v>39.0</v>
      </c>
    </row>
    <row r="55" spans="8:8" ht="16.05" customHeight="1">
      <c r="B55" s="2765" t="s">
        <v>3891</v>
      </c>
      <c r="C55" s="2766"/>
      <c r="D55" s="2766"/>
      <c r="E55" s="2767">
        <v>50.0</v>
      </c>
      <c r="F55" s="2752"/>
      <c r="G55" s="2803"/>
      <c r="H55" s="2803"/>
      <c r="I55" s="2803"/>
      <c r="J55" s="2752"/>
      <c r="K55" s="2752"/>
      <c r="L55" s="2752"/>
      <c r="M55" s="2765" t="s">
        <v>3892</v>
      </c>
      <c r="N55" s="2766"/>
      <c r="O55" s="2766"/>
      <c r="P55" s="2767">
        <v>250.0</v>
      </c>
      <c r="Q55" s="2752"/>
      <c r="R55" s="2765" t="s">
        <v>3893</v>
      </c>
      <c r="S55" s="2766"/>
      <c r="T55" s="2770">
        <v>400.0</v>
      </c>
      <c r="U55" s="2752"/>
      <c r="V55" s="2771" t="s">
        <v>3894</v>
      </c>
      <c r="W55" s="2772"/>
      <c r="X55" s="2772"/>
      <c r="Y55" s="2772"/>
      <c r="Z55" s="2794">
        <v>100.0</v>
      </c>
      <c r="AA55" s="2770">
        <v>23.0</v>
      </c>
    </row>
    <row r="56" spans="8:8" ht="16.05" customHeight="1">
      <c r="B56" s="2775" t="s">
        <v>3895</v>
      </c>
      <c r="C56" s="2776"/>
      <c r="D56" s="2776"/>
      <c r="E56" s="2777">
        <v>100.0</v>
      </c>
      <c r="F56" s="2752"/>
      <c r="G56" s="2753" t="s">
        <v>3896</v>
      </c>
      <c r="H56" s="2754"/>
      <c r="I56" s="2754"/>
      <c r="J56" s="2754"/>
      <c r="K56" s="2755"/>
      <c r="L56" s="2752"/>
      <c r="M56" s="2775" t="s">
        <v>3897</v>
      </c>
      <c r="N56" s="2776"/>
      <c r="O56" s="2776"/>
      <c r="P56" s="2777">
        <v>260.0</v>
      </c>
      <c r="Q56" s="2752"/>
      <c r="R56" s="2804" t="s">
        <v>3898</v>
      </c>
      <c r="S56" s="2805"/>
      <c r="T56" s="2806">
        <v>200.0</v>
      </c>
      <c r="U56" s="2752"/>
      <c r="V56" s="2795" t="s">
        <v>3899</v>
      </c>
      <c r="W56" s="2796"/>
      <c r="X56" s="2796"/>
      <c r="Y56" s="2796"/>
      <c r="Z56" s="2797">
        <v>25.0</v>
      </c>
      <c r="AA56" s="2780">
        <v>40.0</v>
      </c>
    </row>
    <row r="57" spans="8:8" ht="16.05" customHeight="1">
      <c r="B57" s="2765" t="s">
        <v>3900</v>
      </c>
      <c r="C57" s="2766"/>
      <c r="D57" s="2766"/>
      <c r="E57" s="2767">
        <v>35.0</v>
      </c>
      <c r="F57" s="2752"/>
      <c r="G57" s="2761" t="s">
        <v>1453</v>
      </c>
      <c r="H57" s="2762"/>
      <c r="I57" s="2762"/>
      <c r="J57" s="2762"/>
      <c r="K57" s="2763" t="s">
        <v>3831</v>
      </c>
      <c r="L57" s="2752"/>
      <c r="M57" s="2765" t="s">
        <v>3901</v>
      </c>
      <c r="N57" s="2766"/>
      <c r="O57" s="2766"/>
      <c r="P57" s="2767">
        <v>2000.0</v>
      </c>
      <c r="Q57" s="2752"/>
      <c r="R57" s="2752"/>
      <c r="S57" s="2752"/>
      <c r="T57" s="2752"/>
      <c r="U57" s="2752"/>
      <c r="V57" s="2771" t="s">
        <v>3902</v>
      </c>
      <c r="W57" s="2772"/>
      <c r="X57" s="2772"/>
      <c r="Y57" s="2772"/>
      <c r="Z57" s="2773">
        <v>25.0</v>
      </c>
      <c r="AA57" s="2770">
        <v>30.0</v>
      </c>
      <c r="AC57" s="2774"/>
    </row>
    <row r="58" spans="8:8" ht="16.05" customHeight="1">
      <c r="B58" s="2775" t="s">
        <v>3903</v>
      </c>
      <c r="C58" s="2776"/>
      <c r="D58" s="2776"/>
      <c r="E58" s="2777">
        <v>15.0</v>
      </c>
      <c r="F58" s="2752"/>
      <c r="G58" s="2765" t="s">
        <v>3904</v>
      </c>
      <c r="H58" s="2766"/>
      <c r="I58" s="2766"/>
      <c r="J58" s="2766"/>
      <c r="K58" s="2767">
        <v>23000.0</v>
      </c>
      <c r="L58" s="2752"/>
      <c r="M58" s="2775" t="s">
        <v>3905</v>
      </c>
      <c r="N58" s="2776"/>
      <c r="O58" s="2776"/>
      <c r="P58" s="2777">
        <v>1000.0</v>
      </c>
      <c r="Q58" s="2752"/>
      <c r="R58" s="2753" t="s">
        <v>3906</v>
      </c>
      <c r="S58" s="2754"/>
      <c r="T58" s="2755"/>
      <c r="U58" s="2752"/>
      <c r="V58" s="2795" t="s">
        <v>3907</v>
      </c>
      <c r="W58" s="2796"/>
      <c r="X58" s="2796"/>
      <c r="Y58" s="2796"/>
      <c r="Z58" s="2807">
        <v>25.0</v>
      </c>
      <c r="AA58" s="2780">
        <v>26.0</v>
      </c>
    </row>
    <row r="59" spans="8:8" ht="16.05" customHeight="1">
      <c r="B59" s="2765" t="s">
        <v>3908</v>
      </c>
      <c r="C59" s="2766"/>
      <c r="D59" s="2766"/>
      <c r="E59" s="2767">
        <v>15.0</v>
      </c>
      <c r="F59" s="2752"/>
      <c r="G59" s="2775" t="s">
        <v>3909</v>
      </c>
      <c r="H59" s="2776"/>
      <c r="I59" s="2776"/>
      <c r="J59" s="2776"/>
      <c r="K59" s="2777">
        <v>13000.0</v>
      </c>
      <c r="L59" s="2752"/>
      <c r="M59" s="2765" t="s">
        <v>3910</v>
      </c>
      <c r="N59" s="2766"/>
      <c r="O59" s="2766"/>
      <c r="P59" s="2767" t="s">
        <v>3911</v>
      </c>
      <c r="Q59" s="2752"/>
      <c r="R59" s="2761" t="s">
        <v>1453</v>
      </c>
      <c r="S59" s="2762"/>
      <c r="T59" s="2763" t="s">
        <v>3831</v>
      </c>
      <c r="U59" s="2752"/>
      <c r="V59" s="2808" t="s">
        <v>3912</v>
      </c>
      <c r="W59" s="2809"/>
      <c r="X59" s="2809"/>
      <c r="Y59" s="2809"/>
      <c r="Z59" s="2810">
        <v>25.0</v>
      </c>
      <c r="AA59" s="2786">
        <v>28.0</v>
      </c>
    </row>
    <row r="60" spans="8:8" ht="16.05" customHeight="1">
      <c r="B60" s="2775" t="s">
        <v>3913</v>
      </c>
      <c r="C60" s="2776"/>
      <c r="D60" s="2776"/>
      <c r="E60" s="2777">
        <v>60.0</v>
      </c>
      <c r="F60" s="2752"/>
      <c r="G60" s="2765" t="s">
        <v>3914</v>
      </c>
      <c r="H60" s="2766"/>
      <c r="I60" s="2766"/>
      <c r="J60" s="2766"/>
      <c r="K60" s="2767">
        <v>260000.0</v>
      </c>
      <c r="L60" s="2752"/>
      <c r="M60" s="2804" t="s">
        <v>3915</v>
      </c>
      <c r="N60" s="2805"/>
      <c r="O60" s="2805"/>
      <c r="P60" s="2811">
        <v>100.0</v>
      </c>
      <c r="Q60" s="2752"/>
      <c r="R60" s="2812" t="s">
        <v>3916</v>
      </c>
      <c r="S60" s="2813"/>
      <c r="T60" s="2770">
        <v>600.0</v>
      </c>
      <c r="U60" s="2752"/>
      <c r="V60" s="2752"/>
      <c r="W60" s="2752"/>
      <c r="X60" s="2752"/>
      <c r="Y60" s="2752"/>
      <c r="Z60" s="2752"/>
      <c r="AA60" s="2752"/>
    </row>
    <row r="61" spans="8:8" ht="16.05" customHeight="1">
      <c r="B61" s="2765" t="s">
        <v>3917</v>
      </c>
      <c r="C61" s="2766"/>
      <c r="D61" s="2766"/>
      <c r="E61" s="2767">
        <v>200.0</v>
      </c>
      <c r="F61" s="2752"/>
      <c r="G61" s="2775" t="s">
        <v>3918</v>
      </c>
      <c r="H61" s="2776"/>
      <c r="I61" s="2776"/>
      <c r="J61" s="2776"/>
      <c r="K61" s="2777">
        <v>200500.0</v>
      </c>
      <c r="L61" s="2752"/>
      <c r="M61" s="2752"/>
      <c r="N61" s="2803"/>
      <c r="O61" s="2803"/>
      <c r="P61" s="2803"/>
      <c r="Q61" s="2752"/>
      <c r="R61" s="2814" t="s">
        <v>3919</v>
      </c>
      <c r="S61" s="2815"/>
      <c r="T61" s="2780">
        <v>500.0</v>
      </c>
      <c r="U61" s="2752"/>
      <c r="V61" s="2753" t="s">
        <v>3920</v>
      </c>
      <c r="W61" s="2754"/>
      <c r="X61" s="2754"/>
      <c r="Y61" s="2754"/>
      <c r="Z61" s="2754"/>
      <c r="AA61" s="2755"/>
    </row>
    <row r="62" spans="8:8" ht="16.05" customHeight="1">
      <c r="B62" s="2804" t="s">
        <v>3921</v>
      </c>
      <c r="C62" s="2805"/>
      <c r="D62" s="2805"/>
      <c r="E62" s="2816">
        <v>600.0</v>
      </c>
      <c r="F62" s="2752"/>
      <c r="G62" s="2765" t="s">
        <v>3922</v>
      </c>
      <c r="H62" s="2766"/>
      <c r="I62" s="2766"/>
      <c r="J62" s="2766"/>
      <c r="K62" s="2767">
        <v>62000.0</v>
      </c>
      <c r="L62" s="2752"/>
      <c r="M62" s="2817" t="s">
        <v>3923</v>
      </c>
      <c r="N62" s="2818"/>
      <c r="O62" s="2818"/>
      <c r="P62" s="2819"/>
      <c r="Q62" s="2752"/>
      <c r="R62" s="2812" t="s">
        <v>3924</v>
      </c>
      <c r="S62" s="2813"/>
      <c r="T62" s="2770">
        <v>1400.0</v>
      </c>
      <c r="U62" s="2752"/>
      <c r="V62" s="2761" t="s">
        <v>1453</v>
      </c>
      <c r="W62" s="2762"/>
      <c r="X62" s="2762"/>
      <c r="Y62" s="2762"/>
      <c r="Z62" s="2762" t="s">
        <v>3831</v>
      </c>
      <c r="AA62" s="2820"/>
    </row>
    <row r="63" spans="8:8" ht="16.05" customHeight="1">
      <c r="B63" s="2821"/>
      <c r="C63" s="2821"/>
      <c r="D63" s="2773"/>
      <c r="E63" s="2803"/>
      <c r="F63" s="2752"/>
      <c r="G63" s="2775" t="s">
        <v>3925</v>
      </c>
      <c r="H63" s="2776"/>
      <c r="I63" s="2776"/>
      <c r="J63" s="2776"/>
      <c r="K63" s="2777">
        <v>38000.0</v>
      </c>
      <c r="L63" s="2752"/>
      <c r="M63" s="2761" t="s">
        <v>1453</v>
      </c>
      <c r="N63" s="2762"/>
      <c r="O63" s="2762"/>
      <c r="P63" s="2763" t="s">
        <v>3831</v>
      </c>
      <c r="Q63" s="2752"/>
      <c r="R63" s="2822" t="s">
        <v>3926</v>
      </c>
      <c r="S63" s="2823"/>
      <c r="T63" s="2806">
        <v>90.0</v>
      </c>
      <c r="U63" s="2752"/>
      <c r="V63" s="2775" t="s">
        <v>3927</v>
      </c>
      <c r="W63" s="2776"/>
      <c r="X63" s="2776"/>
      <c r="Y63" s="2776"/>
      <c r="Z63" s="2776" t="s">
        <v>3834</v>
      </c>
      <c r="AA63" s="2824"/>
    </row>
    <row r="64" spans="8:8" ht="16.05" customHeight="1">
      <c r="B64" s="2753" t="s">
        <v>3928</v>
      </c>
      <c r="C64" s="2754"/>
      <c r="D64" s="2754"/>
      <c r="E64" s="2755"/>
      <c r="F64" s="2752"/>
      <c r="G64" s="2765" t="s">
        <v>3929</v>
      </c>
      <c r="H64" s="2766"/>
      <c r="I64" s="2766"/>
      <c r="J64" s="2766"/>
      <c r="K64" s="2767">
        <v>54000.0</v>
      </c>
      <c r="L64" s="2752"/>
      <c r="M64" s="2765" t="s">
        <v>3930</v>
      </c>
      <c r="N64" s="2766"/>
      <c r="O64" s="2766"/>
      <c r="P64" s="2767">
        <v>60.0</v>
      </c>
      <c r="Q64" s="2752"/>
      <c r="R64" s="2752"/>
      <c r="S64" s="2752"/>
      <c r="T64" s="2752"/>
      <c r="U64" s="2752"/>
      <c r="V64" s="2765" t="s">
        <v>3931</v>
      </c>
      <c r="W64" s="2766"/>
      <c r="X64" s="2766"/>
      <c r="Y64" s="2766"/>
      <c r="Z64" s="2766" t="s">
        <v>3932</v>
      </c>
      <c r="AA64" s="2825"/>
    </row>
    <row r="65" spans="8:8" ht="16.05" customHeight="1">
      <c r="B65" s="2761" t="s">
        <v>1453</v>
      </c>
      <c r="C65" s="2762"/>
      <c r="D65" s="2762"/>
      <c r="E65" s="2763" t="s">
        <v>3831</v>
      </c>
      <c r="F65" s="2752"/>
      <c r="G65" s="2775" t="s">
        <v>3933</v>
      </c>
      <c r="H65" s="2776"/>
      <c r="I65" s="2776"/>
      <c r="J65" s="2776"/>
      <c r="K65" s="2777">
        <v>33000.0</v>
      </c>
      <c r="L65" s="2752"/>
      <c r="M65" s="2775" t="s">
        <v>3934</v>
      </c>
      <c r="N65" s="2776"/>
      <c r="O65" s="2776"/>
      <c r="P65" s="2777">
        <v>90.0</v>
      </c>
      <c r="Q65" s="2752"/>
      <c r="R65" s="2753" t="s">
        <v>3935</v>
      </c>
      <c r="S65" s="2754"/>
      <c r="T65" s="2755"/>
      <c r="U65" s="2752"/>
      <c r="V65" s="2775" t="s">
        <v>3936</v>
      </c>
      <c r="W65" s="2776"/>
      <c r="X65" s="2776"/>
      <c r="Y65" s="2776"/>
      <c r="Z65" s="2776" t="s">
        <v>3598</v>
      </c>
      <c r="AA65" s="2824"/>
    </row>
    <row r="66" spans="8:8" ht="16.05" customHeight="1">
      <c r="B66" s="2765" t="s">
        <v>3937</v>
      </c>
      <c r="C66" s="2766"/>
      <c r="D66" s="2766"/>
      <c r="E66" s="2767" t="s">
        <v>3938</v>
      </c>
      <c r="F66" s="2752"/>
      <c r="G66" s="2765" t="s">
        <v>3939</v>
      </c>
      <c r="H66" s="2766"/>
      <c r="I66" s="2766"/>
      <c r="J66" s="2766"/>
      <c r="K66" s="2767">
        <v>27000.0</v>
      </c>
      <c r="L66" s="2752"/>
      <c r="M66" s="2784" t="s">
        <v>3940</v>
      </c>
      <c r="N66" s="2785"/>
      <c r="O66" s="2785"/>
      <c r="P66" s="2802">
        <v>30.0</v>
      </c>
      <c r="Q66" s="2752"/>
      <c r="R66" s="2761" t="s">
        <v>1453</v>
      </c>
      <c r="S66" s="2762"/>
      <c r="T66" s="2763" t="s">
        <v>3831</v>
      </c>
      <c r="U66" s="2752"/>
      <c r="V66" s="2765" t="s">
        <v>3941</v>
      </c>
      <c r="W66" s="2766"/>
      <c r="X66" s="2766"/>
      <c r="Y66" s="2766"/>
      <c r="Z66" s="2826" t="s">
        <v>3686</v>
      </c>
      <c r="AA66" s="2827"/>
    </row>
    <row r="67" spans="8:8" ht="16.05" customHeight="1">
      <c r="B67" s="2775" t="s">
        <v>3942</v>
      </c>
      <c r="C67" s="2776"/>
      <c r="D67" s="2776"/>
      <c r="E67" s="2777">
        <v>400.0</v>
      </c>
      <c r="F67" s="2752"/>
      <c r="G67" s="2804" t="s">
        <v>3943</v>
      </c>
      <c r="H67" s="2805"/>
      <c r="I67" s="2805"/>
      <c r="J67" s="2805"/>
      <c r="K67" s="2816">
        <v>16500.0</v>
      </c>
      <c r="L67" s="2752"/>
      <c r="M67" s="2752"/>
      <c r="N67" s="2752"/>
      <c r="O67" s="2752"/>
      <c r="P67" s="2752"/>
      <c r="Q67" s="2752"/>
      <c r="R67" s="2828" t="s">
        <v>3944</v>
      </c>
      <c r="S67" s="2829"/>
      <c r="T67" s="2770">
        <v>90.0</v>
      </c>
      <c r="U67" s="2752"/>
      <c r="V67" s="2775" t="s">
        <v>3945</v>
      </c>
      <c r="W67" s="2776"/>
      <c r="X67" s="2776"/>
      <c r="Y67" s="2776"/>
      <c r="Z67" s="2776">
        <v>65.0</v>
      </c>
      <c r="AA67" s="2824"/>
      <c r="AB67" s="2774"/>
      <c r="AC67" s="2774"/>
    </row>
    <row r="68" spans="8:8" ht="16.05" customHeight="1">
      <c r="B68" s="2765" t="s">
        <v>3946</v>
      </c>
      <c r="C68" s="2766"/>
      <c r="D68" s="2766"/>
      <c r="E68" s="2767">
        <v>150.0</v>
      </c>
      <c r="F68" s="2752"/>
      <c r="G68" s="2752"/>
      <c r="H68" s="2752"/>
      <c r="I68" s="2752"/>
      <c r="J68" s="2752"/>
      <c r="K68" s="2752"/>
      <c r="L68" s="2752"/>
      <c r="M68" s="2817" t="s">
        <v>3947</v>
      </c>
      <c r="N68" s="2818"/>
      <c r="O68" s="2818"/>
      <c r="P68" s="2819"/>
      <c r="Q68" s="2752"/>
      <c r="R68" s="2830" t="s">
        <v>3948</v>
      </c>
      <c r="S68" s="2831"/>
      <c r="T68" s="2780">
        <v>35.0</v>
      </c>
      <c r="U68" s="2752"/>
      <c r="V68" s="2765" t="s">
        <v>3949</v>
      </c>
      <c r="W68" s="2766"/>
      <c r="X68" s="2766"/>
      <c r="Y68" s="2766"/>
      <c r="Z68" s="2766">
        <v>16.0</v>
      </c>
      <c r="AA68" s="2825"/>
      <c r="AC68" s="2774"/>
    </row>
    <row r="69" spans="8:8" ht="16.05" customHeight="1">
      <c r="B69" s="2775" t="s">
        <v>3950</v>
      </c>
      <c r="C69" s="2776"/>
      <c r="D69" s="2776"/>
      <c r="E69" s="2777">
        <v>90.0</v>
      </c>
      <c r="F69" s="2752"/>
      <c r="G69" s="2749" t="s">
        <v>3951</v>
      </c>
      <c r="H69" s="2750"/>
      <c r="I69" s="2750"/>
      <c r="J69" s="2750"/>
      <c r="K69" s="2751"/>
      <c r="L69" s="2752"/>
      <c r="M69" s="2761" t="s">
        <v>1453</v>
      </c>
      <c r="N69" s="2762"/>
      <c r="O69" s="2762"/>
      <c r="P69" s="2763" t="s">
        <v>3831</v>
      </c>
      <c r="Q69" s="2752"/>
      <c r="R69" s="2812" t="s">
        <v>3952</v>
      </c>
      <c r="S69" s="2813"/>
      <c r="T69" s="2770">
        <v>40.0</v>
      </c>
      <c r="U69" s="2752"/>
      <c r="V69" s="2775" t="s">
        <v>3953</v>
      </c>
      <c r="W69" s="2776"/>
      <c r="X69" s="2776"/>
      <c r="Y69" s="2776"/>
      <c r="Z69" s="2776">
        <v>20.0</v>
      </c>
      <c r="AA69" s="2824"/>
      <c r="AC69" s="2774"/>
    </row>
    <row r="70" spans="8:8" ht="16.05" customHeight="1">
      <c r="B70" s="2765" t="s">
        <v>3954</v>
      </c>
      <c r="C70" s="2766"/>
      <c r="D70" s="2766"/>
      <c r="E70" s="2767">
        <v>25.0</v>
      </c>
      <c r="F70" s="2752"/>
      <c r="G70" s="2758" t="s">
        <v>1453</v>
      </c>
      <c r="H70" s="2759"/>
      <c r="I70" s="2759"/>
      <c r="J70" s="2759"/>
      <c r="K70" s="2760" t="s">
        <v>3831</v>
      </c>
      <c r="L70" s="2752"/>
      <c r="M70" s="2765" t="s">
        <v>3955</v>
      </c>
      <c r="N70" s="2766"/>
      <c r="O70" s="2766"/>
      <c r="P70" s="2767">
        <v>40.0</v>
      </c>
      <c r="Q70" s="2752"/>
      <c r="R70" s="2830" t="s">
        <v>3956</v>
      </c>
      <c r="S70" s="2831"/>
      <c r="T70" s="2780">
        <v>450.0</v>
      </c>
      <c r="U70" s="2752"/>
      <c r="V70" s="2765" t="s">
        <v>3957</v>
      </c>
      <c r="W70" s="2766"/>
      <c r="X70" s="2766"/>
      <c r="Y70" s="2766"/>
      <c r="Z70" s="2766" t="s">
        <v>3958</v>
      </c>
      <c r="AA70" s="2825"/>
      <c r="AC70" s="2774"/>
    </row>
    <row r="71" spans="8:8" ht="16.05" customHeight="1">
      <c r="B71" s="2775" t="s">
        <v>3959</v>
      </c>
      <c r="C71" s="2776"/>
      <c r="D71" s="2776"/>
      <c r="E71" s="2777">
        <v>35.0</v>
      </c>
      <c r="F71" s="2752"/>
      <c r="G71" s="2832" t="s">
        <v>3960</v>
      </c>
      <c r="H71" s="2833"/>
      <c r="I71" s="2833"/>
      <c r="J71" s="2833"/>
      <c r="K71" s="2834">
        <v>70.0</v>
      </c>
      <c r="L71" s="2752"/>
      <c r="M71" s="2775" t="s">
        <v>3961</v>
      </c>
      <c r="N71" s="2776"/>
      <c r="O71" s="2776"/>
      <c r="P71" s="2777" t="s">
        <v>3962</v>
      </c>
      <c r="Q71" s="2752"/>
      <c r="R71" s="2812" t="s">
        <v>3963</v>
      </c>
      <c r="S71" s="2813"/>
      <c r="T71" s="2770">
        <v>10.0</v>
      </c>
      <c r="U71" s="2752"/>
      <c r="V71" s="2775" t="s">
        <v>3964</v>
      </c>
      <c r="W71" s="2776"/>
      <c r="X71" s="2776"/>
      <c r="Y71" s="2776"/>
      <c r="Z71" s="2776">
        <v>38.0</v>
      </c>
      <c r="AA71" s="2824"/>
      <c r="AC71" s="2774"/>
    </row>
    <row r="72" spans="8:8" ht="16.05" customHeight="1">
      <c r="B72" s="2765" t="s">
        <v>3965</v>
      </c>
      <c r="C72" s="2766"/>
      <c r="D72" s="2766"/>
      <c r="E72" s="2767">
        <v>260.0</v>
      </c>
      <c r="F72" s="2752"/>
      <c r="G72" s="2835" t="s">
        <v>3966</v>
      </c>
      <c r="H72" s="2836"/>
      <c r="I72" s="2836"/>
      <c r="J72" s="2836"/>
      <c r="K72" s="2837">
        <v>300.0</v>
      </c>
      <c r="L72" s="2752"/>
      <c r="M72" s="2765" t="s">
        <v>3967</v>
      </c>
      <c r="N72" s="2766"/>
      <c r="O72" s="2766"/>
      <c r="P72" s="2767">
        <v>500.0</v>
      </c>
      <c r="Q72" s="2752"/>
      <c r="R72" s="2830" t="s">
        <v>3968</v>
      </c>
      <c r="S72" s="2831"/>
      <c r="T72" s="2780">
        <v>240.0</v>
      </c>
      <c r="U72" s="2752"/>
      <c r="V72" s="2768" t="s">
        <v>3969</v>
      </c>
      <c r="W72" s="2766"/>
      <c r="X72" s="2766"/>
      <c r="Y72" s="2766"/>
      <c r="Z72" s="2766">
        <v>35.0</v>
      </c>
      <c r="AA72" s="2825"/>
      <c r="AC72" s="2774"/>
    </row>
    <row r="73" spans="8:8" ht="16.05" customHeight="1">
      <c r="B73" s="2775" t="s">
        <v>3970</v>
      </c>
      <c r="C73" s="2776"/>
      <c r="D73" s="2776"/>
      <c r="E73" s="2777">
        <v>190.0</v>
      </c>
      <c r="F73" s="2752"/>
      <c r="G73" s="2832" t="s">
        <v>3971</v>
      </c>
      <c r="H73" s="2833"/>
      <c r="I73" s="2833"/>
      <c r="J73" s="2833"/>
      <c r="K73" s="2834" t="s">
        <v>3972</v>
      </c>
      <c r="L73" s="2752"/>
      <c r="M73" s="2775" t="s">
        <v>3973</v>
      </c>
      <c r="N73" s="2776"/>
      <c r="O73" s="2776"/>
      <c r="P73" s="2777" t="s">
        <v>3598</v>
      </c>
      <c r="Q73" s="2752"/>
      <c r="R73" s="2812" t="s">
        <v>3974</v>
      </c>
      <c r="S73" s="2813"/>
      <c r="T73" s="2770">
        <v>400.0</v>
      </c>
      <c r="U73" s="2752"/>
      <c r="V73" s="2775" t="s">
        <v>3975</v>
      </c>
      <c r="W73" s="2776"/>
      <c r="X73" s="2776"/>
      <c r="Y73" s="2776"/>
      <c r="Z73" s="2776">
        <v>60.0</v>
      </c>
      <c r="AA73" s="2824"/>
      <c r="AC73" s="2774"/>
    </row>
    <row r="74" spans="8:8" ht="16.05" customHeight="1">
      <c r="B74" s="2765" t="s">
        <v>3976</v>
      </c>
      <c r="C74" s="2766"/>
      <c r="D74" s="2766"/>
      <c r="E74" s="2767">
        <v>35.0</v>
      </c>
      <c r="F74" s="2752"/>
      <c r="G74" s="2838" t="s">
        <v>3977</v>
      </c>
      <c r="H74" s="2839"/>
      <c r="I74" s="2839"/>
      <c r="J74" s="2839"/>
      <c r="K74" s="2840">
        <v>200.0</v>
      </c>
      <c r="L74" s="2752"/>
      <c r="M74" s="2765" t="s">
        <v>3978</v>
      </c>
      <c r="N74" s="2766"/>
      <c r="O74" s="2766"/>
      <c r="P74" s="2767" t="s">
        <v>3958</v>
      </c>
      <c r="Q74" s="2752"/>
      <c r="R74" s="2830" t="s">
        <v>3979</v>
      </c>
      <c r="S74" s="2831"/>
      <c r="T74" s="2780">
        <v>200.0</v>
      </c>
      <c r="U74" s="2752"/>
      <c r="V74" s="2784" t="s">
        <v>3980</v>
      </c>
      <c r="W74" s="2785"/>
      <c r="X74" s="2785"/>
      <c r="Y74" s="2785"/>
      <c r="Z74" s="2785">
        <v>25.0</v>
      </c>
      <c r="AA74" s="2841"/>
      <c r="AC74" s="2774"/>
    </row>
    <row r="75" spans="8:8" ht="16.05" customHeight="1">
      <c r="B75" s="2775" t="s">
        <v>3981</v>
      </c>
      <c r="C75" s="2776"/>
      <c r="D75" s="2776"/>
      <c r="E75" s="2777">
        <v>50.0</v>
      </c>
      <c r="F75" s="2752"/>
      <c r="G75" s="2752"/>
      <c r="H75" s="2752"/>
      <c r="I75" s="2752"/>
      <c r="J75" s="2752"/>
      <c r="K75" s="2752"/>
      <c r="L75" s="2752"/>
      <c r="M75" s="2775" t="s">
        <v>3982</v>
      </c>
      <c r="N75" s="2776"/>
      <c r="O75" s="2776"/>
      <c r="P75" s="2777" t="s">
        <v>3983</v>
      </c>
      <c r="Q75" s="2752"/>
      <c r="R75" s="2812" t="s">
        <v>3984</v>
      </c>
      <c r="S75" s="2813"/>
      <c r="T75" s="2770">
        <v>260.0</v>
      </c>
      <c r="U75" s="2752"/>
      <c r="V75" s="2842"/>
      <c r="W75" s="2842"/>
      <c r="X75" s="2842"/>
      <c r="Y75" s="2842"/>
      <c r="Z75" s="2842"/>
      <c r="AA75" s="2842"/>
      <c r="AC75" s="2774"/>
    </row>
    <row r="76" spans="8:8" ht="16.05" customHeight="1">
      <c r="B76" s="2765" t="s">
        <v>3985</v>
      </c>
      <c r="C76" s="2766"/>
      <c r="D76" s="2766"/>
      <c r="E76" s="2767">
        <v>100.0</v>
      </c>
      <c r="F76" s="2752"/>
      <c r="G76" s="2749" t="s">
        <v>3986</v>
      </c>
      <c r="H76" s="2750"/>
      <c r="I76" s="2750"/>
      <c r="J76" s="2750"/>
      <c r="K76" s="2751"/>
      <c r="L76" s="2752"/>
      <c r="M76" s="2784" t="s">
        <v>3987</v>
      </c>
      <c r="N76" s="2785"/>
      <c r="O76" s="2785"/>
      <c r="P76" s="2802" t="s">
        <v>3988</v>
      </c>
      <c r="Q76" s="2752"/>
      <c r="R76" s="2830" t="s">
        <v>3989</v>
      </c>
      <c r="S76" s="2831"/>
      <c r="T76" s="2780">
        <v>60.0</v>
      </c>
      <c r="U76" s="2752"/>
      <c r="V76" s="2842"/>
      <c r="W76" s="2842"/>
      <c r="X76" s="2842"/>
      <c r="Y76" s="2842"/>
      <c r="Z76" s="2842"/>
      <c r="AA76" s="2842"/>
      <c r="AC76" s="2774"/>
    </row>
    <row r="77" spans="8:8" ht="16.05" customHeight="1">
      <c r="B77" s="2775" t="s">
        <v>3990</v>
      </c>
      <c r="C77" s="2776"/>
      <c r="D77" s="2776"/>
      <c r="E77" s="2777">
        <v>160.0</v>
      </c>
      <c r="F77" s="2752"/>
      <c r="G77" s="2758" t="s">
        <v>1453</v>
      </c>
      <c r="H77" s="2843"/>
      <c r="I77" s="2843"/>
      <c r="J77" s="2843"/>
      <c r="K77" s="2760" t="s">
        <v>3831</v>
      </c>
      <c r="L77" s="2752"/>
      <c r="M77" s="2752"/>
      <c r="N77" s="2752"/>
      <c r="O77" s="2752"/>
      <c r="P77" s="2752"/>
      <c r="Q77" s="2752"/>
      <c r="R77" s="2812" t="s">
        <v>3991</v>
      </c>
      <c r="S77" s="2813"/>
      <c r="T77" s="2770">
        <v>250.0</v>
      </c>
      <c r="U77" s="2752"/>
      <c r="V77" s="2842"/>
      <c r="W77" s="2842"/>
      <c r="X77" s="2842"/>
      <c r="Y77" s="2842"/>
      <c r="Z77" s="2842"/>
      <c r="AA77" s="2842"/>
      <c r="AC77" s="2774"/>
    </row>
    <row r="78" spans="8:8" ht="16.05" customHeight="1">
      <c r="B78" s="2765" t="s">
        <v>3917</v>
      </c>
      <c r="C78" s="2766"/>
      <c r="D78" s="2766"/>
      <c r="E78" s="2767">
        <v>200.0</v>
      </c>
      <c r="F78" s="2752"/>
      <c r="G78" s="2835" t="s">
        <v>3992</v>
      </c>
      <c r="H78" s="2844"/>
      <c r="I78" s="2844"/>
      <c r="J78" s="2844"/>
      <c r="K78" s="2837">
        <v>100.0</v>
      </c>
      <c r="L78" s="2752"/>
      <c r="M78" s="2753" t="s">
        <v>3993</v>
      </c>
      <c r="N78" s="2754"/>
      <c r="O78" s="2754"/>
      <c r="P78" s="2755"/>
      <c r="Q78" s="2752"/>
      <c r="R78" s="2830" t="s">
        <v>3994</v>
      </c>
      <c r="S78" s="2831"/>
      <c r="T78" s="2780">
        <v>400.0</v>
      </c>
      <c r="U78" s="2752"/>
      <c r="V78" s="2842"/>
      <c r="W78" s="2842"/>
      <c r="X78" s="2842"/>
      <c r="Y78" s="2842"/>
      <c r="Z78" s="2842"/>
      <c r="AA78" s="2842"/>
      <c r="AC78" s="2774"/>
    </row>
    <row r="79" spans="8:8" ht="16.05" customHeight="1">
      <c r="B79" s="2775" t="s">
        <v>3995</v>
      </c>
      <c r="C79" s="2776"/>
      <c r="D79" s="2776"/>
      <c r="E79" s="2777">
        <v>350.0</v>
      </c>
      <c r="F79" s="2752"/>
      <c r="G79" s="2832" t="s">
        <v>3996</v>
      </c>
      <c r="H79" s="2845"/>
      <c r="I79" s="2845"/>
      <c r="J79" s="2845"/>
      <c r="K79" s="2834">
        <v>30.0</v>
      </c>
      <c r="L79" s="2752"/>
      <c r="M79" s="2761" t="s">
        <v>1453</v>
      </c>
      <c r="N79" s="2762"/>
      <c r="O79" s="2762"/>
      <c r="P79" s="2763" t="s">
        <v>3831</v>
      </c>
      <c r="Q79" s="2803"/>
      <c r="R79" s="2812" t="s">
        <v>3997</v>
      </c>
      <c r="S79" s="2813"/>
      <c r="T79" s="2770">
        <v>900.0</v>
      </c>
      <c r="U79" s="2752"/>
      <c r="V79" s="2842"/>
      <c r="W79" s="2842"/>
      <c r="X79" s="2842"/>
      <c r="Y79" s="2842"/>
      <c r="Z79" s="2842"/>
      <c r="AA79" s="2842"/>
      <c r="AC79" s="2774"/>
    </row>
    <row r="80" spans="8:8" ht="16.05" customHeight="1">
      <c r="B80" s="2765" t="s">
        <v>3998</v>
      </c>
      <c r="C80" s="2766"/>
      <c r="D80" s="2766"/>
      <c r="E80" s="2767">
        <v>20.0</v>
      </c>
      <c r="F80" s="2752"/>
      <c r="G80" s="2835" t="s">
        <v>3999</v>
      </c>
      <c r="H80" s="2844"/>
      <c r="I80" s="2844"/>
      <c r="J80" s="2844"/>
      <c r="K80" s="2837">
        <v>60.0</v>
      </c>
      <c r="L80" s="2752"/>
      <c r="M80" s="2765" t="s">
        <v>4000</v>
      </c>
      <c r="N80" s="2766"/>
      <c r="O80" s="2766"/>
      <c r="P80" s="2767" t="s">
        <v>3834</v>
      </c>
      <c r="Q80" s="2803"/>
      <c r="R80" s="2830" t="s">
        <v>4001</v>
      </c>
      <c r="S80" s="2831"/>
      <c r="T80" s="2780">
        <v>200.0</v>
      </c>
      <c r="U80" s="2803"/>
      <c r="V80" s="2842"/>
      <c r="W80" s="2842"/>
      <c r="X80" s="2842"/>
      <c r="Y80" s="2842"/>
      <c r="Z80" s="2842"/>
      <c r="AA80" s="2842"/>
      <c r="AC80" s="2774"/>
    </row>
    <row r="81" spans="8:8" ht="16.05" customHeight="1">
      <c r="B81" s="2775" t="s">
        <v>3913</v>
      </c>
      <c r="C81" s="2776"/>
      <c r="D81" s="2776"/>
      <c r="E81" s="2777">
        <v>60.0</v>
      </c>
      <c r="F81" s="2752"/>
      <c r="G81" s="2832" t="s">
        <v>4002</v>
      </c>
      <c r="H81" s="2845"/>
      <c r="I81" s="2845"/>
      <c r="J81" s="2845"/>
      <c r="K81" s="2834">
        <v>160.0</v>
      </c>
      <c r="L81" s="2803"/>
      <c r="M81" s="2775" t="s">
        <v>4003</v>
      </c>
      <c r="N81" s="2776"/>
      <c r="O81" s="2776"/>
      <c r="P81" s="2777" t="s">
        <v>4004</v>
      </c>
      <c r="Q81" s="2803"/>
      <c r="R81" s="2812" t="s">
        <v>4005</v>
      </c>
      <c r="S81" s="2813"/>
      <c r="T81" s="2770" t="s">
        <v>3932</v>
      </c>
      <c r="U81" s="2752"/>
      <c r="V81" s="2842"/>
      <c r="W81" s="2842"/>
      <c r="X81" s="2842"/>
      <c r="Y81" s="2842"/>
      <c r="Z81" s="2842"/>
      <c r="AA81" s="2842"/>
    </row>
    <row r="82" spans="8:8" ht="16.05" customHeight="1">
      <c r="B82" s="2784" t="s">
        <v>3921</v>
      </c>
      <c r="C82" s="2785"/>
      <c r="D82" s="2785"/>
      <c r="E82" s="2802" t="s">
        <v>3958</v>
      </c>
      <c r="F82" s="2752"/>
      <c r="G82" s="2838" t="s">
        <v>4006</v>
      </c>
      <c r="H82" s="2839"/>
      <c r="I82" s="2839"/>
      <c r="J82" s="2839"/>
      <c r="K82" s="2840">
        <v>70.0</v>
      </c>
      <c r="L82" s="2752"/>
      <c r="M82" s="2765" t="s">
        <v>4007</v>
      </c>
      <c r="N82" s="2766"/>
      <c r="O82" s="2766"/>
      <c r="P82" s="2767">
        <v>10.0</v>
      </c>
      <c r="Q82" s="2803"/>
      <c r="R82" s="2830" t="s">
        <v>4008</v>
      </c>
      <c r="S82" s="2831"/>
      <c r="T82" s="2780" t="s">
        <v>3598</v>
      </c>
      <c r="U82" s="2752"/>
      <c r="V82" s="2842"/>
      <c r="W82" s="2842"/>
      <c r="X82" s="2842"/>
      <c r="Y82" s="2842"/>
      <c r="Z82" s="2842"/>
      <c r="AA82" s="2842"/>
    </row>
    <row r="83" spans="8:8" ht="16.05" customHeight="1">
      <c r="B83" s="2842"/>
      <c r="C83" s="2842"/>
      <c r="D83" s="2842"/>
      <c r="E83" s="2803"/>
      <c r="F83" s="2752"/>
      <c r="G83" s="2752"/>
      <c r="H83" s="2752"/>
      <c r="I83" s="2752"/>
      <c r="J83" s="2752"/>
      <c r="K83" s="2752"/>
      <c r="L83" s="2752"/>
      <c r="M83" s="2775" t="s">
        <v>4009</v>
      </c>
      <c r="N83" s="2776"/>
      <c r="O83" s="2776"/>
      <c r="P83" s="2777" t="s">
        <v>3686</v>
      </c>
      <c r="Q83" s="2803"/>
      <c r="R83" s="2846" t="s">
        <v>4010</v>
      </c>
      <c r="S83" s="2847"/>
      <c r="T83" s="2786" t="s">
        <v>3958</v>
      </c>
      <c r="U83" s="2752"/>
      <c r="V83" s="2848"/>
      <c r="W83" s="2848"/>
      <c r="X83" s="2848"/>
      <c r="Y83" s="2752"/>
      <c r="Z83" s="2752"/>
      <c r="AA83" s="2752"/>
    </row>
    <row r="84" spans="8:8" ht="16.05" customHeight="1">
      <c r="B84" s="2803"/>
      <c r="C84" s="2803"/>
      <c r="D84" s="2803"/>
      <c r="E84" s="2803"/>
      <c r="F84" s="2752"/>
      <c r="G84" s="2752"/>
      <c r="H84" s="2752"/>
      <c r="I84" s="2803"/>
      <c r="J84" s="2752"/>
      <c r="K84" s="2752"/>
      <c r="L84" s="2752"/>
      <c r="M84" s="2765" t="s">
        <v>4011</v>
      </c>
      <c r="N84" s="2766"/>
      <c r="O84" s="2766"/>
      <c r="P84" s="2767">
        <v>55.0</v>
      </c>
      <c r="Q84" s="2803"/>
      <c r="R84" s="2752"/>
      <c r="S84" s="2752"/>
      <c r="T84" s="2752"/>
      <c r="U84" s="2752"/>
      <c r="V84" s="2752"/>
      <c r="W84" s="2752"/>
      <c r="X84" s="2752"/>
      <c r="Y84" s="2752"/>
      <c r="Z84" s="2752"/>
      <c r="AA84" s="2752"/>
    </row>
    <row r="85" spans="8:8" ht="16.05" customHeight="1">
      <c r="B85" s="2803"/>
      <c r="C85" s="2803"/>
      <c r="D85" s="2803"/>
      <c r="E85" s="2803"/>
      <c r="F85" s="2752"/>
      <c r="G85" s="2752"/>
      <c r="H85" s="2752"/>
      <c r="I85" s="2803"/>
      <c r="J85" s="2752"/>
      <c r="K85" s="2752"/>
      <c r="L85" s="2752"/>
      <c r="M85" s="2804" t="s">
        <v>4012</v>
      </c>
      <c r="N85" s="2805"/>
      <c r="O85" s="2805"/>
      <c r="P85" s="2816">
        <v>65.0</v>
      </c>
      <c r="Q85" s="2803"/>
      <c r="R85" s="2752"/>
      <c r="S85" s="2752"/>
      <c r="T85" s="2752"/>
      <c r="U85" s="2752"/>
      <c r="V85" s="2752"/>
      <c r="W85" s="2752"/>
      <c r="X85" s="2752"/>
      <c r="Y85" s="2752"/>
      <c r="Z85" s="2752"/>
      <c r="AA85" s="2752"/>
    </row>
    <row r="86" spans="8:8" ht="16.05" customHeight="1">
      <c r="B86" s="2774"/>
      <c r="C86" s="2774"/>
      <c r="D86" s="2774"/>
      <c r="E86" s="2774"/>
      <c r="I86" s="2774"/>
      <c r="Q86" s="2774"/>
    </row>
    <row r="87" spans="8:8" ht="16.05" customHeight="1">
      <c r="B87" s="2302" t="s">
        <v>4013</v>
      </c>
      <c r="C87" s="2303"/>
      <c r="D87" s="2303"/>
      <c r="E87" s="2303"/>
      <c r="F87" s="2303"/>
      <c r="G87" s="2303"/>
      <c r="H87" s="2303"/>
      <c r="I87" s="2303"/>
      <c r="J87" s="2303"/>
      <c r="K87" s="2303"/>
      <c r="L87" s="2303"/>
      <c r="M87" s="2303"/>
      <c r="N87" s="2303"/>
      <c r="O87" s="2303"/>
      <c r="P87" s="2303"/>
      <c r="Q87" s="2303"/>
      <c r="R87" s="2303"/>
      <c r="S87" s="2303"/>
      <c r="T87" s="2303"/>
      <c r="U87" s="2303"/>
      <c r="V87" s="2303"/>
      <c r="W87" s="2303"/>
      <c r="X87" s="2303"/>
      <c r="Y87" s="2303"/>
      <c r="Z87" s="2303"/>
      <c r="AA87" s="2304"/>
    </row>
    <row r="88" spans="8:8" ht="16.05" customHeight="1">
      <c r="B88" s="2305"/>
      <c r="C88" s="2306"/>
      <c r="D88" s="2306"/>
      <c r="E88" s="2306"/>
      <c r="F88" s="2306"/>
      <c r="G88" s="2306"/>
      <c r="H88" s="2306"/>
      <c r="I88" s="2306"/>
      <c r="J88" s="2306"/>
      <c r="K88" s="2306"/>
      <c r="L88" s="2306"/>
      <c r="M88" s="2306"/>
      <c r="N88" s="2306"/>
      <c r="O88" s="2306"/>
      <c r="P88" s="2306"/>
      <c r="Q88" s="2306"/>
      <c r="R88" s="2306"/>
      <c r="S88" s="2306"/>
      <c r="T88" s="2306"/>
      <c r="U88" s="2306"/>
      <c r="V88" s="2306"/>
      <c r="W88" s="2306"/>
      <c r="X88" s="2306"/>
      <c r="Y88" s="2306"/>
      <c r="Z88" s="2306"/>
      <c r="AA88" s="2307"/>
    </row>
    <row r="89" spans="8:8" ht="16.05" customHeight="1">
      <c r="B89" s="2308"/>
      <c r="C89" s="2309"/>
      <c r="D89" s="2309"/>
      <c r="E89" s="2309"/>
      <c r="F89" s="2309"/>
      <c r="G89" s="2309"/>
      <c r="H89" s="2309"/>
      <c r="I89" s="2309"/>
      <c r="J89" s="2309"/>
      <c r="K89" s="2309"/>
      <c r="L89" s="2309"/>
      <c r="M89" s="2309"/>
      <c r="N89" s="2309"/>
      <c r="O89" s="2309"/>
      <c r="P89" s="2309"/>
      <c r="Q89" s="2309"/>
      <c r="R89" s="2309"/>
      <c r="S89" s="2309"/>
      <c r="T89" s="2309"/>
      <c r="U89" s="2309"/>
      <c r="V89" s="2309"/>
      <c r="W89" s="2309"/>
      <c r="X89" s="2309"/>
      <c r="Y89" s="2309"/>
      <c r="Z89" s="2309"/>
      <c r="AA89" s="2310"/>
    </row>
    <row r="90" spans="8:8" ht="16.05" customHeight="1">
      <c r="B90" s="2849" t="s">
        <v>4014</v>
      </c>
      <c r="C90" s="2849"/>
      <c r="D90" s="2849"/>
      <c r="E90" s="2849"/>
      <c r="F90" s="2849"/>
      <c r="G90" s="2849"/>
      <c r="H90" s="2849"/>
      <c r="I90" s="2849"/>
      <c r="J90" s="2849"/>
      <c r="K90" s="2849"/>
      <c r="L90" s="2849"/>
      <c r="M90" s="2849"/>
      <c r="N90" s="2849"/>
      <c r="O90" s="2849"/>
      <c r="P90" s="2849"/>
      <c r="Q90" s="2849"/>
      <c r="R90" s="2849"/>
      <c r="S90" s="2849"/>
      <c r="T90" s="2849"/>
      <c r="U90" s="2849"/>
      <c r="V90" s="2849"/>
      <c r="W90" s="2849"/>
      <c r="X90" s="2849"/>
      <c r="Y90" s="2849"/>
      <c r="Z90" s="2849"/>
      <c r="AA90" s="2849"/>
    </row>
    <row r="91" spans="8:8" ht="16.05" customHeight="1">
      <c r="B91" s="2749" t="s">
        <v>3826</v>
      </c>
      <c r="C91" s="2750"/>
      <c r="D91" s="2750"/>
      <c r="E91" s="2751"/>
      <c r="G91" s="2753" t="s">
        <v>3828</v>
      </c>
      <c r="H91" s="2754"/>
      <c r="I91" s="2754"/>
      <c r="J91" s="2754"/>
      <c r="K91" s="2755"/>
      <c r="L91" s="2850"/>
      <c r="M91" s="2753" t="s">
        <v>4015</v>
      </c>
      <c r="N91" s="2754"/>
      <c r="O91" s="2754"/>
      <c r="P91" s="2754"/>
      <c r="Q91" s="2755"/>
      <c r="R91" s="2851"/>
      <c r="S91" s="2753" t="s">
        <v>4016</v>
      </c>
      <c r="T91" s="2754"/>
      <c r="U91" s="2754"/>
      <c r="V91" s="2755"/>
      <c r="W91" s="2852"/>
      <c r="X91" s="2753" t="s">
        <v>4017</v>
      </c>
      <c r="Y91" s="2754"/>
      <c r="Z91" s="2754"/>
      <c r="AA91" s="2755"/>
    </row>
    <row r="92" spans="8:8" ht="16.05" customHeight="1">
      <c r="B92" s="2758" t="s">
        <v>1453</v>
      </c>
      <c r="C92" s="2759"/>
      <c r="D92" s="2853" t="s">
        <v>3831</v>
      </c>
      <c r="E92" s="2760" t="s">
        <v>4018</v>
      </c>
      <c r="G92" s="2761" t="s">
        <v>1453</v>
      </c>
      <c r="H92" s="2854"/>
      <c r="I92" s="2854"/>
      <c r="J92" s="2855" t="s">
        <v>3831</v>
      </c>
      <c r="K92" s="2763" t="s">
        <v>4018</v>
      </c>
      <c r="L92" s="2850"/>
      <c r="M92" s="2761" t="s">
        <v>1453</v>
      </c>
      <c r="N92" s="2762"/>
      <c r="O92" s="2762"/>
      <c r="P92" s="2764" t="s">
        <v>3831</v>
      </c>
      <c r="Q92" s="2856" t="s">
        <v>4018</v>
      </c>
      <c r="R92" s="2857"/>
      <c r="S92" s="2761" t="s">
        <v>1453</v>
      </c>
      <c r="T92" s="2762"/>
      <c r="U92" s="2855" t="s">
        <v>3831</v>
      </c>
      <c r="V92" s="2856" t="s">
        <v>4018</v>
      </c>
      <c r="W92" s="205"/>
      <c r="X92" s="2761" t="s">
        <v>1453</v>
      </c>
      <c r="Y92" s="2762"/>
      <c r="Z92" s="2764" t="s">
        <v>3832</v>
      </c>
      <c r="AA92" s="2856" t="s">
        <v>3831</v>
      </c>
    </row>
    <row r="93" spans="8:8" ht="16.05" customHeight="1">
      <c r="B93" s="2765" t="s">
        <v>4019</v>
      </c>
      <c r="C93" s="2766"/>
      <c r="D93" s="2858">
        <v>17.95</v>
      </c>
      <c r="E93" s="2767">
        <f>D93*20</f>
        <v>359.0</v>
      </c>
      <c r="G93" s="2765" t="s">
        <v>4020</v>
      </c>
      <c r="H93" s="2859"/>
      <c r="I93" s="2859"/>
      <c r="J93" s="2858">
        <v>8.98</v>
      </c>
      <c r="K93" s="2767">
        <f t="shared" si="0" ref="K93:K119">J93*20</f>
        <v>179.60000000000002</v>
      </c>
      <c r="L93" s="2850"/>
      <c r="M93" s="2765" t="s">
        <v>4021</v>
      </c>
      <c r="N93" s="2859"/>
      <c r="O93" s="2859"/>
      <c r="P93" s="2858">
        <v>1.79</v>
      </c>
      <c r="Q93" s="2767">
        <f t="shared" si="1" ref="Q93:Q99">P93*20</f>
        <v>35.8</v>
      </c>
      <c r="R93" s="2857"/>
      <c r="S93" s="2860" t="s">
        <v>4022</v>
      </c>
      <c r="T93" s="2861"/>
      <c r="U93" s="2858">
        <v>2.5</v>
      </c>
      <c r="V93" s="2767">
        <f t="shared" si="2" ref="V93:V98">U93*20</f>
        <v>50.0</v>
      </c>
      <c r="W93" s="205"/>
      <c r="X93" s="2862" t="s">
        <v>3839</v>
      </c>
      <c r="Y93" s="2863"/>
      <c r="Z93" s="2858">
        <v>100.0</v>
      </c>
      <c r="AA93" s="2767">
        <v>0.54</v>
      </c>
    </row>
    <row r="94" spans="8:8" ht="16.05" customHeight="1">
      <c r="B94" s="2775" t="s">
        <v>4023</v>
      </c>
      <c r="C94" s="2776"/>
      <c r="D94" s="2864">
        <v>18.5</v>
      </c>
      <c r="E94" s="2777">
        <f t="shared" si="3" ref="E94:E112">D94*20</f>
        <v>370.0</v>
      </c>
      <c r="G94" s="2775" t="s">
        <v>4024</v>
      </c>
      <c r="H94" s="2865"/>
      <c r="I94" s="2865"/>
      <c r="J94" s="2864">
        <v>6.1</v>
      </c>
      <c r="K94" s="2777">
        <f t="shared" si="0"/>
        <v>122.0</v>
      </c>
      <c r="L94" s="2850"/>
      <c r="M94" s="2775" t="s">
        <v>4025</v>
      </c>
      <c r="N94" s="2865"/>
      <c r="O94" s="2865"/>
      <c r="P94" s="2864">
        <v>2.98</v>
      </c>
      <c r="Q94" s="2777">
        <f t="shared" si="1"/>
        <v>59.6</v>
      </c>
      <c r="R94" s="2857"/>
      <c r="S94" s="2775" t="s">
        <v>4026</v>
      </c>
      <c r="T94" s="2776"/>
      <c r="U94" s="2864">
        <v>0.45</v>
      </c>
      <c r="V94" s="2777">
        <f t="shared" si="2"/>
        <v>9.0</v>
      </c>
      <c r="W94" s="205"/>
      <c r="X94" s="2866" t="s">
        <v>4027</v>
      </c>
      <c r="Y94" s="2867"/>
      <c r="Z94" s="2864">
        <v>100.0</v>
      </c>
      <c r="AA94" s="2777">
        <v>0.53</v>
      </c>
    </row>
    <row r="95" spans="8:8" ht="16.05" customHeight="1">
      <c r="B95" s="2765" t="s">
        <v>4028</v>
      </c>
      <c r="C95" s="2766"/>
      <c r="D95" s="2858">
        <v>13.85</v>
      </c>
      <c r="E95" s="2767">
        <f t="shared" si="3"/>
        <v>277.0</v>
      </c>
      <c r="G95" s="2765" t="s">
        <v>4029</v>
      </c>
      <c r="H95" s="2859"/>
      <c r="I95" s="2859"/>
      <c r="J95" s="2858">
        <v>0.89</v>
      </c>
      <c r="K95" s="2767">
        <f t="shared" si="0"/>
        <v>17.8</v>
      </c>
      <c r="L95" s="2850"/>
      <c r="M95" s="2765" t="s">
        <v>4030</v>
      </c>
      <c r="N95" s="2859"/>
      <c r="O95" s="2859"/>
      <c r="P95" s="2858">
        <v>2.98</v>
      </c>
      <c r="Q95" s="2767">
        <f t="shared" si="1"/>
        <v>59.6</v>
      </c>
      <c r="R95" s="2857"/>
      <c r="S95" s="2765" t="s">
        <v>4031</v>
      </c>
      <c r="T95" s="2766"/>
      <c r="U95" s="2858">
        <v>0.65</v>
      </c>
      <c r="V95" s="2767">
        <f t="shared" si="2"/>
        <v>13.0</v>
      </c>
      <c r="W95" s="205"/>
      <c r="X95" s="2868" t="s">
        <v>4032</v>
      </c>
      <c r="Y95" s="2869"/>
      <c r="Z95" s="2858">
        <v>100.0</v>
      </c>
      <c r="AA95" s="2767">
        <v>1.34</v>
      </c>
    </row>
    <row r="96" spans="8:8" ht="16.05" customHeight="1">
      <c r="B96" s="2775" t="s">
        <v>4033</v>
      </c>
      <c r="C96" s="2776"/>
      <c r="D96" s="2864">
        <v>9.95</v>
      </c>
      <c r="E96" s="2777">
        <f t="shared" si="3"/>
        <v>199.0</v>
      </c>
      <c r="G96" s="2775" t="s">
        <v>4034</v>
      </c>
      <c r="H96" s="2865"/>
      <c r="I96" s="2865"/>
      <c r="J96" s="2864">
        <v>6.79</v>
      </c>
      <c r="K96" s="2777">
        <f t="shared" si="0"/>
        <v>135.8</v>
      </c>
      <c r="L96" s="2850"/>
      <c r="M96" s="2775" t="s">
        <v>4035</v>
      </c>
      <c r="N96" s="2865"/>
      <c r="O96" s="2865"/>
      <c r="P96" s="2864">
        <v>0.98</v>
      </c>
      <c r="Q96" s="2777">
        <f t="shared" si="1"/>
        <v>19.6</v>
      </c>
      <c r="R96" s="2850"/>
      <c r="S96" s="2775" t="s">
        <v>4036</v>
      </c>
      <c r="T96" s="2776"/>
      <c r="U96" s="2864">
        <v>1.25</v>
      </c>
      <c r="V96" s="2777">
        <f t="shared" si="2"/>
        <v>25.0</v>
      </c>
      <c r="W96" s="205"/>
      <c r="X96" s="2870" t="s">
        <v>4037</v>
      </c>
      <c r="Y96" s="2871"/>
      <c r="Z96" s="2864">
        <v>100.0</v>
      </c>
      <c r="AA96" s="2777">
        <v>7.63</v>
      </c>
    </row>
    <row r="97" spans="8:8" ht="16.05" customHeight="1">
      <c r="B97" s="2765" t="s">
        <v>4038</v>
      </c>
      <c r="C97" s="2766"/>
      <c r="D97" s="2858">
        <v>0.69</v>
      </c>
      <c r="E97" s="2767">
        <f t="shared" si="3"/>
        <v>13.799999999999999</v>
      </c>
      <c r="G97" s="2872" t="s">
        <v>4039</v>
      </c>
      <c r="H97" s="2873"/>
      <c r="I97" s="2873"/>
      <c r="J97" s="2858">
        <v>5.06</v>
      </c>
      <c r="K97" s="2767">
        <f t="shared" si="0"/>
        <v>101.19999999999999</v>
      </c>
      <c r="L97" s="2850"/>
      <c r="M97" s="2765" t="s">
        <v>4040</v>
      </c>
      <c r="N97" s="2859"/>
      <c r="O97" s="2859"/>
      <c r="P97" s="2858">
        <v>2.59</v>
      </c>
      <c r="Q97" s="2767">
        <f t="shared" si="1"/>
        <v>51.8</v>
      </c>
      <c r="R97" s="2851"/>
      <c r="S97" s="2765" t="s">
        <v>4041</v>
      </c>
      <c r="T97" s="2766"/>
      <c r="U97" s="2858">
        <v>2.5</v>
      </c>
      <c r="V97" s="2767">
        <f t="shared" si="2"/>
        <v>50.0</v>
      </c>
      <c r="W97" s="205"/>
      <c r="X97" s="2868" t="s">
        <v>4042</v>
      </c>
      <c r="Y97" s="2869"/>
      <c r="Z97" s="2858">
        <v>100.0</v>
      </c>
      <c r="AA97" s="2767">
        <v>5.95</v>
      </c>
    </row>
    <row r="98" spans="8:8" ht="16.05" customHeight="1">
      <c r="B98" s="2775" t="s">
        <v>4043</v>
      </c>
      <c r="C98" s="2776"/>
      <c r="D98" s="2864" t="s">
        <v>4044</v>
      </c>
      <c r="E98" s="2777" t="s">
        <v>4045</v>
      </c>
      <c r="G98" s="2775" t="s">
        <v>4046</v>
      </c>
      <c r="H98" s="2865"/>
      <c r="I98" s="2865"/>
      <c r="J98" s="2864">
        <v>3.65</v>
      </c>
      <c r="K98" s="2777">
        <f t="shared" si="0"/>
        <v>73.0</v>
      </c>
      <c r="L98" s="2850"/>
      <c r="M98" s="2775" t="s">
        <v>4047</v>
      </c>
      <c r="N98" s="2865"/>
      <c r="O98" s="2865"/>
      <c r="P98" s="2864">
        <v>4.95</v>
      </c>
      <c r="Q98" s="2777">
        <f t="shared" si="1"/>
        <v>99.0</v>
      </c>
      <c r="R98" s="2857"/>
      <c r="S98" s="2804" t="s">
        <v>4048</v>
      </c>
      <c r="T98" s="2805"/>
      <c r="U98" s="2874">
        <v>0.45</v>
      </c>
      <c r="V98" s="2816">
        <f t="shared" si="2"/>
        <v>9.0</v>
      </c>
      <c r="W98" s="205"/>
      <c r="X98" s="2866" t="s">
        <v>4049</v>
      </c>
      <c r="Y98" s="2867"/>
      <c r="Z98" s="2864">
        <v>100.0</v>
      </c>
      <c r="AA98" s="2777">
        <v>2.97</v>
      </c>
    </row>
    <row r="99" spans="8:8" ht="16.05" customHeight="1">
      <c r="B99" s="2765" t="s">
        <v>4050</v>
      </c>
      <c r="C99" s="2766"/>
      <c r="D99" s="2858">
        <v>37.5</v>
      </c>
      <c r="E99" s="2767">
        <f t="shared" si="3"/>
        <v>750.0</v>
      </c>
      <c r="G99" s="2765" t="s">
        <v>4051</v>
      </c>
      <c r="H99" s="2859"/>
      <c r="I99" s="2859"/>
      <c r="J99" s="2858">
        <v>2.59</v>
      </c>
      <c r="K99" s="2767">
        <f t="shared" si="0"/>
        <v>51.8</v>
      </c>
      <c r="L99" s="2850"/>
      <c r="M99" s="2765" t="s">
        <v>4052</v>
      </c>
      <c r="N99" s="2859"/>
      <c r="O99" s="2859"/>
      <c r="P99" s="2858">
        <v>0.4</v>
      </c>
      <c r="Q99" s="2767">
        <f t="shared" si="1"/>
        <v>8.0</v>
      </c>
      <c r="R99" s="2857"/>
      <c r="W99" s="205"/>
      <c r="X99" s="2875" t="s">
        <v>4053</v>
      </c>
      <c r="Y99" s="2821"/>
      <c r="Z99" s="2858">
        <v>100.0</v>
      </c>
      <c r="AA99" s="2767">
        <v>1.75</v>
      </c>
    </row>
    <row r="100" spans="8:8" ht="16.05" customHeight="1">
      <c r="B100" s="2876" t="s">
        <v>4054</v>
      </c>
      <c r="C100" s="2877"/>
      <c r="D100" s="2878">
        <v>19.95</v>
      </c>
      <c r="E100" s="2777">
        <f t="shared" si="3"/>
        <v>399.0</v>
      </c>
      <c r="G100" s="2775" t="s">
        <v>4055</v>
      </c>
      <c r="H100" s="2865"/>
      <c r="I100" s="2865"/>
      <c r="J100" s="2864">
        <v>0.25</v>
      </c>
      <c r="K100" s="2777">
        <f t="shared" si="0"/>
        <v>5.0</v>
      </c>
      <c r="L100" s="2850"/>
      <c r="M100" s="2753" t="s">
        <v>4056</v>
      </c>
      <c r="N100" s="2754"/>
      <c r="O100" s="2754"/>
      <c r="P100" s="2754"/>
      <c r="Q100" s="2755"/>
      <c r="R100" s="2857"/>
      <c r="S100" s="2753" t="s">
        <v>4057</v>
      </c>
      <c r="T100" s="2754"/>
      <c r="U100" s="2754"/>
      <c r="V100" s="2755"/>
      <c r="W100" s="2852"/>
      <c r="X100" s="2866" t="s">
        <v>4058</v>
      </c>
      <c r="Y100" s="2867"/>
      <c r="Z100" s="2864">
        <v>100.0</v>
      </c>
      <c r="AA100" s="2777">
        <v>6.6</v>
      </c>
    </row>
    <row r="101" spans="8:8" ht="16.05" customHeight="1">
      <c r="B101" s="2765" t="s">
        <v>4059</v>
      </c>
      <c r="C101" s="2766"/>
      <c r="D101" s="2858">
        <v>6.95</v>
      </c>
      <c r="E101" s="2767">
        <f t="shared" si="3"/>
        <v>139.0</v>
      </c>
      <c r="G101" s="2765" t="s">
        <v>4060</v>
      </c>
      <c r="H101" s="2859"/>
      <c r="I101" s="2859"/>
      <c r="J101" s="2858">
        <v>5.95</v>
      </c>
      <c r="K101" s="2767">
        <f t="shared" si="0"/>
        <v>119.0</v>
      </c>
      <c r="L101" s="2850"/>
      <c r="M101" s="2765" t="s">
        <v>4061</v>
      </c>
      <c r="N101" s="2859"/>
      <c r="O101" s="2859"/>
      <c r="P101" s="2858">
        <v>1.69</v>
      </c>
      <c r="Q101" s="2767">
        <f t="shared" si="4" ref="Q101:Q105">P101*20</f>
        <v>33.8</v>
      </c>
      <c r="R101" s="2857"/>
      <c r="S101" s="2761" t="s">
        <v>4062</v>
      </c>
      <c r="T101" s="2762"/>
      <c r="U101" s="2764" t="s">
        <v>3831</v>
      </c>
      <c r="V101" s="2856" t="s">
        <v>4018</v>
      </c>
      <c r="W101" s="205"/>
      <c r="X101" s="2862" t="s">
        <v>4063</v>
      </c>
      <c r="Y101" s="2863"/>
      <c r="Z101" s="2858">
        <v>100.0</v>
      </c>
      <c r="AA101" s="2767">
        <v>4.49</v>
      </c>
    </row>
    <row r="102" spans="8:8" ht="16.05" customHeight="1">
      <c r="B102" s="2775" t="s">
        <v>4064</v>
      </c>
      <c r="C102" s="2776"/>
      <c r="D102" s="2864">
        <v>4.95</v>
      </c>
      <c r="E102" s="2777">
        <f t="shared" si="3"/>
        <v>99.0</v>
      </c>
      <c r="G102" s="2775" t="s">
        <v>4065</v>
      </c>
      <c r="H102" s="2865"/>
      <c r="I102" s="2865"/>
      <c r="J102" s="2864">
        <v>6.59</v>
      </c>
      <c r="K102" s="2777">
        <f t="shared" si="0"/>
        <v>131.8</v>
      </c>
      <c r="L102" s="2850"/>
      <c r="M102" s="2775" t="s">
        <v>4066</v>
      </c>
      <c r="N102" s="2865"/>
      <c r="O102" s="2865"/>
      <c r="P102" s="2864">
        <v>3.98</v>
      </c>
      <c r="Q102" s="2777">
        <f t="shared" si="4"/>
        <v>79.6</v>
      </c>
      <c r="R102" s="2857"/>
      <c r="S102" s="2765" t="s">
        <v>4067</v>
      </c>
      <c r="T102" s="2766"/>
      <c r="U102" s="2858">
        <v>0.25</v>
      </c>
      <c r="V102" s="2767">
        <f t="shared" si="5" ref="V102:V121">U102*20</f>
        <v>5.0</v>
      </c>
      <c r="W102" s="205"/>
      <c r="X102" s="2866" t="s">
        <v>4068</v>
      </c>
      <c r="Y102" s="2867"/>
      <c r="Z102" s="2864">
        <v>100.0</v>
      </c>
      <c r="AA102" s="2777">
        <v>4.43</v>
      </c>
    </row>
    <row r="103" spans="8:8" ht="16.05" customHeight="1">
      <c r="B103" s="2812" t="s">
        <v>4069</v>
      </c>
      <c r="C103" s="2813"/>
      <c r="D103" s="2858">
        <v>8.0</v>
      </c>
      <c r="E103" s="2767">
        <f t="shared" si="3"/>
        <v>160.0</v>
      </c>
      <c r="G103" s="2765" t="s">
        <v>4070</v>
      </c>
      <c r="H103" s="2859"/>
      <c r="I103" s="2859"/>
      <c r="J103" s="2858">
        <v>1.39</v>
      </c>
      <c r="K103" s="2767">
        <f t="shared" si="0"/>
        <v>27.799999999999997</v>
      </c>
      <c r="L103" s="2850"/>
      <c r="M103" s="2765" t="s">
        <v>4071</v>
      </c>
      <c r="N103" s="2859"/>
      <c r="O103" s="2859"/>
      <c r="P103" s="2858">
        <v>0.8</v>
      </c>
      <c r="Q103" s="2767">
        <f t="shared" si="4"/>
        <v>16.0</v>
      </c>
      <c r="R103" s="2857"/>
      <c r="S103" s="2775" t="s">
        <v>4072</v>
      </c>
      <c r="T103" s="2776"/>
      <c r="U103" s="2864">
        <v>0.1</v>
      </c>
      <c r="V103" s="2777">
        <f t="shared" si="5"/>
        <v>2.0</v>
      </c>
      <c r="X103" s="2875" t="s">
        <v>3899</v>
      </c>
      <c r="Y103" s="2821"/>
      <c r="Z103" s="2858">
        <v>25.0</v>
      </c>
      <c r="AA103" s="2767">
        <v>1.0</v>
      </c>
    </row>
    <row r="104" spans="8:8" ht="16.05" customHeight="1">
      <c r="B104" s="2775" t="s">
        <v>4073</v>
      </c>
      <c r="C104" s="2776"/>
      <c r="D104" s="2864">
        <v>4.95</v>
      </c>
      <c r="E104" s="2777">
        <f t="shared" si="3"/>
        <v>99.0</v>
      </c>
      <c r="G104" s="2775" t="s">
        <v>4074</v>
      </c>
      <c r="H104" s="2865"/>
      <c r="I104" s="2865"/>
      <c r="J104" s="2864">
        <v>1.68</v>
      </c>
      <c r="K104" s="2777">
        <f t="shared" si="0"/>
        <v>33.6</v>
      </c>
      <c r="L104" s="2850"/>
      <c r="M104" s="2775" t="s">
        <v>4075</v>
      </c>
      <c r="N104" s="2865"/>
      <c r="O104" s="2865"/>
      <c r="P104" s="2864">
        <v>1.04</v>
      </c>
      <c r="Q104" s="2777">
        <f t="shared" si="4"/>
        <v>20.8</v>
      </c>
      <c r="R104" s="2857"/>
      <c r="S104" s="2828" t="s">
        <v>4076</v>
      </c>
      <c r="T104" s="2829"/>
      <c r="U104" s="2858">
        <v>0.19</v>
      </c>
      <c r="V104" s="2767">
        <f t="shared" si="5"/>
        <v>3.8</v>
      </c>
      <c r="X104" s="2879" t="s">
        <v>3899</v>
      </c>
      <c r="Y104" s="2871"/>
      <c r="Z104" s="2864">
        <v>100.0</v>
      </c>
      <c r="AA104" s="2777">
        <v>3.91</v>
      </c>
    </row>
    <row r="105" spans="8:8" ht="16.05" customHeight="1">
      <c r="B105" s="2765" t="s">
        <v>4077</v>
      </c>
      <c r="C105" s="2766"/>
      <c r="D105" s="2858" t="s">
        <v>4078</v>
      </c>
      <c r="E105" s="2767" t="s">
        <v>4079</v>
      </c>
      <c r="G105" s="2765" t="s">
        <v>4080</v>
      </c>
      <c r="H105" s="2859"/>
      <c r="I105" s="2859"/>
      <c r="J105" s="2880" t="s">
        <v>4081</v>
      </c>
      <c r="K105" s="2767" t="s">
        <v>4082</v>
      </c>
      <c r="L105" s="2850"/>
      <c r="M105" s="2784" t="s">
        <v>4083</v>
      </c>
      <c r="N105" s="2785"/>
      <c r="O105" s="2785"/>
      <c r="P105" s="2810">
        <v>2.06</v>
      </c>
      <c r="Q105" s="2802">
        <f t="shared" si="4"/>
        <v>41.2</v>
      </c>
      <c r="R105" s="2850"/>
      <c r="S105" s="2881" t="s">
        <v>4084</v>
      </c>
      <c r="T105" s="2882"/>
      <c r="U105" s="2864">
        <v>0.43</v>
      </c>
      <c r="V105" s="2777">
        <f t="shared" si="5"/>
        <v>8.6</v>
      </c>
      <c r="X105" s="2875" t="s">
        <v>3902</v>
      </c>
      <c r="Y105" s="2821"/>
      <c r="Z105" s="2858">
        <v>100.0</v>
      </c>
      <c r="AA105" s="2767">
        <v>3.63</v>
      </c>
    </row>
    <row r="106" spans="8:8" ht="16.05" customHeight="1">
      <c r="B106" s="2775" t="s">
        <v>4085</v>
      </c>
      <c r="C106" s="2776"/>
      <c r="D106" s="2864">
        <v>19.5</v>
      </c>
      <c r="E106" s="2777">
        <f t="shared" si="3"/>
        <v>390.0</v>
      </c>
      <c r="G106" s="2775" t="s">
        <v>4086</v>
      </c>
      <c r="H106" s="2865"/>
      <c r="I106" s="2865"/>
      <c r="J106" s="2864">
        <v>0.6</v>
      </c>
      <c r="K106" s="2777">
        <f t="shared" si="0"/>
        <v>12.0</v>
      </c>
      <c r="L106" s="2850"/>
      <c r="R106" s="2851"/>
      <c r="S106" s="2765" t="s">
        <v>4087</v>
      </c>
      <c r="T106" s="2766"/>
      <c r="U106" s="2858">
        <v>0.25</v>
      </c>
      <c r="V106" s="2767">
        <f t="shared" si="5"/>
        <v>5.0</v>
      </c>
      <c r="X106" s="2883" t="s">
        <v>3907</v>
      </c>
      <c r="Y106" s="2884"/>
      <c r="Z106" s="2864">
        <v>25.0</v>
      </c>
      <c r="AA106" s="2777">
        <v>0.86</v>
      </c>
    </row>
    <row r="107" spans="8:8" ht="16.05" customHeight="1">
      <c r="B107" s="2765" t="s">
        <v>4088</v>
      </c>
      <c r="C107" s="2766"/>
      <c r="D107" s="2858">
        <v>7.69</v>
      </c>
      <c r="E107" s="2767">
        <f t="shared" si="3"/>
        <v>153.8</v>
      </c>
      <c r="G107" s="2765" t="s">
        <v>4089</v>
      </c>
      <c r="H107" s="2859"/>
      <c r="I107" s="2859"/>
      <c r="J107" s="2858">
        <v>1.0</v>
      </c>
      <c r="K107" s="2767">
        <f t="shared" si="0"/>
        <v>20.0</v>
      </c>
      <c r="L107" s="2850"/>
      <c r="M107" s="2753" t="s">
        <v>3986</v>
      </c>
      <c r="N107" s="2754"/>
      <c r="O107" s="2754"/>
      <c r="P107" s="2754"/>
      <c r="Q107" s="2755"/>
      <c r="R107" s="2857"/>
      <c r="S107" s="2775" t="s">
        <v>4090</v>
      </c>
      <c r="T107" s="2776"/>
      <c r="U107" s="2864">
        <v>0.13</v>
      </c>
      <c r="V107" s="2777">
        <f t="shared" si="5"/>
        <v>2.6</v>
      </c>
      <c r="X107" s="2875" t="s">
        <v>3907</v>
      </c>
      <c r="Y107" s="2821"/>
      <c r="Z107" s="2858">
        <v>100.0</v>
      </c>
      <c r="AA107" s="2767">
        <v>3.34</v>
      </c>
    </row>
    <row r="108" spans="8:8" ht="16.05" customHeight="1">
      <c r="B108" s="2775" t="s">
        <v>4091</v>
      </c>
      <c r="C108" s="2776"/>
      <c r="D108" s="2864">
        <v>4.95</v>
      </c>
      <c r="E108" s="2777">
        <f t="shared" si="3"/>
        <v>99.0</v>
      </c>
      <c r="G108" s="2775" t="s">
        <v>4092</v>
      </c>
      <c r="H108" s="2865"/>
      <c r="I108" s="2865"/>
      <c r="J108" s="2864">
        <v>0.27</v>
      </c>
      <c r="K108" s="2777">
        <f t="shared" si="0"/>
        <v>5.4</v>
      </c>
      <c r="L108" s="2850"/>
      <c r="M108" s="2761" t="s">
        <v>1453</v>
      </c>
      <c r="N108" s="2854"/>
      <c r="O108" s="2854"/>
      <c r="P108" s="2855" t="s">
        <v>3831</v>
      </c>
      <c r="Q108" s="2856" t="s">
        <v>4018</v>
      </c>
      <c r="R108" s="2857"/>
      <c r="S108" s="2765" t="s">
        <v>4093</v>
      </c>
      <c r="T108" s="2766"/>
      <c r="U108" s="2858">
        <v>0.4</v>
      </c>
      <c r="V108" s="2767">
        <f t="shared" si="5"/>
        <v>8.0</v>
      </c>
      <c r="X108" s="2883" t="s">
        <v>3912</v>
      </c>
      <c r="Y108" s="2884"/>
      <c r="Z108" s="2864">
        <v>25.0</v>
      </c>
      <c r="AA108" s="2777">
        <v>0.85</v>
      </c>
    </row>
    <row r="109" spans="8:8" ht="16.05" customHeight="1">
      <c r="B109" s="2765" t="s">
        <v>4094</v>
      </c>
      <c r="C109" s="2766"/>
      <c r="D109" s="2858">
        <v>0.79</v>
      </c>
      <c r="E109" s="2767">
        <f t="shared" si="3"/>
        <v>15.8</v>
      </c>
      <c r="G109" s="2765" t="s">
        <v>4095</v>
      </c>
      <c r="H109" s="2859"/>
      <c r="I109" s="2859"/>
      <c r="J109" s="2858">
        <v>3.45</v>
      </c>
      <c r="K109" s="2767">
        <f t="shared" si="0"/>
        <v>69.0</v>
      </c>
      <c r="L109" s="2850"/>
      <c r="M109" s="2775" t="s">
        <v>4096</v>
      </c>
      <c r="N109" s="2865"/>
      <c r="O109" s="2865"/>
      <c r="P109" s="2864">
        <v>0.1</v>
      </c>
      <c r="Q109" s="2777">
        <f t="shared" si="6" ref="Q109:Q127">P109*20</f>
        <v>2.0</v>
      </c>
      <c r="R109" s="2885"/>
      <c r="S109" s="2881" t="s">
        <v>4097</v>
      </c>
      <c r="T109" s="2882"/>
      <c r="U109" s="2864">
        <v>0.17</v>
      </c>
      <c r="V109" s="2777">
        <f t="shared" si="5"/>
        <v>3.4000000000000004</v>
      </c>
      <c r="X109" s="2886" t="s">
        <v>3912</v>
      </c>
      <c r="Y109" s="2887"/>
      <c r="Z109" s="2810">
        <v>100.0</v>
      </c>
      <c r="AA109" s="2802">
        <v>3.3</v>
      </c>
    </row>
    <row r="110" spans="8:8" ht="16.05" customHeight="1">
      <c r="B110" s="2775" t="s">
        <v>4098</v>
      </c>
      <c r="C110" s="2776"/>
      <c r="D110" s="2864">
        <v>1.95</v>
      </c>
      <c r="E110" s="2777">
        <f t="shared" si="3"/>
        <v>39.0</v>
      </c>
      <c r="G110" s="2881" t="s">
        <v>4099</v>
      </c>
      <c r="H110" s="2888"/>
      <c r="I110" s="2888"/>
      <c r="J110" s="2889" t="s">
        <v>4100</v>
      </c>
      <c r="K110" s="2777" t="s">
        <v>4101</v>
      </c>
      <c r="L110" s="2850"/>
      <c r="M110" s="2765" t="s">
        <v>4102</v>
      </c>
      <c r="N110" s="2859"/>
      <c r="O110" s="2859"/>
      <c r="P110" s="2858">
        <v>0.9</v>
      </c>
      <c r="Q110" s="2767">
        <f t="shared" si="6"/>
        <v>18.0</v>
      </c>
      <c r="R110" s="2857"/>
      <c r="S110" s="2765" t="s">
        <v>4103</v>
      </c>
      <c r="T110" s="2766"/>
      <c r="U110" s="2858">
        <v>0.5</v>
      </c>
      <c r="V110" s="2767">
        <f t="shared" si="5"/>
        <v>10.0</v>
      </c>
    </row>
    <row r="111" spans="8:8" ht="16.05" customHeight="1">
      <c r="B111" s="2890" t="s">
        <v>4104</v>
      </c>
      <c r="C111" s="2891"/>
      <c r="D111" s="2858">
        <v>3.65</v>
      </c>
      <c r="E111" s="2767">
        <f t="shared" si="3"/>
        <v>73.0</v>
      </c>
      <c r="G111" s="2765" t="s">
        <v>4105</v>
      </c>
      <c r="H111" s="2859"/>
      <c r="I111" s="2859"/>
      <c r="J111" s="2858">
        <v>28.5</v>
      </c>
      <c r="K111" s="2767">
        <f t="shared" si="0"/>
        <v>570.0</v>
      </c>
      <c r="L111" s="2850"/>
      <c r="M111" s="2775" t="s">
        <v>4106</v>
      </c>
      <c r="N111" s="2865"/>
      <c r="O111" s="2865"/>
      <c r="P111" s="2864">
        <v>0.25</v>
      </c>
      <c r="Q111" s="2777">
        <f t="shared" si="6"/>
        <v>5.0</v>
      </c>
      <c r="R111" s="2857"/>
      <c r="S111" s="2775" t="s">
        <v>4107</v>
      </c>
      <c r="T111" s="2776"/>
      <c r="U111" s="2864">
        <v>0.12</v>
      </c>
      <c r="V111" s="2777">
        <f t="shared" si="5"/>
        <v>2.4</v>
      </c>
      <c r="X111" s="2753" t="s">
        <v>3920</v>
      </c>
      <c r="Y111" s="2754"/>
      <c r="Z111" s="2754"/>
      <c r="AA111" s="2755"/>
    </row>
    <row r="112" spans="8:8" ht="16.05" customHeight="1">
      <c r="B112" s="2775" t="s">
        <v>4108</v>
      </c>
      <c r="C112" s="2776"/>
      <c r="D112" s="2864">
        <v>0.98</v>
      </c>
      <c r="E112" s="2777">
        <f t="shared" si="3"/>
        <v>19.6</v>
      </c>
      <c r="G112" s="2775" t="s">
        <v>4109</v>
      </c>
      <c r="H112" s="2865"/>
      <c r="I112" s="2865"/>
      <c r="J112" s="2864">
        <v>3.25</v>
      </c>
      <c r="K112" s="2777">
        <f t="shared" si="0"/>
        <v>65.0</v>
      </c>
      <c r="L112" s="2850"/>
      <c r="M112" s="2765" t="s">
        <v>4110</v>
      </c>
      <c r="N112" s="2859"/>
      <c r="O112" s="2859"/>
      <c r="P112" s="2858">
        <v>0.25</v>
      </c>
      <c r="Q112" s="2767">
        <f t="shared" si="6"/>
        <v>5.0</v>
      </c>
      <c r="R112" s="2850"/>
      <c r="S112" s="2765" t="s">
        <v>4111</v>
      </c>
      <c r="T112" s="2766"/>
      <c r="U112" s="2858">
        <v>0.07</v>
      </c>
      <c r="V112" s="2767">
        <f t="shared" si="5"/>
        <v>1.4000000000000001</v>
      </c>
      <c r="X112" s="2761" t="s">
        <v>1453</v>
      </c>
      <c r="Y112" s="2854"/>
      <c r="Z112" s="2855" t="s">
        <v>3831</v>
      </c>
      <c r="AA112" s="2856" t="s">
        <v>4018</v>
      </c>
    </row>
    <row r="113" spans="8:8" ht="16.05" customHeight="1">
      <c r="B113" s="2765" t="s">
        <v>4112</v>
      </c>
      <c r="C113" s="2766"/>
      <c r="D113" s="2858">
        <v>16.95</v>
      </c>
      <c r="E113" s="2767">
        <f t="shared" si="7" ref="E113:E118">D113*20</f>
        <v>339.0</v>
      </c>
      <c r="G113" s="2765" t="s">
        <v>4113</v>
      </c>
      <c r="H113" s="2859"/>
      <c r="I113" s="2859"/>
      <c r="J113" s="2858">
        <v>2.85</v>
      </c>
      <c r="K113" s="2767">
        <f t="shared" si="0"/>
        <v>57.0</v>
      </c>
      <c r="L113" s="2850"/>
      <c r="M113" s="2775" t="s">
        <v>4114</v>
      </c>
      <c r="N113" s="2865"/>
      <c r="O113" s="2865"/>
      <c r="P113" s="2864">
        <v>10.45</v>
      </c>
      <c r="Q113" s="2777">
        <f t="shared" si="6"/>
        <v>209.0</v>
      </c>
      <c r="R113" s="2851"/>
      <c r="S113" s="2775" t="s">
        <v>4115</v>
      </c>
      <c r="T113" s="2776"/>
      <c r="U113" s="2864">
        <v>0.1</v>
      </c>
      <c r="V113" s="2777">
        <f t="shared" si="5"/>
        <v>2.0</v>
      </c>
      <c r="X113" s="2892" t="s">
        <v>4116</v>
      </c>
      <c r="Y113" s="2893"/>
      <c r="Z113" s="2864">
        <v>9.2</v>
      </c>
      <c r="AA113" s="2777">
        <f>Z113*20</f>
        <v>184.0</v>
      </c>
    </row>
    <row r="114" spans="8:8" ht="16.05" customHeight="1">
      <c r="B114" s="2775" t="s">
        <v>4117</v>
      </c>
      <c r="C114" s="2776"/>
      <c r="D114" s="2864">
        <v>0.96</v>
      </c>
      <c r="E114" s="2777">
        <f t="shared" si="7"/>
        <v>19.2</v>
      </c>
      <c r="G114" s="2881" t="s">
        <v>4118</v>
      </c>
      <c r="H114" s="2888"/>
      <c r="I114" s="2888"/>
      <c r="J114" s="2864">
        <v>9.35</v>
      </c>
      <c r="K114" s="2777">
        <f t="shared" si="0"/>
        <v>187.0</v>
      </c>
      <c r="L114" s="2850"/>
      <c r="M114" s="2765" t="s">
        <v>4119</v>
      </c>
      <c r="N114" s="2859"/>
      <c r="O114" s="2859"/>
      <c r="P114" s="2858">
        <v>3.59</v>
      </c>
      <c r="Q114" s="2767">
        <f t="shared" si="6"/>
        <v>71.8</v>
      </c>
      <c r="R114" s="2857"/>
      <c r="S114" s="2765" t="s">
        <v>4120</v>
      </c>
      <c r="T114" s="2766"/>
      <c r="U114" s="2858">
        <v>0.15</v>
      </c>
      <c r="V114" s="2767">
        <f t="shared" si="5"/>
        <v>3.0</v>
      </c>
      <c r="X114" s="2894" t="s">
        <v>4121</v>
      </c>
      <c r="Y114" s="2895"/>
      <c r="Z114" s="2858">
        <v>21.35</v>
      </c>
      <c r="AA114" s="2767">
        <f>Z114*20</f>
        <v>427.0</v>
      </c>
    </row>
    <row r="115" spans="8:8" ht="16.05" customHeight="1">
      <c r="B115" s="2765" t="s">
        <v>3900</v>
      </c>
      <c r="C115" s="2766"/>
      <c r="D115" s="2858">
        <v>0.5</v>
      </c>
      <c r="E115" s="2767">
        <f t="shared" si="7"/>
        <v>10.0</v>
      </c>
      <c r="G115" s="2765" t="s">
        <v>4122</v>
      </c>
      <c r="H115" s="2859"/>
      <c r="I115" s="2859"/>
      <c r="J115" s="2858">
        <v>0.27</v>
      </c>
      <c r="K115" s="2767">
        <f t="shared" si="0"/>
        <v>5.4</v>
      </c>
      <c r="L115" s="2850"/>
      <c r="M115" s="2775" t="s">
        <v>4123</v>
      </c>
      <c r="N115" s="2865"/>
      <c r="O115" s="2865"/>
      <c r="P115" s="2864">
        <v>1.39</v>
      </c>
      <c r="Q115" s="2777">
        <f t="shared" si="6"/>
        <v>27.799999999999997</v>
      </c>
      <c r="R115" s="2896"/>
      <c r="S115" s="2775" t="s">
        <v>4124</v>
      </c>
      <c r="T115" s="2776"/>
      <c r="U115" s="2864">
        <v>0.1</v>
      </c>
      <c r="V115" s="2777">
        <f t="shared" si="5"/>
        <v>2.0</v>
      </c>
      <c r="X115" s="2897" t="s">
        <v>4125</v>
      </c>
      <c r="Y115" s="2898"/>
      <c r="Z115" s="2874">
        <v>1.9</v>
      </c>
      <c r="AA115" s="2816">
        <f>Z115*20</f>
        <v>38.0</v>
      </c>
    </row>
    <row r="116" spans="8:8" ht="16.05" customHeight="1">
      <c r="B116" s="2775" t="s">
        <v>4126</v>
      </c>
      <c r="C116" s="2776"/>
      <c r="D116" s="2864">
        <v>0.55</v>
      </c>
      <c r="E116" s="2777">
        <f t="shared" si="7"/>
        <v>11.0</v>
      </c>
      <c r="G116" s="2775" t="s">
        <v>4127</v>
      </c>
      <c r="H116" s="2865"/>
      <c r="I116" s="2865"/>
      <c r="J116" s="2864">
        <v>1.7</v>
      </c>
      <c r="K116" s="2777">
        <f t="shared" si="0"/>
        <v>34.0</v>
      </c>
      <c r="L116" s="2850"/>
      <c r="M116" s="2765" t="s">
        <v>4128</v>
      </c>
      <c r="N116" s="2859"/>
      <c r="O116" s="2859"/>
      <c r="P116" s="2858">
        <v>12.5</v>
      </c>
      <c r="Q116" s="2767">
        <f t="shared" si="6"/>
        <v>250.0</v>
      </c>
      <c r="R116" s="2857"/>
      <c r="S116" s="2765" t="s">
        <v>4129</v>
      </c>
      <c r="T116" s="2766"/>
      <c r="U116" s="2858">
        <v>0.1</v>
      </c>
      <c r="V116" s="2767">
        <f t="shared" si="5"/>
        <v>2.0</v>
      </c>
    </row>
    <row r="117" spans="8:8" ht="16.05" customHeight="1">
      <c r="B117" s="2765" t="s">
        <v>4130</v>
      </c>
      <c r="C117" s="2766"/>
      <c r="D117" s="2858">
        <v>0.39</v>
      </c>
      <c r="E117" s="2767">
        <f t="shared" si="7"/>
        <v>7.800000000000001</v>
      </c>
      <c r="G117" s="2765" t="s">
        <v>4131</v>
      </c>
      <c r="H117" s="2859"/>
      <c r="I117" s="2859"/>
      <c r="J117" s="2858">
        <v>3.45</v>
      </c>
      <c r="K117" s="2767">
        <f t="shared" si="0"/>
        <v>69.0</v>
      </c>
      <c r="L117" s="2850"/>
      <c r="M117" s="2775" t="s">
        <v>4132</v>
      </c>
      <c r="N117" s="2865"/>
      <c r="O117" s="2865"/>
      <c r="P117" s="2864">
        <v>1.39</v>
      </c>
      <c r="Q117" s="2777">
        <f t="shared" si="6"/>
        <v>27.799999999999997</v>
      </c>
      <c r="R117" s="2857"/>
      <c r="S117" s="2775" t="s">
        <v>4133</v>
      </c>
      <c r="T117" s="2776"/>
      <c r="U117" s="2864">
        <v>0.13</v>
      </c>
      <c r="V117" s="2777">
        <f t="shared" si="5"/>
        <v>2.6</v>
      </c>
      <c r="X117" s="2753" t="s">
        <v>4134</v>
      </c>
      <c r="Y117" s="2754"/>
      <c r="Z117" s="2754"/>
      <c r="AA117" s="2755"/>
    </row>
    <row r="118" spans="8:8" ht="16.05" customHeight="1">
      <c r="B118" s="2775" t="s">
        <v>4135</v>
      </c>
      <c r="C118" s="2776"/>
      <c r="D118" s="2864">
        <v>1.48</v>
      </c>
      <c r="E118" s="2777">
        <f t="shared" si="7"/>
        <v>29.6</v>
      </c>
      <c r="G118" s="2775" t="s">
        <v>4136</v>
      </c>
      <c r="H118" s="2865"/>
      <c r="I118" s="2865"/>
      <c r="J118" s="2864">
        <v>0.62</v>
      </c>
      <c r="K118" s="2777">
        <f t="shared" si="0"/>
        <v>12.4</v>
      </c>
      <c r="L118" s="2850"/>
      <c r="M118" s="2765" t="s">
        <v>4137</v>
      </c>
      <c r="N118" s="2859"/>
      <c r="O118" s="2859"/>
      <c r="P118" s="2858">
        <v>0.69</v>
      </c>
      <c r="Q118" s="2767">
        <f t="shared" si="6"/>
        <v>13.799999999999999</v>
      </c>
      <c r="R118" s="2857"/>
      <c r="S118" s="2765" t="s">
        <v>4138</v>
      </c>
      <c r="T118" s="2766"/>
      <c r="U118" s="2858">
        <v>0.1</v>
      </c>
      <c r="V118" s="2767">
        <f t="shared" si="5"/>
        <v>2.0</v>
      </c>
      <c r="X118" s="2761" t="s">
        <v>1453</v>
      </c>
      <c r="Y118" s="2854"/>
      <c r="Z118" s="2855" t="s">
        <v>3831</v>
      </c>
      <c r="AA118" s="2856" t="s">
        <v>4018</v>
      </c>
    </row>
    <row r="119" spans="8:8" ht="16.05" customHeight="1">
      <c r="B119" s="2765" t="s">
        <v>4139</v>
      </c>
      <c r="C119" s="2766"/>
      <c r="D119" s="2858">
        <v>0.4</v>
      </c>
      <c r="E119" s="2767">
        <f t="shared" si="8" ref="E119:E124">D119*20</f>
        <v>8.0</v>
      </c>
      <c r="G119" s="2765" t="s">
        <v>4140</v>
      </c>
      <c r="H119" s="2859"/>
      <c r="I119" s="2859"/>
      <c r="J119" s="2858">
        <v>0.48</v>
      </c>
      <c r="K119" s="2767">
        <f t="shared" si="0"/>
        <v>9.6</v>
      </c>
      <c r="L119" s="2850"/>
      <c r="M119" s="2775" t="s">
        <v>4141</v>
      </c>
      <c r="N119" s="2865"/>
      <c r="O119" s="2865"/>
      <c r="P119" s="2864">
        <v>0.69</v>
      </c>
      <c r="Q119" s="2777">
        <f t="shared" si="6"/>
        <v>13.799999999999999</v>
      </c>
      <c r="R119" s="2857"/>
      <c r="S119" s="2881" t="s">
        <v>4142</v>
      </c>
      <c r="T119" s="2882"/>
      <c r="U119" s="2864">
        <v>2.25</v>
      </c>
      <c r="V119" s="2777">
        <f t="shared" si="5"/>
        <v>45.0</v>
      </c>
      <c r="X119" s="2875" t="s">
        <v>4143</v>
      </c>
      <c r="Y119" s="2899"/>
      <c r="Z119" s="2858">
        <v>12.5</v>
      </c>
      <c r="AA119" s="2767">
        <f t="shared" si="9" ref="AA119:AA127">Z119*20</f>
        <v>250.0</v>
      </c>
    </row>
    <row r="120" spans="8:8" ht="16.05" customHeight="1">
      <c r="B120" s="2775" t="s">
        <v>4144</v>
      </c>
      <c r="C120" s="2776"/>
      <c r="D120" s="2864">
        <v>1.35</v>
      </c>
      <c r="E120" s="2777">
        <f t="shared" si="8"/>
        <v>27.0</v>
      </c>
      <c r="G120" s="2900" t="s">
        <v>4145</v>
      </c>
      <c r="H120" s="2901"/>
      <c r="I120" s="2901"/>
      <c r="J120" s="2901"/>
      <c r="K120" s="2902"/>
      <c r="L120" s="2850"/>
      <c r="M120" s="2765" t="s">
        <v>4146</v>
      </c>
      <c r="N120" s="2859"/>
      <c r="O120" s="2859"/>
      <c r="P120" s="2858">
        <v>0.2</v>
      </c>
      <c r="Q120" s="2767">
        <f t="shared" si="6"/>
        <v>4.0</v>
      </c>
      <c r="R120" s="2857"/>
      <c r="S120" s="2765" t="s">
        <v>4147</v>
      </c>
      <c r="T120" s="2766"/>
      <c r="U120" s="2858">
        <v>0.25</v>
      </c>
      <c r="V120" s="2767">
        <f t="shared" si="5"/>
        <v>5.0</v>
      </c>
      <c r="X120" s="2883" t="s">
        <v>4148</v>
      </c>
      <c r="Y120" s="2903"/>
      <c r="Z120" s="2864">
        <v>3.75</v>
      </c>
      <c r="AA120" s="2777">
        <f t="shared" si="9"/>
        <v>75.0</v>
      </c>
    </row>
    <row r="121" spans="8:8" ht="16.05" customHeight="1">
      <c r="B121" s="2765" t="s">
        <v>4149</v>
      </c>
      <c r="C121" s="2766"/>
      <c r="D121" s="2858">
        <v>0.79</v>
      </c>
      <c r="E121" s="2767">
        <f t="shared" si="8"/>
        <v>15.8</v>
      </c>
      <c r="G121" s="2775" t="s">
        <v>4150</v>
      </c>
      <c r="H121" s="2865"/>
      <c r="I121" s="2865"/>
      <c r="J121" s="2864">
        <v>2.35</v>
      </c>
      <c r="K121" s="2777">
        <f>J121*20</f>
        <v>47.0</v>
      </c>
      <c r="L121" s="2850"/>
      <c r="M121" s="2775" t="s">
        <v>4151</v>
      </c>
      <c r="N121" s="2865"/>
      <c r="O121" s="2865"/>
      <c r="P121" s="2864">
        <v>0.69</v>
      </c>
      <c r="Q121" s="2777">
        <f t="shared" si="6"/>
        <v>13.799999999999999</v>
      </c>
      <c r="R121" s="2857"/>
      <c r="S121" s="2804" t="s">
        <v>4152</v>
      </c>
      <c r="T121" s="2805"/>
      <c r="U121" s="2874">
        <v>0.45</v>
      </c>
      <c r="V121" s="2816">
        <f t="shared" si="5"/>
        <v>9.0</v>
      </c>
      <c r="X121" s="2875" t="s">
        <v>4153</v>
      </c>
      <c r="Y121" s="2899"/>
      <c r="Z121" s="2858">
        <v>2.5</v>
      </c>
      <c r="AA121" s="2767">
        <f t="shared" si="9"/>
        <v>50.0</v>
      </c>
    </row>
    <row r="122" spans="8:8" ht="16.05" customHeight="1">
      <c r="B122" s="2775" t="s">
        <v>4154</v>
      </c>
      <c r="C122" s="2776"/>
      <c r="D122" s="2864">
        <v>7.25</v>
      </c>
      <c r="E122" s="2777">
        <f t="shared" si="8"/>
        <v>145.0</v>
      </c>
      <c r="G122" s="2765" t="s">
        <v>4155</v>
      </c>
      <c r="H122" s="2859"/>
      <c r="I122" s="2859"/>
      <c r="J122" s="2858">
        <v>1.2</v>
      </c>
      <c r="K122" s="2767">
        <f>J122*20</f>
        <v>24.0</v>
      </c>
      <c r="L122" s="2850"/>
      <c r="M122" s="2765" t="s">
        <v>4156</v>
      </c>
      <c r="N122" s="2859"/>
      <c r="O122" s="2859"/>
      <c r="P122" s="2858">
        <v>1.79</v>
      </c>
      <c r="Q122" s="2767">
        <f t="shared" si="6"/>
        <v>35.8</v>
      </c>
      <c r="R122" s="2857"/>
      <c r="X122" s="2883" t="s">
        <v>4157</v>
      </c>
      <c r="Y122" s="2903"/>
      <c r="Z122" s="2904" t="s">
        <v>4158</v>
      </c>
      <c r="AA122" s="2905" t="s">
        <v>4159</v>
      </c>
    </row>
    <row r="123" spans="8:8" ht="16.05" customHeight="1">
      <c r="B123" s="2765" t="s">
        <v>4160</v>
      </c>
      <c r="C123" s="2766"/>
      <c r="D123" s="2858">
        <v>5.25</v>
      </c>
      <c r="E123" s="2767">
        <f t="shared" si="8"/>
        <v>105.0</v>
      </c>
      <c r="G123" s="2775" t="s">
        <v>4161</v>
      </c>
      <c r="H123" s="2865"/>
      <c r="I123" s="2865"/>
      <c r="J123" s="2864">
        <v>0.98</v>
      </c>
      <c r="K123" s="2777">
        <f>J123*20</f>
        <v>19.6</v>
      </c>
      <c r="L123" s="2850"/>
      <c r="M123" s="2775" t="s">
        <v>4162</v>
      </c>
      <c r="N123" s="2865"/>
      <c r="O123" s="2865"/>
      <c r="P123" s="2864">
        <v>39.95</v>
      </c>
      <c r="Q123" s="2777">
        <f t="shared" si="6"/>
        <v>799.0</v>
      </c>
      <c r="R123" s="2857"/>
      <c r="S123" s="2753" t="s">
        <v>4163</v>
      </c>
      <c r="T123" s="2754"/>
      <c r="U123" s="2754"/>
      <c r="V123" s="2755"/>
      <c r="W123" s="2852"/>
      <c r="X123" s="2875" t="s">
        <v>4164</v>
      </c>
      <c r="Y123" s="2899"/>
      <c r="Z123" s="2858">
        <v>1.0</v>
      </c>
      <c r="AA123" s="2767">
        <f t="shared" si="9"/>
        <v>20.0</v>
      </c>
    </row>
    <row r="124" spans="8:8" ht="16.05" customHeight="1">
      <c r="B124" s="2775" t="s">
        <v>4165</v>
      </c>
      <c r="C124" s="2776"/>
      <c r="D124" s="2864">
        <v>3.45</v>
      </c>
      <c r="E124" s="2777">
        <f t="shared" si="8"/>
        <v>69.0</v>
      </c>
      <c r="G124" s="2900" t="s">
        <v>4166</v>
      </c>
      <c r="H124" s="2901"/>
      <c r="I124" s="2901"/>
      <c r="J124" s="2901"/>
      <c r="K124" s="2902"/>
      <c r="L124" s="2850"/>
      <c r="M124" s="2765" t="s">
        <v>4167</v>
      </c>
      <c r="N124" s="2859"/>
      <c r="O124" s="2859"/>
      <c r="P124" s="2858">
        <v>1.59</v>
      </c>
      <c r="Q124" s="2767">
        <f t="shared" si="6"/>
        <v>31.8</v>
      </c>
      <c r="R124" s="2857"/>
      <c r="S124" s="2761" t="s">
        <v>1453</v>
      </c>
      <c r="T124" s="2762"/>
      <c r="U124" s="2764" t="s">
        <v>3831</v>
      </c>
      <c r="V124" s="2856" t="s">
        <v>4018</v>
      </c>
      <c r="X124" s="2883" t="s">
        <v>4168</v>
      </c>
      <c r="Y124" s="2903"/>
      <c r="Z124" s="2864">
        <v>1.98</v>
      </c>
      <c r="AA124" s="2777">
        <f t="shared" si="9"/>
        <v>39.6</v>
      </c>
    </row>
    <row r="125" spans="8:8" ht="16.05" customHeight="1">
      <c r="B125" s="2784" t="s">
        <v>4169</v>
      </c>
      <c r="C125" s="2785"/>
      <c r="D125" s="2810">
        <v>0.75</v>
      </c>
      <c r="E125" s="2802">
        <f t="shared" si="10" ref="E125:E136">D125*20</f>
        <v>15.0</v>
      </c>
      <c r="G125" s="2860" t="s">
        <v>4170</v>
      </c>
      <c r="H125" s="2906"/>
      <c r="I125" s="2906"/>
      <c r="J125" s="2858">
        <v>2.48</v>
      </c>
      <c r="K125" s="2767">
        <f>J125*20</f>
        <v>49.6</v>
      </c>
      <c r="L125" s="2850"/>
      <c r="M125" s="2775" t="s">
        <v>4171</v>
      </c>
      <c r="N125" s="2865"/>
      <c r="O125" s="2865"/>
      <c r="P125" s="2864">
        <v>0.29</v>
      </c>
      <c r="Q125" s="2777">
        <f t="shared" si="6"/>
        <v>5.8</v>
      </c>
      <c r="R125" s="2857"/>
      <c r="S125" s="2765" t="s">
        <v>4172</v>
      </c>
      <c r="T125" s="2766"/>
      <c r="U125" s="2858">
        <v>2.5</v>
      </c>
      <c r="V125" s="2767">
        <f t="shared" si="11" ref="V125:V128">U125*20</f>
        <v>50.0</v>
      </c>
      <c r="X125" s="2875" t="s">
        <v>4173</v>
      </c>
      <c r="Y125" s="2899"/>
      <c r="Z125" s="2858">
        <v>0.6</v>
      </c>
      <c r="AA125" s="2767">
        <f t="shared" si="9"/>
        <v>12.0</v>
      </c>
    </row>
    <row r="126" spans="8:8" ht="16.05" customHeight="1">
      <c r="B126" s="2907"/>
      <c r="C126" s="2907"/>
      <c r="D126" s="2907"/>
      <c r="E126" s="2907"/>
      <c r="G126" s="2908" t="s">
        <v>4174</v>
      </c>
      <c r="H126" s="2909"/>
      <c r="I126" s="2909"/>
      <c r="J126" s="2864">
        <v>5.98</v>
      </c>
      <c r="K126" s="2777">
        <f>J126*20</f>
        <v>119.60000000000001</v>
      </c>
      <c r="L126" s="2850"/>
      <c r="M126" s="2765" t="s">
        <v>4175</v>
      </c>
      <c r="N126" s="2859"/>
      <c r="O126" s="2859"/>
      <c r="P126" s="2858">
        <v>1.98</v>
      </c>
      <c r="Q126" s="2767">
        <f t="shared" si="6"/>
        <v>39.6</v>
      </c>
      <c r="R126" s="2857"/>
      <c r="S126" s="2775" t="s">
        <v>4176</v>
      </c>
      <c r="T126" s="2776"/>
      <c r="U126" s="2864">
        <v>0.45</v>
      </c>
      <c r="V126" s="2777">
        <f t="shared" si="11"/>
        <v>9.0</v>
      </c>
      <c r="X126" s="2883" t="s">
        <v>4177</v>
      </c>
      <c r="Y126" s="2903"/>
      <c r="Z126" s="2864">
        <v>1.95</v>
      </c>
      <c r="AA126" s="2777">
        <f t="shared" si="9"/>
        <v>39.0</v>
      </c>
    </row>
    <row r="127" spans="8:8" ht="16.05" customHeight="1">
      <c r="B127" s="2753" t="s">
        <v>3928</v>
      </c>
      <c r="C127" s="2754"/>
      <c r="D127" s="2754"/>
      <c r="E127" s="2755"/>
      <c r="G127" s="2765" t="s">
        <v>4178</v>
      </c>
      <c r="H127" s="2859"/>
      <c r="I127" s="2859"/>
      <c r="J127" s="2858">
        <v>11.43</v>
      </c>
      <c r="K127" s="2767">
        <f>J127*20</f>
        <v>228.6</v>
      </c>
      <c r="L127" s="2850"/>
      <c r="M127" s="2804" t="s">
        <v>4179</v>
      </c>
      <c r="N127" s="2805"/>
      <c r="O127" s="2805"/>
      <c r="P127" s="2874">
        <v>0.98</v>
      </c>
      <c r="Q127" s="2816">
        <f t="shared" si="6"/>
        <v>19.6</v>
      </c>
      <c r="R127" s="2857"/>
      <c r="S127" s="2765" t="s">
        <v>4180</v>
      </c>
      <c r="T127" s="2766"/>
      <c r="U127" s="2858">
        <v>0.65</v>
      </c>
      <c r="V127" s="2767">
        <f t="shared" si="11"/>
        <v>13.0</v>
      </c>
      <c r="X127" s="2910" t="s">
        <v>4181</v>
      </c>
      <c r="Y127" s="2911"/>
      <c r="Z127" s="2810">
        <v>1.75</v>
      </c>
      <c r="AA127" s="2802">
        <f t="shared" si="9"/>
        <v>35.0</v>
      </c>
    </row>
    <row r="128" spans="8:8" ht="16.05" customHeight="1">
      <c r="B128" s="2761" t="s">
        <v>1453</v>
      </c>
      <c r="C128" s="2762"/>
      <c r="D128" s="2855" t="s">
        <v>3831</v>
      </c>
      <c r="E128" s="2763" t="s">
        <v>4018</v>
      </c>
      <c r="G128" s="2900" t="s">
        <v>4182</v>
      </c>
      <c r="H128" s="2901"/>
      <c r="I128" s="2901"/>
      <c r="J128" s="2901"/>
      <c r="K128" s="2902"/>
      <c r="L128" s="2850"/>
      <c r="R128" s="2857"/>
      <c r="S128" s="2804" t="s">
        <v>4183</v>
      </c>
      <c r="T128" s="2805"/>
      <c r="U128" s="2874">
        <v>1.25</v>
      </c>
      <c r="V128" s="2816">
        <f t="shared" si="11"/>
        <v>25.0</v>
      </c>
    </row>
    <row r="129" spans="8:8" ht="16.05" customHeight="1">
      <c r="B129" s="2765" t="s">
        <v>4184</v>
      </c>
      <c r="C129" s="2766"/>
      <c r="D129" s="2858" t="s">
        <v>3962</v>
      </c>
      <c r="E129" s="2767" t="s">
        <v>4185</v>
      </c>
      <c r="G129" s="2775" t="s">
        <v>4186</v>
      </c>
      <c r="H129" s="2865"/>
      <c r="I129" s="2865"/>
      <c r="J129" s="2864">
        <v>35.2</v>
      </c>
      <c r="K129" s="2777">
        <f>J129*20</f>
        <v>704.0</v>
      </c>
      <c r="L129" s="2857"/>
      <c r="M129" s="2753" t="s">
        <v>4187</v>
      </c>
      <c r="N129" s="2754"/>
      <c r="O129" s="2754"/>
      <c r="P129" s="2754"/>
      <c r="Q129" s="2755"/>
      <c r="R129" s="2857"/>
      <c r="X129" s="2753" t="s">
        <v>4188</v>
      </c>
      <c r="Y129" s="2754"/>
      <c r="Z129" s="2754"/>
      <c r="AA129" s="2755"/>
    </row>
    <row r="130" spans="8:8" ht="16.05" customHeight="1">
      <c r="B130" s="2775" t="s">
        <v>4189</v>
      </c>
      <c r="C130" s="2776"/>
      <c r="D130" s="2864">
        <v>13.95</v>
      </c>
      <c r="E130" s="2777">
        <f t="shared" si="10"/>
        <v>279.0</v>
      </c>
      <c r="G130" s="2765" t="s">
        <v>4190</v>
      </c>
      <c r="H130" s="2859"/>
      <c r="I130" s="2859"/>
      <c r="J130" s="2858">
        <v>79.95</v>
      </c>
      <c r="K130" s="2767">
        <f>J130*20</f>
        <v>1599.0</v>
      </c>
      <c r="L130" s="2850"/>
      <c r="M130" s="2761" t="s">
        <v>1453</v>
      </c>
      <c r="N130" s="2762"/>
      <c r="O130" s="2762"/>
      <c r="P130" s="2764" t="s">
        <v>3831</v>
      </c>
      <c r="Q130" s="2912" t="s">
        <v>4018</v>
      </c>
      <c r="R130" s="2857"/>
      <c r="S130" s="2753" t="s">
        <v>3906</v>
      </c>
      <c r="T130" s="2754"/>
      <c r="U130" s="2754"/>
      <c r="V130" s="2755"/>
      <c r="X130" s="2761" t="s">
        <v>1453</v>
      </c>
      <c r="Y130" s="2854"/>
      <c r="Z130" s="2854"/>
      <c r="AA130" s="2763" t="s">
        <v>3831</v>
      </c>
    </row>
    <row r="131" spans="8:8" ht="16.05" customHeight="1">
      <c r="B131" s="2765" t="s">
        <v>4191</v>
      </c>
      <c r="C131" s="2766"/>
      <c r="D131" s="2858">
        <v>10.95</v>
      </c>
      <c r="E131" s="2767">
        <f t="shared" si="10"/>
        <v>219.0</v>
      </c>
      <c r="G131" s="2804" t="s">
        <v>4192</v>
      </c>
      <c r="H131" s="2805"/>
      <c r="I131" s="2805"/>
      <c r="J131" s="2874">
        <v>75.0</v>
      </c>
      <c r="K131" s="2816">
        <f>J131*20</f>
        <v>1500.0</v>
      </c>
      <c r="L131" s="2850"/>
      <c r="M131" s="2765" t="s">
        <v>4193</v>
      </c>
      <c r="N131" s="2766"/>
      <c r="O131" s="2766"/>
      <c r="P131" s="2858">
        <v>4.98</v>
      </c>
      <c r="Q131" s="2767">
        <f>P131*20</f>
        <v>99.60000000000001</v>
      </c>
      <c r="R131" s="2857"/>
      <c r="S131" s="2761" t="s">
        <v>1453</v>
      </c>
      <c r="T131" s="2762"/>
      <c r="U131" s="2764" t="s">
        <v>3831</v>
      </c>
      <c r="V131" s="2856" t="s">
        <v>4018</v>
      </c>
      <c r="X131" s="2875" t="s">
        <v>4194</v>
      </c>
      <c r="Y131" s="2821"/>
      <c r="Z131" s="2821"/>
      <c r="AA131" s="2767" t="s">
        <v>4195</v>
      </c>
    </row>
    <row r="132" spans="8:8" ht="16.05" customHeight="1">
      <c r="B132" s="2775" t="s">
        <v>4196</v>
      </c>
      <c r="C132" s="2776"/>
      <c r="D132" s="2864">
        <v>10.95</v>
      </c>
      <c r="E132" s="2777">
        <f t="shared" si="10"/>
        <v>219.0</v>
      </c>
      <c r="M132" s="2881" t="s">
        <v>4197</v>
      </c>
      <c r="N132" s="2882"/>
      <c r="O132" s="2882"/>
      <c r="P132" s="2864">
        <v>9.98</v>
      </c>
      <c r="Q132" s="2777">
        <f>P132*20</f>
        <v>199.60000000000002</v>
      </c>
      <c r="S132" s="2860" t="s">
        <v>4198</v>
      </c>
      <c r="T132" s="2861"/>
      <c r="U132" s="2858">
        <v>14.9</v>
      </c>
      <c r="V132" s="2767">
        <f t="shared" si="12" ref="V132:V148">U132*20</f>
        <v>298.0</v>
      </c>
      <c r="X132" s="2883" t="s">
        <v>4199</v>
      </c>
      <c r="Y132" s="2884"/>
      <c r="Z132" s="2884"/>
      <c r="AA132" s="2777" t="s">
        <v>4200</v>
      </c>
    </row>
    <row r="133" spans="8:8" ht="16.05" customHeight="1">
      <c r="B133" s="2765" t="s">
        <v>4201</v>
      </c>
      <c r="C133" s="2766"/>
      <c r="D133" s="2858">
        <v>2.59</v>
      </c>
      <c r="E133" s="2767">
        <f t="shared" si="10"/>
        <v>51.8</v>
      </c>
      <c r="G133" s="2749" t="s">
        <v>4202</v>
      </c>
      <c r="H133" s="2750"/>
      <c r="I133" s="2750"/>
      <c r="J133" s="2750"/>
      <c r="K133" s="2751"/>
      <c r="M133" s="2860" t="s">
        <v>4203</v>
      </c>
      <c r="N133" s="2861"/>
      <c r="O133" s="2861"/>
      <c r="P133" s="2858">
        <v>22.95</v>
      </c>
      <c r="Q133" s="2767">
        <f>P133*20</f>
        <v>459.0</v>
      </c>
      <c r="S133" s="2908" t="s">
        <v>4204</v>
      </c>
      <c r="T133" s="2913"/>
      <c r="U133" s="2864">
        <v>6.15</v>
      </c>
      <c r="V133" s="2777">
        <f t="shared" si="12"/>
        <v>123.0</v>
      </c>
      <c r="X133" s="2875" t="s">
        <v>4205</v>
      </c>
      <c r="Y133" s="2821"/>
      <c r="Z133" s="2821"/>
      <c r="AA133" s="2767">
        <v>25.0</v>
      </c>
    </row>
    <row r="134" spans="8:8" ht="16.05" customHeight="1">
      <c r="B134" s="2775" t="s">
        <v>4206</v>
      </c>
      <c r="C134" s="2776"/>
      <c r="D134" s="2864">
        <v>10.95</v>
      </c>
      <c r="E134" s="2777">
        <f t="shared" si="10"/>
        <v>219.0</v>
      </c>
      <c r="G134" s="2758" t="s">
        <v>4207</v>
      </c>
      <c r="H134" s="2759"/>
      <c r="I134" s="2759"/>
      <c r="J134" s="2759"/>
      <c r="K134" s="2760" t="s">
        <v>3831</v>
      </c>
      <c r="M134" s="2775" t="s">
        <v>4208</v>
      </c>
      <c r="N134" s="2776"/>
      <c r="O134" s="2776"/>
      <c r="P134" s="2864">
        <v>0.79</v>
      </c>
      <c r="Q134" s="2777">
        <f>P134*20</f>
        <v>15.8</v>
      </c>
      <c r="S134" s="2765" t="s">
        <v>4209</v>
      </c>
      <c r="T134" s="2766"/>
      <c r="U134" s="2858">
        <v>1.75</v>
      </c>
      <c r="V134" s="2767">
        <f t="shared" si="12"/>
        <v>35.0</v>
      </c>
      <c r="X134" s="2883" t="s">
        <v>4210</v>
      </c>
      <c r="Y134" s="2884"/>
      <c r="Z134" s="2884"/>
      <c r="AA134" s="2914" t="s">
        <v>4211</v>
      </c>
    </row>
    <row r="135" spans="8:8" ht="16.05" customHeight="1">
      <c r="B135" s="2765" t="s">
        <v>4212</v>
      </c>
      <c r="C135" s="2766"/>
      <c r="D135" s="2858">
        <v>7.95</v>
      </c>
      <c r="E135" s="2767">
        <f t="shared" si="10"/>
        <v>159.0</v>
      </c>
      <c r="G135" s="2768" t="s">
        <v>4213</v>
      </c>
      <c r="H135" s="2769"/>
      <c r="I135" s="2769"/>
      <c r="J135" s="2769"/>
      <c r="K135" s="2767">
        <v>2.0</v>
      </c>
      <c r="M135" s="2765" t="s">
        <v>4214</v>
      </c>
      <c r="N135" s="2766"/>
      <c r="O135" s="2766"/>
      <c r="P135" s="2858">
        <v>2.19</v>
      </c>
      <c r="Q135" s="2767">
        <v>43.8</v>
      </c>
      <c r="S135" s="2775" t="s">
        <v>4215</v>
      </c>
      <c r="T135" s="2776"/>
      <c r="U135" s="2864">
        <v>0.95</v>
      </c>
      <c r="V135" s="2777">
        <f t="shared" si="12"/>
        <v>19.0</v>
      </c>
      <c r="X135" s="2875" t="s">
        <v>4216</v>
      </c>
      <c r="Y135" s="2821"/>
      <c r="Z135" s="2821"/>
      <c r="AA135" s="2767">
        <v>45.0</v>
      </c>
    </row>
    <row r="136" spans="8:8" ht="16.05" customHeight="1">
      <c r="B136" s="2775" t="s">
        <v>4217</v>
      </c>
      <c r="C136" s="2776"/>
      <c r="D136" s="2864">
        <v>1.98</v>
      </c>
      <c r="E136" s="2777">
        <f t="shared" si="10"/>
        <v>39.6</v>
      </c>
      <c r="G136" s="2778" t="s">
        <v>4218</v>
      </c>
      <c r="H136" s="2779"/>
      <c r="I136" s="2779"/>
      <c r="J136" s="2779"/>
      <c r="K136" s="2777">
        <v>18.0</v>
      </c>
      <c r="M136" s="2775" t="s">
        <v>4219</v>
      </c>
      <c r="N136" s="2776"/>
      <c r="O136" s="2776"/>
      <c r="P136" s="2864">
        <v>0.89</v>
      </c>
      <c r="Q136" s="2777">
        <v>17.8</v>
      </c>
      <c r="S136" s="2765" t="s">
        <v>4220</v>
      </c>
      <c r="T136" s="2766"/>
      <c r="U136" s="2858">
        <v>8.6</v>
      </c>
      <c r="V136" s="2767">
        <f t="shared" si="12"/>
        <v>172.0</v>
      </c>
      <c r="X136" s="2883" t="s">
        <v>4221</v>
      </c>
      <c r="Y136" s="2884"/>
      <c r="Z136" s="2884"/>
      <c r="AA136" s="2777" t="s">
        <v>4222</v>
      </c>
    </row>
    <row r="137" spans="8:8" ht="16.05" customHeight="1">
      <c r="B137" s="2765" t="s">
        <v>4223</v>
      </c>
      <c r="C137" s="2766"/>
      <c r="D137" s="2858">
        <v>9.48</v>
      </c>
      <c r="E137" s="2767">
        <f t="shared" si="13" ref="E137:E144">D137*20</f>
        <v>189.60000000000002</v>
      </c>
      <c r="G137" s="2768" t="s">
        <v>4224</v>
      </c>
      <c r="H137" s="2769"/>
      <c r="I137" s="2769"/>
      <c r="J137" s="2769"/>
      <c r="K137" s="2767">
        <v>300.0</v>
      </c>
      <c r="M137" s="2765" t="s">
        <v>4225</v>
      </c>
      <c r="N137" s="2766"/>
      <c r="O137" s="2766"/>
      <c r="P137" s="2858">
        <v>0.25</v>
      </c>
      <c r="Q137" s="2767">
        <v>5.0</v>
      </c>
      <c r="S137" s="2775" t="s">
        <v>4226</v>
      </c>
      <c r="T137" s="2776"/>
      <c r="U137" s="2864">
        <v>0.1</v>
      </c>
      <c r="V137" s="2777">
        <f t="shared" si="12"/>
        <v>2.0</v>
      </c>
      <c r="X137" s="2915" t="s">
        <v>4227</v>
      </c>
      <c r="Y137" s="2916"/>
      <c r="Z137" s="2916"/>
      <c r="AA137" s="2767">
        <v>2.0</v>
      </c>
    </row>
    <row r="138" spans="8:8" ht="16.05" customHeight="1">
      <c r="B138" s="2775" t="s">
        <v>4228</v>
      </c>
      <c r="C138" s="2776"/>
      <c r="D138" s="2864">
        <v>0.88</v>
      </c>
      <c r="E138" s="2777">
        <f t="shared" si="13"/>
        <v>17.6</v>
      </c>
      <c r="G138" s="2778" t="s">
        <v>4229</v>
      </c>
      <c r="H138" s="2779"/>
      <c r="I138" s="2779"/>
      <c r="J138" s="2779"/>
      <c r="K138" s="2777">
        <v>3000.0</v>
      </c>
      <c r="M138" s="2775" t="s">
        <v>4230</v>
      </c>
      <c r="N138" s="2776"/>
      <c r="O138" s="2776"/>
      <c r="P138" s="2864">
        <v>0.79</v>
      </c>
      <c r="Q138" s="2777">
        <v>15.8</v>
      </c>
      <c r="S138" s="2765" t="s">
        <v>4231</v>
      </c>
      <c r="T138" s="2766"/>
      <c r="U138" s="2858">
        <v>7.74</v>
      </c>
      <c r="V138" s="2767">
        <f t="shared" si="12"/>
        <v>154.8</v>
      </c>
      <c r="X138" s="2917" t="s">
        <v>4232</v>
      </c>
      <c r="Y138" s="2918"/>
      <c r="Z138" s="2918"/>
      <c r="AA138" s="2777">
        <v>2.0</v>
      </c>
    </row>
    <row r="139" spans="8:8" ht="16.05" customHeight="1">
      <c r="B139" s="2765" t="s">
        <v>4233</v>
      </c>
      <c r="C139" s="2766"/>
      <c r="D139" s="2858">
        <v>4.45</v>
      </c>
      <c r="E139" s="2767">
        <f t="shared" si="13"/>
        <v>89.0</v>
      </c>
      <c r="G139" s="2761" t="s">
        <v>4234</v>
      </c>
      <c r="H139" s="2762"/>
      <c r="I139" s="2762"/>
      <c r="J139" s="2762"/>
      <c r="K139" s="2763" t="s">
        <v>3831</v>
      </c>
      <c r="M139" s="2765" t="s">
        <v>4235</v>
      </c>
      <c r="N139" s="2766"/>
      <c r="O139" s="2766"/>
      <c r="P139" s="2858">
        <v>0.5</v>
      </c>
      <c r="Q139" s="2767">
        <v>10.0</v>
      </c>
      <c r="S139" s="2775" t="s">
        <v>4236</v>
      </c>
      <c r="T139" s="2776"/>
      <c r="U139" s="2864">
        <v>2.25</v>
      </c>
      <c r="V139" s="2777">
        <f t="shared" si="12"/>
        <v>45.0</v>
      </c>
      <c r="X139" s="2917" t="s">
        <v>4237</v>
      </c>
      <c r="Y139" s="2918"/>
      <c r="Z139" s="2918"/>
      <c r="AA139" s="2919" t="s">
        <v>4238</v>
      </c>
    </row>
    <row r="140" spans="8:8" ht="16.05" customHeight="1">
      <c r="B140" s="2775" t="s">
        <v>4239</v>
      </c>
      <c r="C140" s="2776"/>
      <c r="D140" s="2864">
        <v>0.98</v>
      </c>
      <c r="E140" s="2777">
        <f t="shared" si="13"/>
        <v>19.6</v>
      </c>
      <c r="G140" s="2768" t="s">
        <v>3852</v>
      </c>
      <c r="H140" s="2769"/>
      <c r="I140" s="2769"/>
      <c r="J140" s="2769"/>
      <c r="K140" s="2767">
        <v>2.0</v>
      </c>
      <c r="M140" s="2775" t="s">
        <v>4240</v>
      </c>
      <c r="N140" s="2776"/>
      <c r="O140" s="2776"/>
      <c r="P140" s="2864">
        <v>1.39</v>
      </c>
      <c r="Q140" s="2777">
        <v>27.8</v>
      </c>
      <c r="S140" s="2765" t="s">
        <v>4241</v>
      </c>
      <c r="T140" s="2766"/>
      <c r="U140" s="2858">
        <v>1.65</v>
      </c>
      <c r="V140" s="2767">
        <f t="shared" si="12"/>
        <v>33.0</v>
      </c>
      <c r="X140" s="2920" t="s">
        <v>4242</v>
      </c>
      <c r="Y140" s="2921"/>
      <c r="Z140" s="2921"/>
      <c r="AA140" s="2777">
        <v>10.0</v>
      </c>
    </row>
    <row r="141" spans="8:8" ht="16.05" customHeight="1">
      <c r="B141" s="2765" t="s">
        <v>4243</v>
      </c>
      <c r="C141" s="2766"/>
      <c r="D141" s="2858">
        <v>4.44</v>
      </c>
      <c r="E141" s="2767">
        <f t="shared" si="13"/>
        <v>88.80000000000001</v>
      </c>
      <c r="G141" s="2778" t="s">
        <v>3857</v>
      </c>
      <c r="H141" s="2779"/>
      <c r="I141" s="2779"/>
      <c r="J141" s="2779"/>
      <c r="K141" s="2777">
        <v>3.0</v>
      </c>
      <c r="M141" s="2765" t="s">
        <v>4244</v>
      </c>
      <c r="N141" s="2766"/>
      <c r="O141" s="2766"/>
      <c r="P141" s="2858">
        <v>0.19</v>
      </c>
      <c r="Q141" s="2767">
        <v>3.8</v>
      </c>
      <c r="S141" s="2775" t="s">
        <v>4245</v>
      </c>
      <c r="T141" s="2776"/>
      <c r="U141" s="2864">
        <v>4.45</v>
      </c>
      <c r="V141" s="2777">
        <f t="shared" si="12"/>
        <v>89.0</v>
      </c>
      <c r="X141" s="2922" t="s">
        <v>4246</v>
      </c>
      <c r="Y141" s="2923"/>
      <c r="Z141" s="2923"/>
      <c r="AA141" s="2924"/>
    </row>
    <row r="142" spans="8:8" ht="16.05" customHeight="1">
      <c r="B142" s="2775" t="s">
        <v>4247</v>
      </c>
      <c r="C142" s="2776"/>
      <c r="D142" s="2864">
        <v>3.69</v>
      </c>
      <c r="E142" s="2777">
        <f t="shared" si="13"/>
        <v>73.8</v>
      </c>
      <c r="G142" s="2768" t="s">
        <v>3862</v>
      </c>
      <c r="H142" s="2769"/>
      <c r="I142" s="2769"/>
      <c r="J142" s="2769"/>
      <c r="K142" s="2767">
        <v>6.0</v>
      </c>
      <c r="M142" s="2804" t="s">
        <v>4248</v>
      </c>
      <c r="N142" s="2805"/>
      <c r="O142" s="2805"/>
      <c r="P142" s="2874">
        <v>0.39</v>
      </c>
      <c r="Q142" s="2816">
        <v>7.8</v>
      </c>
      <c r="S142" s="2765" t="s">
        <v>4249</v>
      </c>
      <c r="T142" s="2766"/>
      <c r="U142" s="2858">
        <v>1.98</v>
      </c>
      <c r="V142" s="2767">
        <f t="shared" si="12"/>
        <v>39.6</v>
      </c>
      <c r="X142" s="2922"/>
      <c r="Y142" s="2923"/>
      <c r="Z142" s="2923"/>
      <c r="AA142" s="2924"/>
    </row>
    <row r="143" spans="8:8" ht="16.05" customHeight="1">
      <c r="B143" s="2812" t="s">
        <v>4250</v>
      </c>
      <c r="C143" s="2813"/>
      <c r="D143" s="2858">
        <v>2.59</v>
      </c>
      <c r="E143" s="2767">
        <f t="shared" si="13"/>
        <v>51.8</v>
      </c>
      <c r="G143" s="2798" t="s">
        <v>4251</v>
      </c>
      <c r="H143" s="2799"/>
      <c r="I143" s="2799"/>
      <c r="J143" s="2799"/>
      <c r="K143" s="2763" t="s">
        <v>3831</v>
      </c>
      <c r="S143" s="2876" t="s">
        <v>4252</v>
      </c>
      <c r="T143" s="2877"/>
      <c r="U143" s="2864">
        <v>3.33</v>
      </c>
      <c r="V143" s="2777">
        <f t="shared" si="12"/>
        <v>66.6</v>
      </c>
      <c r="X143" s="2922"/>
      <c r="Y143" s="2923"/>
      <c r="Z143" s="2923"/>
      <c r="AA143" s="2924"/>
    </row>
    <row r="144" spans="8:8" ht="16.05" customHeight="1">
      <c r="B144" s="2775" t="s">
        <v>4253</v>
      </c>
      <c r="C144" s="2776"/>
      <c r="D144" s="2864">
        <v>1.59</v>
      </c>
      <c r="E144" s="2777">
        <f t="shared" si="13"/>
        <v>31.8</v>
      </c>
      <c r="G144" s="2768" t="s">
        <v>4254</v>
      </c>
      <c r="H144" s="2769"/>
      <c r="I144" s="2769"/>
      <c r="J144" s="2769"/>
      <c r="K144" s="2767">
        <v>120.0</v>
      </c>
      <c r="M144" s="2753" t="s">
        <v>192</v>
      </c>
      <c r="N144" s="2754"/>
      <c r="O144" s="2754"/>
      <c r="P144" s="2754"/>
      <c r="Q144" s="2755"/>
      <c r="S144" s="2765" t="s">
        <v>4255</v>
      </c>
      <c r="T144" s="2766"/>
      <c r="U144" s="2858">
        <v>2.52</v>
      </c>
      <c r="V144" s="2767">
        <f t="shared" si="12"/>
        <v>50.4</v>
      </c>
      <c r="X144" s="2922"/>
      <c r="Y144" s="2923"/>
      <c r="Z144" s="2923"/>
      <c r="AA144" s="2924"/>
    </row>
    <row r="145" spans="8:8" ht="16.05" customHeight="1">
      <c r="B145" s="2765" t="s">
        <v>4256</v>
      </c>
      <c r="C145" s="2766"/>
      <c r="D145" s="2858">
        <v>2.25</v>
      </c>
      <c r="E145" s="2767">
        <f t="shared" si="14" ref="E145:E153">D145*20</f>
        <v>45.0</v>
      </c>
      <c r="G145" s="2778" t="s">
        <v>4257</v>
      </c>
      <c r="H145" s="2779"/>
      <c r="I145" s="2779"/>
      <c r="J145" s="2779"/>
      <c r="K145" s="2777">
        <v>200.0</v>
      </c>
      <c r="M145" s="2761" t="s">
        <v>1453</v>
      </c>
      <c r="N145" s="2854"/>
      <c r="O145" s="2854"/>
      <c r="P145" s="2855" t="s">
        <v>3831</v>
      </c>
      <c r="Q145" s="2856" t="s">
        <v>4018</v>
      </c>
      <c r="S145" s="2908" t="s">
        <v>4258</v>
      </c>
      <c r="T145" s="2913"/>
      <c r="U145" s="2864">
        <v>15.98</v>
      </c>
      <c r="V145" s="2777">
        <f t="shared" si="12"/>
        <v>319.6</v>
      </c>
      <c r="X145" s="2922"/>
      <c r="Y145" s="2923"/>
      <c r="Z145" s="2923"/>
      <c r="AA145" s="2924"/>
    </row>
    <row r="146" spans="8:8" ht="16.05" customHeight="1">
      <c r="B146" s="2775" t="s">
        <v>4259</v>
      </c>
      <c r="C146" s="2776"/>
      <c r="D146" s="2864" t="s">
        <v>4260</v>
      </c>
      <c r="E146" s="2905" t="s">
        <v>4261</v>
      </c>
      <c r="G146" s="2768" t="s">
        <v>4262</v>
      </c>
      <c r="H146" s="2769"/>
      <c r="I146" s="2769"/>
      <c r="J146" s="2769"/>
      <c r="K146" s="2767">
        <v>35.0</v>
      </c>
      <c r="M146" s="2860" t="s">
        <v>4263</v>
      </c>
      <c r="N146" s="2906"/>
      <c r="O146" s="2906"/>
      <c r="P146" s="2858">
        <v>95.0</v>
      </c>
      <c r="Q146" s="2767">
        <f t="shared" si="15" ref="Q146:Q188">P146*20</f>
        <v>1900.0</v>
      </c>
      <c r="S146" s="2765" t="s">
        <v>4264</v>
      </c>
      <c r="T146" s="2766"/>
      <c r="U146" s="2858">
        <v>6.9</v>
      </c>
      <c r="V146" s="2767">
        <f t="shared" si="12"/>
        <v>138.0</v>
      </c>
      <c r="X146" s="2925"/>
      <c r="Y146" s="2926"/>
      <c r="Z146" s="2926"/>
      <c r="AA146" s="2927"/>
    </row>
    <row r="147" spans="8:8" ht="16.05" customHeight="1">
      <c r="B147" s="2765" t="s">
        <v>4265</v>
      </c>
      <c r="C147" s="2766"/>
      <c r="D147" s="2858">
        <v>3.95</v>
      </c>
      <c r="E147" s="2767">
        <f t="shared" si="14"/>
        <v>79.0</v>
      </c>
      <c r="G147" s="2798" t="s">
        <v>4266</v>
      </c>
      <c r="H147" s="2799"/>
      <c r="I147" s="2799"/>
      <c r="J147" s="2855" t="s">
        <v>3831</v>
      </c>
      <c r="K147" s="2856" t="s">
        <v>4018</v>
      </c>
      <c r="M147" s="2881" t="s">
        <v>4267</v>
      </c>
      <c r="N147" s="2888"/>
      <c r="O147" s="2888"/>
      <c r="P147" s="2864">
        <v>1020.0</v>
      </c>
      <c r="Q147" s="2777">
        <f t="shared" si="15"/>
        <v>20400.0</v>
      </c>
      <c r="S147" s="2775" t="s">
        <v>4268</v>
      </c>
      <c r="T147" s="2776"/>
      <c r="U147" s="2864">
        <v>0.95</v>
      </c>
      <c r="V147" s="2777">
        <f t="shared" si="12"/>
        <v>19.0</v>
      </c>
      <c r="X147" s="2928"/>
      <c r="Y147" s="2928"/>
      <c r="Z147" s="2928"/>
      <c r="AA147" s="2928"/>
    </row>
    <row r="148" spans="8:8" ht="16.05" customHeight="1">
      <c r="B148" s="2814" t="s">
        <v>4269</v>
      </c>
      <c r="C148" s="2815"/>
      <c r="D148" s="2864">
        <v>39.75</v>
      </c>
      <c r="E148" s="2777">
        <f t="shared" si="14"/>
        <v>795.0</v>
      </c>
      <c r="G148" s="2778" t="s">
        <v>4270</v>
      </c>
      <c r="H148" s="2779"/>
      <c r="I148" s="2779"/>
      <c r="J148" s="2864" t="s">
        <v>4185</v>
      </c>
      <c r="K148" s="2777" t="s">
        <v>4271</v>
      </c>
      <c r="M148" s="2860" t="s">
        <v>4272</v>
      </c>
      <c r="N148" s="2906"/>
      <c r="O148" s="2906"/>
      <c r="P148" s="2858">
        <v>2240.0</v>
      </c>
      <c r="Q148" s="2767">
        <f t="shared" si="15"/>
        <v>44800.0</v>
      </c>
      <c r="S148" s="2784" t="s">
        <v>4273</v>
      </c>
      <c r="T148" s="2785"/>
      <c r="U148" s="2810">
        <v>14.9</v>
      </c>
      <c r="V148" s="2802">
        <f t="shared" si="12"/>
        <v>298.0</v>
      </c>
      <c r="X148" s="2929"/>
      <c r="Y148" s="2929"/>
      <c r="Z148" s="2929"/>
      <c r="AA148" s="2929"/>
    </row>
    <row r="149" spans="8:8" ht="16.05" customHeight="1">
      <c r="B149" s="2765" t="s">
        <v>4274</v>
      </c>
      <c r="C149" s="2766"/>
      <c r="D149" s="2858">
        <v>198.0</v>
      </c>
      <c r="E149" s="2767">
        <f t="shared" si="14"/>
        <v>3960.0</v>
      </c>
      <c r="G149" s="2768" t="s">
        <v>4275</v>
      </c>
      <c r="H149" s="2769"/>
      <c r="I149" s="2769"/>
      <c r="J149" s="2858">
        <v>0.1</v>
      </c>
      <c r="K149" s="2767">
        <f t="shared" si="16" ref="K149:K150">J149*20</f>
        <v>2.0</v>
      </c>
      <c r="M149" s="2881" t="s">
        <v>4276</v>
      </c>
      <c r="N149" s="2888"/>
      <c r="O149" s="2888"/>
      <c r="P149" s="2864">
        <v>695.0</v>
      </c>
      <c r="Q149" s="2777">
        <f t="shared" si="15"/>
        <v>13900.0</v>
      </c>
    </row>
    <row r="150" spans="8:8" ht="16.05" customHeight="1">
      <c r="B150" s="2775" t="s">
        <v>4277</v>
      </c>
      <c r="C150" s="2776"/>
      <c r="D150" s="2864">
        <v>3.98</v>
      </c>
      <c r="E150" s="2777">
        <f t="shared" si="14"/>
        <v>79.6</v>
      </c>
      <c r="G150" s="2930" t="s">
        <v>4278</v>
      </c>
      <c r="H150" s="2931"/>
      <c r="I150" s="2931"/>
      <c r="J150" s="2874">
        <v>0.05</v>
      </c>
      <c r="K150" s="2816">
        <f t="shared" si="16"/>
        <v>1.0</v>
      </c>
      <c r="M150" s="2860" t="s">
        <v>4279</v>
      </c>
      <c r="N150" s="2906"/>
      <c r="O150" s="2906"/>
      <c r="P150" s="2858">
        <v>1045.0</v>
      </c>
      <c r="Q150" s="2767">
        <f t="shared" si="15"/>
        <v>20900.0</v>
      </c>
      <c r="R150" s="117"/>
      <c r="S150" s="2753" t="s">
        <v>4280</v>
      </c>
      <c r="T150" s="2754"/>
      <c r="U150" s="2754"/>
      <c r="V150" s="2755"/>
    </row>
    <row r="151" spans="8:8" ht="16.05" customHeight="1">
      <c r="B151" s="2765" t="s">
        <v>4281</v>
      </c>
      <c r="C151" s="2766"/>
      <c r="D151" s="2858">
        <v>8.98</v>
      </c>
      <c r="E151" s="2767">
        <f t="shared" si="14"/>
        <v>179.60000000000002</v>
      </c>
      <c r="M151" s="2881" t="s">
        <v>4282</v>
      </c>
      <c r="N151" s="2888"/>
      <c r="O151" s="2888"/>
      <c r="P151" s="2864">
        <v>985.0</v>
      </c>
      <c r="Q151" s="2777">
        <f t="shared" si="15"/>
        <v>19700.0</v>
      </c>
      <c r="R151" s="117"/>
      <c r="S151" s="2761" t="s">
        <v>1453</v>
      </c>
      <c r="T151" s="2762"/>
      <c r="U151" s="2764" t="s">
        <v>3831</v>
      </c>
      <c r="V151" s="2856" t="s">
        <v>4018</v>
      </c>
    </row>
    <row r="152" spans="8:8" ht="16.05" customHeight="1">
      <c r="B152" s="2775" t="s">
        <v>4283</v>
      </c>
      <c r="C152" s="2776"/>
      <c r="D152" s="2864">
        <v>4.98</v>
      </c>
      <c r="E152" s="2777">
        <f t="shared" si="14"/>
        <v>99.60000000000001</v>
      </c>
      <c r="G152" s="2753" t="s">
        <v>4284</v>
      </c>
      <c r="H152" s="2754"/>
      <c r="I152" s="2754"/>
      <c r="J152" s="2754"/>
      <c r="K152" s="2755"/>
      <c r="M152" s="2860" t="s">
        <v>4285</v>
      </c>
      <c r="N152" s="2906"/>
      <c r="O152" s="2906"/>
      <c r="P152" s="2858">
        <v>20000.0</v>
      </c>
      <c r="Q152" s="2767">
        <f t="shared" si="15"/>
        <v>400000.0</v>
      </c>
      <c r="S152" s="2765" t="s">
        <v>4286</v>
      </c>
      <c r="T152" s="2766"/>
      <c r="U152" s="2858">
        <v>3.35</v>
      </c>
      <c r="V152" s="2767">
        <f t="shared" si="17" ref="V152:V155">U152*20</f>
        <v>67.0</v>
      </c>
    </row>
    <row r="153" spans="8:8" ht="16.05" customHeight="1">
      <c r="B153" s="2784" t="s">
        <v>4287</v>
      </c>
      <c r="C153" s="2785"/>
      <c r="D153" s="2810">
        <v>0.98</v>
      </c>
      <c r="E153" s="2802">
        <f t="shared" si="14"/>
        <v>19.6</v>
      </c>
      <c r="G153" s="2761" t="s">
        <v>1453</v>
      </c>
      <c r="H153" s="2762"/>
      <c r="I153" s="2762"/>
      <c r="J153" s="2764" t="s">
        <v>3831</v>
      </c>
      <c r="K153" s="2856" t="s">
        <v>4018</v>
      </c>
      <c r="M153" s="2881" t="s">
        <v>4288</v>
      </c>
      <c r="N153" s="2888"/>
      <c r="O153" s="2888"/>
      <c r="P153" s="2864">
        <v>360.0</v>
      </c>
      <c r="Q153" s="2777">
        <f t="shared" si="15"/>
        <v>7200.0</v>
      </c>
      <c r="S153" s="2775" t="s">
        <v>4289</v>
      </c>
      <c r="T153" s="2776"/>
      <c r="U153" s="2864">
        <v>0.28</v>
      </c>
      <c r="V153" s="2777">
        <f t="shared" si="18" ref="V153:V185">U153*20</f>
        <v>5.6000000000000005</v>
      </c>
    </row>
    <row r="154" spans="8:8" ht="16.05" customHeight="1">
      <c r="G154" s="2814" t="s">
        <v>4290</v>
      </c>
      <c r="H154" s="2815"/>
      <c r="I154" s="2815"/>
      <c r="J154" s="2864" t="s">
        <v>3983</v>
      </c>
      <c r="K154" s="2777" t="s">
        <v>4291</v>
      </c>
      <c r="M154" s="2860" t="s">
        <v>4292</v>
      </c>
      <c r="N154" s="2906"/>
      <c r="O154" s="2906"/>
      <c r="P154" s="2858">
        <v>450.0</v>
      </c>
      <c r="Q154" s="2767">
        <f t="shared" si="15"/>
        <v>9000.0</v>
      </c>
      <c r="S154" s="2765" t="s">
        <v>4293</v>
      </c>
      <c r="T154" s="2766"/>
      <c r="U154" s="2858">
        <v>0.3</v>
      </c>
      <c r="V154" s="2767">
        <f t="shared" si="17"/>
        <v>6.0</v>
      </c>
    </row>
    <row r="155" spans="8:8" ht="16.05" customHeight="1">
      <c r="B155" s="2753" t="s">
        <v>4294</v>
      </c>
      <c r="C155" s="2754"/>
      <c r="D155" s="2754"/>
      <c r="E155" s="2755"/>
      <c r="F155" s="2932"/>
      <c r="G155" s="2765" t="s">
        <v>4295</v>
      </c>
      <c r="H155" s="2766"/>
      <c r="I155" s="2766"/>
      <c r="J155" s="2858" t="s">
        <v>4296</v>
      </c>
      <c r="K155" s="2767" t="s">
        <v>4297</v>
      </c>
      <c r="M155" s="2881" t="s">
        <v>4298</v>
      </c>
      <c r="N155" s="2888"/>
      <c r="O155" s="2888"/>
      <c r="P155" s="2864">
        <v>1750.0</v>
      </c>
      <c r="Q155" s="2777">
        <f t="shared" si="15"/>
        <v>35000.0</v>
      </c>
      <c r="S155" s="2775" t="s">
        <v>4299</v>
      </c>
      <c r="T155" s="2776"/>
      <c r="U155" s="2864">
        <v>39.95</v>
      </c>
      <c r="V155" s="2777">
        <f t="shared" si="17"/>
        <v>799.0</v>
      </c>
      <c r="X155" s="2933"/>
      <c r="Y155" s="2933"/>
      <c r="Z155" s="2933"/>
      <c r="AA155" s="2933"/>
    </row>
    <row r="156" spans="8:8" ht="16.05" customHeight="1">
      <c r="B156" s="2761" t="s">
        <v>1453</v>
      </c>
      <c r="C156" s="2854"/>
      <c r="D156" s="2855" t="s">
        <v>3831</v>
      </c>
      <c r="E156" s="2763" t="s">
        <v>4018</v>
      </c>
      <c r="F156" s="2932"/>
      <c r="G156" s="2775" t="s">
        <v>4300</v>
      </c>
      <c r="H156" s="2776"/>
      <c r="I156" s="2776"/>
      <c r="J156" s="2934" t="s">
        <v>4301</v>
      </c>
      <c r="K156" s="2905" t="s">
        <v>4302</v>
      </c>
      <c r="M156" s="2860" t="s">
        <v>4303</v>
      </c>
      <c r="N156" s="2906"/>
      <c r="O156" s="2906"/>
      <c r="P156" s="2858">
        <v>1345.0</v>
      </c>
      <c r="Q156" s="2767">
        <f t="shared" si="15"/>
        <v>26900.0</v>
      </c>
      <c r="S156" s="2765" t="s">
        <v>4304</v>
      </c>
      <c r="T156" s="2766"/>
      <c r="U156" s="2858">
        <v>129.95</v>
      </c>
      <c r="V156" s="2767" t="s">
        <v>4305</v>
      </c>
      <c r="X156" s="2933"/>
      <c r="Y156" s="2933"/>
      <c r="Z156" s="2933"/>
      <c r="AA156" s="2933"/>
    </row>
    <row r="157" spans="8:8" ht="16.05" customHeight="1">
      <c r="B157" s="2765" t="s">
        <v>4306</v>
      </c>
      <c r="C157" s="2859"/>
      <c r="D157" s="2858">
        <v>1.79</v>
      </c>
      <c r="E157" s="2767">
        <f>D157*20</f>
        <v>35.8</v>
      </c>
      <c r="F157" s="2932"/>
      <c r="G157" s="2765" t="s">
        <v>4307</v>
      </c>
      <c r="H157" s="2766"/>
      <c r="I157" s="2766"/>
      <c r="J157" s="2858" t="s">
        <v>4308</v>
      </c>
      <c r="K157" s="2767" t="s">
        <v>4309</v>
      </c>
      <c r="M157" s="2881" t="s">
        <v>4310</v>
      </c>
      <c r="N157" s="2888"/>
      <c r="O157" s="2888"/>
      <c r="P157" s="2864">
        <v>2950.0</v>
      </c>
      <c r="Q157" s="2777">
        <f t="shared" si="15"/>
        <v>59000.0</v>
      </c>
      <c r="S157" s="2775" t="s">
        <v>4311</v>
      </c>
      <c r="T157" s="2776"/>
      <c r="U157" s="2864">
        <v>5.95</v>
      </c>
      <c r="V157" s="2777">
        <f t="shared" si="18"/>
        <v>119.0</v>
      </c>
      <c r="X157" s="2933"/>
      <c r="Y157" s="2933"/>
      <c r="Z157" s="2933"/>
      <c r="AA157" s="2933"/>
    </row>
    <row r="158" spans="8:8" ht="16.05" customHeight="1">
      <c r="B158" s="2775" t="s">
        <v>4312</v>
      </c>
      <c r="C158" s="2865"/>
      <c r="D158" s="2864">
        <v>2.98</v>
      </c>
      <c r="E158" s="2777">
        <f>D158*20</f>
        <v>59.6</v>
      </c>
      <c r="F158" s="2932"/>
      <c r="G158" s="2775" t="s">
        <v>4313</v>
      </c>
      <c r="H158" s="2776"/>
      <c r="I158" s="2776"/>
      <c r="J158" s="2864">
        <v>3100.0</v>
      </c>
      <c r="K158" s="2777">
        <f t="shared" si="19" ref="K158:K163">J158*20</f>
        <v>62000.0</v>
      </c>
      <c r="M158" s="2860" t="s">
        <v>4314</v>
      </c>
      <c r="N158" s="2906"/>
      <c r="O158" s="2906"/>
      <c r="P158" s="2858">
        <v>6000.0</v>
      </c>
      <c r="Q158" s="2767">
        <f t="shared" si="15"/>
        <v>120000.0</v>
      </c>
      <c r="S158" s="2765" t="s">
        <v>4315</v>
      </c>
      <c r="T158" s="2766"/>
      <c r="U158" s="2858">
        <v>35.1</v>
      </c>
      <c r="V158" s="2767">
        <f t="shared" si="18"/>
        <v>702.0</v>
      </c>
      <c r="X158" s="2933"/>
      <c r="Y158" s="2933"/>
      <c r="Z158" s="2933"/>
      <c r="AA158" s="2933"/>
    </row>
    <row r="159" spans="8:8" ht="16.05" customHeight="1">
      <c r="B159" s="2900" t="s">
        <v>4316</v>
      </c>
      <c r="C159" s="2901"/>
      <c r="D159" s="2901"/>
      <c r="E159" s="2902"/>
      <c r="F159" s="2932"/>
      <c r="G159" s="2900" t="s">
        <v>4317</v>
      </c>
      <c r="H159" s="2901"/>
      <c r="I159" s="2901"/>
      <c r="J159" s="2901"/>
      <c r="K159" s="2902"/>
      <c r="M159" s="2881" t="s">
        <v>4318</v>
      </c>
      <c r="N159" s="2888"/>
      <c r="O159" s="2888"/>
      <c r="P159" s="2864">
        <v>745.0</v>
      </c>
      <c r="Q159" s="2777">
        <f t="shared" si="15"/>
        <v>14900.0</v>
      </c>
      <c r="S159" s="2775" t="s">
        <v>4319</v>
      </c>
      <c r="T159" s="2776"/>
      <c r="U159" s="2864">
        <v>1.8</v>
      </c>
      <c r="V159" s="2777">
        <f t="shared" si="18"/>
        <v>36.0</v>
      </c>
    </row>
    <row r="160" spans="8:8" ht="16.05" customHeight="1">
      <c r="B160" s="2765" t="s">
        <v>4306</v>
      </c>
      <c r="C160" s="2859"/>
      <c r="D160" s="2858">
        <v>1.79</v>
      </c>
      <c r="E160" s="2767">
        <f t="shared" si="20" ref="E160:E168">D160*20</f>
        <v>35.8</v>
      </c>
      <c r="F160" s="2932"/>
      <c r="G160" s="2775" t="s">
        <v>4320</v>
      </c>
      <c r="H160" s="2865"/>
      <c r="I160" s="2865"/>
      <c r="J160" s="2864">
        <v>1175.0</v>
      </c>
      <c r="K160" s="2777">
        <f t="shared" si="19"/>
        <v>23500.0</v>
      </c>
      <c r="M160" s="2860" t="s">
        <v>4321</v>
      </c>
      <c r="N160" s="2906"/>
      <c r="O160" s="2906"/>
      <c r="P160" s="2858">
        <v>995.0</v>
      </c>
      <c r="Q160" s="2767">
        <f t="shared" si="15"/>
        <v>19900.0</v>
      </c>
      <c r="S160" s="2765" t="s">
        <v>4322</v>
      </c>
      <c r="T160" s="2766"/>
      <c r="U160" s="2858">
        <v>0.85</v>
      </c>
      <c r="V160" s="2767">
        <f t="shared" si="18"/>
        <v>17.0</v>
      </c>
    </row>
    <row r="161" spans="8:8" ht="16.05" customHeight="1">
      <c r="B161" s="2775" t="s">
        <v>4323</v>
      </c>
      <c r="C161" s="2865"/>
      <c r="D161" s="2864">
        <v>2.98</v>
      </c>
      <c r="E161" s="2777">
        <f t="shared" si="20"/>
        <v>59.6</v>
      </c>
      <c r="F161" s="2932"/>
      <c r="G161" s="2765" t="s">
        <v>4324</v>
      </c>
      <c r="H161" s="2859"/>
      <c r="I161" s="2859"/>
      <c r="J161" s="2858">
        <v>2135.0</v>
      </c>
      <c r="K161" s="2767">
        <f t="shared" si="19"/>
        <v>42700.0</v>
      </c>
      <c r="M161" s="2881" t="s">
        <v>4325</v>
      </c>
      <c r="N161" s="2888"/>
      <c r="O161" s="2888"/>
      <c r="P161" s="2864">
        <v>570.0</v>
      </c>
      <c r="Q161" s="2777">
        <f t="shared" si="15"/>
        <v>11400.0</v>
      </c>
      <c r="S161" s="2775" t="s">
        <v>4326</v>
      </c>
      <c r="T161" s="2776"/>
      <c r="U161" s="2864">
        <v>0.2</v>
      </c>
      <c r="V161" s="2777">
        <f t="shared" si="18"/>
        <v>4.0</v>
      </c>
    </row>
    <row r="162" spans="8:8" ht="16.05" customHeight="1">
      <c r="B162" s="2765" t="s">
        <v>4327</v>
      </c>
      <c r="C162" s="2859"/>
      <c r="D162" s="2858">
        <v>2.98</v>
      </c>
      <c r="E162" s="2767">
        <f t="shared" si="20"/>
        <v>59.6</v>
      </c>
      <c r="F162" s="2932"/>
      <c r="G162" s="2775" t="s">
        <v>4328</v>
      </c>
      <c r="H162" s="2865"/>
      <c r="I162" s="2865"/>
      <c r="J162" s="2864">
        <v>3278.0</v>
      </c>
      <c r="K162" s="2777">
        <f t="shared" si="19"/>
        <v>65560.0</v>
      </c>
      <c r="M162" s="2860" t="s">
        <v>4329</v>
      </c>
      <c r="N162" s="2906"/>
      <c r="O162" s="2906"/>
      <c r="P162" s="2858">
        <v>1450.0</v>
      </c>
      <c r="Q162" s="2767">
        <f t="shared" si="15"/>
        <v>29000.0</v>
      </c>
      <c r="S162" s="2765" t="s">
        <v>4330</v>
      </c>
      <c r="T162" s="2766"/>
      <c r="U162" s="2858">
        <v>9.5</v>
      </c>
      <c r="V162" s="2767">
        <f t="shared" si="18"/>
        <v>190.0</v>
      </c>
    </row>
    <row r="163" spans="8:8" ht="16.05" customHeight="1">
      <c r="B163" s="2775" t="s">
        <v>4331</v>
      </c>
      <c r="C163" s="2865"/>
      <c r="D163" s="2864">
        <v>0.98</v>
      </c>
      <c r="E163" s="2777">
        <f t="shared" si="20"/>
        <v>19.6</v>
      </c>
      <c r="F163" s="2935"/>
      <c r="G163" s="2784" t="s">
        <v>4332</v>
      </c>
      <c r="H163" s="2785"/>
      <c r="I163" s="2785"/>
      <c r="J163" s="2810">
        <v>4492.0</v>
      </c>
      <c r="K163" s="2802">
        <f t="shared" si="19"/>
        <v>89840.0</v>
      </c>
      <c r="M163" s="2881" t="s">
        <v>4333</v>
      </c>
      <c r="N163" s="2888"/>
      <c r="O163" s="2888"/>
      <c r="P163" s="2864">
        <v>995.0</v>
      </c>
      <c r="Q163" s="2777">
        <f t="shared" si="15"/>
        <v>19900.0</v>
      </c>
      <c r="S163" s="2775" t="s">
        <v>4334</v>
      </c>
      <c r="T163" s="2776"/>
      <c r="U163" s="2864">
        <v>0.25</v>
      </c>
      <c r="V163" s="2777">
        <f t="shared" si="18"/>
        <v>5.0</v>
      </c>
    </row>
    <row r="164" spans="8:8" ht="16.05" customHeight="1">
      <c r="B164" s="2765" t="s">
        <v>4335</v>
      </c>
      <c r="C164" s="2859"/>
      <c r="D164" s="2858">
        <v>2.59</v>
      </c>
      <c r="E164" s="2767">
        <f t="shared" si="20"/>
        <v>51.8</v>
      </c>
      <c r="F164" s="2935"/>
      <c r="M164" s="2860" t="s">
        <v>4336</v>
      </c>
      <c r="N164" s="2906"/>
      <c r="O164" s="2906"/>
      <c r="P164" s="2858">
        <v>300.0</v>
      </c>
      <c r="Q164" s="2767">
        <f t="shared" si="15"/>
        <v>6000.0</v>
      </c>
      <c r="S164" s="2765" t="s">
        <v>4337</v>
      </c>
      <c r="T164" s="2766"/>
      <c r="U164" s="2858">
        <v>1200.0</v>
      </c>
      <c r="V164" s="2767">
        <f t="shared" si="18"/>
        <v>24000.0</v>
      </c>
    </row>
    <row r="165" spans="8:8" ht="16.05" customHeight="1">
      <c r="B165" s="2775" t="s">
        <v>4165</v>
      </c>
      <c r="C165" s="2865"/>
      <c r="D165" s="2864">
        <v>4.95</v>
      </c>
      <c r="E165" s="2777">
        <f t="shared" si="20"/>
        <v>99.0</v>
      </c>
      <c r="F165" s="2935"/>
      <c r="G165" s="2753" t="s">
        <v>3947</v>
      </c>
      <c r="H165" s="2754"/>
      <c r="I165" s="2754"/>
      <c r="J165" s="2754"/>
      <c r="K165" s="2755"/>
      <c r="M165" s="2881" t="s">
        <v>4338</v>
      </c>
      <c r="N165" s="2888"/>
      <c r="O165" s="2888"/>
      <c r="P165" s="2864">
        <v>75.0</v>
      </c>
      <c r="Q165" s="2777">
        <f t="shared" si="15"/>
        <v>1500.0</v>
      </c>
      <c r="S165" s="2775" t="s">
        <v>4339</v>
      </c>
      <c r="T165" s="2776"/>
      <c r="U165" s="2864">
        <v>40.0</v>
      </c>
      <c r="V165" s="2777" t="s">
        <v>4305</v>
      </c>
    </row>
    <row r="166" spans="8:8" ht="16.05" customHeight="1">
      <c r="B166" s="2765" t="s">
        <v>4340</v>
      </c>
      <c r="C166" s="2859"/>
      <c r="D166" s="2858">
        <v>0.4</v>
      </c>
      <c r="E166" s="2767">
        <f t="shared" si="20"/>
        <v>8.0</v>
      </c>
      <c r="G166" s="2761" t="s">
        <v>4341</v>
      </c>
      <c r="H166" s="2854"/>
      <c r="I166" s="2854"/>
      <c r="J166" s="2855" t="s">
        <v>3831</v>
      </c>
      <c r="K166" s="2856" t="s">
        <v>4018</v>
      </c>
      <c r="M166" s="2860" t="s">
        <v>4342</v>
      </c>
      <c r="N166" s="2906"/>
      <c r="O166" s="2906"/>
      <c r="P166" s="2858">
        <v>545.0</v>
      </c>
      <c r="Q166" s="2767">
        <f t="shared" si="15"/>
        <v>10900.0</v>
      </c>
      <c r="S166" s="2765" t="s">
        <v>4343</v>
      </c>
      <c r="T166" s="2766"/>
      <c r="U166" s="2858">
        <v>66.75</v>
      </c>
      <c r="V166" s="2767" t="s">
        <v>4305</v>
      </c>
    </row>
    <row r="167" spans="8:8" ht="16.05" customHeight="1">
      <c r="B167" s="2775" t="s">
        <v>4169</v>
      </c>
      <c r="C167" s="2865"/>
      <c r="D167" s="2864">
        <v>0.54</v>
      </c>
      <c r="E167" s="2777">
        <f t="shared" si="20"/>
        <v>10.8</v>
      </c>
      <c r="G167" s="2812" t="s">
        <v>4344</v>
      </c>
      <c r="H167" s="2936"/>
      <c r="I167" s="2936"/>
      <c r="J167" s="2858">
        <v>4.45</v>
      </c>
      <c r="K167" s="2767">
        <f t="shared" si="21" ref="K167:K180">J167*20</f>
        <v>89.0</v>
      </c>
      <c r="M167" s="2881" t="s">
        <v>4345</v>
      </c>
      <c r="N167" s="2888"/>
      <c r="O167" s="2888"/>
      <c r="P167" s="2864">
        <v>1085.0</v>
      </c>
      <c r="Q167" s="2777">
        <f t="shared" si="15"/>
        <v>21700.0</v>
      </c>
      <c r="S167" s="2775" t="s">
        <v>4346</v>
      </c>
      <c r="T167" s="2776"/>
      <c r="U167" s="2864">
        <v>0.58</v>
      </c>
      <c r="V167" s="2777">
        <f t="shared" si="18"/>
        <v>11.6</v>
      </c>
    </row>
    <row r="168" spans="8:8" ht="16.05" customHeight="1">
      <c r="B168" s="2937" t="s">
        <v>4347</v>
      </c>
      <c r="C168" s="2938"/>
      <c r="D168" s="2810">
        <v>1.29</v>
      </c>
      <c r="E168" s="2802">
        <f t="shared" si="20"/>
        <v>25.8</v>
      </c>
      <c r="G168" s="2775" t="s">
        <v>4348</v>
      </c>
      <c r="H168" s="2865"/>
      <c r="I168" s="2865"/>
      <c r="J168" s="2864">
        <v>10.0</v>
      </c>
      <c r="K168" s="2777">
        <f t="shared" si="21"/>
        <v>200.0</v>
      </c>
      <c r="M168" s="2860" t="s">
        <v>4349</v>
      </c>
      <c r="N168" s="2906"/>
      <c r="O168" s="2906"/>
      <c r="P168" s="2858">
        <v>490.0</v>
      </c>
      <c r="Q168" s="2767">
        <f t="shared" si="15"/>
        <v>9800.0</v>
      </c>
      <c r="S168" s="2765" t="s">
        <v>4350</v>
      </c>
      <c r="T168" s="2766"/>
      <c r="U168" s="2858">
        <v>17.5</v>
      </c>
      <c r="V168" s="2767">
        <f t="shared" si="18"/>
        <v>350.0</v>
      </c>
    </row>
    <row r="169" spans="8:8" ht="16.05" customHeight="1">
      <c r="G169" s="2812" t="s">
        <v>4351</v>
      </c>
      <c r="H169" s="2936"/>
      <c r="I169" s="2936"/>
      <c r="J169" s="2858">
        <v>0.75</v>
      </c>
      <c r="K169" s="2767">
        <f t="shared" si="21"/>
        <v>15.0</v>
      </c>
      <c r="M169" s="2881" t="s">
        <v>4352</v>
      </c>
      <c r="N169" s="2888"/>
      <c r="O169" s="2888"/>
      <c r="P169" s="2864">
        <v>9000.0</v>
      </c>
      <c r="Q169" s="2777">
        <f t="shared" si="15"/>
        <v>180000.0</v>
      </c>
      <c r="S169" s="2876" t="s">
        <v>4353</v>
      </c>
      <c r="T169" s="2877"/>
      <c r="U169" s="2864">
        <v>62.5</v>
      </c>
      <c r="V169" s="2777">
        <f t="shared" si="18"/>
        <v>1250.0</v>
      </c>
    </row>
    <row r="170" spans="8:8" ht="16.05" customHeight="1">
      <c r="B170" s="2753" t="s">
        <v>3923</v>
      </c>
      <c r="C170" s="2754"/>
      <c r="D170" s="2754"/>
      <c r="E170" s="2755"/>
      <c r="G170" s="2830" t="s">
        <v>3973</v>
      </c>
      <c r="H170" s="2939"/>
      <c r="I170" s="2939"/>
      <c r="J170" s="2864">
        <v>9.0</v>
      </c>
      <c r="K170" s="2777">
        <f t="shared" si="21"/>
        <v>180.0</v>
      </c>
      <c r="M170" s="2860" t="s">
        <v>4354</v>
      </c>
      <c r="N170" s="2906"/>
      <c r="O170" s="2906"/>
      <c r="P170" s="2858">
        <v>1225.0</v>
      </c>
      <c r="Q170" s="2767">
        <f t="shared" si="15"/>
        <v>24500.0</v>
      </c>
      <c r="S170" s="2765" t="s">
        <v>4355</v>
      </c>
      <c r="T170" s="2766"/>
      <c r="U170" s="2858">
        <v>1.79</v>
      </c>
      <c r="V170" s="2767">
        <f t="shared" si="18"/>
        <v>35.8</v>
      </c>
    </row>
    <row r="171" spans="8:8" ht="16.05" customHeight="1">
      <c r="B171" s="2761" t="s">
        <v>1453</v>
      </c>
      <c r="C171" s="2762"/>
      <c r="D171" s="2855" t="s">
        <v>3831</v>
      </c>
      <c r="E171" s="2763" t="s">
        <v>4018</v>
      </c>
      <c r="G171" s="2765" t="s">
        <v>4356</v>
      </c>
      <c r="H171" s="2859"/>
      <c r="I171" s="2859"/>
      <c r="J171" s="2858">
        <v>24.0</v>
      </c>
      <c r="K171" s="2767">
        <f t="shared" si="21"/>
        <v>480.0</v>
      </c>
      <c r="M171" s="2881" t="s">
        <v>4357</v>
      </c>
      <c r="N171" s="2888"/>
      <c r="O171" s="2888"/>
      <c r="P171" s="2864">
        <v>800.0</v>
      </c>
      <c r="Q171" s="2777">
        <f t="shared" si="15"/>
        <v>16000.0</v>
      </c>
      <c r="S171" s="2775" t="s">
        <v>4358</v>
      </c>
      <c r="T171" s="2776"/>
      <c r="U171" s="2864">
        <v>0.99</v>
      </c>
      <c r="V171" s="2777">
        <f t="shared" si="18"/>
        <v>19.8</v>
      </c>
    </row>
    <row r="172" spans="8:8" ht="16.05" customHeight="1">
      <c r="B172" s="2875" t="s">
        <v>4359</v>
      </c>
      <c r="C172" s="2821"/>
      <c r="D172" s="2858">
        <v>7.45</v>
      </c>
      <c r="E172" s="2767">
        <f t="shared" si="22" ref="E172:E174">D172*20</f>
        <v>149.0</v>
      </c>
      <c r="G172" s="2830" t="s">
        <v>4360</v>
      </c>
      <c r="H172" s="2939"/>
      <c r="I172" s="2939"/>
      <c r="J172" s="2864" t="s">
        <v>4361</v>
      </c>
      <c r="K172" s="2777" t="s">
        <v>3958</v>
      </c>
      <c r="M172" s="2872" t="s">
        <v>4362</v>
      </c>
      <c r="N172" s="2873"/>
      <c r="O172" s="2873"/>
      <c r="P172" s="2858">
        <v>4000.0</v>
      </c>
      <c r="Q172" s="2767">
        <f t="shared" si="15"/>
        <v>80000.0</v>
      </c>
      <c r="S172" s="2765" t="s">
        <v>4363</v>
      </c>
      <c r="T172" s="2766"/>
      <c r="U172" s="2858">
        <v>0.1</v>
      </c>
      <c r="V172" s="2767">
        <f t="shared" si="18"/>
        <v>2.0</v>
      </c>
    </row>
    <row r="173" spans="8:8" ht="16.05" customHeight="1">
      <c r="B173" s="2883" t="s">
        <v>4364</v>
      </c>
      <c r="C173" s="2884"/>
      <c r="D173" s="2864">
        <v>9.95</v>
      </c>
      <c r="E173" s="2777">
        <f t="shared" si="22"/>
        <v>199.0</v>
      </c>
      <c r="G173" s="2940" t="s">
        <v>4365</v>
      </c>
      <c r="H173" s="2941"/>
      <c r="I173" s="2941"/>
      <c r="J173" s="2858">
        <v>5.0</v>
      </c>
      <c r="K173" s="2767">
        <f t="shared" si="21"/>
        <v>100.0</v>
      </c>
      <c r="M173" s="2881" t="s">
        <v>4366</v>
      </c>
      <c r="N173" s="2888"/>
      <c r="O173" s="2888"/>
      <c r="P173" s="2864">
        <v>4050.0</v>
      </c>
      <c r="Q173" s="2777">
        <f t="shared" si="15"/>
        <v>81000.0</v>
      </c>
      <c r="S173" s="2775" t="s">
        <v>4367</v>
      </c>
      <c r="T173" s="2776"/>
      <c r="U173" s="2864">
        <v>2.29</v>
      </c>
      <c r="V173" s="2777">
        <f t="shared" si="18"/>
        <v>45.8</v>
      </c>
    </row>
    <row r="174" spans="8:8" ht="16.05" customHeight="1">
      <c r="B174" s="2875" t="s">
        <v>4368</v>
      </c>
      <c r="C174" s="2821"/>
      <c r="D174" s="2858">
        <v>12.0</v>
      </c>
      <c r="E174" s="2767">
        <f t="shared" si="22"/>
        <v>240.0</v>
      </c>
      <c r="G174" s="2900" t="s">
        <v>4369</v>
      </c>
      <c r="H174" s="2901"/>
      <c r="I174" s="2901"/>
      <c r="J174" s="2901"/>
      <c r="K174" s="2902"/>
      <c r="M174" s="2860" t="s">
        <v>4370</v>
      </c>
      <c r="N174" s="2906"/>
      <c r="O174" s="2906"/>
      <c r="P174" s="2858">
        <v>7750.0</v>
      </c>
      <c r="Q174" s="2767">
        <f t="shared" si="15"/>
        <v>155000.0</v>
      </c>
      <c r="S174" s="2765" t="s">
        <v>4371</v>
      </c>
      <c r="T174" s="2766"/>
      <c r="U174" s="2858">
        <v>6.75</v>
      </c>
      <c r="V174" s="2767">
        <f t="shared" si="18"/>
        <v>135.0</v>
      </c>
    </row>
    <row r="175" spans="8:8" ht="16.05" customHeight="1">
      <c r="B175" s="2883" t="s">
        <v>4372</v>
      </c>
      <c r="C175" s="2884"/>
      <c r="D175" s="2864">
        <v>54.95</v>
      </c>
      <c r="E175" s="2777">
        <f t="shared" si="23" ref="E175:E177">D175*20</f>
        <v>1099.0</v>
      </c>
      <c r="G175" s="2765" t="s">
        <v>4373</v>
      </c>
      <c r="H175" s="2859"/>
      <c r="I175" s="2859"/>
      <c r="J175" s="2858">
        <v>1000.0</v>
      </c>
      <c r="K175" s="2767">
        <f t="shared" si="21"/>
        <v>20000.0</v>
      </c>
      <c r="M175" s="2881" t="s">
        <v>4374</v>
      </c>
      <c r="N175" s="2888"/>
      <c r="O175" s="2888"/>
      <c r="P175" s="2864">
        <v>500.0</v>
      </c>
      <c r="Q175" s="2777">
        <f t="shared" si="15"/>
        <v>10000.0</v>
      </c>
      <c r="S175" s="2775" t="s">
        <v>4375</v>
      </c>
      <c r="T175" s="2776"/>
      <c r="U175" s="2864">
        <v>49.0</v>
      </c>
      <c r="V175" s="2777">
        <f t="shared" si="18"/>
        <v>980.0</v>
      </c>
    </row>
    <row r="176" spans="8:8" ht="16.05" customHeight="1">
      <c r="B176" s="2875" t="s">
        <v>4376</v>
      </c>
      <c r="C176" s="2821"/>
      <c r="D176" s="2858">
        <v>79.95</v>
      </c>
      <c r="E176" s="2767">
        <f t="shared" si="23"/>
        <v>1599.0</v>
      </c>
      <c r="G176" s="2775" t="s">
        <v>4377</v>
      </c>
      <c r="H176" s="2865"/>
      <c r="I176" s="2865"/>
      <c r="J176" s="2864">
        <v>55.0</v>
      </c>
      <c r="K176" s="2777">
        <f t="shared" si="21"/>
        <v>1100.0</v>
      </c>
      <c r="M176" s="2860" t="s">
        <v>4378</v>
      </c>
      <c r="N176" s="2906"/>
      <c r="O176" s="2906"/>
      <c r="P176" s="2858">
        <v>6750.0</v>
      </c>
      <c r="Q176" s="2767">
        <f t="shared" si="15"/>
        <v>135000.0</v>
      </c>
      <c r="S176" s="2765" t="s">
        <v>4379</v>
      </c>
      <c r="T176" s="2766"/>
      <c r="U176" s="2858">
        <v>1.95</v>
      </c>
      <c r="V176" s="2767">
        <f t="shared" si="18"/>
        <v>39.0</v>
      </c>
    </row>
    <row r="177" spans="8:8" ht="16.05" customHeight="1">
      <c r="B177" s="2897" t="s">
        <v>4380</v>
      </c>
      <c r="C177" s="2898"/>
      <c r="D177" s="2874">
        <v>12.5</v>
      </c>
      <c r="E177" s="2816">
        <f t="shared" si="23"/>
        <v>250.0</v>
      </c>
      <c r="G177" s="2765" t="s">
        <v>4381</v>
      </c>
      <c r="H177" s="2859"/>
      <c r="I177" s="2859"/>
      <c r="J177" s="2858">
        <v>350.0</v>
      </c>
      <c r="K177" s="2767">
        <f t="shared" si="21"/>
        <v>7000.0</v>
      </c>
      <c r="M177" s="2881" t="s">
        <v>4382</v>
      </c>
      <c r="N177" s="2888"/>
      <c r="O177" s="2888"/>
      <c r="P177" s="2864">
        <v>10800.0</v>
      </c>
      <c r="Q177" s="2777">
        <f t="shared" si="15"/>
        <v>216000.0</v>
      </c>
      <c r="S177" s="2775" t="s">
        <v>4383</v>
      </c>
      <c r="T177" s="2776"/>
      <c r="U177" s="2864">
        <v>1.68</v>
      </c>
      <c r="V177" s="2777">
        <f t="shared" si="18"/>
        <v>33.6</v>
      </c>
    </row>
    <row r="178" spans="8:8" ht="16.05" customHeight="1">
      <c r="G178" s="2775" t="s">
        <v>4384</v>
      </c>
      <c r="H178" s="2865"/>
      <c r="I178" s="2865"/>
      <c r="J178" s="2864">
        <v>12.5</v>
      </c>
      <c r="K178" s="2777">
        <f t="shared" si="21"/>
        <v>250.0</v>
      </c>
      <c r="M178" s="2900" t="s">
        <v>4385</v>
      </c>
      <c r="N178" s="2901"/>
      <c r="O178" s="2901"/>
      <c r="P178" s="2901"/>
      <c r="Q178" s="2902"/>
      <c r="S178" s="2765" t="s">
        <v>4386</v>
      </c>
      <c r="T178" s="2766"/>
      <c r="U178" s="2858">
        <v>3.98</v>
      </c>
      <c r="V178" s="2767">
        <f t="shared" si="18"/>
        <v>79.6</v>
      </c>
    </row>
    <row r="179" spans="8:8" ht="16.05" customHeight="1">
      <c r="B179" s="2753" t="s">
        <v>3829</v>
      </c>
      <c r="C179" s="2754"/>
      <c r="D179" s="2754"/>
      <c r="E179" s="2755"/>
      <c r="G179" s="2765" t="s">
        <v>4387</v>
      </c>
      <c r="H179" s="2859"/>
      <c r="I179" s="2859"/>
      <c r="J179" s="2858">
        <v>10.0</v>
      </c>
      <c r="K179" s="2767">
        <f t="shared" si="21"/>
        <v>200.0</v>
      </c>
      <c r="M179" s="2775" t="s">
        <v>4388</v>
      </c>
      <c r="N179" s="2865"/>
      <c r="O179" s="2865"/>
      <c r="P179" s="2864">
        <v>10.95</v>
      </c>
      <c r="Q179" s="2777">
        <f t="shared" si="15"/>
        <v>219.0</v>
      </c>
      <c r="S179" s="2775" t="s">
        <v>4389</v>
      </c>
      <c r="T179" s="2776"/>
      <c r="U179" s="2864">
        <v>1.48</v>
      </c>
      <c r="V179" s="2777">
        <f t="shared" si="18"/>
        <v>29.6</v>
      </c>
    </row>
    <row r="180" spans="8:8" ht="16.05" customHeight="1">
      <c r="B180" s="2761" t="s">
        <v>1453</v>
      </c>
      <c r="C180" s="2762"/>
      <c r="D180" s="2764" t="s">
        <v>3831</v>
      </c>
      <c r="E180" s="2856" t="s">
        <v>4018</v>
      </c>
      <c r="G180" s="2804" t="s">
        <v>4390</v>
      </c>
      <c r="H180" s="2805"/>
      <c r="I180" s="2805"/>
      <c r="J180" s="2874">
        <v>40.0</v>
      </c>
      <c r="K180" s="2816">
        <f t="shared" si="21"/>
        <v>800.0</v>
      </c>
      <c r="M180" s="2765" t="s">
        <v>4391</v>
      </c>
      <c r="N180" s="2859"/>
      <c r="O180" s="2859"/>
      <c r="P180" s="2858">
        <v>0.32</v>
      </c>
      <c r="Q180" s="2767">
        <f t="shared" si="15"/>
        <v>6.4</v>
      </c>
      <c r="S180" s="2765" t="s">
        <v>4392</v>
      </c>
      <c r="T180" s="2766"/>
      <c r="U180" s="2858">
        <v>9.95</v>
      </c>
      <c r="V180" s="2767">
        <f t="shared" si="18"/>
        <v>199.0</v>
      </c>
    </row>
    <row r="181" spans="8:8" ht="16.05" customHeight="1">
      <c r="B181" s="2860" t="s">
        <v>4393</v>
      </c>
      <c r="C181" s="2861"/>
      <c r="D181" s="2858">
        <v>0.25</v>
      </c>
      <c r="E181" s="2942" t="s">
        <v>4394</v>
      </c>
      <c r="G181" s="2943"/>
      <c r="H181" s="2943"/>
      <c r="I181" s="2943"/>
      <c r="J181" s="2943"/>
      <c r="K181" s="2943"/>
      <c r="M181" s="2775" t="s">
        <v>4395</v>
      </c>
      <c r="N181" s="2865"/>
      <c r="O181" s="2865"/>
      <c r="P181" s="2864">
        <v>4.95</v>
      </c>
      <c r="Q181" s="2777">
        <f t="shared" si="15"/>
        <v>99.0</v>
      </c>
      <c r="S181" s="2775" t="s">
        <v>4396</v>
      </c>
      <c r="T181" s="2776"/>
      <c r="U181" s="2864">
        <v>16.65</v>
      </c>
      <c r="V181" s="2777">
        <f t="shared" si="18"/>
        <v>333.0</v>
      </c>
    </row>
    <row r="182" spans="8:8" ht="16.05" customHeight="1">
      <c r="B182" s="2908" t="s">
        <v>4397</v>
      </c>
      <c r="C182" s="2913"/>
      <c r="D182" s="2864">
        <v>0.02</v>
      </c>
      <c r="E182" s="2944"/>
      <c r="G182" s="2753" t="s">
        <v>4398</v>
      </c>
      <c r="H182" s="2754"/>
      <c r="I182" s="2754"/>
      <c r="J182" s="2754"/>
      <c r="K182" s="2755"/>
      <c r="M182" s="2765" t="s">
        <v>4399</v>
      </c>
      <c r="N182" s="2859"/>
      <c r="O182" s="2859"/>
      <c r="P182" s="2858">
        <v>1.0</v>
      </c>
      <c r="Q182" s="2767">
        <f t="shared" si="15"/>
        <v>20.0</v>
      </c>
      <c r="S182" s="2860" t="s">
        <v>4400</v>
      </c>
      <c r="T182" s="2861"/>
      <c r="U182" s="2858">
        <v>24.65</v>
      </c>
      <c r="V182" s="2767">
        <f t="shared" si="18"/>
        <v>493.0</v>
      </c>
    </row>
    <row r="183" spans="8:8" ht="16.05" customHeight="1">
      <c r="B183" s="2765" t="s">
        <v>4401</v>
      </c>
      <c r="C183" s="2766"/>
      <c r="D183" s="2858">
        <v>1.25</v>
      </c>
      <c r="E183" s="2942"/>
      <c r="G183" s="2761" t="s">
        <v>1453</v>
      </c>
      <c r="H183" s="2854"/>
      <c r="I183" s="2854"/>
      <c r="J183" s="2855" t="s">
        <v>3831</v>
      </c>
      <c r="K183" s="2856" t="s">
        <v>4018</v>
      </c>
      <c r="M183" s="2775" t="s">
        <v>4402</v>
      </c>
      <c r="N183" s="2865"/>
      <c r="O183" s="2865"/>
      <c r="P183" s="2864">
        <v>14.15</v>
      </c>
      <c r="Q183" s="2777">
        <f t="shared" si="15"/>
        <v>283.0</v>
      </c>
      <c r="S183" s="2775" t="s">
        <v>4403</v>
      </c>
      <c r="T183" s="2776"/>
      <c r="U183" s="2864">
        <v>34.45</v>
      </c>
      <c r="V183" s="2777">
        <f t="shared" si="18"/>
        <v>689.0</v>
      </c>
    </row>
    <row r="184" spans="8:8" ht="16.05" customHeight="1">
      <c r="B184" s="2879" t="s">
        <v>4404</v>
      </c>
      <c r="C184" s="2871"/>
      <c r="D184" s="2864">
        <v>0.02</v>
      </c>
      <c r="E184" s="2777">
        <f>D184*20</f>
        <v>0.4</v>
      </c>
      <c r="F184" s="2852"/>
      <c r="G184" s="2945" t="s">
        <v>4405</v>
      </c>
      <c r="H184" s="2946"/>
      <c r="I184" s="2946"/>
      <c r="J184" s="2858">
        <v>25.0</v>
      </c>
      <c r="K184" s="2767">
        <f>J184*20</f>
        <v>500.0</v>
      </c>
      <c r="M184" s="2765" t="s">
        <v>4406</v>
      </c>
      <c r="N184" s="2859"/>
      <c r="O184" s="2859"/>
      <c r="P184" s="2858">
        <v>8.69</v>
      </c>
      <c r="Q184" s="2767">
        <f t="shared" si="15"/>
        <v>173.79999999999998</v>
      </c>
      <c r="S184" s="2765" t="s">
        <v>4407</v>
      </c>
      <c r="T184" s="2766"/>
      <c r="U184" s="2858">
        <v>13.85</v>
      </c>
      <c r="V184" s="2767">
        <f t="shared" si="18"/>
        <v>277.0</v>
      </c>
    </row>
    <row r="185" spans="8:8" ht="16.05" customHeight="1">
      <c r="B185" s="2875" t="s">
        <v>4408</v>
      </c>
      <c r="C185" s="2821"/>
      <c r="D185" s="2947" t="s">
        <v>781</v>
      </c>
      <c r="E185" s="2767" t="s">
        <v>4409</v>
      </c>
      <c r="G185" s="2775" t="s">
        <v>4410</v>
      </c>
      <c r="H185" s="2865"/>
      <c r="I185" s="2865"/>
      <c r="J185" s="2864">
        <v>25.0</v>
      </c>
      <c r="K185" s="2777">
        <f t="shared" si="24" ref="K185:K198">J185*20</f>
        <v>500.0</v>
      </c>
      <c r="M185" s="2775" t="s">
        <v>4411</v>
      </c>
      <c r="N185" s="2865"/>
      <c r="O185" s="2865"/>
      <c r="P185" s="2864">
        <v>0.3</v>
      </c>
      <c r="Q185" s="2777">
        <f t="shared" si="15"/>
        <v>6.0</v>
      </c>
      <c r="S185" s="2804" t="s">
        <v>4412</v>
      </c>
      <c r="T185" s="2805"/>
      <c r="U185" s="2874">
        <v>0.45</v>
      </c>
      <c r="V185" s="2816">
        <f t="shared" si="18"/>
        <v>9.0</v>
      </c>
    </row>
    <row r="186" spans="8:8" ht="16.05" customHeight="1">
      <c r="B186" s="2883" t="s">
        <v>4413</v>
      </c>
      <c r="C186" s="2884"/>
      <c r="D186" s="2864">
        <v>49.95</v>
      </c>
      <c r="E186" s="2777" t="s">
        <v>4305</v>
      </c>
      <c r="G186" s="2765" t="s">
        <v>4414</v>
      </c>
      <c r="H186" s="2859"/>
      <c r="I186" s="2859"/>
      <c r="J186" s="2858">
        <v>80.0</v>
      </c>
      <c r="K186" s="2767">
        <f t="shared" si="24"/>
        <v>1600.0</v>
      </c>
      <c r="M186" s="2765" t="s">
        <v>4415</v>
      </c>
      <c r="N186" s="2859"/>
      <c r="O186" s="2859"/>
      <c r="P186" s="2858">
        <v>3.25</v>
      </c>
      <c r="Q186" s="2767">
        <f t="shared" si="15"/>
        <v>65.0</v>
      </c>
    </row>
    <row r="187" spans="8:8" ht="16.05" customHeight="1">
      <c r="B187" s="2875" t="s">
        <v>4416</v>
      </c>
      <c r="C187" s="2821"/>
      <c r="D187" s="2858">
        <v>15.75</v>
      </c>
      <c r="E187" s="2767">
        <f>D187*20</f>
        <v>315.0</v>
      </c>
      <c r="G187" s="2775" t="s">
        <v>4417</v>
      </c>
      <c r="H187" s="2865"/>
      <c r="I187" s="2865"/>
      <c r="J187" s="2864" t="s">
        <v>489</v>
      </c>
      <c r="K187" s="2948" t="s">
        <v>4418</v>
      </c>
      <c r="M187" s="2775" t="s">
        <v>4419</v>
      </c>
      <c r="N187" s="2865"/>
      <c r="O187" s="2865"/>
      <c r="P187" s="2864">
        <v>2.95</v>
      </c>
      <c r="Q187" s="2777">
        <f t="shared" si="15"/>
        <v>59.0</v>
      </c>
      <c r="S187" s="2753" t="s">
        <v>4420</v>
      </c>
      <c r="T187" s="2754"/>
      <c r="U187" s="2754"/>
      <c r="V187" s="2755"/>
    </row>
    <row r="188" spans="8:8" ht="16.05" customHeight="1">
      <c r="B188" s="2883" t="s">
        <v>4421</v>
      </c>
      <c r="C188" s="2884"/>
      <c r="D188" s="2864">
        <v>1.25</v>
      </c>
      <c r="E188" s="2777" t="s">
        <v>4305</v>
      </c>
      <c r="G188" s="2945" t="s">
        <v>4422</v>
      </c>
      <c r="H188" s="2946"/>
      <c r="I188" s="2946"/>
      <c r="J188" s="2858">
        <v>199.0</v>
      </c>
      <c r="K188" s="2767">
        <f t="shared" si="24"/>
        <v>3980.0</v>
      </c>
      <c r="M188" s="2784" t="s">
        <v>4423</v>
      </c>
      <c r="N188" s="2785"/>
      <c r="O188" s="2785"/>
      <c r="P188" s="2810">
        <v>1.35</v>
      </c>
      <c r="Q188" s="2802">
        <f t="shared" si="15"/>
        <v>27.0</v>
      </c>
      <c r="S188" s="2761" t="s">
        <v>1453</v>
      </c>
      <c r="T188" s="2762"/>
      <c r="U188" s="2764" t="s">
        <v>3831</v>
      </c>
      <c r="V188" s="2856" t="s">
        <v>4018</v>
      </c>
    </row>
    <row r="189" spans="8:8" ht="16.05" customHeight="1">
      <c r="B189" s="2910" t="s">
        <v>4424</v>
      </c>
      <c r="C189" s="2911"/>
      <c r="D189" s="2810">
        <v>0.05</v>
      </c>
      <c r="E189" s="2802">
        <f>D189*20</f>
        <v>1.0</v>
      </c>
      <c r="G189" s="2814" t="s">
        <v>4425</v>
      </c>
      <c r="H189" s="2949"/>
      <c r="I189" s="2949"/>
      <c r="J189" s="2864">
        <v>295.0</v>
      </c>
      <c r="K189" s="2777">
        <f t="shared" si="24"/>
        <v>5900.0</v>
      </c>
      <c r="M189" s="2756"/>
      <c r="N189" s="2756"/>
      <c r="O189" s="2756"/>
      <c r="P189" s="2756"/>
      <c r="Q189" s="2756"/>
      <c r="S189" s="2765" t="s">
        <v>4426</v>
      </c>
      <c r="T189" s="2766"/>
      <c r="U189" s="2858">
        <v>0.15</v>
      </c>
      <c r="V189" s="2767">
        <f t="shared" si="25" ref="V189:V212">U189*20</f>
        <v>3.0</v>
      </c>
    </row>
    <row r="190" spans="8:8" ht="16.05" customHeight="1">
      <c r="G190" s="2890" t="s">
        <v>4427</v>
      </c>
      <c r="H190" s="2950"/>
      <c r="I190" s="2950"/>
      <c r="J190" s="2951">
        <v>395.0</v>
      </c>
      <c r="K190" s="2767">
        <f t="shared" si="24"/>
        <v>7900.0</v>
      </c>
      <c r="M190" s="2753" t="s">
        <v>3993</v>
      </c>
      <c r="N190" s="2754"/>
      <c r="O190" s="2754"/>
      <c r="P190" s="2754"/>
      <c r="Q190" s="2755"/>
      <c r="S190" s="2881" t="s">
        <v>4428</v>
      </c>
      <c r="T190" s="2882"/>
      <c r="U190" s="2864">
        <v>0.33</v>
      </c>
      <c r="V190" s="2777">
        <f t="shared" si="25"/>
        <v>6.6000000000000005</v>
      </c>
    </row>
    <row r="191" spans="8:8" ht="16.05" customHeight="1">
      <c r="G191" s="2900" t="s">
        <v>4429</v>
      </c>
      <c r="H191" s="2901"/>
      <c r="I191" s="2901"/>
      <c r="J191" s="2901"/>
      <c r="K191" s="2902"/>
      <c r="M191" s="2761" t="s">
        <v>1453</v>
      </c>
      <c r="N191" s="2854"/>
      <c r="O191" s="2854"/>
      <c r="P191" s="2855" t="s">
        <v>3831</v>
      </c>
      <c r="Q191" s="2856" t="s">
        <v>4018</v>
      </c>
      <c r="S191" s="2765" t="s">
        <v>4430</v>
      </c>
      <c r="T191" s="2766"/>
      <c r="U191" s="2858">
        <v>5.45</v>
      </c>
      <c r="V191" s="2767">
        <f t="shared" si="25"/>
        <v>109.0</v>
      </c>
    </row>
    <row r="192" spans="8:8" ht="16.05" customHeight="1">
      <c r="G192" s="2765" t="s">
        <v>4431</v>
      </c>
      <c r="H192" s="2859"/>
      <c r="I192" s="2859"/>
      <c r="J192" s="2858">
        <v>10.0</v>
      </c>
      <c r="K192" s="2767">
        <f t="shared" si="24"/>
        <v>200.0</v>
      </c>
      <c r="M192" s="2765" t="s">
        <v>4432</v>
      </c>
      <c r="N192" s="2859"/>
      <c r="O192" s="2859"/>
      <c r="P192" s="2858">
        <v>0.15</v>
      </c>
      <c r="Q192" s="2767">
        <f>P192*20</f>
        <v>3.0</v>
      </c>
      <c r="S192" s="2775" t="s">
        <v>4433</v>
      </c>
      <c r="T192" s="2776"/>
      <c r="U192" s="2864">
        <v>1.3</v>
      </c>
      <c r="V192" s="2777">
        <f t="shared" si="25"/>
        <v>26.0</v>
      </c>
    </row>
    <row r="193" spans="8:8" ht="16.05" customHeight="1">
      <c r="G193" s="2775" t="s">
        <v>4434</v>
      </c>
      <c r="H193" s="2865"/>
      <c r="I193" s="2865"/>
      <c r="J193" s="2864">
        <v>19.95</v>
      </c>
      <c r="K193" s="2777">
        <f t="shared" si="24"/>
        <v>399.0</v>
      </c>
      <c r="M193" s="2775" t="s">
        <v>4435</v>
      </c>
      <c r="N193" s="2865"/>
      <c r="O193" s="2865"/>
      <c r="P193" s="2864">
        <v>0.05</v>
      </c>
      <c r="Q193" s="2777">
        <f>P193*20</f>
        <v>1.0</v>
      </c>
      <c r="S193" s="2945" t="s">
        <v>4436</v>
      </c>
      <c r="T193" s="2952"/>
      <c r="U193" s="2858">
        <v>14.1</v>
      </c>
      <c r="V193" s="2767">
        <f t="shared" si="25"/>
        <v>282.0</v>
      </c>
    </row>
    <row r="194" spans="8:8" ht="16.05" customHeight="1">
      <c r="G194" s="2765" t="s">
        <v>4437</v>
      </c>
      <c r="H194" s="2859"/>
      <c r="I194" s="2859"/>
      <c r="J194" s="2858">
        <v>5.0</v>
      </c>
      <c r="K194" s="2767">
        <f t="shared" si="24"/>
        <v>100.0</v>
      </c>
      <c r="M194" s="2765" t="s">
        <v>4438</v>
      </c>
      <c r="N194" s="2859"/>
      <c r="O194" s="2859"/>
      <c r="P194" s="2858">
        <v>1.0</v>
      </c>
      <c r="Q194" s="2767">
        <f>P194*20</f>
        <v>20.0</v>
      </c>
      <c r="S194" s="2775" t="s">
        <v>4439</v>
      </c>
      <c r="T194" s="2776"/>
      <c r="U194" s="2864">
        <v>0.55</v>
      </c>
      <c r="V194" s="2777">
        <f t="shared" si="25"/>
        <v>11.0</v>
      </c>
    </row>
    <row r="195" spans="8:8" ht="16.05" customHeight="1">
      <c r="G195" s="2775" t="s">
        <v>4440</v>
      </c>
      <c r="H195" s="2865"/>
      <c r="I195" s="2865"/>
      <c r="J195" s="2864">
        <v>77.0</v>
      </c>
      <c r="K195" s="2777">
        <f t="shared" si="24"/>
        <v>1540.0</v>
      </c>
      <c r="M195" s="2775" t="s">
        <v>4441</v>
      </c>
      <c r="N195" s="2865"/>
      <c r="O195" s="2865"/>
      <c r="P195" s="2864">
        <v>4.0</v>
      </c>
      <c r="Q195" s="2777">
        <f>P195*20</f>
        <v>80.0</v>
      </c>
      <c r="S195" s="2765" t="s">
        <v>4442</v>
      </c>
      <c r="T195" s="2766"/>
      <c r="U195" s="2858">
        <v>6.75</v>
      </c>
      <c r="V195" s="2767">
        <f t="shared" si="25"/>
        <v>135.0</v>
      </c>
    </row>
    <row r="196" spans="8:8" ht="16.05" customHeight="1">
      <c r="G196" s="2765" t="s">
        <v>4443</v>
      </c>
      <c r="H196" s="2859"/>
      <c r="I196" s="2859"/>
      <c r="J196" s="2858">
        <v>49.5</v>
      </c>
      <c r="K196" s="2767">
        <f t="shared" si="24"/>
        <v>990.0</v>
      </c>
      <c r="M196" s="2765" t="s">
        <v>4444</v>
      </c>
      <c r="N196" s="2859"/>
      <c r="O196" s="2859"/>
      <c r="P196" s="2858">
        <v>10.0</v>
      </c>
      <c r="Q196" s="2767">
        <f>P196*20</f>
        <v>200.0</v>
      </c>
      <c r="S196" s="2775" t="s">
        <v>4445</v>
      </c>
      <c r="T196" s="2776"/>
      <c r="U196" s="2864">
        <v>4.15</v>
      </c>
      <c r="V196" s="2777">
        <f t="shared" si="25"/>
        <v>83.0</v>
      </c>
    </row>
    <row r="197" spans="8:8" ht="16.05" customHeight="1">
      <c r="G197" s="2775" t="s">
        <v>4446</v>
      </c>
      <c r="H197" s="2865"/>
      <c r="I197" s="2865"/>
      <c r="J197" s="2864">
        <v>48.0</v>
      </c>
      <c r="K197" s="2777">
        <f t="shared" si="24"/>
        <v>960.0</v>
      </c>
      <c r="M197" s="2900" t="s">
        <v>4447</v>
      </c>
      <c r="N197" s="2901"/>
      <c r="O197" s="2901"/>
      <c r="P197" s="2901"/>
      <c r="Q197" s="2902"/>
      <c r="S197" s="2765" t="s">
        <v>4448</v>
      </c>
      <c r="T197" s="2766"/>
      <c r="U197" s="2858">
        <v>1.65</v>
      </c>
      <c r="V197" s="2767">
        <f t="shared" si="25"/>
        <v>33.0</v>
      </c>
    </row>
    <row r="198" spans="8:8" ht="16.05" customHeight="1">
      <c r="G198" s="2784" t="s">
        <v>4449</v>
      </c>
      <c r="H198" s="2785"/>
      <c r="I198" s="2785"/>
      <c r="J198" s="2810">
        <v>125.0</v>
      </c>
      <c r="K198" s="2802">
        <f t="shared" si="24"/>
        <v>2500.0</v>
      </c>
      <c r="M198" s="2765" t="s">
        <v>4450</v>
      </c>
      <c r="N198" s="2859"/>
      <c r="O198" s="2859"/>
      <c r="P198" s="2858">
        <v>98.0</v>
      </c>
      <c r="Q198" s="2953" t="s">
        <v>4305</v>
      </c>
      <c r="S198" s="2775" t="s">
        <v>4451</v>
      </c>
      <c r="T198" s="2776"/>
      <c r="U198" s="2864">
        <v>4.82</v>
      </c>
      <c r="V198" s="2777">
        <f t="shared" si="25"/>
        <v>96.4</v>
      </c>
    </row>
    <row r="199" spans="8:8" ht="16.05" customHeight="1">
      <c r="M199" s="2775" t="s">
        <v>4452</v>
      </c>
      <c r="N199" s="2865"/>
      <c r="O199" s="2865"/>
      <c r="P199" s="2864">
        <v>0.75</v>
      </c>
      <c r="Q199" s="2954"/>
      <c r="S199" s="2945" t="s">
        <v>4453</v>
      </c>
      <c r="T199" s="2952"/>
      <c r="U199" s="2858">
        <v>9.25</v>
      </c>
      <c r="V199" s="2767">
        <f t="shared" si="25"/>
        <v>185.0</v>
      </c>
    </row>
    <row r="200" spans="8:8" ht="16.05" customHeight="1">
      <c r="G200" s="2753" t="s">
        <v>366</v>
      </c>
      <c r="H200" s="2754"/>
      <c r="I200" s="2754"/>
      <c r="J200" s="2754"/>
      <c r="K200" s="2755"/>
      <c r="M200" s="2765" t="s">
        <v>4454</v>
      </c>
      <c r="N200" s="2859"/>
      <c r="O200" s="2859"/>
      <c r="P200" s="2880" t="s">
        <v>4455</v>
      </c>
      <c r="Q200" s="2953"/>
      <c r="S200" s="2830" t="s">
        <v>4456</v>
      </c>
      <c r="T200" s="2831"/>
      <c r="U200" s="2864">
        <v>6.15</v>
      </c>
      <c r="V200" s="2777">
        <f t="shared" si="25"/>
        <v>123.0</v>
      </c>
    </row>
    <row r="201" spans="8:8" ht="16.05" customHeight="1">
      <c r="G201" s="2761" t="s">
        <v>1453</v>
      </c>
      <c r="H201" s="2762"/>
      <c r="I201" s="2762"/>
      <c r="J201" s="2764" t="s">
        <v>3831</v>
      </c>
      <c r="K201" s="2856" t="s">
        <v>4018</v>
      </c>
      <c r="M201" s="2775" t="s">
        <v>4457</v>
      </c>
      <c r="N201" s="2865"/>
      <c r="O201" s="2865"/>
      <c r="P201" s="2864">
        <v>0.38</v>
      </c>
      <c r="Q201" s="2954"/>
      <c r="S201" s="2812" t="s">
        <v>4458</v>
      </c>
      <c r="T201" s="2813"/>
      <c r="U201" s="2858">
        <v>5.95</v>
      </c>
      <c r="V201" s="2767">
        <f t="shared" si="25"/>
        <v>119.0</v>
      </c>
    </row>
    <row r="202" spans="8:8" ht="16.05" customHeight="1">
      <c r="G202" s="2765" t="s">
        <v>4459</v>
      </c>
      <c r="H202" s="2859"/>
      <c r="I202" s="2859"/>
      <c r="J202" s="2858" t="s">
        <v>4460</v>
      </c>
      <c r="K202" s="2955" t="s">
        <v>4461</v>
      </c>
      <c r="M202" s="2765" t="s">
        <v>4462</v>
      </c>
      <c r="N202" s="2859"/>
      <c r="O202" s="2859"/>
      <c r="P202" s="2858">
        <v>4.95</v>
      </c>
      <c r="Q202" s="2953"/>
      <c r="S202" s="2775" t="s">
        <v>4463</v>
      </c>
      <c r="T202" s="2776"/>
      <c r="U202" s="2864">
        <v>3.75</v>
      </c>
      <c r="V202" s="2777">
        <f t="shared" si="25"/>
        <v>75.0</v>
      </c>
    </row>
    <row r="203" spans="8:8" ht="16.05" customHeight="1">
      <c r="G203" s="2775" t="s">
        <v>4464</v>
      </c>
      <c r="H203" s="2865"/>
      <c r="I203" s="2865"/>
      <c r="J203" s="2864" t="s">
        <v>4465</v>
      </c>
      <c r="K203" s="2948" t="s">
        <v>4466</v>
      </c>
      <c r="M203" s="2775" t="s">
        <v>4467</v>
      </c>
      <c r="N203" s="2865"/>
      <c r="O203" s="2865"/>
      <c r="P203" s="2956" t="s">
        <v>4468</v>
      </c>
      <c r="Q203" s="2954"/>
      <c r="S203" s="2765" t="s">
        <v>4469</v>
      </c>
      <c r="T203" s="2766"/>
      <c r="U203" s="2858">
        <v>1.68</v>
      </c>
      <c r="V203" s="2767">
        <f t="shared" si="25"/>
        <v>33.6</v>
      </c>
    </row>
    <row r="204" spans="8:8" ht="16.05" customHeight="1">
      <c r="G204" s="2784" t="s">
        <v>4470</v>
      </c>
      <c r="H204" s="2785"/>
      <c r="I204" s="2785"/>
      <c r="J204" s="2810">
        <v>30.0</v>
      </c>
      <c r="K204" s="2802">
        <f t="shared" si="26" ref="K204">J204*20</f>
        <v>600.0</v>
      </c>
      <c r="M204" s="2765" t="s">
        <v>4471</v>
      </c>
      <c r="N204" s="2859"/>
      <c r="O204" s="2859"/>
      <c r="P204" s="2858">
        <v>140.0</v>
      </c>
      <c r="Q204" s="2953"/>
      <c r="S204" s="2881" t="s">
        <v>4472</v>
      </c>
      <c r="T204" s="2882"/>
      <c r="U204" s="2864">
        <v>7.4</v>
      </c>
      <c r="V204" s="2777">
        <f t="shared" si="25"/>
        <v>148.0</v>
      </c>
    </row>
    <row r="205" spans="8:8" ht="16.05" customHeight="1">
      <c r="M205" s="2775" t="s">
        <v>4473</v>
      </c>
      <c r="N205" s="2865"/>
      <c r="O205" s="2865"/>
      <c r="P205" s="2864">
        <v>335.0</v>
      </c>
      <c r="Q205" s="2954"/>
      <c r="S205" s="2765" t="s">
        <v>4474</v>
      </c>
      <c r="T205" s="2766"/>
      <c r="U205" s="2858">
        <v>0.59</v>
      </c>
      <c r="V205" s="2767">
        <f t="shared" si="25"/>
        <v>11.799999999999999</v>
      </c>
    </row>
    <row r="206" spans="8:8" ht="16.05" customHeight="1">
      <c r="M206" s="2765" t="s">
        <v>4475</v>
      </c>
      <c r="N206" s="2859"/>
      <c r="O206" s="2859"/>
      <c r="P206" s="2858">
        <v>65.0</v>
      </c>
      <c r="Q206" s="2953"/>
      <c r="S206" s="2881" t="s">
        <v>4476</v>
      </c>
      <c r="T206" s="2882"/>
      <c r="U206" s="2864">
        <v>0.98</v>
      </c>
      <c r="V206" s="2777">
        <f t="shared" si="25"/>
        <v>19.6</v>
      </c>
    </row>
    <row r="207" spans="8:8" ht="16.05" customHeight="1">
      <c r="F207" s="205"/>
      <c r="G207" s="205"/>
      <c r="H207" s="205"/>
      <c r="I207" s="205"/>
      <c r="M207" s="2900" t="s">
        <v>1339</v>
      </c>
      <c r="N207" s="2901"/>
      <c r="O207" s="2901"/>
      <c r="P207" s="2901"/>
      <c r="Q207" s="2902"/>
      <c r="S207" s="2765" t="s">
        <v>4477</v>
      </c>
      <c r="T207" s="2766"/>
      <c r="U207" s="2858">
        <v>0.59</v>
      </c>
      <c r="V207" s="2767">
        <f t="shared" si="25"/>
        <v>11.799999999999999</v>
      </c>
    </row>
    <row r="208" spans="8:8" ht="16.05" customHeight="1">
      <c r="F208" s="205"/>
      <c r="G208" s="205"/>
      <c r="H208" s="205"/>
      <c r="I208" s="205"/>
      <c r="M208" s="2765" t="s">
        <v>4478</v>
      </c>
      <c r="N208" s="2859"/>
      <c r="O208" s="2859"/>
      <c r="P208" s="2858">
        <v>7.45</v>
      </c>
      <c r="Q208" s="2767">
        <f t="shared" si="27" ref="Q208:Q216">P208*20</f>
        <v>149.0</v>
      </c>
      <c r="S208" s="2775" t="s">
        <v>4479</v>
      </c>
      <c r="T208" s="2776"/>
      <c r="U208" s="2864">
        <v>1.39</v>
      </c>
      <c r="V208" s="2777">
        <f t="shared" si="25"/>
        <v>27.799999999999997</v>
      </c>
    </row>
    <row r="209" spans="8:8" ht="16.05" customHeight="1">
      <c r="F209" s="205"/>
      <c r="G209" s="205"/>
      <c r="H209" s="205"/>
      <c r="I209" s="205"/>
      <c r="L209" s="205"/>
      <c r="M209" s="2775" t="s">
        <v>4480</v>
      </c>
      <c r="N209" s="2865"/>
      <c r="O209" s="2865"/>
      <c r="P209" s="2864">
        <v>69.75</v>
      </c>
      <c r="Q209" s="2777">
        <f t="shared" si="27"/>
        <v>1395.0</v>
      </c>
      <c r="S209" s="2860" t="s">
        <v>4481</v>
      </c>
      <c r="T209" s="2861"/>
      <c r="U209" s="2858">
        <v>23.95</v>
      </c>
      <c r="V209" s="2767">
        <f t="shared" si="25"/>
        <v>479.0</v>
      </c>
    </row>
    <row r="210" spans="8:8" ht="16.05" customHeight="1">
      <c r="F210" s="205"/>
      <c r="G210" s="205"/>
      <c r="H210" s="2852"/>
      <c r="I210" s="205"/>
      <c r="L210" s="205"/>
      <c r="M210" s="2765" t="s">
        <v>4482</v>
      </c>
      <c r="N210" s="2859"/>
      <c r="O210" s="2859"/>
      <c r="P210" s="2858">
        <v>8.95</v>
      </c>
      <c r="Q210" s="2767">
        <f t="shared" si="27"/>
        <v>179.0</v>
      </c>
      <c r="S210" s="2908" t="s">
        <v>4483</v>
      </c>
      <c r="T210" s="2913"/>
      <c r="U210" s="2864">
        <v>2.3</v>
      </c>
      <c r="V210" s="2777">
        <f t="shared" si="25"/>
        <v>46.0</v>
      </c>
    </row>
    <row r="211" spans="8:8" ht="16.05" customHeight="1">
      <c r="F211" s="205"/>
      <c r="G211" s="205"/>
      <c r="H211" s="205"/>
      <c r="I211" s="205"/>
      <c r="L211" s="205"/>
      <c r="M211" s="2775" t="s">
        <v>4484</v>
      </c>
      <c r="N211" s="2865"/>
      <c r="O211" s="2865"/>
      <c r="P211" s="2864">
        <v>2.75</v>
      </c>
      <c r="Q211" s="2777">
        <f t="shared" si="27"/>
        <v>55.0</v>
      </c>
      <c r="S211" s="2765" t="s">
        <v>4485</v>
      </c>
      <c r="T211" s="2766"/>
      <c r="U211" s="2858">
        <v>1.99</v>
      </c>
      <c r="V211" s="2767">
        <f t="shared" si="25"/>
        <v>39.8</v>
      </c>
    </row>
    <row r="212" spans="8:8" ht="16.05" customHeight="1">
      <c r="F212" s="205"/>
      <c r="G212" s="205"/>
      <c r="H212" s="205"/>
      <c r="I212" s="205"/>
      <c r="M212" s="2765" t="s">
        <v>4486</v>
      </c>
      <c r="N212" s="2859"/>
      <c r="O212" s="2859"/>
      <c r="P212" s="2858">
        <v>9.95</v>
      </c>
      <c r="Q212" s="2767">
        <f t="shared" si="27"/>
        <v>199.0</v>
      </c>
      <c r="S212" s="2957" t="s">
        <v>4487</v>
      </c>
      <c r="T212" s="2958"/>
      <c r="U212" s="2874">
        <v>1.8</v>
      </c>
      <c r="V212" s="2816">
        <f t="shared" si="25"/>
        <v>36.0</v>
      </c>
    </row>
    <row r="213" spans="8:8" ht="16.05" customHeight="1">
      <c r="F213" s="205"/>
      <c r="G213" s="205"/>
      <c r="H213" s="205"/>
      <c r="I213" s="205"/>
      <c r="M213" s="2775" t="s">
        <v>4488</v>
      </c>
      <c r="N213" s="2865"/>
      <c r="O213" s="2865"/>
      <c r="P213" s="2864">
        <v>14.95</v>
      </c>
      <c r="Q213" s="2777">
        <f t="shared" si="27"/>
        <v>299.0</v>
      </c>
    </row>
    <row r="214" spans="8:8" ht="16.05" customHeight="1">
      <c r="M214" s="2765" t="s">
        <v>4489</v>
      </c>
      <c r="N214" s="2859"/>
      <c r="O214" s="2859"/>
      <c r="P214" s="2858">
        <v>3.45</v>
      </c>
      <c r="Q214" s="2767">
        <f t="shared" si="27"/>
        <v>69.0</v>
      </c>
    </row>
    <row r="215" spans="8:8" ht="16.05" customHeight="1">
      <c r="M215" s="2775" t="s">
        <v>4490</v>
      </c>
      <c r="N215" s="2865"/>
      <c r="O215" s="2865"/>
      <c r="P215" s="2864">
        <v>127.0</v>
      </c>
      <c r="Q215" s="2777">
        <f t="shared" si="27"/>
        <v>2540.0</v>
      </c>
    </row>
    <row r="216" spans="8:8" ht="16.05" customHeight="1">
      <c r="M216" s="2784" t="s">
        <v>4491</v>
      </c>
      <c r="N216" s="2785"/>
      <c r="O216" s="2785"/>
      <c r="P216" s="2810">
        <v>447.0</v>
      </c>
      <c r="Q216" s="2802">
        <f t="shared" si="27"/>
        <v>8940.0</v>
      </c>
    </row>
    <row r="217" spans="8:8" ht="16.05" customHeight="1"/>
    <row r="218" spans="8:8" ht="16.05" customHeight="1"/>
    <row r="219" spans="8:8" ht="16.05" customHeight="1"/>
    <row r="220" spans="8:8" ht="16.05" customHeight="1"/>
    <row r="221" spans="8:8" ht="16.05" customHeight="1"/>
    <row r="222" spans="8:8" ht="16.05" customHeight="1"/>
    <row r="223" spans="8:8" ht="16.05" customHeight="1"/>
    <row r="224" spans="8:8" ht="16.05" customHeight="1"/>
    <row r="225" spans="8:8" ht="16.05" customHeight="1"/>
    <row r="226" spans="8:8" ht="16.05" customHeight="1">
      <c r="S226" s="2929"/>
      <c r="T226" s="2929"/>
      <c r="U226" s="2929"/>
      <c r="V226" s="2756"/>
    </row>
    <row r="227" spans="8:8" ht="16.05" customHeight="1">
      <c r="S227" s="2929"/>
      <c r="T227" s="2929"/>
      <c r="U227" s="2929"/>
      <c r="V227" s="2756"/>
    </row>
    <row r="228" spans="8:8" ht="16.05" customHeight="1">
      <c r="S228" s="2929"/>
      <c r="T228" s="2929"/>
      <c r="U228" s="2929"/>
      <c r="V228" s="2756"/>
    </row>
    <row r="229" spans="8:8" ht="16.05" customHeight="1">
      <c r="S229" s="2929"/>
      <c r="T229" s="2929"/>
      <c r="U229" s="2929"/>
      <c r="V229" s="2756"/>
    </row>
    <row r="230" spans="8:8" ht="16.05" customHeight="1"/>
    <row r="231" spans="8:8" ht="16.05" customHeight="1"/>
    <row r="232" spans="8:8" ht="16.05" customHeight="1"/>
    <row r="233" spans="8:8" ht="16.05" customHeight="1"/>
    <row r="234" spans="8:8" ht="16.05" customHeight="1"/>
    <row r="235" spans="8:8" ht="16.05" customHeight="1"/>
  </sheetData>
  <sheetProtection sheet="1" objects="1"/>
  <mergeCells count="815">
    <mergeCell ref="G148:I148"/>
    <mergeCell ref="O11:P11"/>
    <mergeCell ref="R72:S72"/>
    <mergeCell ref="G189:I189"/>
    <mergeCell ref="S154:T154"/>
    <mergeCell ref="B131:C131"/>
    <mergeCell ref="B103:C103"/>
    <mergeCell ref="S104:T104"/>
    <mergeCell ref="S126:T126"/>
    <mergeCell ref="B179:E179"/>
    <mergeCell ref="G193:I193"/>
    <mergeCell ref="B163:C163"/>
    <mergeCell ref="B144:C144"/>
    <mergeCell ref="B133:C133"/>
    <mergeCell ref="M192:O192"/>
    <mergeCell ref="S113:T113"/>
    <mergeCell ref="G161:I161"/>
    <mergeCell ref="S180:T180"/>
    <mergeCell ref="S141:T141"/>
    <mergeCell ref="M215:O215"/>
    <mergeCell ref="G142:J142"/>
    <mergeCell ref="S124:T124"/>
    <mergeCell ref="S190:T190"/>
    <mergeCell ref="M91:Q91"/>
    <mergeCell ref="G21:H21"/>
    <mergeCell ref="N28:R28"/>
    <mergeCell ref="B63:C63"/>
    <mergeCell ref="M68:P68"/>
    <mergeCell ref="G80:J80"/>
    <mergeCell ref="O10:P10"/>
    <mergeCell ref="G16:H16"/>
    <mergeCell ref="R60:S60"/>
    <mergeCell ref="G77:J77"/>
    <mergeCell ref="M57:O57"/>
    <mergeCell ref="I22:J22"/>
    <mergeCell ref="G46:J46"/>
    <mergeCell ref="G117:I117"/>
    <mergeCell ref="M108:O108"/>
    <mergeCell ref="B189:C189"/>
    <mergeCell ref="M121:O121"/>
    <mergeCell ref="S150:V150"/>
    <mergeCell ref="B115:C115"/>
    <mergeCell ref="W18:X18"/>
    <mergeCell ref="V43:AA43"/>
    <mergeCell ref="R79:S79"/>
    <mergeCell ref="M58:O58"/>
    <mergeCell ref="X99:Y99"/>
    <mergeCell ref="G56:K56"/>
    <mergeCell ref="M211:O211"/>
    <mergeCell ref="G185:I185"/>
    <mergeCell ref="S197:T197"/>
    <mergeCell ref="B128:C128"/>
    <mergeCell ref="M177:O177"/>
    <mergeCell ref="B171:C171"/>
    <mergeCell ref="B172:C172"/>
    <mergeCell ref="M170:O170"/>
    <mergeCell ref="G133:K133"/>
    <mergeCell ref="Y13:Z13"/>
    <mergeCell ref="R75:S75"/>
    <mergeCell ref="X98:Y98"/>
    <mergeCell ref="G43:K43"/>
    <mergeCell ref="Z63:AA63"/>
    <mergeCell ref="V69:Y69"/>
    <mergeCell ref="V59:Y59"/>
    <mergeCell ref="R54:S54"/>
    <mergeCell ref="W19:X19"/>
    <mergeCell ref="X112:Y112"/>
    <mergeCell ref="V51:Y51"/>
    <mergeCell ref="W22:X22"/>
    <mergeCell ref="V54:Y54"/>
    <mergeCell ref="X104:Y104"/>
    <mergeCell ref="S169:T169"/>
    <mergeCell ref="G129:I129"/>
    <mergeCell ref="B173:C173"/>
    <mergeCell ref="S170:T170"/>
    <mergeCell ref="M156:O156"/>
    <mergeCell ref="S136:T136"/>
    <mergeCell ref="S163:T163"/>
    <mergeCell ref="M169:O169"/>
    <mergeCell ref="M164:O164"/>
    <mergeCell ref="W12:X12"/>
    <mergeCell ref="B98:C98"/>
    <mergeCell ref="V56:Y56"/>
    <mergeCell ref="Z62:AA62"/>
    <mergeCell ref="B74:D74"/>
    <mergeCell ref="S94:T94"/>
    <mergeCell ref="W16:X16"/>
    <mergeCell ref="V47:Y47"/>
    <mergeCell ref="R83:S83"/>
    <mergeCell ref="A12:D13"/>
    <mergeCell ref="A9:D11"/>
    <mergeCell ref="S117:T117"/>
    <mergeCell ref="M79:O79"/>
    <mergeCell ref="V61:AA61"/>
    <mergeCell ref="B94:C94"/>
    <mergeCell ref="X102:Y102"/>
    <mergeCell ref="X123:Y123"/>
    <mergeCell ref="W20:X20"/>
    <mergeCell ref="V53:Y53"/>
    <mergeCell ref="Y21:Z21"/>
    <mergeCell ref="S116:T116"/>
    <mergeCell ref="M187:O187"/>
    <mergeCell ref="S200:T200"/>
    <mergeCell ref="B64:E64"/>
    <mergeCell ref="G157:I157"/>
    <mergeCell ref="S195:T195"/>
    <mergeCell ref="B182:C182"/>
    <mergeCell ref="M206:O206"/>
    <mergeCell ref="G147:I147"/>
    <mergeCell ref="B132:C132"/>
    <mergeCell ref="B76:D76"/>
    <mergeCell ref="B77:D77"/>
    <mergeCell ref="M213:O213"/>
    <mergeCell ref="M150:O150"/>
    <mergeCell ref="S198:T198"/>
    <mergeCell ref="M201:O201"/>
    <mergeCell ref="S201:T201"/>
    <mergeCell ref="M182:O182"/>
    <mergeCell ref="X129:AA129"/>
    <mergeCell ref="S199:T199"/>
    <mergeCell ref="G73:J73"/>
    <mergeCell ref="R65:T65"/>
    <mergeCell ref="B62:D62"/>
    <mergeCell ref="M64:O64"/>
    <mergeCell ref="B53:D53"/>
    <mergeCell ref="B46:D46"/>
    <mergeCell ref="B187:C187"/>
    <mergeCell ref="S156:T156"/>
    <mergeCell ref="G141:J141"/>
    <mergeCell ref="S206:T206"/>
    <mergeCell ref="E181:E183"/>
    <mergeCell ref="B176:C176"/>
    <mergeCell ref="M154:O154"/>
    <mergeCell ref="B107:C107"/>
    <mergeCell ref="R67:S67"/>
    <mergeCell ref="B149:C149"/>
    <mergeCell ref="G201:I201"/>
    <mergeCell ref="S165:T165"/>
    <mergeCell ref="G70:J70"/>
    <mergeCell ref="M174:O174"/>
    <mergeCell ref="S207:T207"/>
    <mergeCell ref="M212:O212"/>
    <mergeCell ref="S153:T153"/>
    <mergeCell ref="Z70:AA70"/>
    <mergeCell ref="Z64:AA64"/>
    <mergeCell ref="M63:O63"/>
    <mergeCell ref="S123:V123"/>
    <mergeCell ref="M205:O205"/>
    <mergeCell ref="S212:T212"/>
    <mergeCell ref="G72:J72"/>
    <mergeCell ref="G197:I197"/>
    <mergeCell ref="M141:O141"/>
    <mergeCell ref="I20:J20"/>
    <mergeCell ref="O9:P9"/>
    <mergeCell ref="G7:H7"/>
    <mergeCell ref="O8:P8"/>
    <mergeCell ref="B2:AA4"/>
    <mergeCell ref="X97:Y97"/>
    <mergeCell ref="G196:I196"/>
    <mergeCell ref="M198:O198"/>
    <mergeCell ref="M72:O72"/>
    <mergeCell ref="B177:C177"/>
    <mergeCell ref="M202:O202"/>
    <mergeCell ref="S204:T204"/>
    <mergeCell ref="G123:I123"/>
    <mergeCell ref="B188:C188"/>
    <mergeCell ref="M126:O126"/>
    <mergeCell ref="S202:T202"/>
    <mergeCell ref="G120:K120"/>
    <mergeCell ref="B180:C180"/>
    <mergeCell ref="R70:S70"/>
    <mergeCell ref="M197:Q197"/>
    <mergeCell ref="M52:O52"/>
    <mergeCell ref="S167:T167"/>
    <mergeCell ref="R48:S48"/>
    <mergeCell ref="B39:AA41"/>
    <mergeCell ref="S208:T208"/>
    <mergeCell ref="G79:J79"/>
    <mergeCell ref="B162:C162"/>
    <mergeCell ref="S181:T181"/>
    <mergeCell ref="G71:J71"/>
    <mergeCell ref="M50:O50"/>
    <mergeCell ref="G183:I183"/>
    <mergeCell ref="M97:O97"/>
    <mergeCell ref="O22:P22"/>
    <mergeCell ref="O18:P18"/>
    <mergeCell ref="M15:S15"/>
    <mergeCell ref="B49:D49"/>
    <mergeCell ref="G204:I204"/>
    <mergeCell ref="X106:Y106"/>
    <mergeCell ref="M207:Q207"/>
    <mergeCell ref="B175:C175"/>
    <mergeCell ref="M119:O119"/>
    <mergeCell ref="S194:T194"/>
    <mergeCell ref="B104:C104"/>
    <mergeCell ref="S93:T93"/>
    <mergeCell ref="B54:D54"/>
    <mergeCell ref="M195:O195"/>
    <mergeCell ref="R78:S78"/>
    <mergeCell ref="N29:R29"/>
    <mergeCell ref="X119:Y119"/>
    <mergeCell ref="G192:I192"/>
    <mergeCell ref="S205:T205"/>
    <mergeCell ref="I12:J12"/>
    <mergeCell ref="S196:T196"/>
    <mergeCell ref="G198:I198"/>
    <mergeCell ref="Q12:R12"/>
    <mergeCell ref="Q10:R10"/>
    <mergeCell ref="Y9:Z9"/>
    <mergeCell ref="V5:AB5"/>
    <mergeCell ref="M94:O94"/>
    <mergeCell ref="G203:I203"/>
    <mergeCell ref="B140:C140"/>
    <mergeCell ref="M190:Q190"/>
    <mergeCell ref="M199:O199"/>
    <mergeCell ref="F25:J25"/>
    <mergeCell ref="B181:C181"/>
    <mergeCell ref="B142:C142"/>
    <mergeCell ref="S187:V187"/>
    <mergeCell ref="M208:O208"/>
    <mergeCell ref="G159:K159"/>
    <mergeCell ref="S128:T128"/>
    <mergeCell ref="M168:O168"/>
    <mergeCell ref="M179:O179"/>
    <mergeCell ref="S210:T210"/>
    <mergeCell ref="M62:P62"/>
    <mergeCell ref="G180:I180"/>
    <mergeCell ref="M196:O196"/>
    <mergeCell ref="M188:O188"/>
    <mergeCell ref="M163:O163"/>
    <mergeCell ref="G111:I111"/>
    <mergeCell ref="V63:Y63"/>
    <mergeCell ref="B47:D47"/>
    <mergeCell ref="G190:I190"/>
    <mergeCell ref="M76:O76"/>
    <mergeCell ref="G95:I95"/>
    <mergeCell ref="G184:I184"/>
    <mergeCell ref="B108:C108"/>
    <mergeCell ref="S176:T176"/>
    <mergeCell ref="B121:C121"/>
    <mergeCell ref="X96:Y96"/>
    <mergeCell ref="X136:Z136"/>
    <mergeCell ref="B66:D66"/>
    <mergeCell ref="G163:I163"/>
    <mergeCell ref="M95:O95"/>
    <mergeCell ref="G128:K128"/>
    <mergeCell ref="S161:T161"/>
    <mergeCell ref="M176:O176"/>
    <mergeCell ref="B156:C156"/>
    <mergeCell ref="M111:O111"/>
    <mergeCell ref="M216:O216"/>
    <mergeCell ref="S209:T209"/>
    <mergeCell ref="B116:C116"/>
    <mergeCell ref="X92:Y92"/>
    <mergeCell ref="X141:AA146"/>
    <mergeCell ref="X100:Y100"/>
    <mergeCell ref="X101:Y101"/>
    <mergeCell ref="X95:Y95"/>
    <mergeCell ref="X111:AA111"/>
    <mergeCell ref="G116:I116"/>
    <mergeCell ref="Z73:AA73"/>
    <mergeCell ref="X137:Z137"/>
    <mergeCell ref="V70:Y70"/>
    <mergeCell ref="Z68:AA68"/>
    <mergeCell ref="S112:T112"/>
    <mergeCell ref="X126:Y126"/>
    <mergeCell ref="V71:Y71"/>
    <mergeCell ref="X114:Y114"/>
    <mergeCell ref="V73:Y73"/>
    <mergeCell ref="B168:C168"/>
    <mergeCell ref="M133:O133"/>
    <mergeCell ref="G176:I176"/>
    <mergeCell ref="S147:T147"/>
    <mergeCell ref="S166:T166"/>
    <mergeCell ref="S103:T103"/>
    <mergeCell ref="F31:J31"/>
    <mergeCell ref="Q7:R7"/>
    <mergeCell ref="S121:T121"/>
    <mergeCell ref="M157:O157"/>
    <mergeCell ref="S183:T183"/>
    <mergeCell ref="S145:T145"/>
    <mergeCell ref="S134:T134"/>
    <mergeCell ref="M131:O131"/>
    <mergeCell ref="M6:S6"/>
    <mergeCell ref="O13:P13"/>
    <mergeCell ref="M129:Q129"/>
    <mergeCell ref="G172:I172"/>
    <mergeCell ref="M145:O145"/>
    <mergeCell ref="M136:O136"/>
    <mergeCell ref="M139:O139"/>
    <mergeCell ref="N31:R31"/>
    <mergeCell ref="B110:C110"/>
    <mergeCell ref="G115:I115"/>
    <mergeCell ref="B118:C118"/>
    <mergeCell ref="M65:O65"/>
    <mergeCell ref="B48:D48"/>
    <mergeCell ref="B129:C129"/>
    <mergeCell ref="E6:K6"/>
    <mergeCell ref="X122:Y122"/>
    <mergeCell ref="M185:O185"/>
    <mergeCell ref="B148:C148"/>
    <mergeCell ref="B183:C183"/>
    <mergeCell ref="G52:J52"/>
    <mergeCell ref="A6:D8"/>
    <mergeCell ref="G119:I119"/>
    <mergeCell ref="Y17:Z17"/>
    <mergeCell ref="W11:X11"/>
    <mergeCell ref="M59:O59"/>
    <mergeCell ref="B95:C95"/>
    <mergeCell ref="M98:O98"/>
    <mergeCell ref="B80:D80"/>
    <mergeCell ref="G93:I93"/>
    <mergeCell ref="B81:D81"/>
    <mergeCell ref="S111:T111"/>
    <mergeCell ref="S118:T118"/>
    <mergeCell ref="G130:I130"/>
    <mergeCell ref="M181:O181"/>
    <mergeCell ref="S142:T142"/>
    <mergeCell ref="M134:O134"/>
    <mergeCell ref="M140:O140"/>
    <mergeCell ref="Y16:Z16"/>
    <mergeCell ref="G106:I106"/>
    <mergeCell ref="I8:J8"/>
    <mergeCell ref="W17:X17"/>
    <mergeCell ref="G57:J57"/>
    <mergeCell ref="S98:T98"/>
    <mergeCell ref="Y11:Z11"/>
    <mergeCell ref="F29:J29"/>
    <mergeCell ref="B97:C97"/>
    <mergeCell ref="G104:I104"/>
    <mergeCell ref="G59:J59"/>
    <mergeCell ref="G74:J74"/>
    <mergeCell ref="G64:J64"/>
    <mergeCell ref="B45:D45"/>
    <mergeCell ref="M54:O54"/>
    <mergeCell ref="B69:D69"/>
    <mergeCell ref="N26:R26"/>
    <mergeCell ref="G48:J48"/>
    <mergeCell ref="G51:J51"/>
    <mergeCell ref="G81:J81"/>
    <mergeCell ref="M214:O214"/>
    <mergeCell ref="S108:T108"/>
    <mergeCell ref="V44:Y44"/>
    <mergeCell ref="M124:O124"/>
    <mergeCell ref="I11:J11"/>
    <mergeCell ref="V72:Y72"/>
    <mergeCell ref="S91:V91"/>
    <mergeCell ref="V67:Y67"/>
    <mergeCell ref="X108:Y108"/>
    <mergeCell ref="B44:D44"/>
    <mergeCell ref="G102:I102"/>
    <mergeCell ref="R59:S59"/>
    <mergeCell ref="B87:AA89"/>
    <mergeCell ref="Z72:AA72"/>
    <mergeCell ref="Z74:AA74"/>
    <mergeCell ref="X120:Y120"/>
    <mergeCell ref="M193:O193"/>
    <mergeCell ref="B155:E155"/>
    <mergeCell ref="X127:Y127"/>
    <mergeCell ref="X134:Z134"/>
    <mergeCell ref="X125:Y125"/>
    <mergeCell ref="M101:O101"/>
    <mergeCell ref="B55:D55"/>
    <mergeCell ref="M56:O56"/>
    <mergeCell ref="G61:J61"/>
    <mergeCell ref="G58:J58"/>
    <mergeCell ref="B70:D70"/>
    <mergeCell ref="B122:C122"/>
    <mergeCell ref="S115:T115"/>
    <mergeCell ref="B68:D68"/>
    <mergeCell ref="M53:O53"/>
    <mergeCell ref="B106:C106"/>
    <mergeCell ref="M180:O180"/>
    <mergeCell ref="B166:C166"/>
    <mergeCell ref="M135:O135"/>
    <mergeCell ref="S179:T179"/>
    <mergeCell ref="G150:I150"/>
    <mergeCell ref="M151:O151"/>
    <mergeCell ref="G200:K200"/>
    <mergeCell ref="B73:D73"/>
    <mergeCell ref="V45:Y45"/>
    <mergeCell ref="V74:Y74"/>
    <mergeCell ref="B72:D72"/>
    <mergeCell ref="V64:Y64"/>
    <mergeCell ref="X109:Y109"/>
    <mergeCell ref="M159:O159"/>
    <mergeCell ref="S182:T182"/>
    <mergeCell ref="X135:Z135"/>
    <mergeCell ref="S110:T110"/>
    <mergeCell ref="B159:E159"/>
    <mergeCell ref="M204:O204"/>
    <mergeCell ref="B143:C143"/>
    <mergeCell ref="Z71:AA71"/>
    <mergeCell ref="G160:I160"/>
    <mergeCell ref="B78:D78"/>
    <mergeCell ref="S148:T148"/>
    <mergeCell ref="G195:I195"/>
    <mergeCell ref="B134:C134"/>
    <mergeCell ref="B59:D59"/>
    <mergeCell ref="Z69:AA69"/>
    <mergeCell ref="M147:O147"/>
    <mergeCell ref="G78:J78"/>
    <mergeCell ref="R62:S62"/>
    <mergeCell ref="G155:I155"/>
    <mergeCell ref="X91:AA91"/>
    <mergeCell ref="M70:O70"/>
    <mergeCell ref="B113:C113"/>
    <mergeCell ref="B127:E127"/>
    <mergeCell ref="X107:Y107"/>
    <mergeCell ref="G82:J82"/>
    <mergeCell ref="X117:AA117"/>
    <mergeCell ref="X124:Y124"/>
    <mergeCell ref="X118:Y118"/>
    <mergeCell ref="B157:C157"/>
    <mergeCell ref="B99:C99"/>
    <mergeCell ref="G186:I186"/>
    <mergeCell ref="R81:S81"/>
    <mergeCell ref="S109:T109"/>
    <mergeCell ref="G114:I114"/>
    <mergeCell ref="M120:O120"/>
    <mergeCell ref="R63:S63"/>
    <mergeCell ref="G118:I118"/>
    <mergeCell ref="S125:T125"/>
    <mergeCell ref="B93:C93"/>
    <mergeCell ref="X105:Y105"/>
    <mergeCell ref="M71:O71"/>
    <mergeCell ref="Z66:AA66"/>
    <mergeCell ref="Z67:AA67"/>
    <mergeCell ref="N35:R35"/>
    <mergeCell ref="G134:J134"/>
    <mergeCell ref="M155:O155"/>
    <mergeCell ref="S101:T101"/>
    <mergeCell ref="F35:J35"/>
    <mergeCell ref="S193:T193"/>
    <mergeCell ref="G137:J137"/>
    <mergeCell ref="M173:O173"/>
    <mergeCell ref="G175:I175"/>
    <mergeCell ref="S160:T160"/>
    <mergeCell ref="Q11:R11"/>
    <mergeCell ref="M85:O85"/>
    <mergeCell ref="S119:T119"/>
    <mergeCell ref="O12:P12"/>
    <mergeCell ref="R51:S51"/>
    <mergeCell ref="G9:H9"/>
    <mergeCell ref="B58:D58"/>
    <mergeCell ref="G202:I202"/>
    <mergeCell ref="V49:Y49"/>
    <mergeCell ref="S211:T211"/>
    <mergeCell ref="G173:I173"/>
    <mergeCell ref="M96:O96"/>
    <mergeCell ref="M194:O194"/>
    <mergeCell ref="X131:Z131"/>
    <mergeCell ref="M130:O130"/>
    <mergeCell ref="S138:T138"/>
    <mergeCell ref="S144:T144"/>
    <mergeCell ref="G110:I110"/>
    <mergeCell ref="V58:Y58"/>
    <mergeCell ref="B67:D67"/>
    <mergeCell ref="M43:P43"/>
    <mergeCell ref="V46:Y46"/>
    <mergeCell ref="G92:I92"/>
    <mergeCell ref="Z65:AA65"/>
    <mergeCell ref="V65:Y65"/>
    <mergeCell ref="V57:Y57"/>
    <mergeCell ref="V66:Y66"/>
    <mergeCell ref="B146:C146"/>
    <mergeCell ref="X113:Y113"/>
    <mergeCell ref="X139:Z139"/>
    <mergeCell ref="B147:C147"/>
    <mergeCell ref="G124:K124"/>
    <mergeCell ref="M113:O113"/>
    <mergeCell ref="X121:Y121"/>
    <mergeCell ref="B153:C153"/>
    <mergeCell ref="S184:T184"/>
    <mergeCell ref="G170:I170"/>
    <mergeCell ref="X130:Z130"/>
    <mergeCell ref="B137:C137"/>
    <mergeCell ref="G187:I187"/>
    <mergeCell ref="B184:C184"/>
    <mergeCell ref="B90:AA90"/>
    <mergeCell ref="V55:Y55"/>
    <mergeCell ref="X103:Y103"/>
    <mergeCell ref="S191:T191"/>
    <mergeCell ref="B141:C141"/>
    <mergeCell ref="G135:J135"/>
    <mergeCell ref="G174:K174"/>
    <mergeCell ref="G138:J138"/>
    <mergeCell ref="G149:I149"/>
    <mergeCell ref="M148:O148"/>
    <mergeCell ref="G19:H19"/>
    <mergeCell ref="I10:J10"/>
    <mergeCell ref="N32:R34"/>
    <mergeCell ref="G107:I107"/>
    <mergeCell ref="B50:D50"/>
    <mergeCell ref="M114:O114"/>
    <mergeCell ref="I7:J7"/>
    <mergeCell ref="N27:R27"/>
    <mergeCell ref="R58:T58"/>
    <mergeCell ref="G98:I98"/>
    <mergeCell ref="F28:J28"/>
    <mergeCell ref="Y20:Z20"/>
    <mergeCell ref="G194:I194"/>
    <mergeCell ref="S151:T151"/>
    <mergeCell ref="B119:C119"/>
    <mergeCell ref="B123:C123"/>
    <mergeCell ref="G22:H22"/>
    <mergeCell ref="M82:O82"/>
    <mergeCell ref="G53:J53"/>
    <mergeCell ref="G96:I96"/>
    <mergeCell ref="M118:O118"/>
    <mergeCell ref="B124:C124"/>
    <mergeCell ref="B120:C120"/>
    <mergeCell ref="B57:D57"/>
    <mergeCell ref="M100:Q100"/>
    <mergeCell ref="G45:J45"/>
    <mergeCell ref="R61:S61"/>
    <mergeCell ref="M127:O127"/>
    <mergeCell ref="B161:C161"/>
    <mergeCell ref="S143:T143"/>
    <mergeCell ref="M149:O149"/>
    <mergeCell ref="G146:J146"/>
    <mergeCell ref="M146:O146"/>
    <mergeCell ref="B109:C109"/>
    <mergeCell ref="B125:C125"/>
    <mergeCell ref="S152:T152"/>
    <mergeCell ref="G168:I168"/>
    <mergeCell ref="G139:J139"/>
    <mergeCell ref="G145:J145"/>
    <mergeCell ref="S96:T96"/>
    <mergeCell ref="G47:J47"/>
    <mergeCell ref="G100:I100"/>
    <mergeCell ref="M45:O45"/>
    <mergeCell ref="G76:K76"/>
    <mergeCell ref="S97:T97"/>
    <mergeCell ref="G105:I105"/>
    <mergeCell ref="V50:Y50"/>
    <mergeCell ref="S178:T178"/>
    <mergeCell ref="G127:I127"/>
    <mergeCell ref="B165:C165"/>
    <mergeCell ref="M125:O125"/>
    <mergeCell ref="X140:Z140"/>
    <mergeCell ref="M110:O110"/>
    <mergeCell ref="S100:V100"/>
    <mergeCell ref="M117:O117"/>
    <mergeCell ref="M116:O116"/>
    <mergeCell ref="M51:O51"/>
    <mergeCell ref="G13:H13"/>
    <mergeCell ref="N25:R25"/>
    <mergeCell ref="G49:J49"/>
    <mergeCell ref="B56:D56"/>
    <mergeCell ref="B42:AA42"/>
    <mergeCell ref="V48:Y48"/>
    <mergeCell ref="G152:K152"/>
    <mergeCell ref="M92:O92"/>
    <mergeCell ref="S132:T132"/>
    <mergeCell ref="R71:S71"/>
    <mergeCell ref="M160:O160"/>
    <mergeCell ref="S188:T188"/>
    <mergeCell ref="G62:J62"/>
    <mergeCell ref="Q17:R17"/>
    <mergeCell ref="G12:H12"/>
    <mergeCell ref="G103:I103"/>
    <mergeCell ref="B135:C135"/>
    <mergeCell ref="I18:J18"/>
    <mergeCell ref="B185:C185"/>
    <mergeCell ref="G156:I156"/>
    <mergeCell ref="G182:K182"/>
    <mergeCell ref="G167:I167"/>
    <mergeCell ref="B164:C164"/>
    <mergeCell ref="B117:C117"/>
    <mergeCell ref="G65:J65"/>
    <mergeCell ref="S159:T159"/>
    <mergeCell ref="M166:O166"/>
    <mergeCell ref="R46:S46"/>
    <mergeCell ref="Q16:R16"/>
    <mergeCell ref="M49:O49"/>
    <mergeCell ref="R55:S55"/>
    <mergeCell ref="M60:O60"/>
    <mergeCell ref="N30:R30"/>
    <mergeCell ref="Q22:R22"/>
    <mergeCell ref="M123:O123"/>
    <mergeCell ref="G54:J54"/>
    <mergeCell ref="Q18:R18"/>
    <mergeCell ref="R80:S80"/>
    <mergeCell ref="S92:T92"/>
    <mergeCell ref="M209:O209"/>
    <mergeCell ref="M210:O210"/>
    <mergeCell ref="M107:Q107"/>
    <mergeCell ref="S203:T203"/>
    <mergeCell ref="S174:T174"/>
    <mergeCell ref="M158:O158"/>
    <mergeCell ref="M138:O138"/>
    <mergeCell ref="M178:Q178"/>
    <mergeCell ref="S175:T175"/>
    <mergeCell ref="B160:C160"/>
    <mergeCell ref="S146:T146"/>
    <mergeCell ref="S157:T157"/>
    <mergeCell ref="S155:T155"/>
    <mergeCell ref="M165:O165"/>
    <mergeCell ref="M162:O162"/>
    <mergeCell ref="O17:P17"/>
    <mergeCell ref="B52:D52"/>
    <mergeCell ref="M84:O84"/>
    <mergeCell ref="R44:S44"/>
    <mergeCell ref="W10:X10"/>
    <mergeCell ref="W13:X13"/>
    <mergeCell ref="Y19:Z19"/>
    <mergeCell ref="U15:AA15"/>
    <mergeCell ref="S107:T107"/>
    <mergeCell ref="G154:I154"/>
    <mergeCell ref="S185:T185"/>
    <mergeCell ref="S114:T114"/>
    <mergeCell ref="G136:J136"/>
    <mergeCell ref="S173:T173"/>
    <mergeCell ref="G179:I179"/>
    <mergeCell ref="G143:J143"/>
    <mergeCell ref="S130:V130"/>
    <mergeCell ref="F27:J27"/>
    <mergeCell ref="M73:O73"/>
    <mergeCell ref="M48:O48"/>
    <mergeCell ref="M55:O55"/>
    <mergeCell ref="M46:O46"/>
    <mergeCell ref="F33:J33"/>
    <mergeCell ref="M109:O109"/>
    <mergeCell ref="G122:I122"/>
    <mergeCell ref="S127:T127"/>
    <mergeCell ref="G165:K165"/>
    <mergeCell ref="M175:O175"/>
    <mergeCell ref="M93:O93"/>
    <mergeCell ref="G66:J66"/>
    <mergeCell ref="Q13:R13"/>
    <mergeCell ref="E15:K15"/>
    <mergeCell ref="G153:I153"/>
    <mergeCell ref="R52:S52"/>
    <mergeCell ref="S164:T164"/>
    <mergeCell ref="M47:O47"/>
    <mergeCell ref="M167:O167"/>
    <mergeCell ref="M184:O184"/>
    <mergeCell ref="G178:I178"/>
    <mergeCell ref="B43:E43"/>
    <mergeCell ref="S95:T95"/>
    <mergeCell ref="M23:S23"/>
    <mergeCell ref="B82:D82"/>
    <mergeCell ref="G50:J50"/>
    <mergeCell ref="R53:S53"/>
    <mergeCell ref="B100:C100"/>
    <mergeCell ref="R43:T43"/>
    <mergeCell ref="I21:J21"/>
    <mergeCell ref="Q8:R8"/>
    <mergeCell ref="R45:S45"/>
    <mergeCell ref="R69:S69"/>
    <mergeCell ref="S137:T137"/>
    <mergeCell ref="M103:O103"/>
    <mergeCell ref="X138:Z138"/>
    <mergeCell ref="X93:Y93"/>
    <mergeCell ref="S140:T140"/>
    <mergeCell ref="M153:O153"/>
    <mergeCell ref="X132:Z132"/>
    <mergeCell ref="W7:X7"/>
    <mergeCell ref="B114:C114"/>
    <mergeCell ref="F36:J36"/>
    <mergeCell ref="G69:K69"/>
    <mergeCell ref="B96:C96"/>
    <mergeCell ref="V52:Y52"/>
    <mergeCell ref="G44:J44"/>
    <mergeCell ref="M74:O74"/>
    <mergeCell ref="B75:D75"/>
    <mergeCell ref="B61:D61"/>
    <mergeCell ref="X94:Y94"/>
    <mergeCell ref="M83:O83"/>
    <mergeCell ref="G126:I126"/>
    <mergeCell ref="S133:T133"/>
    <mergeCell ref="R76:S76"/>
    <mergeCell ref="R82:S82"/>
    <mergeCell ref="R66:S66"/>
    <mergeCell ref="M66:O66"/>
    <mergeCell ref="Y7:Z7"/>
    <mergeCell ref="I9:J9"/>
    <mergeCell ref="Y18:Z18"/>
    <mergeCell ref="W8:X8"/>
    <mergeCell ref="W9:X9"/>
    <mergeCell ref="Y12:Z12"/>
    <mergeCell ref="U6:AA6"/>
    <mergeCell ref="G8:H8"/>
    <mergeCell ref="G112:I112"/>
    <mergeCell ref="M200:O200"/>
    <mergeCell ref="S131:T131"/>
    <mergeCell ref="X133:Z133"/>
    <mergeCell ref="G125:I125"/>
    <mergeCell ref="M203:O203"/>
    <mergeCell ref="G144:J144"/>
    <mergeCell ref="M112:O112"/>
    <mergeCell ref="B92:C92"/>
    <mergeCell ref="B111:C111"/>
    <mergeCell ref="Y8:Z8"/>
    <mergeCell ref="G113:I113"/>
    <mergeCell ref="Y10:Z10"/>
    <mergeCell ref="O7:P7"/>
    <mergeCell ref="G121:I121"/>
    <mergeCell ref="M161:O161"/>
    <mergeCell ref="G191:K191"/>
    <mergeCell ref="S120:T120"/>
    <mergeCell ref="S172:T172"/>
    <mergeCell ref="B186:C186"/>
    <mergeCell ref="M137:O137"/>
    <mergeCell ref="G11:H11"/>
    <mergeCell ref="Q20:R20"/>
    <mergeCell ref="F30:J30"/>
    <mergeCell ref="S192:T192"/>
    <mergeCell ref="G131:I131"/>
    <mergeCell ref="G171:I171"/>
    <mergeCell ref="M142:O142"/>
    <mergeCell ref="G188:I188"/>
    <mergeCell ref="S162:T162"/>
    <mergeCell ref="Q198:Q206"/>
    <mergeCell ref="M171:O171"/>
    <mergeCell ref="F26:J26"/>
    <mergeCell ref="B91:E91"/>
    <mergeCell ref="G101:I101"/>
    <mergeCell ref="F34:J34"/>
    <mergeCell ref="F32:J32"/>
    <mergeCell ref="G60:J60"/>
    <mergeCell ref="W21:X21"/>
    <mergeCell ref="M81:O81"/>
    <mergeCell ref="G140:J140"/>
    <mergeCell ref="S106:T106"/>
    <mergeCell ref="G109:I109"/>
    <mergeCell ref="R77:S77"/>
    <mergeCell ref="G162:I162"/>
    <mergeCell ref="Y22:Z22"/>
    <mergeCell ref="G99:I99"/>
    <mergeCell ref="B60:D60"/>
    <mergeCell ref="I16:J16"/>
    <mergeCell ref="B105:C105"/>
    <mergeCell ref="B139:C139"/>
    <mergeCell ref="X115:Y115"/>
    <mergeCell ref="G94:I94"/>
    <mergeCell ref="R74:S74"/>
    <mergeCell ref="M122:O122"/>
    <mergeCell ref="V68:Y68"/>
    <mergeCell ref="V62:Y62"/>
    <mergeCell ref="Q9:R9"/>
    <mergeCell ref="M102:O102"/>
    <mergeCell ref="G18:H18"/>
    <mergeCell ref="S105:T105"/>
    <mergeCell ref="B167:C167"/>
    <mergeCell ref="M172:O172"/>
    <mergeCell ref="M186:O186"/>
    <mergeCell ref="B102:C102"/>
    <mergeCell ref="B112:C112"/>
    <mergeCell ref="S168:T168"/>
    <mergeCell ref="B65:D65"/>
    <mergeCell ref="I19:J19"/>
    <mergeCell ref="M78:P78"/>
    <mergeCell ref="M183:O183"/>
    <mergeCell ref="B130:C130"/>
    <mergeCell ref="M105:O105"/>
    <mergeCell ref="M144:Q144"/>
    <mergeCell ref="G97:I97"/>
    <mergeCell ref="O16:P16"/>
    <mergeCell ref="R47:S47"/>
    <mergeCell ref="M80:O80"/>
    <mergeCell ref="O21:P21"/>
    <mergeCell ref="M75:O75"/>
    <mergeCell ref="G91:K91"/>
    <mergeCell ref="M99:O99"/>
    <mergeCell ref="G20:H20"/>
    <mergeCell ref="R56:S56"/>
    <mergeCell ref="M69:O69"/>
    <mergeCell ref="M44:O44"/>
    <mergeCell ref="G63:J63"/>
    <mergeCell ref="G67:J67"/>
    <mergeCell ref="Q19:R19"/>
    <mergeCell ref="M104:O104"/>
    <mergeCell ref="B158:C158"/>
    <mergeCell ref="G169:I169"/>
    <mergeCell ref="S139:T139"/>
    <mergeCell ref="S158:T158"/>
    <mergeCell ref="R68:S68"/>
    <mergeCell ref="B101:C101"/>
    <mergeCell ref="M152:O152"/>
    <mergeCell ref="G177:I177"/>
    <mergeCell ref="G108:I108"/>
    <mergeCell ref="B174:C174"/>
    <mergeCell ref="G166:I166"/>
    <mergeCell ref="S177:T177"/>
    <mergeCell ref="B170:E170"/>
    <mergeCell ref="O20:P20"/>
    <mergeCell ref="G17:H17"/>
    <mergeCell ref="S102:T102"/>
    <mergeCell ref="B152:C152"/>
    <mergeCell ref="G158:I158"/>
    <mergeCell ref="N36:R36"/>
    <mergeCell ref="R73:S73"/>
    <mergeCell ref="B51:D51"/>
    <mergeCell ref="Q21:R21"/>
    <mergeCell ref="S171:T171"/>
    <mergeCell ref="B136:C136"/>
    <mergeCell ref="B150:C150"/>
    <mergeCell ref="B151:C151"/>
    <mergeCell ref="B138:C138"/>
    <mergeCell ref="M115:O115"/>
    <mergeCell ref="S189:T189"/>
    <mergeCell ref="B71:D71"/>
    <mergeCell ref="O19:P19"/>
    <mergeCell ref="R50:S50"/>
    <mergeCell ref="I13:J13"/>
    <mergeCell ref="M191:O191"/>
    <mergeCell ref="B145:C145"/>
    <mergeCell ref="S135:T135"/>
    <mergeCell ref="M132:O132"/>
    <mergeCell ref="B79:D79"/>
    <mergeCell ref="I17:J17"/>
    <mergeCell ref="R49:T49"/>
    <mergeCell ref="G10:H10"/>
  </mergeCells>
  <dataValidations count="7">
    <dataValidation allowBlank="1" type="any" operator="between" errorStyle="stop" showInputMessage="1" promptTitle="注" prompt="价格在$3000 以下的，准确射程不到 200 码" showErrorMessage="1" sqref="X139:Z139"/>
    <dataValidation allowBlank="1" type="any" operator="between" errorStyle="stop" showInputMessage="1" promptTitle="注" prompt="不知道为什么，物价表的信号枪价值100美元。 武器列表的信号枪却价值75美元了。 我觉得可能是求生和军用的区别吧？" showErrorMessage="1" sqref="P60"/>
    <dataValidation allowBlank="1" type="any" operator="between" errorStyle="stop" showInputMessage="1" promptTitle="注" prompt="和信号枪一样 这个价格也和武器表不一样 嘛，主要看dm怎么觉定啦" showErrorMessage="1" sqref="AA67"/>
    <dataValidation allowBlank="1" type="any" operator="between" errorStyle="stop" showInputMessage="1" promptTitle="注" prompt="和信号枪一样 价格跟武器表不一样 嘛，看kp啦" showErrorMessage="1" sqref="Z66:AA66"/>
    <dataValidation allowBlank="1" type="any" operator="between" errorStyle="stop" showInputMessage="1" promptTitle="注" prompt="悬停25秒" showErrorMessage="1" sqref="X138:Z138"/>
    <dataValidation allowBlank="1" type="any" operator="between" errorStyle="stop" showInputMessage="1" promptTitle="注" prompt="哑弹率30%" showErrorMessage="1" sqref="X137:Z137"/>
    <dataValidation allowBlank="1" type="any" operator="between" errorStyle="stop" showInputMessage="1" promptTitle="注" prompt="50% 哑弹率" showErrorMessage="1" sqref="X140:Z140"/>
  </dataValidations>
  <pageMargins left="0.75" right="0.75" top="1.0" bottom="1.0" header="0.511805555555556" footer="0.511805555555556"/>
</worksheet>
</file>

<file path=xl/worksheets/sheet12.xml><?xml version="1.0" encoding="utf-8"?>
<worksheet xmlns:r="http://schemas.openxmlformats.org/officeDocument/2006/relationships" xmlns="http://schemas.openxmlformats.org/spreadsheetml/2006/main">
  <dimension ref="A1:CY339"/>
  <sheetViews>
    <sheetView workbookViewId="0" showGridLines="0" showRowColHeaders="0">
      <pane ySplit="1" topLeftCell="A2" state="frozen" activePane="bottomLeft"/>
      <selection pane="bottomLeft" activeCell="A1" sqref="A1"/>
    </sheetView>
  </sheetViews>
  <sheetFormatPr defaultRowHeight="13.95" defaultColWidth="10"/>
  <cols>
    <col min="1" max="1" customWidth="1" width="20.777344" style="2959"/>
    <col min="2" max="2" customWidth="1" width="30.0" style="2959"/>
    <col min="3" max="3" customWidth="1" width="12.109375" style="2959"/>
    <col min="4" max="4" customWidth="1" width="14.777344" style="2959"/>
    <col min="5" max="5" customWidth="1" width="8.777344" style="2959"/>
    <col min="6" max="6" customWidth="1" width="4.6640625" style="2959"/>
    <col min="7" max="7" customWidth="1" width="10.777344" style="2959"/>
    <col min="8" max="8" customWidth="1" width="8.0" style="2959"/>
    <col min="9" max="9" customWidth="1" width="7.7773438" style="2959"/>
    <col min="10" max="10" customWidth="1" width="9.6640625" style="2959"/>
    <col min="11" max="12" customWidth="1" width="13.0" style="2960"/>
    <col min="13" max="13" customWidth="1" width="8.6640625" style="2960"/>
    <col min="14" max="14" customWidth="1" width="9.109375" style="2960"/>
    <col min="15" max="17" customWidth="1" width="8.886719" style="2960"/>
    <col min="18" max="18" customWidth="1" width="10.21875" style="2960"/>
    <col min="19" max="20" customWidth="1" width="8.886719" style="2960"/>
    <col min="21" max="22" hidden="1" customWidth="1" width="39.21875" style="2960"/>
    <col min="23" max="23" customWidth="1" width="12.109375" style="2960"/>
    <col min="24" max="24" customWidth="1" width="14.777344" style="2960"/>
    <col min="25" max="25" customWidth="1" width="8.777344" style="2960"/>
    <col min="26" max="26" customWidth="1" width="4.6640625" style="2960"/>
    <col min="27" max="27" customWidth="1" width="15.21875" style="2960"/>
    <col min="28" max="29" customWidth="1" width="7.7773438" style="2960"/>
    <col min="30" max="30" customWidth="1" width="9.6640625" style="2960"/>
    <col min="31" max="31" customWidth="1" width="13.0" style="2960"/>
    <col min="32" max="36" customWidth="1" width="8.886719" style="2961"/>
    <col min="37" max="37" customWidth="1" width="9.6640625" style="2961"/>
    <col min="38" max="38" customWidth="1" width="8.886719" style="2960"/>
    <col min="39" max="16384" customWidth="0" width="8.886719" style="2960"/>
  </cols>
  <sheetData>
    <row r="1" spans="8:8" ht="21.05" customHeight="1">
      <c r="B1" s="2962" t="s">
        <v>4492</v>
      </c>
      <c r="C1" s="2962" t="s">
        <v>301</v>
      </c>
      <c r="D1" s="2962" t="s">
        <v>161</v>
      </c>
      <c r="E1" s="2962" t="s">
        <v>5962</v>
      </c>
      <c r="F1" s="2962" t="s">
        <v>163</v>
      </c>
      <c r="G1" s="2962" t="s">
        <v>4493</v>
      </c>
      <c r="H1" s="2962" t="s">
        <v>165</v>
      </c>
      <c r="I1" s="2962" t="s">
        <v>166</v>
      </c>
      <c r="J1" s="2962" t="s">
        <v>4494</v>
      </c>
      <c r="K1" s="2963" t="s">
        <v>4495</v>
      </c>
      <c r="L1" s="2963" t="s">
        <v>4496</v>
      </c>
      <c r="M1" s="2964" t="s">
        <v>158</v>
      </c>
      <c r="N1" s="2965" t="s">
        <v>261</v>
      </c>
      <c r="O1" s="2965"/>
      <c r="P1" s="2965"/>
      <c r="Q1" s="2965"/>
      <c r="R1" s="2965"/>
      <c r="S1" s="2966"/>
      <c r="T1" s="2966"/>
      <c r="U1" s="2960" t="str">
        <f>人物卡!M4</f>
        <v>1920s</v>
      </c>
      <c r="V1" s="2967"/>
      <c r="W1" s="2968"/>
      <c r="X1" s="2968"/>
      <c r="Y1" s="2968"/>
      <c r="Z1" s="2968"/>
      <c r="AA1" s="2968"/>
      <c r="AB1" s="2968"/>
      <c r="AC1" s="2968"/>
      <c r="AD1" s="2968"/>
      <c r="AE1" s="2969"/>
      <c r="AF1" s="2968"/>
      <c r="AG1" s="2968"/>
      <c r="AH1" s="2968"/>
      <c r="AI1" s="2968"/>
      <c r="AJ1" s="2968"/>
      <c r="AK1" s="2968"/>
    </row>
    <row r="2" spans="8:8" ht="14.25" customHeight="1">
      <c r="A2" s="2970" t="s">
        <v>6006</v>
      </c>
      <c r="B2" s="2971" t="str">
        <f t="shared" si="0" ref="B2:B65">IF(OR(J2="1920s,现代",$U$1="其他",J2=$U$1,J2="罕见"),U2,"-"&amp;U2)</f>
        <v>弓箭</v>
      </c>
      <c r="C2" s="2972" t="s">
        <v>5963</v>
      </c>
      <c r="D2" s="2973" t="s">
        <v>4498</v>
      </c>
      <c r="E2" s="2973" t="s">
        <v>4499</v>
      </c>
      <c r="F2" s="2973" t="s">
        <v>171</v>
      </c>
      <c r="G2" s="2973" t="s">
        <v>4500</v>
      </c>
      <c r="H2" s="2973" t="s">
        <v>4500</v>
      </c>
      <c r="I2" s="2973" t="s">
        <v>4501</v>
      </c>
      <c r="J2" s="2973" t="s">
        <v>4502</v>
      </c>
      <c r="K2" s="2973" t="s">
        <v>4503</v>
      </c>
      <c r="L2" s="2974" t="s">
        <v>88</v>
      </c>
      <c r="M2" s="2975" t="s">
        <v>5964</v>
      </c>
      <c r="N2" s="2976" t="s">
        <v>4504</v>
      </c>
      <c r="O2" s="2977"/>
      <c r="P2" s="2977"/>
      <c r="Q2" s="2977"/>
      <c r="R2" s="2978"/>
      <c r="S2" s="2966"/>
      <c r="T2" s="2979" t="s">
        <v>4505</v>
      </c>
      <c r="U2" s="2960" t="s">
        <v>4497</v>
      </c>
      <c r="V2" s="2960" t="str">
        <f t="shared" si="1" ref="V2:V21">IF(OR(J2="1920s,现代",$U$1="其他",J2=$U$1,AND(J2="1920s,罕见",$U$1="1920s"),J2="罕见"),U2,"-"&amp;U2)</f>
        <v>弓箭</v>
      </c>
      <c r="W2" s="2980"/>
      <c r="X2" s="2981"/>
      <c r="Y2" s="2981"/>
      <c r="Z2" s="2981"/>
      <c r="AA2" s="2981"/>
      <c r="AB2" s="2981"/>
      <c r="AC2" s="2981"/>
      <c r="AD2" s="2981"/>
      <c r="AE2" s="2982"/>
      <c r="AF2" s="2983"/>
      <c r="AG2" s="2984"/>
      <c r="AH2" s="2984"/>
      <c r="AI2" s="2984"/>
      <c r="AJ2" s="2984"/>
      <c r="AK2" s="2984"/>
    </row>
    <row r="3" spans="8:8" ht="14.25" customHeight="1">
      <c r="A3" s="2985"/>
      <c r="B3" s="2986" t="str">
        <f t="shared" si="0"/>
        <v>黄铜指虎</v>
      </c>
      <c r="C3" s="2987" t="s">
        <v>116</v>
      </c>
      <c r="D3" s="2988" t="s">
        <v>4507</v>
      </c>
      <c r="E3" s="2988" t="s">
        <v>4508</v>
      </c>
      <c r="F3" s="2988" t="s">
        <v>171</v>
      </c>
      <c r="G3" s="2988" t="s">
        <v>4500</v>
      </c>
      <c r="H3" s="2988" t="s">
        <v>88</v>
      </c>
      <c r="I3" s="2988" t="s">
        <v>88</v>
      </c>
      <c r="J3" s="2988" t="s">
        <v>4502</v>
      </c>
      <c r="K3" s="2988" t="s">
        <v>4509</v>
      </c>
      <c r="L3" s="2989">
        <v>1870.0</v>
      </c>
      <c r="M3" s="2990"/>
      <c r="N3" s="2991"/>
      <c r="O3" s="2992"/>
      <c r="P3" s="2992"/>
      <c r="Q3" s="2992"/>
      <c r="R3" s="2993"/>
      <c r="S3" s="2966"/>
      <c r="T3" s="2979" t="s">
        <v>4510</v>
      </c>
      <c r="U3" s="2959" t="s">
        <v>4506</v>
      </c>
      <c r="V3" s="2960" t="str">
        <f t="shared" si="1"/>
        <v>黄铜指虎</v>
      </c>
      <c r="W3" s="2980"/>
      <c r="X3" s="2981"/>
      <c r="Y3" s="2981"/>
      <c r="Z3" s="2981"/>
      <c r="AA3" s="2981"/>
      <c r="AB3" s="2981"/>
      <c r="AC3" s="2981"/>
      <c r="AD3" s="2981"/>
      <c r="AE3" s="2994"/>
      <c r="AF3" s="2983"/>
      <c r="AG3" s="2984"/>
      <c r="AH3" s="2984"/>
      <c r="AI3" s="2984"/>
      <c r="AJ3" s="2984"/>
      <c r="AK3" s="2984"/>
    </row>
    <row r="4" spans="8:8" ht="14.25" customHeight="1">
      <c r="A4" s="2985"/>
      <c r="B4" s="2995" t="str">
        <f t="shared" si="0"/>
        <v>长鞭</v>
      </c>
      <c r="C4" s="2996" t="s">
        <v>2577</v>
      </c>
      <c r="D4" s="2997" t="s">
        <v>4512</v>
      </c>
      <c r="E4" s="2997" t="s">
        <v>4513</v>
      </c>
      <c r="F4" s="2997" t="s">
        <v>171</v>
      </c>
      <c r="G4" s="2997" t="s">
        <v>4500</v>
      </c>
      <c r="H4" s="2997" t="s">
        <v>88</v>
      </c>
      <c r="I4" s="2997" t="s">
        <v>88</v>
      </c>
      <c r="J4" s="2997" t="s">
        <v>11</v>
      </c>
      <c r="K4" s="2997" t="s">
        <v>4514</v>
      </c>
      <c r="L4" s="2998" t="s">
        <v>88</v>
      </c>
      <c r="M4" s="2990"/>
      <c r="N4" s="2991"/>
      <c r="O4" s="2992"/>
      <c r="P4" s="2992"/>
      <c r="Q4" s="2992"/>
      <c r="R4" s="2993"/>
      <c r="S4" s="2966"/>
      <c r="T4" s="2979" t="s">
        <v>4515</v>
      </c>
      <c r="U4" s="2960" t="s">
        <v>4511</v>
      </c>
      <c r="V4" s="2960" t="str">
        <f t="shared" si="1"/>
        <v>长鞭</v>
      </c>
      <c r="W4" s="2980"/>
      <c r="X4" s="2981"/>
      <c r="Y4" s="2981"/>
      <c r="Z4" s="2981"/>
      <c r="AA4" s="2981"/>
      <c r="AB4" s="2981"/>
      <c r="AC4" s="2981"/>
      <c r="AD4" s="2981"/>
      <c r="AE4" s="2981"/>
      <c r="AF4" s="2983"/>
      <c r="AG4" s="2984"/>
      <c r="AH4" s="2984"/>
      <c r="AI4" s="2984"/>
      <c r="AJ4" s="2984"/>
      <c r="AK4" s="2984"/>
    </row>
    <row r="5" spans="8:8" ht="14.25" customHeight="1">
      <c r="A5" s="2985"/>
      <c r="B5" s="2986" t="str">
        <f t="shared" si="0"/>
        <v>燃烧的火把</v>
      </c>
      <c r="C5" s="2987" t="s">
        <v>116</v>
      </c>
      <c r="D5" s="2988" t="s">
        <v>4517</v>
      </c>
      <c r="E5" s="2988" t="s">
        <v>4508</v>
      </c>
      <c r="F5" s="2988" t="s">
        <v>171</v>
      </c>
      <c r="G5" s="2988" t="s">
        <v>4500</v>
      </c>
      <c r="H5" s="2988" t="s">
        <v>88</v>
      </c>
      <c r="I5" s="2988" t="s">
        <v>88</v>
      </c>
      <c r="J5" s="2988" t="s">
        <v>4502</v>
      </c>
      <c r="K5" s="2988" t="s">
        <v>4518</v>
      </c>
      <c r="L5" s="2989" t="s">
        <v>88</v>
      </c>
      <c r="M5" s="2990"/>
      <c r="N5" s="2991"/>
      <c r="O5" s="2992"/>
      <c r="P5" s="2992"/>
      <c r="Q5" s="2992"/>
      <c r="R5" s="2993"/>
      <c r="S5" s="2966"/>
      <c r="T5" s="2979" t="s">
        <v>4519</v>
      </c>
      <c r="U5" s="2960" t="s">
        <v>4516</v>
      </c>
      <c r="V5" s="2960" t="str">
        <f t="shared" si="1"/>
        <v>燃烧的火把</v>
      </c>
      <c r="W5" s="2980"/>
      <c r="X5" s="2981"/>
      <c r="Y5" s="2981"/>
      <c r="Z5" s="2981"/>
      <c r="AA5" s="2981"/>
      <c r="AB5" s="2981"/>
      <c r="AC5" s="2981"/>
      <c r="AD5" s="2981"/>
      <c r="AE5" s="2981"/>
      <c r="AF5" s="2983"/>
      <c r="AG5" s="2984"/>
      <c r="AH5" s="2984"/>
      <c r="AI5" s="2984"/>
      <c r="AJ5" s="2984"/>
      <c r="AK5" s="2984"/>
    </row>
    <row r="6" spans="8:8" ht="14.25" customHeight="1">
      <c r="A6" s="2985"/>
      <c r="B6" s="2999" t="str">
        <f t="shared" si="0"/>
        <v>-电锯</v>
      </c>
      <c r="C6" s="3000" t="s">
        <v>2588</v>
      </c>
      <c r="D6" s="3001" t="s">
        <v>4520</v>
      </c>
      <c r="E6" s="3001" t="s">
        <v>4508</v>
      </c>
      <c r="F6" s="3001" t="s">
        <v>496</v>
      </c>
      <c r="G6" s="3001" t="s">
        <v>4500</v>
      </c>
      <c r="H6" s="3001" t="s">
        <v>88</v>
      </c>
      <c r="I6" s="3001" t="s">
        <v>4521</v>
      </c>
      <c r="J6" s="3001" t="s">
        <v>3212</v>
      </c>
      <c r="K6" s="3001" t="s">
        <v>4522</v>
      </c>
      <c r="L6" s="3002" t="s">
        <v>4523</v>
      </c>
      <c r="M6" s="2990"/>
      <c r="N6" s="2991"/>
      <c r="O6" s="2992"/>
      <c r="P6" s="2992"/>
      <c r="Q6" s="2992"/>
      <c r="R6" s="2993"/>
      <c r="S6" s="2966"/>
      <c r="T6" s="2979" t="s">
        <v>4520</v>
      </c>
      <c r="U6" s="2960" t="s">
        <v>2588</v>
      </c>
      <c r="V6" s="2960" t="str">
        <f t="shared" si="1"/>
        <v>-电锯</v>
      </c>
      <c r="W6" s="2980"/>
      <c r="X6" s="2981"/>
      <c r="Y6" s="2981"/>
      <c r="Z6" s="2981"/>
      <c r="AA6" s="2981"/>
      <c r="AB6" s="2981"/>
      <c r="AC6" s="2981"/>
      <c r="AD6" s="2981"/>
      <c r="AE6" s="2994"/>
      <c r="AF6" s="2983"/>
      <c r="AG6" s="2984"/>
      <c r="AH6" s="2984"/>
      <c r="AI6" s="2984"/>
      <c r="AJ6" s="2984"/>
      <c r="AK6" s="2984"/>
    </row>
    <row r="7" spans="8:8" ht="14.25" customHeight="1">
      <c r="A7" s="2985"/>
      <c r="B7" s="3003" t="str">
        <f t="shared" si="0"/>
        <v>包皮铁棍(甩棍、大头棍、护身棒)</v>
      </c>
      <c r="C7" s="3004" t="s">
        <v>116</v>
      </c>
      <c r="D7" s="3005" t="s">
        <v>4524</v>
      </c>
      <c r="E7" s="3005" t="s">
        <v>4508</v>
      </c>
      <c r="F7" s="3005" t="s">
        <v>171</v>
      </c>
      <c r="G7" s="3005" t="s">
        <v>4500</v>
      </c>
      <c r="H7" s="3005" t="s">
        <v>88</v>
      </c>
      <c r="I7" s="3005" t="s">
        <v>88</v>
      </c>
      <c r="J7" s="3005" t="s">
        <v>4502</v>
      </c>
      <c r="K7" s="3005" t="s">
        <v>4525</v>
      </c>
      <c r="L7" s="3006" t="s">
        <v>4526</v>
      </c>
      <c r="M7" s="2990"/>
      <c r="N7" s="2991"/>
      <c r="O7" s="2992"/>
      <c r="P7" s="2992"/>
      <c r="Q7" s="2992"/>
      <c r="R7" s="2993"/>
      <c r="S7" s="2966"/>
      <c r="T7" s="2979" t="s">
        <v>4527</v>
      </c>
      <c r="U7" s="2960" t="s">
        <v>5987</v>
      </c>
      <c r="V7" s="2960" t="str">
        <f t="shared" si="1"/>
        <v>包皮铁棍(甩棍、大头棍、护身棒)</v>
      </c>
      <c r="W7" s="2980"/>
      <c r="X7" s="2981"/>
      <c r="Y7" s="2981"/>
      <c r="Z7" s="2981"/>
      <c r="AA7" s="2981"/>
      <c r="AB7" s="2981"/>
      <c r="AC7" s="2981"/>
      <c r="AD7" s="2981"/>
      <c r="AE7" s="2981"/>
      <c r="AF7" s="2983"/>
      <c r="AG7" s="2984"/>
      <c r="AH7" s="2984"/>
      <c r="AI7" s="2984"/>
      <c r="AJ7" s="2984"/>
      <c r="AK7" s="2984"/>
    </row>
    <row r="8" spans="8:8" ht="14.25" customHeight="1">
      <c r="A8" s="2985"/>
      <c r="B8" s="2995" t="str">
        <f t="shared" si="0"/>
        <v>大型棍状物(棒球棍、板球棒、拨火棍等)</v>
      </c>
      <c r="C8" s="2996" t="s">
        <v>116</v>
      </c>
      <c r="D8" s="2997" t="s">
        <v>4524</v>
      </c>
      <c r="E8" s="2997" t="s">
        <v>4508</v>
      </c>
      <c r="F8" s="2997" t="s">
        <v>171</v>
      </c>
      <c r="G8" s="2997" t="s">
        <v>4500</v>
      </c>
      <c r="H8" s="2997" t="s">
        <v>88</v>
      </c>
      <c r="I8" s="2997" t="s">
        <v>88</v>
      </c>
      <c r="J8" s="2997" t="s">
        <v>4502</v>
      </c>
      <c r="K8" s="2997" t="s">
        <v>4529</v>
      </c>
      <c r="L8" s="2998" t="s">
        <v>88</v>
      </c>
      <c r="M8" s="2990"/>
      <c r="N8" s="2991"/>
      <c r="O8" s="2992"/>
      <c r="P8" s="2992"/>
      <c r="Q8" s="2992"/>
      <c r="R8" s="2993"/>
      <c r="S8" s="2966"/>
      <c r="T8" s="2979" t="s">
        <v>4527</v>
      </c>
      <c r="U8" s="2960" t="s">
        <v>4528</v>
      </c>
      <c r="V8" s="2960" t="str">
        <f t="shared" si="1"/>
        <v>大型棍状物(棒球棍、板球棒、拨火棍等)</v>
      </c>
      <c r="W8" s="2980"/>
      <c r="X8" s="2981"/>
      <c r="Y8" s="2981"/>
      <c r="Z8" s="2981"/>
      <c r="AA8" s="2981"/>
      <c r="AB8" s="2981"/>
      <c r="AC8" s="2981"/>
      <c r="AD8" s="2981"/>
      <c r="AE8" s="2981"/>
      <c r="AF8" s="2983"/>
      <c r="AG8" s="2984"/>
      <c r="AH8" s="2984"/>
      <c r="AI8" s="2984"/>
      <c r="AJ8" s="2984"/>
      <c r="AK8" s="2984"/>
    </row>
    <row r="9" spans="8:8" ht="14.25" customHeight="1">
      <c r="A9" s="2985"/>
      <c r="B9" s="2986" t="str">
        <f>IF(OR(J9="1920s,现代",$U$1="其他",J9=$U$1,J9="罕见"),U9,"-"&amp;U9)</f>
        <v>小型棍状物(警棍等)</v>
      </c>
      <c r="C9" s="2987" t="s">
        <v>116</v>
      </c>
      <c r="D9" s="2988" t="s">
        <v>4531</v>
      </c>
      <c r="E9" s="2988" t="s">
        <v>4508</v>
      </c>
      <c r="F9" s="2988" t="s">
        <v>171</v>
      </c>
      <c r="G9" s="2988" t="s">
        <v>4500</v>
      </c>
      <c r="H9" s="2988" t="s">
        <v>88</v>
      </c>
      <c r="I9" s="2988" t="s">
        <v>88</v>
      </c>
      <c r="J9" s="2988" t="s">
        <v>4502</v>
      </c>
      <c r="K9" s="2988" t="s">
        <v>4529</v>
      </c>
      <c r="L9" s="2989" t="s">
        <v>88</v>
      </c>
      <c r="M9" s="2990"/>
      <c r="N9" s="2991"/>
      <c r="O9" s="2992"/>
      <c r="P9" s="2992"/>
      <c r="Q9" s="2992"/>
      <c r="R9" s="2993"/>
      <c r="S9" s="2966"/>
      <c r="T9" s="2979" t="s">
        <v>4532</v>
      </c>
      <c r="U9" s="2960" t="s">
        <v>4530</v>
      </c>
      <c r="V9" s="2960" t="str">
        <f t="shared" si="1"/>
        <v>小型棍状物(警棍等)</v>
      </c>
      <c r="W9" s="2980"/>
      <c r="X9" s="2981"/>
      <c r="Y9" s="2981"/>
      <c r="Z9" s="2981"/>
      <c r="AA9" s="2981"/>
      <c r="AB9" s="2981"/>
      <c r="AC9" s="2981"/>
      <c r="AD9" s="2981"/>
      <c r="AE9" s="2981"/>
      <c r="AF9" s="2983"/>
      <c r="AG9" s="2984"/>
      <c r="AH9" s="2984"/>
      <c r="AI9" s="2984"/>
      <c r="AJ9" s="2984"/>
      <c r="AK9" s="2984"/>
    </row>
    <row r="10" spans="8:8" ht="14.25" customHeight="1">
      <c r="A10" s="2985"/>
      <c r="B10" s="2995" t="str">
        <f t="shared" si="0"/>
        <v>弩</v>
      </c>
      <c r="C10" s="2996" t="s">
        <v>5963</v>
      </c>
      <c r="D10" s="2997" t="s">
        <v>4534</v>
      </c>
      <c r="E10" s="2997" t="s">
        <v>4535</v>
      </c>
      <c r="F10" s="2997" t="s">
        <v>496</v>
      </c>
      <c r="G10" s="2997" t="s">
        <v>4536</v>
      </c>
      <c r="H10" s="2997" t="s">
        <v>4500</v>
      </c>
      <c r="I10" s="2997" t="s">
        <v>4537</v>
      </c>
      <c r="J10" s="2997" t="s">
        <v>4502</v>
      </c>
      <c r="K10" s="2997" t="s">
        <v>4538</v>
      </c>
      <c r="L10" s="2998" t="s">
        <v>5965</v>
      </c>
      <c r="M10" s="2990"/>
      <c r="N10" s="3007"/>
      <c r="O10" s="3008"/>
      <c r="P10" s="3008"/>
      <c r="Q10" s="3008"/>
      <c r="R10" s="3009"/>
      <c r="S10" s="2966"/>
      <c r="T10" s="2979" t="s">
        <v>4534</v>
      </c>
      <c r="U10" s="2960" t="s">
        <v>4533</v>
      </c>
      <c r="V10" s="2960" t="str">
        <f t="shared" si="1"/>
        <v>弩</v>
      </c>
      <c r="W10" s="2980"/>
      <c r="X10" s="2981"/>
      <c r="Y10" s="2981"/>
      <c r="Z10" s="2981"/>
      <c r="AA10" s="2981"/>
      <c r="AB10" s="2981"/>
      <c r="AC10" s="2981"/>
      <c r="AD10" s="2981"/>
      <c r="AE10" s="2981"/>
      <c r="AF10" s="2983"/>
      <c r="AG10" s="3010"/>
      <c r="AH10" s="3010"/>
      <c r="AI10" s="3010"/>
      <c r="AJ10" s="3010"/>
      <c r="AK10" s="3010"/>
    </row>
    <row r="11" spans="8:8" ht="14.25" customHeight="1">
      <c r="A11" s="2985"/>
      <c r="B11" s="3011" t="str">
        <f t="shared" si="0"/>
        <v>绞具</v>
      </c>
      <c r="C11" s="3012" t="s">
        <v>2616</v>
      </c>
      <c r="D11" s="3013" t="s">
        <v>4531</v>
      </c>
      <c r="E11" s="3013" t="s">
        <v>4508</v>
      </c>
      <c r="F11" s="3013" t="s">
        <v>496</v>
      </c>
      <c r="G11" s="3013" t="s">
        <v>4500</v>
      </c>
      <c r="H11" s="3013" t="s">
        <v>88</v>
      </c>
      <c r="I11" s="3013" t="s">
        <v>88</v>
      </c>
      <c r="J11" s="3013" t="s">
        <v>4502</v>
      </c>
      <c r="K11" s="3013" t="s">
        <v>4539</v>
      </c>
      <c r="L11" s="3014" t="s">
        <v>88</v>
      </c>
      <c r="M11" s="2990"/>
      <c r="N11" s="3015" t="s">
        <v>5966</v>
      </c>
      <c r="O11" s="3016"/>
      <c r="P11" s="3016"/>
      <c r="Q11" s="3016"/>
      <c r="R11" s="3017"/>
      <c r="S11" s="2966"/>
      <c r="T11" s="2979" t="s">
        <v>4532</v>
      </c>
      <c r="U11" s="2960" t="s">
        <v>2616</v>
      </c>
      <c r="V11" s="2960" t="str">
        <f t="shared" si="1"/>
        <v>绞具</v>
      </c>
      <c r="W11" s="2980"/>
      <c r="X11" s="2981"/>
      <c r="Y11" s="2981"/>
      <c r="Z11" s="2981"/>
      <c r="AA11" s="2981"/>
      <c r="AB11" s="2981"/>
      <c r="AC11" s="2981"/>
      <c r="AD11" s="2981"/>
      <c r="AE11" s="2981"/>
      <c r="AF11" s="2983"/>
      <c r="AG11" s="3010"/>
      <c r="AH11" s="3010"/>
      <c r="AI11" s="3010"/>
      <c r="AJ11" s="3010"/>
      <c r="AK11" s="3010"/>
    </row>
    <row r="12" spans="8:8" ht="14.25" customHeight="1">
      <c r="A12" s="2985"/>
      <c r="B12" s="2995" t="str">
        <f t="shared" si="0"/>
        <v>手斧/镰刀</v>
      </c>
      <c r="C12" s="2996" t="s">
        <v>2599</v>
      </c>
      <c r="D12" s="2997" t="s">
        <v>4541</v>
      </c>
      <c r="E12" s="2997" t="s">
        <v>4508</v>
      </c>
      <c r="F12" s="2997" t="s">
        <v>496</v>
      </c>
      <c r="G12" s="2997" t="s">
        <v>4500</v>
      </c>
      <c r="H12" s="2997" t="s">
        <v>88</v>
      </c>
      <c r="I12" s="2997" t="s">
        <v>88</v>
      </c>
      <c r="J12" s="2997" t="s">
        <v>4502</v>
      </c>
      <c r="K12" s="2997" t="s">
        <v>4542</v>
      </c>
      <c r="L12" s="2998" t="s">
        <v>88</v>
      </c>
      <c r="M12" s="2990"/>
      <c r="N12" s="3018"/>
      <c r="O12" s="3019"/>
      <c r="P12" s="3019"/>
      <c r="Q12" s="3019"/>
      <c r="R12" s="3020"/>
      <c r="S12" s="2966"/>
      <c r="T12" s="2979" t="s">
        <v>4543</v>
      </c>
      <c r="U12" s="2960" t="s">
        <v>4540</v>
      </c>
      <c r="V12" s="2960" t="str">
        <f t="shared" si="1"/>
        <v>手斧/镰刀</v>
      </c>
      <c r="W12" s="2980"/>
      <c r="X12" s="2981"/>
      <c r="Y12" s="2981"/>
      <c r="Z12" s="2981"/>
      <c r="AA12" s="2981"/>
      <c r="AB12" s="2981"/>
      <c r="AC12" s="2981"/>
      <c r="AD12" s="2981"/>
      <c r="AE12" s="2981"/>
      <c r="AF12" s="2983"/>
      <c r="AG12" s="3010"/>
      <c r="AH12" s="3010"/>
      <c r="AI12" s="3010"/>
      <c r="AJ12" s="3010"/>
      <c r="AK12" s="3010"/>
    </row>
    <row r="13" spans="8:8" ht="14.25" customHeight="1">
      <c r="A13" s="2985"/>
      <c r="B13" s="2986" t="str">
        <f t="shared" si="0"/>
        <v>大型刀具(甘蔗刀等)</v>
      </c>
      <c r="C13" s="2987" t="s">
        <v>116</v>
      </c>
      <c r="D13" s="2988" t="s">
        <v>4524</v>
      </c>
      <c r="E13" s="2988" t="s">
        <v>4508</v>
      </c>
      <c r="F13" s="2988" t="s">
        <v>496</v>
      </c>
      <c r="G13" s="2988" t="s">
        <v>4500</v>
      </c>
      <c r="H13" s="2988" t="s">
        <v>88</v>
      </c>
      <c r="I13" s="2988" t="s">
        <v>88</v>
      </c>
      <c r="J13" s="2988" t="s">
        <v>4502</v>
      </c>
      <c r="K13" s="2988" t="s">
        <v>4545</v>
      </c>
      <c r="L13" s="2989" t="s">
        <v>88</v>
      </c>
      <c r="M13" s="2990"/>
      <c r="N13" s="3018"/>
      <c r="O13" s="3019"/>
      <c r="P13" s="3019"/>
      <c r="Q13" s="3019"/>
      <c r="R13" s="3020"/>
      <c r="S13" s="2966"/>
      <c r="T13" s="2979" t="s">
        <v>4527</v>
      </c>
      <c r="U13" s="2960" t="s">
        <v>4544</v>
      </c>
      <c r="V13" s="2960" t="str">
        <f t="shared" si="1"/>
        <v>大型刀具(甘蔗刀等)</v>
      </c>
      <c r="W13" s="2980"/>
      <c r="X13" s="2981"/>
      <c r="Y13" s="2981"/>
      <c r="Z13" s="2981"/>
      <c r="AA13" s="2981"/>
      <c r="AB13" s="2981"/>
      <c r="AC13" s="2981"/>
      <c r="AD13" s="2981"/>
      <c r="AE13" s="2981"/>
      <c r="AF13" s="2983"/>
      <c r="AG13" s="3010"/>
      <c r="AH13" s="3010"/>
      <c r="AI13" s="3010"/>
      <c r="AJ13" s="3010"/>
      <c r="AK13" s="3010"/>
    </row>
    <row r="14" spans="8:8" ht="14.25" customHeight="1">
      <c r="A14" s="2985"/>
      <c r="B14" s="2995" t="str">
        <f t="shared" si="0"/>
        <v>中型刀具(切肉菜刀等)</v>
      </c>
      <c r="C14" s="2996" t="s">
        <v>116</v>
      </c>
      <c r="D14" s="2997" t="s">
        <v>4547</v>
      </c>
      <c r="E14" s="2997" t="s">
        <v>4508</v>
      </c>
      <c r="F14" s="2997" t="s">
        <v>496</v>
      </c>
      <c r="G14" s="2997" t="s">
        <v>4500</v>
      </c>
      <c r="H14" s="2997" t="s">
        <v>88</v>
      </c>
      <c r="I14" s="2997" t="s">
        <v>88</v>
      </c>
      <c r="J14" s="2997" t="s">
        <v>4502</v>
      </c>
      <c r="K14" s="2997" t="s">
        <v>4525</v>
      </c>
      <c r="L14" s="2998" t="s">
        <v>88</v>
      </c>
      <c r="M14" s="2990"/>
      <c r="N14" s="3018"/>
      <c r="O14" s="3019"/>
      <c r="P14" s="3019"/>
      <c r="Q14" s="3019"/>
      <c r="R14" s="3020"/>
      <c r="S14" s="2966"/>
      <c r="T14" s="2979" t="s">
        <v>4548</v>
      </c>
      <c r="U14" s="2960" t="s">
        <v>4546</v>
      </c>
      <c r="V14" s="2960" t="str">
        <f t="shared" si="1"/>
        <v>中型刀具(切肉菜刀等)</v>
      </c>
      <c r="W14" s="2980"/>
      <c r="X14" s="2981"/>
      <c r="Y14" s="2981"/>
      <c r="Z14" s="2981"/>
      <c r="AA14" s="2981"/>
      <c r="AB14" s="2981"/>
      <c r="AC14" s="2981"/>
      <c r="AD14" s="2981"/>
      <c r="AE14" s="2981"/>
      <c r="AF14" s="2983"/>
      <c r="AG14" s="3010"/>
      <c r="AH14" s="3010"/>
      <c r="AI14" s="3010"/>
      <c r="AJ14" s="3010"/>
      <c r="AK14" s="3010"/>
    </row>
    <row r="15" spans="8:8" ht="14.25" customHeight="1">
      <c r="A15" s="2985"/>
      <c r="B15" s="2986" t="str">
        <f t="shared" si="0"/>
        <v>小型刀具(弹簧折叠刀等)</v>
      </c>
      <c r="C15" s="2987" t="s">
        <v>116</v>
      </c>
      <c r="D15" s="2988" t="s">
        <v>4550</v>
      </c>
      <c r="E15" s="2988" t="s">
        <v>4508</v>
      </c>
      <c r="F15" s="2988" t="s">
        <v>496</v>
      </c>
      <c r="G15" s="2988" t="s">
        <v>4500</v>
      </c>
      <c r="H15" s="2988" t="s">
        <v>88</v>
      </c>
      <c r="I15" s="2988" t="s">
        <v>88</v>
      </c>
      <c r="J15" s="2988" t="s">
        <v>4502</v>
      </c>
      <c r="K15" s="2988" t="s">
        <v>4551</v>
      </c>
      <c r="L15" s="2989" t="s">
        <v>88</v>
      </c>
      <c r="M15" s="2990"/>
      <c r="N15" s="3018" t="s">
        <v>4552</v>
      </c>
      <c r="O15" s="3019"/>
      <c r="P15" s="3019"/>
      <c r="Q15" s="3019"/>
      <c r="R15" s="3020"/>
      <c r="S15" s="2966"/>
      <c r="T15" s="2979" t="s">
        <v>4553</v>
      </c>
      <c r="U15" s="2960" t="s">
        <v>4549</v>
      </c>
      <c r="V15" s="2960" t="str">
        <f t="shared" si="1"/>
        <v>小型刀具(弹簧折叠刀等)</v>
      </c>
      <c r="W15" s="2980"/>
      <c r="X15" s="2981"/>
      <c r="Y15" s="2981"/>
      <c r="Z15" s="2981"/>
      <c r="AA15" s="2994"/>
      <c r="AB15" s="2981"/>
      <c r="AC15" s="2981"/>
      <c r="AD15" s="2981"/>
      <c r="AE15" s="2981"/>
      <c r="AF15" s="2983"/>
      <c r="AG15" s="3010"/>
      <c r="AH15" s="3010"/>
      <c r="AI15" s="3010"/>
      <c r="AJ15" s="3010"/>
      <c r="AK15" s="3010"/>
    </row>
    <row r="16" spans="8:8" ht="14.25" customHeight="1">
      <c r="A16" s="2985"/>
      <c r="B16" s="2995" t="str">
        <f t="shared" si="0"/>
        <v>-220v通电导线</v>
      </c>
      <c r="C16" s="2996" t="s">
        <v>116</v>
      </c>
      <c r="D16" s="2997" t="s">
        <v>4555</v>
      </c>
      <c r="E16" s="2997" t="s">
        <v>4508</v>
      </c>
      <c r="F16" s="2997" t="s">
        <v>171</v>
      </c>
      <c r="G16" s="2997" t="s">
        <v>4500</v>
      </c>
      <c r="H16" s="2997" t="s">
        <v>88</v>
      </c>
      <c r="I16" s="2997" t="s">
        <v>4521</v>
      </c>
      <c r="J16" s="2997" t="s">
        <v>3212</v>
      </c>
      <c r="K16" s="2997" t="s">
        <v>88</v>
      </c>
      <c r="L16" s="2998" t="s">
        <v>4556</v>
      </c>
      <c r="M16" s="2990"/>
      <c r="N16" s="3018"/>
      <c r="O16" s="3019"/>
      <c r="P16" s="3019"/>
      <c r="Q16" s="3019"/>
      <c r="R16" s="3020"/>
      <c r="S16" s="2966"/>
      <c r="T16" s="2979" t="s">
        <v>4520</v>
      </c>
      <c r="U16" s="2960" t="s">
        <v>4554</v>
      </c>
      <c r="V16" s="2960" t="str">
        <f t="shared" si="1"/>
        <v>-220v通电导线</v>
      </c>
      <c r="W16" s="2980"/>
      <c r="X16" s="2981"/>
      <c r="Y16" s="2981"/>
      <c r="Z16" s="2981"/>
      <c r="AA16" s="2981"/>
      <c r="AB16" s="2981"/>
      <c r="AC16" s="2981"/>
      <c r="AD16" s="2981"/>
      <c r="AE16" s="2981"/>
      <c r="AF16" s="2983"/>
      <c r="AG16" s="3010"/>
      <c r="AH16" s="3010"/>
      <c r="AI16" s="3010"/>
      <c r="AJ16" s="3010"/>
      <c r="AK16" s="3010"/>
    </row>
    <row r="17" spans="8:8" ht="14.25" customHeight="1">
      <c r="A17" s="2970" t="s">
        <v>6007</v>
      </c>
      <c r="B17" s="3021" t="str">
        <f t="shared" si="0"/>
        <v>催泪瓦斯</v>
      </c>
      <c r="C17" s="3022" t="s">
        <v>116</v>
      </c>
      <c r="D17" s="3023" t="s">
        <v>4558</v>
      </c>
      <c r="E17" s="3023" t="s">
        <v>4559</v>
      </c>
      <c r="F17" s="3023" t="s">
        <v>171</v>
      </c>
      <c r="G17" s="3023" t="s">
        <v>4500</v>
      </c>
      <c r="H17" s="3023" t="s">
        <v>4560</v>
      </c>
      <c r="I17" s="3023" t="s">
        <v>88</v>
      </c>
      <c r="J17" s="3023" t="s">
        <v>4502</v>
      </c>
      <c r="K17" s="3023" t="s">
        <v>4561</v>
      </c>
      <c r="L17" s="3024" t="s">
        <v>4562</v>
      </c>
      <c r="M17" s="2990"/>
      <c r="N17" s="3025"/>
      <c r="O17" s="3026"/>
      <c r="P17" s="3026"/>
      <c r="Q17" s="3026"/>
      <c r="R17" s="3027"/>
      <c r="S17" s="2966"/>
      <c r="T17" s="2979"/>
      <c r="U17" s="2960" t="s">
        <v>4557</v>
      </c>
      <c r="V17" s="2960" t="str">
        <f>IF(OR(J17="1920s,现代",$U$1="其他",J17=$U$1,AND(J17="1920s,罕见",$U$1="1920s"),J17="罕见"),U17,"-"&amp;U17)</f>
        <v>催泪瓦斯</v>
      </c>
      <c r="W17" s="2980"/>
      <c r="X17" s="2981"/>
      <c r="Y17" s="2981"/>
      <c r="Z17" s="2981"/>
      <c r="AA17" s="2981"/>
      <c r="AB17" s="2981"/>
      <c r="AC17" s="2981"/>
      <c r="AD17" s="2981"/>
      <c r="AE17" s="2981"/>
      <c r="AF17" s="2983"/>
      <c r="AG17" s="3010"/>
      <c r="AH17" s="3010"/>
      <c r="AI17" s="3010"/>
      <c r="AJ17" s="3010"/>
      <c r="AK17" s="3010"/>
    </row>
    <row r="18" spans="8:8" ht="14.25" customHeight="1">
      <c r="A18" s="2970"/>
      <c r="B18" s="2995" t="str">
        <f t="shared" si="0"/>
        <v>双节棍</v>
      </c>
      <c r="C18" s="2996" t="s">
        <v>2622</v>
      </c>
      <c r="D18" s="2997" t="s">
        <v>4524</v>
      </c>
      <c r="E18" s="2997" t="s">
        <v>4508</v>
      </c>
      <c r="F18" s="2997" t="s">
        <v>171</v>
      </c>
      <c r="G18" s="2997" t="s">
        <v>4500</v>
      </c>
      <c r="H18" s="2997" t="s">
        <v>88</v>
      </c>
      <c r="I18" s="2997" t="s">
        <v>88</v>
      </c>
      <c r="J18" s="2997" t="s">
        <v>4502</v>
      </c>
      <c r="K18" s="2997" t="s">
        <v>4509</v>
      </c>
      <c r="L18" s="2998" t="s">
        <v>4563</v>
      </c>
      <c r="M18" s="2990"/>
      <c r="N18" s="3028" t="s">
        <v>4564</v>
      </c>
      <c r="O18" s="3029"/>
      <c r="P18" s="3029"/>
      <c r="Q18" s="3029"/>
      <c r="R18" s="3030"/>
      <c r="S18" s="2966"/>
      <c r="T18" s="2979" t="s">
        <v>4527</v>
      </c>
      <c r="U18" s="2960" t="s">
        <v>3980</v>
      </c>
      <c r="V18" s="2960" t="str">
        <f t="shared" si="1"/>
        <v>双节棍</v>
      </c>
      <c r="W18" s="2980"/>
      <c r="X18" s="2981"/>
      <c r="Y18" s="2981"/>
      <c r="Z18" s="2981"/>
      <c r="AA18" s="2981"/>
      <c r="AB18" s="2981"/>
      <c r="AC18" s="2981"/>
      <c r="AD18" s="2981"/>
      <c r="AE18" s="2981"/>
      <c r="AF18" s="2983"/>
      <c r="AG18" s="3010"/>
      <c r="AH18" s="3010"/>
      <c r="AI18" s="3010"/>
      <c r="AJ18" s="3010"/>
      <c r="AK18" s="3010"/>
    </row>
    <row r="19" spans="8:8" ht="14.25" customHeight="1">
      <c r="A19" s="2970"/>
      <c r="B19" s="2986" t="str">
        <f t="shared" si="0"/>
        <v>投石</v>
      </c>
      <c r="C19" s="2987" t="s">
        <v>134</v>
      </c>
      <c r="D19" s="2988" t="s">
        <v>4566</v>
      </c>
      <c r="E19" s="2988" t="s">
        <v>4821</v>
      </c>
      <c r="F19" s="2988" t="s">
        <v>171</v>
      </c>
      <c r="G19" s="2988" t="s">
        <v>4500</v>
      </c>
      <c r="H19" s="2988" t="s">
        <v>88</v>
      </c>
      <c r="I19" s="2988" t="s">
        <v>88</v>
      </c>
      <c r="J19" s="2988" t="s">
        <v>4502</v>
      </c>
      <c r="K19" s="2988" t="s">
        <v>88</v>
      </c>
      <c r="L19" s="2989" t="s">
        <v>88</v>
      </c>
      <c r="M19" s="2990"/>
      <c r="N19" s="3031"/>
      <c r="O19" s="3032"/>
      <c r="P19" s="3032"/>
      <c r="Q19" s="3032"/>
      <c r="R19" s="3033"/>
      <c r="S19" s="2966"/>
      <c r="T19" s="2979" t="s">
        <v>4567</v>
      </c>
      <c r="U19" s="2960" t="s">
        <v>4565</v>
      </c>
      <c r="V19" s="2960" t="str">
        <f t="shared" si="1"/>
        <v>投石</v>
      </c>
      <c r="W19" s="3034"/>
      <c r="X19" s="3034"/>
      <c r="Y19" s="3034"/>
      <c r="Z19" s="3034"/>
      <c r="AA19" s="3034"/>
      <c r="AB19" s="3034"/>
      <c r="AC19" s="3034"/>
      <c r="AD19" s="3034"/>
      <c r="AE19" s="3034"/>
      <c r="AF19" s="2983"/>
      <c r="AG19" s="3010"/>
      <c r="AH19" s="3010"/>
      <c r="AI19" s="3010"/>
      <c r="AJ19" s="3010"/>
      <c r="AK19" s="3010"/>
    </row>
    <row r="20" spans="8:8" ht="14.25" customHeight="1">
      <c r="A20" s="2970"/>
      <c r="B20" s="2995" t="str">
        <f t="shared" si="0"/>
        <v>手里剑</v>
      </c>
      <c r="C20" s="2996" t="s">
        <v>134</v>
      </c>
      <c r="D20" s="2997" t="s">
        <v>4512</v>
      </c>
      <c r="E20" s="2997" t="s">
        <v>5967</v>
      </c>
      <c r="F20" s="2997" t="s">
        <v>496</v>
      </c>
      <c r="G20" s="2997" t="s">
        <v>4569</v>
      </c>
      <c r="H20" s="2997" t="s">
        <v>4570</v>
      </c>
      <c r="I20" s="2997" t="s">
        <v>3482</v>
      </c>
      <c r="J20" s="2997" t="s">
        <v>4502</v>
      </c>
      <c r="K20" s="2997" t="s">
        <v>4539</v>
      </c>
      <c r="L20" s="2998" t="s">
        <v>88</v>
      </c>
      <c r="M20" s="2990"/>
      <c r="N20" s="3031"/>
      <c r="O20" s="3032"/>
      <c r="P20" s="3032"/>
      <c r="Q20" s="3032"/>
      <c r="R20" s="3033"/>
      <c r="S20" s="2966"/>
      <c r="T20" s="2979" t="s">
        <v>4515</v>
      </c>
      <c r="U20" s="2960" t="s">
        <v>4568</v>
      </c>
      <c r="V20" s="2960" t="str">
        <f t="shared" si="1"/>
        <v>手里剑</v>
      </c>
      <c r="W20" s="3034"/>
      <c r="X20" s="3034"/>
      <c r="Y20" s="3034"/>
      <c r="Z20" s="3034"/>
      <c r="AA20" s="3034"/>
      <c r="AB20" s="3034"/>
      <c r="AC20" s="3034"/>
      <c r="AD20" s="3034"/>
      <c r="AE20" s="3034"/>
      <c r="AF20" s="2983"/>
      <c r="AG20" s="3010"/>
      <c r="AH20" s="3010"/>
      <c r="AI20" s="3010"/>
      <c r="AJ20" s="3010"/>
      <c r="AK20" s="3010"/>
    </row>
    <row r="21" spans="8:8" ht="14.25" customHeight="1">
      <c r="A21" s="2970"/>
      <c r="B21" s="2986" t="str">
        <f t="shared" si="0"/>
        <v>矛、骑士长枪</v>
      </c>
      <c r="C21" s="2987" t="s">
        <v>1359</v>
      </c>
      <c r="D21" s="2988" t="s">
        <v>4572</v>
      </c>
      <c r="E21" s="2988" t="s">
        <v>4508</v>
      </c>
      <c r="F21" s="2988" t="s">
        <v>496</v>
      </c>
      <c r="G21" s="2988" t="s">
        <v>4500</v>
      </c>
      <c r="H21" s="2988" t="s">
        <v>88</v>
      </c>
      <c r="I21" s="2988" t="s">
        <v>88</v>
      </c>
      <c r="J21" s="2988" t="s">
        <v>4502</v>
      </c>
      <c r="K21" s="2988" t="s">
        <v>4573</v>
      </c>
      <c r="L21" s="2989" t="s">
        <v>88</v>
      </c>
      <c r="M21" s="2990"/>
      <c r="N21" s="3035"/>
      <c r="O21" s="3036"/>
      <c r="P21" s="3036"/>
      <c r="Q21" s="3036"/>
      <c r="R21" s="3037"/>
      <c r="S21" s="2966"/>
      <c r="T21" s="2979" t="s">
        <v>4572</v>
      </c>
      <c r="U21" s="2960" t="s">
        <v>4571</v>
      </c>
      <c r="V21" s="2960" t="str">
        <f t="shared" si="1"/>
        <v>矛、骑士长枪</v>
      </c>
      <c r="X21" s="3034"/>
      <c r="Y21" s="3034"/>
      <c r="Z21" s="3034"/>
      <c r="AA21" s="3034"/>
      <c r="AB21" s="3034"/>
      <c r="AC21" s="3034"/>
      <c r="AD21" s="3034"/>
      <c r="AE21" s="3034"/>
      <c r="AF21" s="2983"/>
      <c r="AG21" s="3010"/>
      <c r="AH21" s="3010"/>
      <c r="AI21" s="3010"/>
      <c r="AJ21" s="3010"/>
      <c r="AK21" s="3010"/>
    </row>
    <row r="22" spans="8:8" ht="14.25" customHeight="1">
      <c r="A22" s="2970"/>
      <c r="B22" s="2995" t="str">
        <f t="shared" si="0"/>
        <v>*掷矛</v>
      </c>
      <c r="C22" s="2996" t="s">
        <v>134</v>
      </c>
      <c r="D22" s="2997" t="s">
        <v>4574</v>
      </c>
      <c r="E22" s="2997" t="s">
        <v>4810</v>
      </c>
      <c r="F22" s="2997" t="s">
        <v>496</v>
      </c>
      <c r="G22" s="2997" t="s">
        <v>4500</v>
      </c>
      <c r="H22" s="2997" t="s">
        <v>88</v>
      </c>
      <c r="I22" s="2997" t="s">
        <v>88</v>
      </c>
      <c r="J22" s="2997" t="s">
        <v>4575</v>
      </c>
      <c r="K22" s="2997" t="s">
        <v>4576</v>
      </c>
      <c r="L22" s="2998" t="s">
        <v>88</v>
      </c>
      <c r="M22" s="2990"/>
      <c r="N22" s="3038" t="s">
        <v>4577</v>
      </c>
      <c r="O22" s="3039"/>
      <c r="P22" s="3039"/>
      <c r="Q22" s="3039"/>
      <c r="R22" s="3040"/>
      <c r="S22" s="2966"/>
      <c r="T22" s="2979" t="s">
        <v>4578</v>
      </c>
      <c r="U22" s="2960" t="s">
        <v>5988</v>
      </c>
      <c r="V22" s="2960" t="s">
        <v>5988</v>
      </c>
      <c r="X22" s="3034"/>
      <c r="Y22" s="3034"/>
      <c r="Z22" s="3034"/>
      <c r="AA22" s="3034"/>
      <c r="AB22" s="3034"/>
      <c r="AC22" s="3034"/>
      <c r="AD22" s="3034"/>
      <c r="AE22" s="3034"/>
      <c r="AF22" s="2983"/>
      <c r="AG22" s="3010"/>
      <c r="AH22" s="3010"/>
      <c r="AI22" s="3010"/>
      <c r="AJ22" s="3010"/>
      <c r="AK22" s="3010"/>
    </row>
    <row r="23" spans="8:8" ht="14.25" customHeight="1">
      <c r="A23" s="2970"/>
      <c r="B23" s="2986" t="str">
        <f t="shared" si="0"/>
        <v>大型剑（马刀）</v>
      </c>
      <c r="C23" s="2987" t="s">
        <v>1360</v>
      </c>
      <c r="D23" s="2988" t="s">
        <v>4580</v>
      </c>
      <c r="E23" s="2988" t="s">
        <v>4508</v>
      </c>
      <c r="F23" s="2988" t="s">
        <v>496</v>
      </c>
      <c r="G23" s="2988" t="s">
        <v>4500</v>
      </c>
      <c r="H23" s="2988" t="s">
        <v>88</v>
      </c>
      <c r="I23" s="2988" t="s">
        <v>88</v>
      </c>
      <c r="J23" s="2988" t="s">
        <v>4502</v>
      </c>
      <c r="K23" s="2988" t="s">
        <v>4581</v>
      </c>
      <c r="L23" s="2989" t="s">
        <v>88</v>
      </c>
      <c r="M23" s="2990"/>
      <c r="N23" s="3041"/>
      <c r="O23" s="3042"/>
      <c r="P23" s="3042"/>
      <c r="Q23" s="3042"/>
      <c r="R23" s="3043"/>
      <c r="S23" s="2966"/>
      <c r="T23" s="2979" t="s">
        <v>4582</v>
      </c>
      <c r="U23" s="2960" t="s">
        <v>4579</v>
      </c>
      <c r="V23" s="2960" t="str">
        <f>IF(OR(J23="1920s,现代",$U$1="其他",J23=$U$1,AND(J23="1920s,罕见",$U$1="1920s"),J23="罕见"),U23,"-"&amp;U23)</f>
        <v>大型剑（马刀）</v>
      </c>
      <c r="X23" s="3034"/>
      <c r="Y23" s="3034"/>
      <c r="Z23" s="3034"/>
      <c r="AA23" s="3034"/>
      <c r="AB23" s="3034"/>
      <c r="AC23" s="3034"/>
      <c r="AD23" s="3034"/>
      <c r="AE23" s="3034"/>
      <c r="AF23" s="2983"/>
      <c r="AG23" s="3010"/>
      <c r="AH23" s="3010"/>
      <c r="AI23" s="3010"/>
      <c r="AJ23" s="3010"/>
      <c r="AK23" s="3010"/>
    </row>
    <row r="24" spans="8:8" ht="14.25" customHeight="1">
      <c r="A24" s="2970"/>
      <c r="B24" s="2995" t="str">
        <f t="shared" si="0"/>
        <v>中型剑（佩剑、重剑）</v>
      </c>
      <c r="C24" s="2996" t="s">
        <v>1360</v>
      </c>
      <c r="D24" s="2997" t="s">
        <v>4541</v>
      </c>
      <c r="E24" s="2997" t="s">
        <v>4508</v>
      </c>
      <c r="F24" s="2997" t="s">
        <v>496</v>
      </c>
      <c r="G24" s="2997" t="s">
        <v>4500</v>
      </c>
      <c r="H24" s="2997" t="s">
        <v>88</v>
      </c>
      <c r="I24" s="2997" t="s">
        <v>88</v>
      </c>
      <c r="J24" s="2997" t="s">
        <v>4502</v>
      </c>
      <c r="K24" s="2997" t="s">
        <v>4584</v>
      </c>
      <c r="L24" s="2998" t="s">
        <v>88</v>
      </c>
      <c r="M24" s="2990"/>
      <c r="N24" s="3041"/>
      <c r="O24" s="3042"/>
      <c r="P24" s="3042"/>
      <c r="Q24" s="3042"/>
      <c r="R24" s="3043"/>
      <c r="S24" s="2966"/>
      <c r="T24" s="2979" t="s">
        <v>4543</v>
      </c>
      <c r="U24" s="2960" t="s">
        <v>4583</v>
      </c>
      <c r="V24" s="2960" t="str">
        <f>IF(OR(J24="1920s,现代",$U$1="其他",J24=$U$1,AND(J24="1920s,罕见",$U$1="1920s"),J24="罕见"),U24,"-"&amp;U24)</f>
        <v>中型剑（佩剑、重剑）</v>
      </c>
      <c r="X24" s="3034"/>
      <c r="Y24" s="3034"/>
      <c r="Z24" s="3034"/>
      <c r="AA24" s="3034"/>
      <c r="AB24" s="3034"/>
      <c r="AC24" s="3034"/>
      <c r="AD24" s="3034"/>
      <c r="AE24" s="3034"/>
      <c r="AF24" s="2983"/>
      <c r="AG24" s="3010"/>
      <c r="AH24" s="3010"/>
      <c r="AI24" s="3010"/>
      <c r="AJ24" s="3010"/>
      <c r="AK24" s="3010"/>
    </row>
    <row r="25" spans="8:8" ht="14.25" customHeight="1">
      <c r="A25" s="2970"/>
      <c r="B25" s="2986" t="str">
        <f t="shared" si="0"/>
        <v>轻型剑（花剑、剑杖）</v>
      </c>
      <c r="C25" s="2987" t="s">
        <v>1360</v>
      </c>
      <c r="D25" s="2988" t="s">
        <v>4531</v>
      </c>
      <c r="E25" s="2988" t="s">
        <v>4508</v>
      </c>
      <c r="F25" s="2988" t="s">
        <v>496</v>
      </c>
      <c r="G25" s="2988" t="s">
        <v>4500</v>
      </c>
      <c r="H25" s="2988" t="s">
        <v>88</v>
      </c>
      <c r="I25" s="2988" t="s">
        <v>88</v>
      </c>
      <c r="J25" s="2988" t="s">
        <v>4502</v>
      </c>
      <c r="K25" s="2988" t="s">
        <v>4586</v>
      </c>
      <c r="L25" s="2989" t="s">
        <v>88</v>
      </c>
      <c r="M25" s="2990"/>
      <c r="N25" s="3044"/>
      <c r="O25" s="3045"/>
      <c r="P25" s="3045"/>
      <c r="Q25" s="3045"/>
      <c r="R25" s="3046"/>
      <c r="S25" s="2966"/>
      <c r="T25" s="2979" t="s">
        <v>4532</v>
      </c>
      <c r="U25" s="2960" t="s">
        <v>4585</v>
      </c>
      <c r="V25" s="2960" t="str">
        <f>IF(OR(J25="1920s,现代",$U$1="其他",J25=$U$1,AND(J25="1920s,罕见",$U$1="1920s"),J25="罕见"),U25,"-"&amp;U25)</f>
        <v>轻型剑（花剑、剑杖）</v>
      </c>
      <c r="X25" s="3034"/>
      <c r="Y25" s="3034"/>
      <c r="Z25" s="3034"/>
      <c r="AA25" s="3034"/>
      <c r="AB25" s="3034"/>
      <c r="AC25" s="3034"/>
      <c r="AD25" s="3034"/>
      <c r="AE25" s="3034"/>
      <c r="AF25" s="2983"/>
      <c r="AG25" s="3010"/>
      <c r="AH25" s="3010"/>
      <c r="AI25" s="3010"/>
      <c r="AJ25" s="3010"/>
      <c r="AK25" s="3010"/>
    </row>
    <row r="26" spans="8:8" ht="14.25" customHeight="1">
      <c r="A26" s="2970"/>
      <c r="B26" s="3047" t="str">
        <f t="shared" si="0"/>
        <v>-电棍、电击枪(接触)</v>
      </c>
      <c r="C26" s="3048" t="s">
        <v>116</v>
      </c>
      <c r="D26" s="3049" t="s">
        <v>4588</v>
      </c>
      <c r="E26" s="3049" t="s">
        <v>4508</v>
      </c>
      <c r="F26" s="3049" t="s">
        <v>171</v>
      </c>
      <c r="G26" s="3049" t="s">
        <v>4500</v>
      </c>
      <c r="H26" s="3049" t="s">
        <v>88</v>
      </c>
      <c r="I26" s="3049" t="s">
        <v>4501</v>
      </c>
      <c r="J26" s="3049" t="s">
        <v>3212</v>
      </c>
      <c r="K26" s="3049" t="s">
        <v>4589</v>
      </c>
      <c r="L26" s="3050" t="s">
        <v>4590</v>
      </c>
      <c r="M26" s="2990"/>
      <c r="S26" s="2966"/>
      <c r="T26" s="2979" t="s">
        <v>4591</v>
      </c>
      <c r="U26" s="2960" t="s">
        <v>4587</v>
      </c>
      <c r="V26" s="2960" t="str">
        <f>IF(OR(J26="1920s,现代",$U$1="其他",J26=$U$1,AND(J26="1920s,罕见",$U$1="1920s"),J26="罕见"),U26,"-"&amp;U26)</f>
        <v>-电棍、电击枪(接触)</v>
      </c>
      <c r="Y26" s="3034"/>
      <c r="Z26" s="3034"/>
      <c r="AA26" s="3034"/>
      <c r="AB26" s="3034"/>
      <c r="AC26" s="3034"/>
      <c r="AD26" s="3034"/>
      <c r="AE26" s="3034"/>
      <c r="AF26" s="2983"/>
      <c r="AG26" s="3010"/>
      <c r="AH26" s="3010"/>
      <c r="AI26" s="3010"/>
      <c r="AJ26" s="3010"/>
      <c r="AK26" s="3010"/>
    </row>
    <row r="27" spans="8:8" ht="14.25" customHeight="1">
      <c r="A27" s="2970"/>
      <c r="B27" s="3047" t="str">
        <f t="shared" si="0"/>
        <v>-电击枪(远程)</v>
      </c>
      <c r="C27" s="3048" t="s">
        <v>130</v>
      </c>
      <c r="D27" s="3049" t="s">
        <v>4588</v>
      </c>
      <c r="E27" s="3049" t="s">
        <v>4593</v>
      </c>
      <c r="F27" s="3049" t="s">
        <v>171</v>
      </c>
      <c r="G27" s="3049" t="s">
        <v>4500</v>
      </c>
      <c r="H27" s="3049" t="s">
        <v>4594</v>
      </c>
      <c r="I27" s="3049" t="s">
        <v>4521</v>
      </c>
      <c r="J27" s="3049" t="s">
        <v>3212</v>
      </c>
      <c r="K27" s="3049" t="s">
        <v>4595</v>
      </c>
      <c r="L27" s="3050" t="s">
        <v>4596</v>
      </c>
      <c r="M27" s="2990"/>
      <c r="S27" s="2966"/>
      <c r="T27" s="2979" t="s">
        <v>4591</v>
      </c>
      <c r="U27" s="2960" t="s">
        <v>4592</v>
      </c>
      <c r="V27" s="2960" t="str">
        <f>IF(OR(J27="1920s,现代",$U$1="其他",J27=$U$1,AND(J27="1920s,罕见",$U$1="1920s"),J27="罕见"),U27,"-"&amp;U27)</f>
        <v>-电击枪(远程)</v>
      </c>
      <c r="Y27" s="3034"/>
      <c r="Z27" s="3034"/>
      <c r="AA27" s="3034"/>
      <c r="AB27" s="3034"/>
      <c r="AC27" s="3034"/>
      <c r="AD27" s="3034"/>
      <c r="AE27" s="3034"/>
      <c r="AF27" s="2983"/>
      <c r="AG27" s="3010"/>
      <c r="AH27" s="3010"/>
      <c r="AI27" s="3010"/>
      <c r="AJ27" s="3010"/>
      <c r="AK27" s="3010"/>
    </row>
    <row r="28" spans="8:8" ht="14.25" customHeight="1">
      <c r="A28" s="2970"/>
      <c r="B28" s="2995" t="str">
        <f t="shared" si="0"/>
        <v>*战斗回力镖</v>
      </c>
      <c r="C28" s="2996" t="s">
        <v>134</v>
      </c>
      <c r="D28" s="2997" t="s">
        <v>4574</v>
      </c>
      <c r="E28" s="2997" t="s">
        <v>5967</v>
      </c>
      <c r="F28" s="2997" t="s">
        <v>171</v>
      </c>
      <c r="G28" s="2997" t="s">
        <v>4500</v>
      </c>
      <c r="H28" s="2997" t="s">
        <v>88</v>
      </c>
      <c r="I28" s="2997" t="s">
        <v>88</v>
      </c>
      <c r="J28" s="2997" t="s">
        <v>4575</v>
      </c>
      <c r="K28" s="2997" t="s">
        <v>4597</v>
      </c>
      <c r="L28" s="2998" t="s">
        <v>88</v>
      </c>
      <c r="M28" s="2990"/>
      <c r="S28" s="2966"/>
      <c r="T28" s="2979" t="s">
        <v>4578</v>
      </c>
      <c r="U28" s="2960" t="s">
        <v>5989</v>
      </c>
      <c r="V28" s="2960" t="s">
        <v>5989</v>
      </c>
      <c r="Y28" s="3010"/>
      <c r="Z28" s="3010"/>
      <c r="AA28" s="3010"/>
      <c r="AB28" s="3010"/>
      <c r="AC28" s="3010"/>
      <c r="AD28" s="3010"/>
      <c r="AE28" s="3010"/>
      <c r="AF28" s="2983"/>
      <c r="AG28" s="3010"/>
      <c r="AH28" s="3010"/>
      <c r="AI28" s="3010"/>
      <c r="AJ28" s="3010"/>
      <c r="AK28" s="3010"/>
    </row>
    <row r="29" spans="8:8" ht="14.25" customHeight="1">
      <c r="A29" s="2970"/>
      <c r="B29" s="3051" t="str">
        <f t="shared" si="0"/>
        <v>伐木斧</v>
      </c>
      <c r="C29" s="3052" t="s">
        <v>2599</v>
      </c>
      <c r="D29" s="3053" t="s">
        <v>4599</v>
      </c>
      <c r="E29" s="3053" t="s">
        <v>4508</v>
      </c>
      <c r="F29" s="3053" t="s">
        <v>496</v>
      </c>
      <c r="G29" s="3053" t="s">
        <v>4500</v>
      </c>
      <c r="H29" s="3053" t="s">
        <v>88</v>
      </c>
      <c r="I29" s="3053" t="s">
        <v>88</v>
      </c>
      <c r="J29" s="3053" t="s">
        <v>4502</v>
      </c>
      <c r="K29" s="3053" t="s">
        <v>4600</v>
      </c>
      <c r="L29" s="3054" t="s">
        <v>88</v>
      </c>
      <c r="M29" s="2990"/>
      <c r="S29" s="2966"/>
      <c r="T29" s="2979" t="s">
        <v>4601</v>
      </c>
      <c r="U29" s="2960" t="s">
        <v>4598</v>
      </c>
      <c r="V29" s="2960" t="str">
        <f>IF(OR(J29="1920s,现代",$U$1="其他",J29=$U$1,AND(J29="1920s,罕见",$U$1="1920s"),J29="罕见"),U29,"-"&amp;U29)</f>
        <v>伐木斧</v>
      </c>
      <c r="Y29" s="3055"/>
      <c r="Z29" s="3034"/>
      <c r="AA29" s="3034"/>
      <c r="AB29" s="3034"/>
      <c r="AC29" s="3034"/>
      <c r="AD29" s="3034"/>
      <c r="AE29" s="3034"/>
      <c r="AF29" s="2983"/>
      <c r="AG29" s="3010"/>
      <c r="AH29" s="3010"/>
      <c r="AI29" s="3010"/>
      <c r="AJ29" s="3010"/>
      <c r="AK29" s="3010"/>
    </row>
    <row r="30" spans="8:8" ht="14.25" customHeight="1">
      <c r="B30" s="3056" t="str">
        <f t="shared" si="0"/>
        <v>*遂发枪</v>
      </c>
      <c r="C30" s="3057" t="s">
        <v>130</v>
      </c>
      <c r="D30" s="3058" t="s">
        <v>4602</v>
      </c>
      <c r="E30" s="3058" t="s">
        <v>4603</v>
      </c>
      <c r="F30" s="3058" t="s">
        <v>496</v>
      </c>
      <c r="G30" s="3058" t="s">
        <v>4604</v>
      </c>
      <c r="H30" s="3058" t="s">
        <v>4500</v>
      </c>
      <c r="I30" s="3058" t="s">
        <v>4521</v>
      </c>
      <c r="J30" s="3058" t="s">
        <v>4575</v>
      </c>
      <c r="K30" s="3058" t="s">
        <v>4605</v>
      </c>
      <c r="L30" s="3059" t="s">
        <v>4606</v>
      </c>
      <c r="M30" s="3060" t="s">
        <v>5968</v>
      </c>
      <c r="N30" s="3061" t="s">
        <v>4607</v>
      </c>
      <c r="O30" s="3062" t="s">
        <v>4608</v>
      </c>
      <c r="P30" s="3063"/>
      <c r="R30" s="3064"/>
      <c r="S30" s="2966"/>
      <c r="T30" s="2979" t="s">
        <v>4602</v>
      </c>
      <c r="U30" s="2960" t="s">
        <v>5990</v>
      </c>
      <c r="V30" s="2960" t="s">
        <v>5990</v>
      </c>
      <c r="Y30" s="3034"/>
      <c r="Z30" s="3034"/>
      <c r="AA30" s="3034"/>
      <c r="AB30" s="3034"/>
      <c r="AC30" s="3034"/>
      <c r="AD30" s="3034"/>
      <c r="AE30" s="3034"/>
      <c r="AF30" s="2983"/>
      <c r="AG30" s="3010"/>
      <c r="AH30" s="3010"/>
      <c r="AI30" s="3010"/>
      <c r="AJ30" s="3010"/>
      <c r="AK30" s="3010"/>
    </row>
    <row r="31" spans="8:8" ht="14.25" customHeight="1">
      <c r="B31" s="2995" t="str">
        <f t="shared" si="0"/>
        <v>.22(5.6mm)小型自动手枪</v>
      </c>
      <c r="C31" s="2996" t="s">
        <v>130</v>
      </c>
      <c r="D31" s="2997" t="s">
        <v>4519</v>
      </c>
      <c r="E31" s="2997" t="s">
        <v>4603</v>
      </c>
      <c r="F31" s="2997" t="s">
        <v>496</v>
      </c>
      <c r="G31" s="2997" t="s">
        <v>4610</v>
      </c>
      <c r="H31" s="2997" t="s">
        <v>4611</v>
      </c>
      <c r="I31" s="2997" t="s">
        <v>3482</v>
      </c>
      <c r="J31" s="2997" t="s">
        <v>4502</v>
      </c>
      <c r="K31" s="2997" t="s">
        <v>4612</v>
      </c>
      <c r="L31" s="2998" t="s">
        <v>4613</v>
      </c>
      <c r="M31" s="3065"/>
      <c r="N31" s="3066"/>
      <c r="O31" s="3067"/>
      <c r="P31" s="3068"/>
      <c r="Q31" s="3064"/>
      <c r="R31" s="3064"/>
      <c r="S31" s="2966"/>
      <c r="T31" s="2979" t="s">
        <v>4519</v>
      </c>
      <c r="U31" s="2960" t="s">
        <v>4609</v>
      </c>
      <c r="V31" s="2960" t="str">
        <f t="shared" si="2" ref="V31:V45">IF(OR(J31="1920s,现代",$U$1="其他",J31=$U$1,AND(J31="1920s,罕见",$U$1="1920s"),J31="罕见"),U31,"-"&amp;U31)</f>
        <v>.22(5.6mm)小型自动手枪</v>
      </c>
      <c r="Y31" s="3034"/>
      <c r="Z31" s="3034"/>
      <c r="AA31" s="3034"/>
      <c r="AB31" s="3034"/>
      <c r="AC31" s="3034"/>
      <c r="AD31" s="3034"/>
      <c r="AE31" s="3034"/>
      <c r="AF31" s="2983"/>
      <c r="AG31" s="2984"/>
      <c r="AH31" s="2984"/>
      <c r="AI31" s="2984"/>
      <c r="AJ31" s="2984"/>
      <c r="AK31" s="2984"/>
    </row>
    <row r="32" spans="8:8" ht="14.25" customHeight="1">
      <c r="B32" s="3069" t="str">
        <f t="shared" si="0"/>
        <v>.25(6.35mm)短口手枪(单管)</v>
      </c>
      <c r="C32" s="3070" t="s">
        <v>130</v>
      </c>
      <c r="D32" s="3071" t="s">
        <v>4519</v>
      </c>
      <c r="E32" s="3071" t="s">
        <v>4594</v>
      </c>
      <c r="F32" s="3071" t="s">
        <v>496</v>
      </c>
      <c r="G32" s="3071" t="s">
        <v>4500</v>
      </c>
      <c r="H32" s="3071">
        <v>1.0</v>
      </c>
      <c r="I32" s="3071" t="s">
        <v>3482</v>
      </c>
      <c r="J32" s="3071" t="s">
        <v>11</v>
      </c>
      <c r="K32" s="3071" t="s">
        <v>4615</v>
      </c>
      <c r="L32" s="3072" t="s">
        <v>4616</v>
      </c>
      <c r="M32" s="3065"/>
      <c r="N32" s="3066"/>
      <c r="O32" s="3067"/>
      <c r="P32" s="3068"/>
      <c r="Q32" s="3064"/>
      <c r="R32" s="3064"/>
      <c r="S32" s="2966"/>
      <c r="T32" s="2979" t="s">
        <v>4519</v>
      </c>
      <c r="U32" s="2960" t="s">
        <v>4614</v>
      </c>
      <c r="V32" s="2960" t="str">
        <f t="shared" si="2"/>
        <v>.25(6.35mm)短口手枪(单管)</v>
      </c>
      <c r="W32" s="3055"/>
      <c r="X32" s="3034"/>
      <c r="Y32" s="3034"/>
      <c r="Z32" s="3034"/>
      <c r="AA32" s="3034"/>
      <c r="AB32" s="3034"/>
      <c r="AC32" s="3034"/>
      <c r="AD32" s="3034"/>
      <c r="AE32" s="3034"/>
      <c r="AF32" s="2983"/>
      <c r="AG32" s="2984"/>
      <c r="AH32" s="2984"/>
      <c r="AI32" s="2984"/>
      <c r="AJ32" s="2984"/>
      <c r="AK32" s="2984"/>
    </row>
    <row r="33" spans="8:8" ht="14.25" customHeight="1">
      <c r="B33" s="2995" t="str">
        <f t="shared" si="0"/>
        <v>.32(7.65mm)左轮手枪</v>
      </c>
      <c r="C33" s="2996" t="s">
        <v>130</v>
      </c>
      <c r="D33" s="2997" t="s">
        <v>4618</v>
      </c>
      <c r="E33" s="2997" t="s">
        <v>4619</v>
      </c>
      <c r="F33" s="2997" t="s">
        <v>496</v>
      </c>
      <c r="G33" s="2997" t="s">
        <v>4610</v>
      </c>
      <c r="H33" s="2997" t="s">
        <v>4611</v>
      </c>
      <c r="I33" s="2997" t="s">
        <v>3482</v>
      </c>
      <c r="J33" s="2997" t="s">
        <v>4502</v>
      </c>
      <c r="K33" s="2997" t="s">
        <v>4620</v>
      </c>
      <c r="L33" s="2998" t="s">
        <v>4621</v>
      </c>
      <c r="M33" s="3065"/>
      <c r="N33" s="3066"/>
      <c r="O33" s="3067"/>
      <c r="P33" s="3068"/>
      <c r="Q33" s="3064"/>
      <c r="R33" s="3064"/>
      <c r="S33" s="2966"/>
      <c r="T33" s="2979" t="s">
        <v>4618</v>
      </c>
      <c r="U33" s="2960" t="s">
        <v>4617</v>
      </c>
      <c r="V33" s="2960" t="str">
        <f t="shared" si="2"/>
        <v>.32(7.65mm)左轮手枪</v>
      </c>
      <c r="W33" s="3055"/>
      <c r="X33" s="3034"/>
      <c r="Y33" s="3034"/>
      <c r="Z33" s="3034"/>
      <c r="AA33" s="3034"/>
      <c r="AB33" s="3034"/>
      <c r="AC33" s="3034"/>
      <c r="AD33" s="3034"/>
      <c r="AE33" s="3034"/>
      <c r="AF33" s="2983"/>
      <c r="AG33" s="2984"/>
      <c r="AH33" s="2984"/>
      <c r="AI33" s="2984"/>
      <c r="AJ33" s="2984"/>
      <c r="AK33" s="2984"/>
    </row>
    <row r="34" spans="8:8" ht="14.25" customHeight="1">
      <c r="B34" s="3069" t="str">
        <f t="shared" si="0"/>
        <v>.32(7.65mm)自动手枪</v>
      </c>
      <c r="C34" s="3070" t="s">
        <v>130</v>
      </c>
      <c r="D34" s="3071" t="s">
        <v>4618</v>
      </c>
      <c r="E34" s="3071" t="s">
        <v>4619</v>
      </c>
      <c r="F34" s="3071" t="s">
        <v>496</v>
      </c>
      <c r="G34" s="3071" t="s">
        <v>4610</v>
      </c>
      <c r="H34" s="3071" t="s">
        <v>4623</v>
      </c>
      <c r="I34" s="3071" t="s">
        <v>4624</v>
      </c>
      <c r="J34" s="3071" t="s">
        <v>4502</v>
      </c>
      <c r="K34" s="3071" t="s">
        <v>4625</v>
      </c>
      <c r="L34" s="3072" t="s">
        <v>4621</v>
      </c>
      <c r="M34" s="3065"/>
      <c r="N34" s="3066"/>
      <c r="O34" s="3067"/>
      <c r="P34" s="3068"/>
      <c r="Q34" s="3064"/>
      <c r="R34" s="3064"/>
      <c r="S34" s="2966"/>
      <c r="T34" s="2979" t="s">
        <v>4618</v>
      </c>
      <c r="U34" s="2960" t="s">
        <v>4622</v>
      </c>
      <c r="V34" s="2960" t="str">
        <f t="shared" si="2"/>
        <v>.32(7.65mm)自动手枪</v>
      </c>
      <c r="W34" s="3055"/>
      <c r="X34" s="3034"/>
      <c r="Y34" s="3034"/>
      <c r="Z34" s="3034"/>
      <c r="AA34" s="3034"/>
      <c r="AB34" s="3034"/>
      <c r="AC34" s="3034"/>
      <c r="AD34" s="3034"/>
      <c r="AE34" s="3034"/>
      <c r="AF34" s="2983"/>
      <c r="AG34" s="2984"/>
      <c r="AH34" s="2984"/>
      <c r="AI34" s="2984"/>
      <c r="AJ34" s="2984"/>
      <c r="AK34" s="2984"/>
    </row>
    <row r="35" spans="8:8" ht="14.25" customHeight="1">
      <c r="B35" s="2995" t="str">
        <f t="shared" si="0"/>
        <v>-.357 马格南左轮</v>
      </c>
      <c r="C35" s="2996" t="s">
        <v>130</v>
      </c>
      <c r="D35" s="2997" t="s">
        <v>4627</v>
      </c>
      <c r="E35" s="2997" t="s">
        <v>4619</v>
      </c>
      <c r="F35" s="2997" t="s">
        <v>496</v>
      </c>
      <c r="G35" s="2997" t="s">
        <v>4610</v>
      </c>
      <c r="H35" s="2997" t="s">
        <v>4611</v>
      </c>
      <c r="I35" s="2997" t="s">
        <v>3482</v>
      </c>
      <c r="J35" s="2997" t="s">
        <v>3212</v>
      </c>
      <c r="K35" s="2997" t="s">
        <v>4628</v>
      </c>
      <c r="L35" s="2998" t="s">
        <v>4629</v>
      </c>
      <c r="M35" s="3065"/>
      <c r="N35" s="3066"/>
      <c r="O35" s="3067"/>
      <c r="P35" s="3068"/>
      <c r="Q35" s="3064"/>
      <c r="R35" s="3064"/>
      <c r="S35" s="2966"/>
      <c r="T35" s="2979" t="s">
        <v>4627</v>
      </c>
      <c r="U35" s="2960" t="s">
        <v>4626</v>
      </c>
      <c r="V35" s="2960" t="str">
        <f t="shared" si="2"/>
        <v>-.357 马格南左轮</v>
      </c>
      <c r="W35" s="3055"/>
      <c r="X35" s="3034"/>
      <c r="Y35" s="3034"/>
      <c r="Z35" s="3034"/>
      <c r="AA35" s="3034"/>
      <c r="AB35" s="3034"/>
      <c r="AC35" s="3034"/>
      <c r="AD35" s="3034"/>
      <c r="AE35" s="3034"/>
      <c r="AF35" s="2983"/>
      <c r="AG35" s="2984"/>
      <c r="AH35" s="2984"/>
      <c r="AI35" s="2984"/>
      <c r="AJ35" s="2984"/>
      <c r="AK35" s="2984"/>
    </row>
    <row r="36" spans="8:8" ht="14.25" customHeight="1">
      <c r="B36" s="3069" t="str">
        <f t="shared" si="0"/>
        <v>.38(9mm)左轮手枪</v>
      </c>
      <c r="C36" s="3070" t="s">
        <v>130</v>
      </c>
      <c r="D36" s="3071" t="s">
        <v>383</v>
      </c>
      <c r="E36" s="3071" t="s">
        <v>4619</v>
      </c>
      <c r="F36" s="3071" t="s">
        <v>496</v>
      </c>
      <c r="G36" s="3071" t="s">
        <v>4610</v>
      </c>
      <c r="H36" s="3071" t="s">
        <v>4611</v>
      </c>
      <c r="I36" s="3071" t="s">
        <v>3482</v>
      </c>
      <c r="J36" s="3071" t="s">
        <v>4502</v>
      </c>
      <c r="K36" s="3071" t="s">
        <v>4631</v>
      </c>
      <c r="L36" s="3072" t="s">
        <v>4632</v>
      </c>
      <c r="M36" s="3065"/>
      <c r="N36" s="3066"/>
      <c r="O36" s="3067"/>
      <c r="P36" s="3068"/>
      <c r="Q36" s="3064"/>
      <c r="R36" s="3064"/>
      <c r="S36" s="2966"/>
      <c r="T36" s="2979" t="s">
        <v>383</v>
      </c>
      <c r="U36" s="2960" t="s">
        <v>4630</v>
      </c>
      <c r="V36" s="2960" t="str">
        <f t="shared" si="2"/>
        <v>.38(9mm)左轮手枪</v>
      </c>
      <c r="X36" s="3034"/>
      <c r="Y36" s="3034"/>
      <c r="Z36" s="3034"/>
      <c r="AA36" s="3034"/>
      <c r="AB36" s="3034"/>
      <c r="AC36" s="3034"/>
      <c r="AD36" s="3034"/>
      <c r="AE36" s="3034"/>
      <c r="AF36" s="2983"/>
      <c r="AG36" s="2984"/>
      <c r="AH36" s="2984"/>
      <c r="AI36" s="2984"/>
      <c r="AJ36" s="2984"/>
      <c r="AK36" s="2984"/>
    </row>
    <row r="37" spans="8:8" ht="14.25" customHeight="1">
      <c r="B37" s="2995" t="str">
        <f t="shared" si="0"/>
        <v>.38(9mm)自动手枪</v>
      </c>
      <c r="C37" s="2996" t="s">
        <v>130</v>
      </c>
      <c r="D37" s="2997" t="s">
        <v>383</v>
      </c>
      <c r="E37" s="2997" t="s">
        <v>4619</v>
      </c>
      <c r="F37" s="2997" t="s">
        <v>496</v>
      </c>
      <c r="G37" s="2997" t="s">
        <v>4610</v>
      </c>
      <c r="H37" s="2997" t="s">
        <v>4623</v>
      </c>
      <c r="I37" s="2997" t="s">
        <v>4624</v>
      </c>
      <c r="J37" s="2997" t="s">
        <v>4502</v>
      </c>
      <c r="K37" s="2997" t="s">
        <v>4634</v>
      </c>
      <c r="L37" s="2998" t="s">
        <v>4632</v>
      </c>
      <c r="M37" s="3065"/>
      <c r="N37" s="3066"/>
      <c r="O37" s="3067"/>
      <c r="P37" s="3068"/>
      <c r="Q37" s="3064"/>
      <c r="R37" s="3064"/>
      <c r="S37" s="2966"/>
      <c r="T37" s="2979" t="s">
        <v>383</v>
      </c>
      <c r="U37" s="2960" t="s">
        <v>4633</v>
      </c>
      <c r="V37" s="2960" t="str">
        <f t="shared" si="2"/>
        <v>.38(9mm)自动手枪</v>
      </c>
      <c r="X37" s="3034"/>
      <c r="Y37" s="3034"/>
      <c r="Z37" s="3034"/>
      <c r="AA37" s="3034"/>
      <c r="AB37" s="3034"/>
      <c r="AC37" s="3034"/>
      <c r="AD37" s="3034"/>
      <c r="AE37" s="3034"/>
      <c r="AF37" s="2983"/>
      <c r="AG37" s="2984"/>
      <c r="AH37" s="2984"/>
      <c r="AI37" s="2984"/>
      <c r="AJ37" s="2984"/>
      <c r="AK37" s="2984"/>
    </row>
    <row r="38" spans="8:8" ht="14.25" customHeight="1">
      <c r="B38" s="3069" t="str">
        <f t="shared" si="0"/>
        <v>-贝瑞塔 M9</v>
      </c>
      <c r="C38" s="3070" t="s">
        <v>130</v>
      </c>
      <c r="D38" s="3071" t="s">
        <v>383</v>
      </c>
      <c r="E38" s="3071" t="s">
        <v>4619</v>
      </c>
      <c r="F38" s="3071" t="s">
        <v>496</v>
      </c>
      <c r="G38" s="3071" t="s">
        <v>4610</v>
      </c>
      <c r="H38" s="3071" t="s">
        <v>4619</v>
      </c>
      <c r="I38" s="3071" t="s">
        <v>4636</v>
      </c>
      <c r="J38" s="3071" t="s">
        <v>3212</v>
      </c>
      <c r="K38" s="3071" t="s">
        <v>4637</v>
      </c>
      <c r="L38" s="3072" t="s">
        <v>4638</v>
      </c>
      <c r="M38" s="3065"/>
      <c r="N38" s="3066" t="s">
        <v>4639</v>
      </c>
      <c r="O38" s="3067"/>
      <c r="P38" s="3068"/>
      <c r="Q38" s="3064"/>
      <c r="R38" s="3064"/>
      <c r="S38" s="2966"/>
      <c r="T38" s="2979" t="s">
        <v>383</v>
      </c>
      <c r="U38" s="2960" t="s">
        <v>4635</v>
      </c>
      <c r="V38" s="2960" t="str">
        <f t="shared" si="2"/>
        <v>-贝瑞塔 M9</v>
      </c>
      <c r="X38" s="3034"/>
      <c r="Y38" s="3034"/>
      <c r="Z38" s="3034"/>
      <c r="AA38" s="3034"/>
      <c r="AB38" s="3034"/>
      <c r="AC38" s="3034"/>
      <c r="AD38" s="3034"/>
      <c r="AE38" s="3034"/>
      <c r="AF38" s="2983"/>
      <c r="AG38" s="2984"/>
      <c r="AH38" s="2984"/>
      <c r="AI38" s="2984"/>
      <c r="AJ38" s="2984"/>
      <c r="AK38" s="2984"/>
    </row>
    <row r="39" spans="8:8" ht="14.25" customHeight="1">
      <c r="B39" s="2995" t="str">
        <f t="shared" si="0"/>
        <v>-9mm 格洛克 17</v>
      </c>
      <c r="C39" s="2996" t="s">
        <v>130</v>
      </c>
      <c r="D39" s="2997" t="s">
        <v>383</v>
      </c>
      <c r="E39" s="2997" t="s">
        <v>4619</v>
      </c>
      <c r="F39" s="2997" t="s">
        <v>496</v>
      </c>
      <c r="G39" s="2997" t="s">
        <v>4610</v>
      </c>
      <c r="H39" s="2997" t="s">
        <v>4641</v>
      </c>
      <c r="I39" s="2997" t="s">
        <v>4636</v>
      </c>
      <c r="J39" s="2997" t="s">
        <v>3212</v>
      </c>
      <c r="K39" s="2997" t="s">
        <v>4637</v>
      </c>
      <c r="L39" s="2998" t="s">
        <v>4642</v>
      </c>
      <c r="M39" s="3065"/>
      <c r="N39" s="3066"/>
      <c r="O39" s="3067"/>
      <c r="P39" s="3068"/>
      <c r="Q39" s="3064"/>
      <c r="R39" s="3064"/>
      <c r="S39" s="2966"/>
      <c r="T39" s="2979" t="s">
        <v>383</v>
      </c>
      <c r="U39" s="2960" t="s">
        <v>4640</v>
      </c>
      <c r="V39" s="2960" t="str">
        <f t="shared" si="2"/>
        <v>-9mm 格洛克 17</v>
      </c>
      <c r="W39" s="3055"/>
      <c r="X39" s="3034"/>
      <c r="Y39" s="3034"/>
      <c r="Z39" s="3034"/>
      <c r="AA39" s="3034"/>
      <c r="AB39" s="3034"/>
      <c r="AC39" s="3034"/>
      <c r="AD39" s="3034"/>
      <c r="AE39" s="3034"/>
      <c r="AF39" s="2983"/>
      <c r="AG39" s="2984"/>
      <c r="AH39" s="2984"/>
      <c r="AI39" s="2984"/>
      <c r="AJ39" s="2984"/>
      <c r="AK39" s="2984"/>
    </row>
    <row r="40" spans="8:8" ht="14.25" customHeight="1">
      <c r="B40" s="3069" t="str">
        <f t="shared" si="0"/>
        <v>9mm 鲁格 P08</v>
      </c>
      <c r="C40" s="3070" t="s">
        <v>130</v>
      </c>
      <c r="D40" s="3071" t="s">
        <v>383</v>
      </c>
      <c r="E40" s="3071" t="s">
        <v>4619</v>
      </c>
      <c r="F40" s="3071" t="s">
        <v>496</v>
      </c>
      <c r="G40" s="3071" t="s">
        <v>4610</v>
      </c>
      <c r="H40" s="3071" t="s">
        <v>4623</v>
      </c>
      <c r="I40" s="3071" t="s">
        <v>4624</v>
      </c>
      <c r="J40" s="3071" t="s">
        <v>4502</v>
      </c>
      <c r="K40" s="3071" t="s">
        <v>4644</v>
      </c>
      <c r="L40" s="3072" t="s">
        <v>4645</v>
      </c>
      <c r="M40" s="3065"/>
      <c r="N40" s="3066"/>
      <c r="O40" s="3067"/>
      <c r="P40" s="3068"/>
      <c r="Q40" s="3064"/>
      <c r="R40" s="3064"/>
      <c r="S40" s="2966"/>
      <c r="T40" s="2979" t="s">
        <v>383</v>
      </c>
      <c r="U40" s="2960" t="s">
        <v>4643</v>
      </c>
      <c r="V40" s="2960" t="str">
        <f t="shared" si="2"/>
        <v>9mm 鲁格 P08</v>
      </c>
      <c r="W40" s="3055"/>
      <c r="X40" s="3034"/>
      <c r="Y40" s="3034"/>
      <c r="Z40" s="3034"/>
      <c r="AA40" s="3034"/>
      <c r="AB40" s="3034"/>
      <c r="AC40" s="3034"/>
      <c r="AD40" s="3034"/>
      <c r="AE40" s="3034"/>
      <c r="AF40" s="2983"/>
      <c r="AG40" s="2984"/>
      <c r="AH40" s="3010"/>
      <c r="AI40" s="3010"/>
      <c r="AJ40" s="3010"/>
      <c r="AK40" s="3010"/>
    </row>
    <row r="41" spans="8:8" ht="14.25" customHeight="1">
      <c r="B41" s="2995" t="str">
        <f t="shared" si="0"/>
        <v>-*.41(10.4mm) 左轮手枪</v>
      </c>
      <c r="C41" s="2996" t="s">
        <v>130</v>
      </c>
      <c r="D41" s="2997" t="s">
        <v>383</v>
      </c>
      <c r="E41" s="2997" t="s">
        <v>4619</v>
      </c>
      <c r="F41" s="2997" t="s">
        <v>496</v>
      </c>
      <c r="G41" s="2997" t="s">
        <v>4610</v>
      </c>
      <c r="H41" s="2997" t="s">
        <v>4623</v>
      </c>
      <c r="I41" s="2997" t="s">
        <v>3482</v>
      </c>
      <c r="J41" s="3073" t="s">
        <v>4646</v>
      </c>
      <c r="K41" s="2997" t="s">
        <v>4647</v>
      </c>
      <c r="L41" s="2998" t="s">
        <v>4648</v>
      </c>
      <c r="M41" s="3065"/>
      <c r="N41" s="3066"/>
      <c r="O41" s="3067"/>
      <c r="P41" s="3068"/>
      <c r="Q41" s="3064"/>
      <c r="R41" s="3064"/>
      <c r="S41" s="2966"/>
      <c r="T41" s="2979" t="s">
        <v>383</v>
      </c>
      <c r="U41" s="2960" t="s">
        <v>5991</v>
      </c>
      <c r="V41" s="2960" t="str">
        <f t="shared" si="2"/>
        <v>*.41(10.4mm) 左轮手枪</v>
      </c>
      <c r="W41" s="3055"/>
      <c r="X41" s="3034"/>
      <c r="Y41" s="3034"/>
      <c r="Z41" s="3034"/>
      <c r="AA41" s="3034"/>
      <c r="AB41" s="3034"/>
      <c r="AC41" s="3034"/>
      <c r="AD41" s="3034"/>
      <c r="AE41" s="3034"/>
      <c r="AF41" s="2983"/>
      <c r="AG41" s="2984"/>
      <c r="AH41" s="3010"/>
      <c r="AI41" s="3010"/>
      <c r="AJ41" s="3010"/>
      <c r="AK41" s="3010"/>
    </row>
    <row r="42" spans="8:8" ht="14.25" customHeight="1">
      <c r="B42" s="3069" t="str">
        <f t="shared" si="0"/>
        <v>-.44(11.2mm) 马格南左轮手枪</v>
      </c>
      <c r="C42" s="3070" t="s">
        <v>130</v>
      </c>
      <c r="D42" s="3071" t="s">
        <v>4650</v>
      </c>
      <c r="E42" s="3071" t="s">
        <v>4619</v>
      </c>
      <c r="F42" s="3071" t="s">
        <v>496</v>
      </c>
      <c r="G42" s="3071" t="s">
        <v>4610</v>
      </c>
      <c r="H42" s="3071" t="s">
        <v>4611</v>
      </c>
      <c r="I42" s="3071" t="s">
        <v>3482</v>
      </c>
      <c r="J42" s="3071" t="s">
        <v>3212</v>
      </c>
      <c r="K42" s="3071">
        <v>475.0</v>
      </c>
      <c r="L42" s="3072" t="s">
        <v>4651</v>
      </c>
      <c r="M42" s="3065"/>
      <c r="N42" s="3066"/>
      <c r="O42" s="3067"/>
      <c r="P42" s="3068"/>
      <c r="Q42" s="3064"/>
      <c r="R42" s="3064"/>
      <c r="S42" s="2966"/>
      <c r="T42" s="2979" t="s">
        <v>4650</v>
      </c>
      <c r="U42" s="2960" t="s">
        <v>4649</v>
      </c>
      <c r="V42" s="2960" t="str">
        <f t="shared" si="2"/>
        <v>-.44(11.2mm) 马格南左轮手枪</v>
      </c>
      <c r="W42" s="3055"/>
      <c r="X42" s="3034"/>
      <c r="Y42" s="3034"/>
      <c r="Z42" s="3034"/>
      <c r="AA42" s="3034"/>
      <c r="AB42" s="3034"/>
      <c r="AC42" s="3034"/>
      <c r="AD42" s="3034"/>
      <c r="AE42" s="3034"/>
      <c r="AF42" s="2983"/>
      <c r="AG42" s="2984"/>
      <c r="AH42" s="3010"/>
      <c r="AI42" s="3010"/>
      <c r="AJ42" s="3010"/>
      <c r="AK42" s="3010"/>
    </row>
    <row r="43" spans="8:8" ht="14.25" customHeight="1">
      <c r="B43" s="2995" t="str">
        <f t="shared" si="0"/>
        <v>.45(11.43mm) 左轮手枪</v>
      </c>
      <c r="C43" s="2996" t="s">
        <v>130</v>
      </c>
      <c r="D43" s="2997" t="s">
        <v>4653</v>
      </c>
      <c r="E43" s="2997" t="s">
        <v>4619</v>
      </c>
      <c r="F43" s="2997" t="s">
        <v>496</v>
      </c>
      <c r="G43" s="2997" t="s">
        <v>4610</v>
      </c>
      <c r="H43" s="2997" t="s">
        <v>4611</v>
      </c>
      <c r="I43" s="2997" t="s">
        <v>3482</v>
      </c>
      <c r="J43" s="2997" t="s">
        <v>4502</v>
      </c>
      <c r="K43" s="2997" t="s">
        <v>4605</v>
      </c>
      <c r="L43" s="2998" t="s">
        <v>4654</v>
      </c>
      <c r="M43" s="3065"/>
      <c r="N43" s="3066"/>
      <c r="O43" s="3067"/>
      <c r="P43" s="3068"/>
      <c r="Q43" s="3064"/>
      <c r="R43" s="3064"/>
      <c r="S43" s="2966"/>
      <c r="T43" s="2979" t="s">
        <v>4653</v>
      </c>
      <c r="U43" s="2960" t="s">
        <v>4652</v>
      </c>
      <c r="V43" s="2960" t="str">
        <f t="shared" si="2"/>
        <v>.45(11.43mm) 左轮手枪</v>
      </c>
      <c r="W43" s="3055"/>
      <c r="X43" s="3034"/>
      <c r="Y43" s="3034"/>
      <c r="Z43" s="3034"/>
      <c r="AA43" s="3034"/>
      <c r="AB43" s="3034"/>
      <c r="AC43" s="3034"/>
      <c r="AD43" s="3034"/>
      <c r="AE43" s="3034"/>
      <c r="AF43" s="2983"/>
      <c r="AG43" s="2984"/>
      <c r="AH43" s="3010"/>
      <c r="AI43" s="3010"/>
      <c r="AJ43" s="3010"/>
      <c r="AK43" s="3010"/>
    </row>
    <row r="44" spans="8:8" ht="14.25" customHeight="1">
      <c r="B44" s="3069" t="str">
        <f t="shared" si="0"/>
        <v>.45(11.43mm) 自动手枪</v>
      </c>
      <c r="C44" s="3070" t="s">
        <v>130</v>
      </c>
      <c r="D44" s="3071" t="s">
        <v>4653</v>
      </c>
      <c r="E44" s="3071" t="s">
        <v>4619</v>
      </c>
      <c r="F44" s="3071" t="s">
        <v>496</v>
      </c>
      <c r="G44" s="3071" t="s">
        <v>4610</v>
      </c>
      <c r="H44" s="3071" t="s">
        <v>4656</v>
      </c>
      <c r="I44" s="3071" t="s">
        <v>3482</v>
      </c>
      <c r="J44" s="3071" t="s">
        <v>4502</v>
      </c>
      <c r="K44" s="3071" t="s">
        <v>4657</v>
      </c>
      <c r="L44" s="3072" t="s">
        <v>4654</v>
      </c>
      <c r="M44" s="3065"/>
      <c r="N44" s="3066"/>
      <c r="O44" s="3067"/>
      <c r="P44" s="3068"/>
      <c r="Q44" s="3064"/>
      <c r="R44" s="3064"/>
      <c r="S44" s="2966"/>
      <c r="T44" s="2979" t="s">
        <v>4653</v>
      </c>
      <c r="U44" s="2960" t="s">
        <v>4655</v>
      </c>
      <c r="V44" s="2960" t="str">
        <f t="shared" si="2"/>
        <v>.45(11.43mm) 自动手枪</v>
      </c>
      <c r="W44" s="3055"/>
      <c r="X44" s="3034"/>
      <c r="Y44" s="3034"/>
      <c r="Z44" s="3034"/>
      <c r="AA44" s="3034"/>
      <c r="AB44" s="3034"/>
      <c r="AC44" s="3034"/>
      <c r="AD44" s="3034"/>
      <c r="AE44" s="3034"/>
      <c r="AF44" s="2983"/>
      <c r="AG44" s="2984"/>
      <c r="AH44" s="3010"/>
      <c r="AI44" s="3010"/>
      <c r="AJ44" s="3010"/>
      <c r="AK44" s="3010"/>
    </row>
    <row r="45" spans="8:8" ht="14.25" customHeight="1">
      <c r="B45" s="3074" t="str">
        <f t="shared" si="0"/>
        <v>-IMI 沙漠之鹰</v>
      </c>
      <c r="C45" s="3075" t="s">
        <v>130</v>
      </c>
      <c r="D45" s="3076" t="s">
        <v>4659</v>
      </c>
      <c r="E45" s="3076" t="s">
        <v>4619</v>
      </c>
      <c r="F45" s="3076" t="s">
        <v>496</v>
      </c>
      <c r="G45" s="3076" t="s">
        <v>4610</v>
      </c>
      <c r="H45" s="3076" t="s">
        <v>4656</v>
      </c>
      <c r="I45" s="3076" t="s">
        <v>4660</v>
      </c>
      <c r="J45" s="3076" t="s">
        <v>3212</v>
      </c>
      <c r="K45" s="3076">
        <v>650.0</v>
      </c>
      <c r="L45" s="3077" t="s">
        <v>4661</v>
      </c>
      <c r="M45" s="3078"/>
      <c r="N45" s="3079"/>
      <c r="O45" s="3080"/>
      <c r="P45" s="3081"/>
      <c r="Q45" s="3064"/>
      <c r="R45" s="3064"/>
      <c r="S45" s="2966"/>
      <c r="T45" s="2979" t="s">
        <v>4659</v>
      </c>
      <c r="U45" s="2960" t="s">
        <v>4658</v>
      </c>
      <c r="V45" s="2960" t="str">
        <f t="shared" si="2"/>
        <v>-IMI 沙漠之鹰</v>
      </c>
      <c r="W45" s="3055"/>
      <c r="X45" s="3034"/>
      <c r="Y45" s="3034"/>
      <c r="Z45" s="3034"/>
      <c r="AA45" s="3034"/>
      <c r="AB45" s="3034"/>
      <c r="AC45" s="3034"/>
      <c r="AD45" s="3034"/>
      <c r="AE45" s="3034"/>
      <c r="AF45" s="2983"/>
      <c r="AG45" s="2984"/>
      <c r="AH45" s="3010"/>
      <c r="AI45" s="3010"/>
      <c r="AJ45" s="3010"/>
      <c r="AK45" s="3010"/>
    </row>
    <row r="46" spans="8:8" ht="14.25" customHeight="1">
      <c r="B46" s="3082" t="str">
        <f t="shared" si="0"/>
        <v>*.58 (14.7mm)1855 年式春田步枪</v>
      </c>
      <c r="C46" s="3083" t="s">
        <v>352</v>
      </c>
      <c r="D46" s="3084" t="s">
        <v>4662</v>
      </c>
      <c r="E46" s="3084" t="s">
        <v>4663</v>
      </c>
      <c r="F46" s="3084" t="s">
        <v>496</v>
      </c>
      <c r="G46" s="3084" t="s">
        <v>4604</v>
      </c>
      <c r="H46" s="3084" t="s">
        <v>4500</v>
      </c>
      <c r="I46" s="3084" t="s">
        <v>4521</v>
      </c>
      <c r="J46" s="3084" t="s">
        <v>4575</v>
      </c>
      <c r="K46" s="3084" t="s">
        <v>4664</v>
      </c>
      <c r="L46" s="3085" t="s">
        <v>4665</v>
      </c>
      <c r="M46" s="3086" t="s">
        <v>5969</v>
      </c>
      <c r="N46" s="3087" t="s">
        <v>4666</v>
      </c>
      <c r="O46" s="3088" t="s">
        <v>4667</v>
      </c>
      <c r="P46" s="3089"/>
      <c r="Q46" s="3090"/>
      <c r="R46" s="3064"/>
      <c r="S46" s="2966"/>
      <c r="T46" s="2979" t="s">
        <v>4662</v>
      </c>
      <c r="U46" s="2960" t="s">
        <v>5992</v>
      </c>
      <c r="V46" s="2960" t="s">
        <v>5992</v>
      </c>
      <c r="W46" s="3055"/>
      <c r="X46" s="3034"/>
      <c r="Y46" s="3034"/>
      <c r="Z46" s="3034"/>
      <c r="AA46" s="3034"/>
      <c r="AB46" s="3034"/>
      <c r="AC46" s="3034"/>
      <c r="AD46" s="3034"/>
      <c r="AE46" s="3034"/>
      <c r="AF46" s="2983"/>
      <c r="AG46" s="2984"/>
      <c r="AH46" s="3010"/>
      <c r="AI46" s="3010"/>
      <c r="AJ46" s="3010"/>
      <c r="AK46" s="3010"/>
    </row>
    <row r="47" spans="8:8" ht="14.25" customHeight="1">
      <c r="B47" s="2995" t="str">
        <f t="shared" si="0"/>
        <v>.22 (5.6mm)栓式枪机步枪</v>
      </c>
      <c r="C47" s="2996" t="s">
        <v>352</v>
      </c>
      <c r="D47" s="2997" t="s">
        <v>4602</v>
      </c>
      <c r="E47" s="2997" t="s">
        <v>4669</v>
      </c>
      <c r="F47" s="2997" t="s">
        <v>496</v>
      </c>
      <c r="G47" s="2997" t="s">
        <v>4500</v>
      </c>
      <c r="H47" s="2997" t="s">
        <v>4611</v>
      </c>
      <c r="I47" s="2997" t="s">
        <v>4624</v>
      </c>
      <c r="J47" s="2997" t="s">
        <v>4502</v>
      </c>
      <c r="K47" s="2997" t="s">
        <v>4670</v>
      </c>
      <c r="L47" s="2998" t="s">
        <v>4613</v>
      </c>
      <c r="M47" s="3091"/>
      <c r="N47" s="3092"/>
      <c r="O47" s="3093"/>
      <c r="P47" s="3094"/>
      <c r="Q47" s="3090"/>
      <c r="R47" s="3064"/>
      <c r="S47" s="2966"/>
      <c r="T47" s="2979" t="s">
        <v>4602</v>
      </c>
      <c r="U47" s="2960" t="s">
        <v>4668</v>
      </c>
      <c r="V47" s="2960" t="str">
        <f t="shared" si="3" ref="V47:V105">IF(OR(J47="1920s,现代",$U$1="其他",J47=$U$1,AND(J47="1920s,罕见",$U$1="1920s"),J47="罕见"),U47,"-"&amp;U47)</f>
        <v>.22 (5.6mm)栓式枪机步枪</v>
      </c>
      <c r="W47" s="3055"/>
      <c r="X47" s="3034"/>
      <c r="Y47" s="3034"/>
      <c r="Z47" s="3034"/>
      <c r="AA47" s="3034"/>
      <c r="AB47" s="3034"/>
      <c r="AC47" s="3034"/>
      <c r="AD47" s="3034"/>
      <c r="AE47" s="3034"/>
      <c r="AF47" s="2983"/>
      <c r="AG47" s="2984"/>
      <c r="AH47" s="3010"/>
      <c r="AI47" s="3010"/>
      <c r="AJ47" s="3010"/>
      <c r="AK47" s="3010"/>
    </row>
    <row r="48" spans="8:8" ht="14.25" customHeight="1">
      <c r="B48" s="2986" t="str">
        <f t="shared" si="0"/>
        <v>.30 (7.62mm)杠杆式枪机步枪</v>
      </c>
      <c r="C48" s="3095" t="s">
        <v>352</v>
      </c>
      <c r="D48" s="3096" t="s">
        <v>4671</v>
      </c>
      <c r="E48" s="3096" t="s">
        <v>3473</v>
      </c>
      <c r="F48" s="3096" t="s">
        <v>496</v>
      </c>
      <c r="G48" s="3096" t="s">
        <v>4500</v>
      </c>
      <c r="H48" s="3096" t="s">
        <v>4611</v>
      </c>
      <c r="I48" s="3096" t="s">
        <v>4636</v>
      </c>
      <c r="J48" s="3096" t="s">
        <v>4502</v>
      </c>
      <c r="K48" s="3096" t="s">
        <v>4672</v>
      </c>
      <c r="L48" s="3097" t="s">
        <v>4673</v>
      </c>
      <c r="M48" s="3091"/>
      <c r="N48" s="3092"/>
      <c r="O48" s="3093"/>
      <c r="P48" s="3094"/>
      <c r="Q48" s="3090"/>
      <c r="R48" s="3064"/>
      <c r="S48" s="2966"/>
      <c r="T48" s="2979" t="s">
        <v>4671</v>
      </c>
      <c r="U48" s="2960" t="s">
        <v>5993</v>
      </c>
      <c r="V48" s="2960" t="str">
        <f t="shared" si="3"/>
        <v>.30 (7.62mm)杠杆式枪机步枪</v>
      </c>
      <c r="W48" s="3055"/>
      <c r="X48" s="3034"/>
      <c r="Y48" s="3034"/>
      <c r="Z48" s="3034"/>
      <c r="AA48" s="3034"/>
      <c r="AB48" s="3034"/>
      <c r="AC48" s="3034"/>
      <c r="AD48" s="3034"/>
      <c r="AE48" s="3034"/>
      <c r="AF48" s="2983"/>
      <c r="AG48" s="2984"/>
      <c r="AH48" s="3010"/>
      <c r="AI48" s="3010"/>
      <c r="AJ48" s="3010"/>
      <c r="AK48" s="3010"/>
    </row>
    <row r="49" spans="8:8" ht="14.25" customHeight="1">
      <c r="B49" s="2995" t="str">
        <f t="shared" si="0"/>
        <v>.45 马提尼·亨利步枪</v>
      </c>
      <c r="C49" s="2996" t="s">
        <v>352</v>
      </c>
      <c r="D49" s="2997" t="s">
        <v>4675</v>
      </c>
      <c r="E49" s="2997" t="s">
        <v>4676</v>
      </c>
      <c r="F49" s="2997" t="s">
        <v>496</v>
      </c>
      <c r="G49" s="2997" t="s">
        <v>4677</v>
      </c>
      <c r="H49" s="2997" t="s">
        <v>4500</v>
      </c>
      <c r="I49" s="2997" t="s">
        <v>3482</v>
      </c>
      <c r="J49" s="2997" t="s">
        <v>11</v>
      </c>
      <c r="K49" s="2997" t="s">
        <v>4678</v>
      </c>
      <c r="L49" s="2998" t="s">
        <v>4679</v>
      </c>
      <c r="M49" s="3091"/>
      <c r="N49" s="3092"/>
      <c r="O49" s="3093"/>
      <c r="P49" s="3094"/>
      <c r="Q49" s="3090"/>
      <c r="R49" s="3064"/>
      <c r="S49" s="2966"/>
      <c r="T49" s="2979" t="s">
        <v>4675</v>
      </c>
      <c r="U49" s="2960" t="s">
        <v>4674</v>
      </c>
      <c r="V49" s="2960" t="str">
        <f t="shared" si="3"/>
        <v>.45 马提尼·亨利步枪</v>
      </c>
      <c r="W49" s="3055"/>
      <c r="X49" s="3034"/>
      <c r="Y49" s="3034"/>
      <c r="Z49" s="3034"/>
      <c r="AA49" s="3034"/>
      <c r="AB49" s="3034"/>
      <c r="AC49" s="3034"/>
      <c r="AD49" s="3034"/>
      <c r="AE49" s="3034"/>
      <c r="AF49" s="2983"/>
      <c r="AG49" s="2984"/>
      <c r="AH49" s="3010"/>
      <c r="AI49" s="3010"/>
      <c r="AJ49" s="3010"/>
      <c r="AK49" s="3010"/>
    </row>
    <row r="50" spans="8:8" ht="14.25" customHeight="1">
      <c r="B50" s="3098" t="str">
        <f t="shared" si="0"/>
        <v>莫兰上校的气动步枪</v>
      </c>
      <c r="C50" s="3099" t="s">
        <v>352</v>
      </c>
      <c r="D50" s="3100" t="s">
        <v>4681</v>
      </c>
      <c r="E50" s="3100" t="s">
        <v>4682</v>
      </c>
      <c r="F50" s="3100" t="s">
        <v>496</v>
      </c>
      <c r="G50" s="3100" t="s">
        <v>4677</v>
      </c>
      <c r="H50" s="3100" t="s">
        <v>4500</v>
      </c>
      <c r="I50" s="3100" t="s">
        <v>4683</v>
      </c>
      <c r="J50" s="3100" t="s">
        <v>11</v>
      </c>
      <c r="K50" s="3100" t="s">
        <v>4684</v>
      </c>
      <c r="L50" s="3101" t="s">
        <v>4654</v>
      </c>
      <c r="M50" s="3091"/>
      <c r="N50" s="3092"/>
      <c r="O50" s="3093"/>
      <c r="P50" s="3094"/>
      <c r="Q50" s="3090"/>
      <c r="R50" s="3064"/>
      <c r="S50" s="2966"/>
      <c r="T50" s="2979" t="s">
        <v>4681</v>
      </c>
      <c r="U50" s="2960" t="s">
        <v>4680</v>
      </c>
      <c r="V50" s="2960" t="str">
        <f t="shared" si="3"/>
        <v>莫兰上校的气动步枪</v>
      </c>
      <c r="W50" s="3055"/>
      <c r="X50" s="3034"/>
      <c r="Y50" s="3034"/>
      <c r="Z50" s="3034"/>
      <c r="AA50" s="3034"/>
      <c r="AB50" s="3034"/>
      <c r="AC50" s="3034"/>
      <c r="AD50" s="3034"/>
      <c r="AE50" s="3034"/>
      <c r="AF50" s="2983"/>
      <c r="AG50" s="2984"/>
      <c r="AH50" s="3010"/>
      <c r="AI50" s="3010"/>
      <c r="AJ50" s="3010"/>
      <c r="AK50" s="3010"/>
    </row>
    <row r="51" spans="8:8" ht="14.25" customHeight="1">
      <c r="B51" s="2986" t="str">
        <f t="shared" si="0"/>
        <v>加兰德M1、M2步枪</v>
      </c>
      <c r="C51" s="3102" t="s">
        <v>352</v>
      </c>
      <c r="D51" s="3103" t="s">
        <v>4686</v>
      </c>
      <c r="E51" s="3103" t="s">
        <v>4687</v>
      </c>
      <c r="F51" s="3103" t="s">
        <v>496</v>
      </c>
      <c r="G51" s="3103" t="s">
        <v>4500</v>
      </c>
      <c r="H51" s="3103" t="s">
        <v>4623</v>
      </c>
      <c r="I51" s="3103" t="s">
        <v>3482</v>
      </c>
      <c r="J51" s="3103" t="s">
        <v>4502</v>
      </c>
      <c r="K51" s="3103" t="s">
        <v>4688</v>
      </c>
      <c r="L51" s="3104" t="s">
        <v>4689</v>
      </c>
      <c r="M51" s="3091"/>
      <c r="N51" s="3092"/>
      <c r="O51" s="3093"/>
      <c r="P51" s="3094"/>
      <c r="Q51" s="3090"/>
      <c r="R51" s="3064"/>
      <c r="S51" s="2966"/>
      <c r="T51" s="2979" t="s">
        <v>4686</v>
      </c>
      <c r="U51" s="2960" t="s">
        <v>4685</v>
      </c>
      <c r="V51" s="2960" t="str">
        <f t="shared" si="3"/>
        <v>加兰德M1、M2步枪</v>
      </c>
      <c r="W51" s="3010"/>
      <c r="X51" s="3010"/>
      <c r="Y51" s="3010"/>
      <c r="Z51" s="3010"/>
      <c r="AA51" s="3010"/>
      <c r="AB51" s="3010"/>
      <c r="AC51" s="3010"/>
      <c r="AD51" s="3010"/>
      <c r="AE51" s="3010"/>
      <c r="AF51" s="2983"/>
      <c r="AG51" s="2984"/>
      <c r="AH51" s="3010"/>
      <c r="AI51" s="3010"/>
      <c r="AJ51" s="3010"/>
      <c r="AK51" s="3010"/>
    </row>
    <row r="52" spans="8:8" ht="14.25" customHeight="1">
      <c r="B52" s="2995" t="str">
        <f t="shared" si="0"/>
        <v>-SKS 半自动步枪(56 半)</v>
      </c>
      <c r="C52" s="3105" t="s">
        <v>352</v>
      </c>
      <c r="D52" s="3106" t="s">
        <v>4681</v>
      </c>
      <c r="E52" s="3106" t="s">
        <v>4691</v>
      </c>
      <c r="F52" s="3106" t="s">
        <v>496</v>
      </c>
      <c r="G52" s="3106" t="s">
        <v>4692</v>
      </c>
      <c r="H52" s="3106" t="s">
        <v>4603</v>
      </c>
      <c r="I52" s="3106" t="s">
        <v>4501</v>
      </c>
      <c r="J52" s="3106" t="s">
        <v>3212</v>
      </c>
      <c r="K52" s="3106" t="s">
        <v>3491</v>
      </c>
      <c r="L52" s="3107" t="s">
        <v>4693</v>
      </c>
      <c r="M52" s="3091"/>
      <c r="N52" s="3092"/>
      <c r="O52" s="3093"/>
      <c r="P52" s="3094"/>
      <c r="Q52" s="3090"/>
      <c r="R52" s="3064"/>
      <c r="S52" s="2966"/>
      <c r="T52" s="2979" t="s">
        <v>4681</v>
      </c>
      <c r="U52" s="2960" t="s">
        <v>4690</v>
      </c>
      <c r="V52" s="2960" t="str">
        <f t="shared" si="3"/>
        <v>-SKS 半自动步枪(56 半)</v>
      </c>
      <c r="W52" s="3055"/>
      <c r="X52" s="3034"/>
      <c r="Y52" s="3034"/>
      <c r="Z52" s="3034"/>
      <c r="AA52" s="3034"/>
      <c r="AB52" s="3034"/>
      <c r="AC52" s="3034"/>
      <c r="AD52" s="3034"/>
      <c r="AE52" s="3034"/>
      <c r="AF52" s="2983"/>
      <c r="AG52" s="3108"/>
      <c r="AH52" s="3108"/>
      <c r="AI52" s="3010"/>
      <c r="AJ52" s="3010"/>
      <c r="AK52" s="3010"/>
    </row>
    <row r="53" spans="8:8" ht="14.25" customHeight="1">
      <c r="B53" s="2986" t="str">
        <f t="shared" si="0"/>
        <v>.303 (7.7mm) 李·恩菲尔德</v>
      </c>
      <c r="C53" s="3102" t="s">
        <v>352</v>
      </c>
      <c r="D53" s="3103" t="s">
        <v>4686</v>
      </c>
      <c r="E53" s="3103" t="s">
        <v>4687</v>
      </c>
      <c r="F53" s="3103" t="s">
        <v>496</v>
      </c>
      <c r="G53" s="3103" t="s">
        <v>4500</v>
      </c>
      <c r="H53" s="3103">
        <v>10.0</v>
      </c>
      <c r="I53" s="3103" t="s">
        <v>3482</v>
      </c>
      <c r="J53" s="3103" t="s">
        <v>4502</v>
      </c>
      <c r="K53" s="3103" t="s">
        <v>4696</v>
      </c>
      <c r="L53" s="3104" t="s">
        <v>4697</v>
      </c>
      <c r="M53" s="3091"/>
      <c r="N53" s="3092"/>
      <c r="O53" s="3093"/>
      <c r="P53" s="3094"/>
      <c r="Q53" s="3090"/>
      <c r="R53" s="3064"/>
      <c r="S53" s="2966"/>
      <c r="T53" s="2979" t="s">
        <v>4686</v>
      </c>
      <c r="U53" s="2960" t="s">
        <v>4694</v>
      </c>
      <c r="V53" s="2960" t="str">
        <f t="shared" si="3"/>
        <v>.303 (7.7mm) 李·恩菲尔德</v>
      </c>
      <c r="W53" s="3055"/>
      <c r="X53" s="3034"/>
      <c r="Y53" s="3034"/>
      <c r="Z53" s="3034"/>
      <c r="AA53" s="3034"/>
      <c r="AB53" s="3034"/>
      <c r="AC53" s="3034"/>
      <c r="AD53" s="3034"/>
      <c r="AE53" s="3034"/>
      <c r="AF53" s="3109"/>
      <c r="AG53" s="3108"/>
      <c r="AH53" s="3108"/>
      <c r="AI53" s="3010"/>
      <c r="AJ53" s="3010"/>
      <c r="AK53" s="3010"/>
    </row>
    <row r="54" spans="8:8" ht="14.25" customHeight="1">
      <c r="B54" s="2995" t="str">
        <f t="shared" si="0"/>
        <v>.30——06 (7.62mm) 栓式枪机步枪</v>
      </c>
      <c r="C54" s="3105" t="s">
        <v>352</v>
      </c>
      <c r="D54" s="3106" t="s">
        <v>4686</v>
      </c>
      <c r="E54" s="3106" t="s">
        <v>4687</v>
      </c>
      <c r="F54" s="3106" t="s">
        <v>496</v>
      </c>
      <c r="G54" s="3106" t="s">
        <v>4500</v>
      </c>
      <c r="H54" s="3106" t="s">
        <v>4695</v>
      </c>
      <c r="I54" s="3106" t="s">
        <v>3482</v>
      </c>
      <c r="J54" s="3106" t="s">
        <v>4502</v>
      </c>
      <c r="K54" s="3106" t="s">
        <v>4699</v>
      </c>
      <c r="L54" s="3107" t="s">
        <v>4673</v>
      </c>
      <c r="M54" s="3091"/>
      <c r="N54" s="3092"/>
      <c r="O54" s="3093"/>
      <c r="P54" s="3094"/>
      <c r="Q54" s="3090"/>
      <c r="R54" s="3064"/>
      <c r="S54" s="2966"/>
      <c r="T54" s="2979" t="s">
        <v>4686</v>
      </c>
      <c r="U54" s="2960" t="s">
        <v>4698</v>
      </c>
      <c r="V54" s="2960" t="str">
        <f t="shared" si="3"/>
        <v>.30——06 (7.62mm) 栓式枪机步枪</v>
      </c>
      <c r="W54" s="3055"/>
      <c r="X54" s="3034"/>
      <c r="Y54" s="3034"/>
      <c r="Z54" s="3034"/>
      <c r="AA54" s="3034"/>
      <c r="AB54" s="3034"/>
      <c r="AC54" s="3034"/>
      <c r="AD54" s="3034"/>
      <c r="AE54" s="3034"/>
      <c r="AF54" s="3109"/>
      <c r="AG54" s="3108"/>
      <c r="AH54" s="3108"/>
      <c r="AI54" s="3010"/>
      <c r="AJ54" s="3010"/>
      <c r="AK54" s="3010"/>
    </row>
    <row r="55" spans="8:8" ht="14.25" customHeight="1">
      <c r="B55" s="2986" t="str">
        <f t="shared" si="0"/>
        <v>-.30——06 (7.62mm) 半自动步枪</v>
      </c>
      <c r="C55" s="3102" t="s">
        <v>352</v>
      </c>
      <c r="D55" s="3103" t="s">
        <v>4686</v>
      </c>
      <c r="E55" s="3103" t="s">
        <v>4687</v>
      </c>
      <c r="F55" s="3103" t="s">
        <v>496</v>
      </c>
      <c r="G55" s="3103" t="s">
        <v>4500</v>
      </c>
      <c r="H55" s="3103" t="s">
        <v>4695</v>
      </c>
      <c r="I55" s="3103" t="s">
        <v>3482</v>
      </c>
      <c r="J55" s="3103" t="s">
        <v>3212</v>
      </c>
      <c r="K55" s="3103" t="s">
        <v>4701</v>
      </c>
      <c r="L55" s="3104" t="s">
        <v>4702</v>
      </c>
      <c r="M55" s="3091"/>
      <c r="N55" s="3092"/>
      <c r="O55" s="3093"/>
      <c r="P55" s="3094"/>
      <c r="Q55" s="3090"/>
      <c r="R55" s="3064"/>
      <c r="S55" s="2966"/>
      <c r="T55" s="2979" t="s">
        <v>4686</v>
      </c>
      <c r="U55" s="2960" t="s">
        <v>4700</v>
      </c>
      <c r="V55" s="2960" t="str">
        <f t="shared" si="3"/>
        <v>-.30——06 (7.62mm) 半自动步枪</v>
      </c>
      <c r="W55" s="3055"/>
      <c r="X55" s="3034"/>
      <c r="Y55" s="3034"/>
      <c r="Z55" s="3034"/>
      <c r="AA55" s="3034"/>
      <c r="AB55" s="3034"/>
      <c r="AC55" s="3034"/>
      <c r="AD55" s="3034"/>
      <c r="AE55" s="3034"/>
      <c r="AF55" s="3109"/>
      <c r="AG55" s="2984"/>
      <c r="AH55" s="3108"/>
      <c r="AI55" s="3010"/>
      <c r="AJ55" s="3010"/>
      <c r="AK55" s="3010"/>
    </row>
    <row r="56" spans="8:8" ht="14.25" customHeight="1">
      <c r="B56" s="2995" t="str">
        <f t="shared" si="0"/>
        <v>-.444 (11.28mm) 马林步枪</v>
      </c>
      <c r="C56" s="3105" t="s">
        <v>352</v>
      </c>
      <c r="D56" s="3106" t="s">
        <v>4704</v>
      </c>
      <c r="E56" s="3106" t="s">
        <v>4687</v>
      </c>
      <c r="F56" s="3106" t="s">
        <v>496</v>
      </c>
      <c r="G56" s="3106" t="s">
        <v>4500</v>
      </c>
      <c r="H56" s="3106" t="s">
        <v>4695</v>
      </c>
      <c r="I56" s="3106" t="s">
        <v>4636</v>
      </c>
      <c r="J56" s="3106" t="s">
        <v>3212</v>
      </c>
      <c r="K56" s="3106">
        <v>400.0</v>
      </c>
      <c r="L56" s="3107" t="s">
        <v>4556</v>
      </c>
      <c r="M56" s="3091"/>
      <c r="N56" s="3092"/>
      <c r="O56" s="3093"/>
      <c r="P56" s="3094"/>
      <c r="Q56" s="3090"/>
      <c r="R56" s="3064"/>
      <c r="S56" s="2966"/>
      <c r="T56" s="2979" t="s">
        <v>4704</v>
      </c>
      <c r="U56" s="2960" t="s">
        <v>4703</v>
      </c>
      <c r="V56" s="2960" t="str">
        <f t="shared" si="3"/>
        <v>-.444 (11.28mm) 马林步枪</v>
      </c>
      <c r="W56" s="3055"/>
      <c r="X56" s="3034"/>
      <c r="Y56" s="3034"/>
      <c r="Z56" s="3034"/>
      <c r="AA56" s="3034"/>
      <c r="AB56" s="3034"/>
      <c r="AC56" s="3034"/>
      <c r="AD56" s="3034"/>
      <c r="AE56" s="3034"/>
      <c r="AF56" s="3109"/>
      <c r="AG56" s="2984"/>
      <c r="AH56" s="3108"/>
      <c r="AI56" s="3010"/>
      <c r="AJ56" s="3010"/>
      <c r="AK56" s="3010"/>
    </row>
    <row r="57" spans="8:8" ht="14.25" customHeight="1">
      <c r="B57" s="2986" t="str">
        <f t="shared" si="0"/>
        <v>猎象枪(双管)</v>
      </c>
      <c r="C57" s="3102" t="s">
        <v>352</v>
      </c>
      <c r="D57" s="3103" t="s">
        <v>4706</v>
      </c>
      <c r="E57" s="3103" t="s">
        <v>3482</v>
      </c>
      <c r="F57" s="3103" t="s">
        <v>496</v>
      </c>
      <c r="G57" s="3103" t="s">
        <v>4707</v>
      </c>
      <c r="H57" s="3103" t="s">
        <v>4569</v>
      </c>
      <c r="I57" s="3103" t="s">
        <v>3482</v>
      </c>
      <c r="J57" s="3103" t="s">
        <v>4502</v>
      </c>
      <c r="K57" s="3103" t="s">
        <v>4708</v>
      </c>
      <c r="L57" s="3104" t="s">
        <v>5970</v>
      </c>
      <c r="M57" s="3110" t="s">
        <v>5971</v>
      </c>
      <c r="N57" s="3111" t="s">
        <v>4713</v>
      </c>
      <c r="O57" s="3112" t="s">
        <v>4714</v>
      </c>
      <c r="P57" s="3111" t="s">
        <v>4715</v>
      </c>
      <c r="Q57" s="3090"/>
      <c r="R57" s="3064"/>
      <c r="S57" s="2966"/>
      <c r="T57" s="2979" t="s">
        <v>4706</v>
      </c>
      <c r="U57" s="2960" t="s">
        <v>4705</v>
      </c>
      <c r="V57" s="2960" t="str">
        <f t="shared" si="3"/>
        <v>猎象枪(双管)</v>
      </c>
      <c r="W57" s="3055"/>
      <c r="X57" s="3034"/>
      <c r="Y57" s="3034"/>
      <c r="Z57" s="3034"/>
      <c r="AA57" s="3034"/>
      <c r="AB57" s="3034"/>
      <c r="AC57" s="3034"/>
      <c r="AD57" s="3034"/>
      <c r="AE57" s="3034"/>
      <c r="AF57" s="3109"/>
      <c r="AG57" s="2984"/>
      <c r="AH57" s="3108"/>
      <c r="AI57" s="3010"/>
      <c r="AJ57" s="3010"/>
      <c r="AK57" s="3010"/>
    </row>
    <row r="58" spans="8:8" ht="14.25" customHeight="1">
      <c r="B58" s="2986" t="str">
        <f t="shared" si="0"/>
        <v>20 号霰弹枪(双管)</v>
      </c>
      <c r="C58" s="2987" t="s">
        <v>352</v>
      </c>
      <c r="D58" s="3096" t="s">
        <v>4710</v>
      </c>
      <c r="E58" s="3096" t="s">
        <v>4711</v>
      </c>
      <c r="F58" s="3096" t="s">
        <v>171</v>
      </c>
      <c r="G58" s="3096" t="s">
        <v>4707</v>
      </c>
      <c r="H58" s="3096" t="s">
        <v>4569</v>
      </c>
      <c r="I58" s="3096" t="s">
        <v>3482</v>
      </c>
      <c r="J58" s="3096" t="s">
        <v>11</v>
      </c>
      <c r="K58" s="3096" t="s">
        <v>4712</v>
      </c>
      <c r="L58" s="3113" t="s">
        <v>4801</v>
      </c>
      <c r="M58" s="3114"/>
      <c r="N58" s="3115"/>
      <c r="O58" s="3116"/>
      <c r="P58" s="3115"/>
      <c r="Q58" s="3090"/>
      <c r="R58" s="3064"/>
      <c r="S58" s="2966"/>
      <c r="T58" s="2979" t="s">
        <v>4671</v>
      </c>
      <c r="U58" s="2960" t="s">
        <v>4709</v>
      </c>
      <c r="V58" s="2960" t="str">
        <f t="shared" si="3"/>
        <v>20 号霰弹枪(双管)</v>
      </c>
      <c r="W58" s="3055"/>
      <c r="X58" s="3034"/>
      <c r="Y58" s="3034"/>
      <c r="Z58" s="3034"/>
      <c r="AA58" s="3034"/>
      <c r="AB58" s="3034"/>
      <c r="AC58" s="3034"/>
      <c r="AD58" s="3034"/>
      <c r="AE58" s="3034"/>
      <c r="AF58" s="3109"/>
      <c r="AG58" s="2984"/>
      <c r="AH58" s="3108"/>
      <c r="AI58" s="3010"/>
      <c r="AJ58" s="3010"/>
      <c r="AK58" s="3010"/>
    </row>
    <row r="59" spans="8:8" ht="14.25" customHeight="1">
      <c r="B59" s="2995" t="str">
        <f t="shared" si="0"/>
        <v>16 号霰弹枪(双管)</v>
      </c>
      <c r="C59" s="2996" t="s">
        <v>352</v>
      </c>
      <c r="D59" s="2997" t="s">
        <v>4717</v>
      </c>
      <c r="E59" s="2997" t="s">
        <v>4711</v>
      </c>
      <c r="F59" s="2997" t="s">
        <v>171</v>
      </c>
      <c r="G59" s="2997" t="s">
        <v>4707</v>
      </c>
      <c r="H59" s="2997" t="s">
        <v>4569</v>
      </c>
      <c r="I59" s="2997" t="s">
        <v>3482</v>
      </c>
      <c r="J59" s="2997" t="s">
        <v>11</v>
      </c>
      <c r="K59" s="2997" t="s">
        <v>4718</v>
      </c>
      <c r="L59" s="3117" t="s">
        <v>4801</v>
      </c>
      <c r="M59" s="3114"/>
      <c r="N59" s="3115"/>
      <c r="O59" s="3116"/>
      <c r="P59" s="3115"/>
      <c r="Q59" s="3090"/>
      <c r="R59" s="3064"/>
      <c r="S59" s="2966"/>
      <c r="T59" s="2979" t="s">
        <v>4719</v>
      </c>
      <c r="U59" s="2960" t="s">
        <v>4716</v>
      </c>
      <c r="V59" s="2960" t="str">
        <f t="shared" si="3"/>
        <v>16 号霰弹枪(双管)</v>
      </c>
      <c r="W59" s="3055"/>
      <c r="X59" s="3034"/>
      <c r="Y59" s="3034"/>
      <c r="Z59" s="3034"/>
      <c r="AA59" s="3034"/>
      <c r="AB59" s="3034"/>
      <c r="AC59" s="3034"/>
      <c r="AD59" s="3034"/>
      <c r="AE59" s="3034"/>
      <c r="AF59" s="3109"/>
      <c r="AG59" s="2984"/>
      <c r="AH59" s="3010"/>
      <c r="AI59" s="3010"/>
      <c r="AJ59" s="3010"/>
      <c r="AK59" s="3010"/>
    </row>
    <row r="60" spans="8:8" ht="14.25" customHeight="1">
      <c r="B60" s="2986" t="str">
        <f t="shared" si="0"/>
        <v>12 号霰弹枪(双管)</v>
      </c>
      <c r="C60" s="3095" t="s">
        <v>352</v>
      </c>
      <c r="D60" s="3096" t="s">
        <v>4721</v>
      </c>
      <c r="E60" s="3096" t="s">
        <v>4711</v>
      </c>
      <c r="F60" s="3096" t="s">
        <v>171</v>
      </c>
      <c r="G60" s="3096" t="s">
        <v>4707</v>
      </c>
      <c r="H60" s="3096" t="s">
        <v>4569</v>
      </c>
      <c r="I60" s="3096" t="s">
        <v>3482</v>
      </c>
      <c r="J60" s="3096" t="s">
        <v>4502</v>
      </c>
      <c r="K60" s="3096" t="s">
        <v>4722</v>
      </c>
      <c r="L60" s="3113" t="s">
        <v>4801</v>
      </c>
      <c r="M60" s="3114"/>
      <c r="N60" s="3115"/>
      <c r="O60" s="3116"/>
      <c r="P60" s="3115"/>
      <c r="Q60" s="3090"/>
      <c r="R60" s="3064"/>
      <c r="S60" s="2966"/>
      <c r="T60" s="2979" t="s">
        <v>4723</v>
      </c>
      <c r="U60" s="2960" t="s">
        <v>4720</v>
      </c>
      <c r="V60" s="2960" t="str">
        <f t="shared" si="3"/>
        <v>12 号霰弹枪(双管)</v>
      </c>
      <c r="W60" s="3055"/>
      <c r="X60" s="3034"/>
      <c r="Y60" s="3034"/>
      <c r="Z60" s="3034"/>
      <c r="AA60" s="3034"/>
      <c r="AB60" s="3034"/>
      <c r="AC60" s="3034"/>
      <c r="AD60" s="3034"/>
      <c r="AE60" s="3034"/>
      <c r="AF60" s="3109"/>
      <c r="AG60" s="2984"/>
      <c r="AH60" s="3010"/>
      <c r="AI60" s="3010"/>
      <c r="AJ60" s="3010"/>
      <c r="AK60" s="3010"/>
    </row>
    <row r="61" spans="8:8" ht="14.25" customHeight="1">
      <c r="B61" s="2995" t="str">
        <f t="shared" si="0"/>
        <v>12 号霰弹枪(泵动)</v>
      </c>
      <c r="C61" s="2996" t="s">
        <v>352</v>
      </c>
      <c r="D61" s="2997" t="s">
        <v>4721</v>
      </c>
      <c r="E61" s="2997" t="s">
        <v>4711</v>
      </c>
      <c r="F61" s="2997" t="s">
        <v>171</v>
      </c>
      <c r="G61" s="2997" t="s">
        <v>4500</v>
      </c>
      <c r="H61" s="2997" t="s">
        <v>4695</v>
      </c>
      <c r="I61" s="2997" t="s">
        <v>3482</v>
      </c>
      <c r="J61" s="2997" t="s">
        <v>5893</v>
      </c>
      <c r="K61" s="2997" t="s">
        <v>4725</v>
      </c>
      <c r="L61" s="3117" t="s">
        <v>5972</v>
      </c>
      <c r="M61" s="3114"/>
      <c r="N61" s="3115"/>
      <c r="O61" s="3116"/>
      <c r="P61" s="3115"/>
      <c r="Q61" s="3090"/>
      <c r="R61" s="3064"/>
      <c r="S61" s="2966"/>
      <c r="T61" s="2979" t="s">
        <v>4723</v>
      </c>
      <c r="U61" s="2960" t="s">
        <v>4724</v>
      </c>
      <c r="V61" s="2960" t="str">
        <f t="shared" si="3"/>
        <v>12 号霰弹枪(泵动)</v>
      </c>
      <c r="W61" s="3010"/>
      <c r="X61" s="3010"/>
      <c r="Y61" s="3010"/>
      <c r="Z61" s="3010"/>
      <c r="AA61" s="3010"/>
      <c r="AB61" s="3010"/>
      <c r="AC61" s="3010"/>
      <c r="AD61" s="3010"/>
      <c r="AE61" s="3010"/>
      <c r="AF61" s="3109"/>
      <c r="AG61" s="2984"/>
      <c r="AH61" s="3010"/>
      <c r="AI61" s="3010"/>
      <c r="AJ61" s="3010"/>
      <c r="AK61" s="3010"/>
    </row>
    <row r="62" spans="8:8" ht="14.25" customHeight="1">
      <c r="B62" s="2986" t="str">
        <f t="shared" si="0"/>
        <v>-12 号霰弹枪(半自动)</v>
      </c>
      <c r="C62" s="3095" t="s">
        <v>352</v>
      </c>
      <c r="D62" s="3096" t="s">
        <v>4721</v>
      </c>
      <c r="E62" s="3096" t="s">
        <v>4711</v>
      </c>
      <c r="F62" s="3096" t="s">
        <v>171</v>
      </c>
      <c r="G62" s="3096" t="s">
        <v>4692</v>
      </c>
      <c r="H62" s="3096" t="s">
        <v>4695</v>
      </c>
      <c r="I62" s="3096" t="s">
        <v>3482</v>
      </c>
      <c r="J62" s="3096" t="s">
        <v>3212</v>
      </c>
      <c r="K62" s="3096" t="s">
        <v>4725</v>
      </c>
      <c r="L62" s="3113" t="s">
        <v>4645</v>
      </c>
      <c r="M62" s="3114"/>
      <c r="N62" s="3115"/>
      <c r="O62" s="3116"/>
      <c r="P62" s="3115"/>
      <c r="Q62" s="3090"/>
      <c r="R62" s="3064"/>
      <c r="S62" s="2966"/>
      <c r="T62" s="2979" t="s">
        <v>4723</v>
      </c>
      <c r="U62" s="2960" t="s">
        <v>4726</v>
      </c>
      <c r="V62" s="2960" t="str">
        <f t="shared" si="3"/>
        <v>-12 号霰弹枪(半自动)</v>
      </c>
      <c r="W62" s="3055"/>
      <c r="X62" s="3034"/>
      <c r="Y62" s="3034"/>
      <c r="Z62" s="3034"/>
      <c r="AA62" s="3034"/>
      <c r="AB62" s="3034"/>
      <c r="AC62" s="3034"/>
      <c r="AD62" s="3034"/>
      <c r="AE62" s="3034"/>
      <c r="AF62" s="3109"/>
      <c r="AG62" s="2984"/>
      <c r="AH62" s="3010"/>
      <c r="AI62" s="3010"/>
      <c r="AJ62" s="3010"/>
      <c r="AK62" s="3010"/>
    </row>
    <row r="63" spans="8:8" ht="14.25" customHeight="1">
      <c r="B63" s="2995" t="str">
        <f t="shared" si="0"/>
        <v>12 号霰弹枪(双管,锯短)</v>
      </c>
      <c r="C63" s="2996" t="s">
        <v>352</v>
      </c>
      <c r="D63" s="2997" t="s">
        <v>4728</v>
      </c>
      <c r="E63" s="2997" t="s">
        <v>4600</v>
      </c>
      <c r="F63" s="2997" t="s">
        <v>171</v>
      </c>
      <c r="G63" s="2997" t="s">
        <v>4707</v>
      </c>
      <c r="H63" s="2997" t="s">
        <v>4569</v>
      </c>
      <c r="I63" s="2997" t="s">
        <v>3482</v>
      </c>
      <c r="J63" s="2997" t="s">
        <v>11</v>
      </c>
      <c r="K63" s="2997" t="s">
        <v>4729</v>
      </c>
      <c r="L63" s="3117" t="s">
        <v>5973</v>
      </c>
      <c r="M63" s="3114"/>
      <c r="N63" s="3115"/>
      <c r="O63" s="3116"/>
      <c r="P63" s="3115"/>
      <c r="Q63" s="3090"/>
      <c r="R63" s="3064"/>
      <c r="S63" s="2966"/>
      <c r="T63" s="2979" t="s">
        <v>4723</v>
      </c>
      <c r="U63" s="2960" t="s">
        <v>4727</v>
      </c>
      <c r="V63" s="2960" t="str">
        <f t="shared" si="3"/>
        <v>12 号霰弹枪(双管,锯短)</v>
      </c>
      <c r="W63" s="3010"/>
      <c r="X63" s="3010"/>
      <c r="Y63" s="3010"/>
      <c r="Z63" s="3010"/>
      <c r="AA63" s="3010"/>
      <c r="AB63" s="3010"/>
      <c r="AC63" s="3010"/>
      <c r="AD63" s="3010"/>
      <c r="AE63" s="3010"/>
      <c r="AF63" s="3118"/>
      <c r="AG63" s="2984"/>
      <c r="AH63" s="3010"/>
      <c r="AI63" s="3010"/>
      <c r="AJ63" s="3010"/>
      <c r="AK63" s="3010"/>
    </row>
    <row r="64" spans="8:8" ht="14.25" customHeight="1">
      <c r="B64" s="2986" t="str">
        <f t="shared" si="0"/>
        <v>-*10 号霰弹枪(双管)</v>
      </c>
      <c r="C64" s="3095" t="s">
        <v>352</v>
      </c>
      <c r="D64" s="3096" t="s">
        <v>4730</v>
      </c>
      <c r="E64" s="3096" t="s">
        <v>4711</v>
      </c>
      <c r="F64" s="3096" t="s">
        <v>171</v>
      </c>
      <c r="G64" s="3096" t="s">
        <v>4707</v>
      </c>
      <c r="H64" s="3096" t="s">
        <v>4569</v>
      </c>
      <c r="I64" s="3096" t="s">
        <v>3482</v>
      </c>
      <c r="J64" s="3096" t="s">
        <v>4646</v>
      </c>
      <c r="K64" s="3096" t="s">
        <v>4731</v>
      </c>
      <c r="L64" s="3113" t="s">
        <v>5973</v>
      </c>
      <c r="M64" s="3114"/>
      <c r="N64" s="3115"/>
      <c r="O64" s="3116"/>
      <c r="P64" s="3115"/>
      <c r="Q64" s="3090"/>
      <c r="R64" s="3064"/>
      <c r="S64" s="2966"/>
      <c r="T64" s="2979" t="s">
        <v>4732</v>
      </c>
      <c r="U64" s="2960" t="s">
        <v>5994</v>
      </c>
      <c r="V64" s="2960" t="str">
        <f t="shared" si="3"/>
        <v>*10 号霰弹枪(双管)</v>
      </c>
      <c r="W64" s="3010"/>
      <c r="X64" s="3010"/>
      <c r="Y64" s="3010"/>
      <c r="Z64" s="3010"/>
      <c r="AA64" s="3010"/>
      <c r="AB64" s="3010"/>
      <c r="AC64" s="3010"/>
      <c r="AD64" s="3010"/>
      <c r="AE64" s="3010"/>
      <c r="AF64" s="3118"/>
      <c r="AG64" s="2984"/>
      <c r="AH64" s="3010"/>
      <c r="AI64" s="3010"/>
      <c r="AJ64" s="3010"/>
      <c r="AK64" s="3010"/>
    </row>
    <row r="65" spans="8:8" ht="14.25" customHeight="1">
      <c r="B65" s="2995" t="str">
        <f t="shared" si="0"/>
        <v>-12 号贝里尼 M3(折叠式枪托)</v>
      </c>
      <c r="C65" s="2996" t="s">
        <v>352</v>
      </c>
      <c r="D65" s="2997" t="s">
        <v>4721</v>
      </c>
      <c r="E65" s="2997" t="s">
        <v>4711</v>
      </c>
      <c r="F65" s="2997" t="s">
        <v>171</v>
      </c>
      <c r="G65" s="2997" t="s">
        <v>4692</v>
      </c>
      <c r="H65" s="2997" t="s">
        <v>4656</v>
      </c>
      <c r="I65" s="2997" t="s">
        <v>3482</v>
      </c>
      <c r="J65" s="2997" t="s">
        <v>3212</v>
      </c>
      <c r="K65" s="2997" t="s">
        <v>4734</v>
      </c>
      <c r="L65" s="3117" t="s">
        <v>5974</v>
      </c>
      <c r="M65" s="3114"/>
      <c r="N65" s="3115"/>
      <c r="O65" s="3116"/>
      <c r="P65" s="3115"/>
      <c r="Q65" s="3090"/>
      <c r="R65" s="3064"/>
      <c r="S65" s="2966"/>
      <c r="T65" s="2979" t="s">
        <v>4723</v>
      </c>
      <c r="U65" s="2960" t="s">
        <v>4733</v>
      </c>
      <c r="V65" s="2960" t="str">
        <f t="shared" si="3"/>
        <v>-12 号贝里尼 M3(折叠式枪托)</v>
      </c>
      <c r="W65" s="3010"/>
      <c r="X65" s="3010"/>
      <c r="Y65" s="3010"/>
      <c r="Z65" s="3010"/>
      <c r="AA65" s="3010"/>
      <c r="AB65" s="3010"/>
      <c r="AC65" s="3010"/>
      <c r="AD65" s="3010"/>
      <c r="AE65" s="3010"/>
      <c r="AF65" s="3118"/>
      <c r="AG65" s="2984"/>
      <c r="AH65" s="2984"/>
      <c r="AI65" s="2984"/>
      <c r="AJ65" s="2984"/>
      <c r="AK65" s="2984"/>
    </row>
    <row r="66" spans="8:8" ht="14.25" customHeight="1">
      <c r="B66" s="3051" t="str">
        <f t="shared" si="4" ref="B66:B105">IF(OR(J66="1920s,现代",$U$1="其他",J66=$U$1,J66="罕见"),U66,"-"&amp;U66)</f>
        <v>-12 号 SPAS (折叠式枪托)</v>
      </c>
      <c r="C66" s="3119" t="s">
        <v>352</v>
      </c>
      <c r="D66" s="3120" t="s">
        <v>4721</v>
      </c>
      <c r="E66" s="3120" t="s">
        <v>4711</v>
      </c>
      <c r="F66" s="3120" t="s">
        <v>171</v>
      </c>
      <c r="G66" s="3120" t="s">
        <v>4500</v>
      </c>
      <c r="H66" s="3120" t="s">
        <v>4623</v>
      </c>
      <c r="I66" s="3120" t="s">
        <v>4636</v>
      </c>
      <c r="J66" s="3120" t="s">
        <v>3212</v>
      </c>
      <c r="K66" s="3120" t="s">
        <v>4736</v>
      </c>
      <c r="L66" s="3121" t="s">
        <v>4737</v>
      </c>
      <c r="M66" s="3122"/>
      <c r="N66" s="3123"/>
      <c r="O66" s="3116"/>
      <c r="P66" s="3115"/>
      <c r="Q66" s="3090"/>
      <c r="R66" s="3064"/>
      <c r="S66" s="2966"/>
      <c r="T66" s="2979" t="s">
        <v>4723</v>
      </c>
      <c r="U66" s="2960" t="s">
        <v>4735</v>
      </c>
      <c r="V66" s="2960" t="str">
        <f t="shared" si="3"/>
        <v>-12 号 SPAS (折叠式枪托)</v>
      </c>
      <c r="W66" s="3010"/>
      <c r="X66" s="3010"/>
      <c r="Y66" s="3010"/>
      <c r="Z66" s="3010"/>
      <c r="AA66" s="3010"/>
      <c r="AB66" s="3010"/>
      <c r="AC66" s="3010"/>
      <c r="AD66" s="3010"/>
      <c r="AE66" s="3010"/>
      <c r="AF66" s="3118"/>
      <c r="AG66" s="2984"/>
      <c r="AH66" s="2984"/>
      <c r="AI66" s="2984"/>
      <c r="AJ66" s="2984"/>
      <c r="AK66" s="2984"/>
    </row>
    <row r="67" spans="8:8" ht="14.25" customHeight="1">
      <c r="B67" s="3124" t="str">
        <f t="shared" si="4"/>
        <v>-AK-47 或 AKM</v>
      </c>
      <c r="C67" s="3125" t="s">
        <v>352</v>
      </c>
      <c r="D67" s="3126" t="s">
        <v>4681</v>
      </c>
      <c r="E67" s="3126" t="s">
        <v>3482</v>
      </c>
      <c r="F67" s="3126" t="s">
        <v>496</v>
      </c>
      <c r="G67" s="3126" t="s">
        <v>4739</v>
      </c>
      <c r="H67" s="3126" t="s">
        <v>4669</v>
      </c>
      <c r="I67" s="3126" t="s">
        <v>3482</v>
      </c>
      <c r="J67" s="3126" t="s">
        <v>3212</v>
      </c>
      <c r="K67" s="3126" t="s">
        <v>4589</v>
      </c>
      <c r="L67" s="3127" t="s">
        <v>4740</v>
      </c>
      <c r="M67" s="3128" t="s">
        <v>5975</v>
      </c>
      <c r="N67" s="3129" t="s">
        <v>5976</v>
      </c>
      <c r="O67" s="3130" t="s">
        <v>5977</v>
      </c>
      <c r="P67" s="3131"/>
      <c r="Q67" s="3132" t="s">
        <v>5978</v>
      </c>
      <c r="R67" s="3133"/>
      <c r="S67" s="2966"/>
      <c r="T67" s="2979" t="s">
        <v>4681</v>
      </c>
      <c r="U67" s="2960" t="s">
        <v>4738</v>
      </c>
      <c r="V67" s="2960" t="str">
        <f t="shared" si="3"/>
        <v>-AK-47 或 AKM</v>
      </c>
      <c r="W67" s="3010"/>
      <c r="X67" s="3010"/>
      <c r="Y67" s="3010"/>
      <c r="Z67" s="3010"/>
      <c r="AA67" s="3010"/>
      <c r="AB67" s="3010"/>
      <c r="AC67" s="3010"/>
      <c r="AD67" s="3010"/>
      <c r="AE67" s="3010"/>
      <c r="AF67" s="3118"/>
      <c r="AG67" s="3010"/>
      <c r="AH67" s="2984"/>
      <c r="AI67" s="2984"/>
      <c r="AJ67" s="2984"/>
      <c r="AK67" s="2984"/>
    </row>
    <row r="68" spans="8:8" ht="14.25" customHeight="1">
      <c r="B68" s="3134" t="str">
        <f t="shared" si="4"/>
        <v>-AK-74</v>
      </c>
      <c r="C68" s="3105" t="s">
        <v>352</v>
      </c>
      <c r="D68" s="3106" t="s">
        <v>4681</v>
      </c>
      <c r="E68" s="3106" t="s">
        <v>4687</v>
      </c>
      <c r="F68" s="3106" t="s">
        <v>496</v>
      </c>
      <c r="G68" s="3106" t="s">
        <v>4739</v>
      </c>
      <c r="H68" s="3106" t="s">
        <v>4669</v>
      </c>
      <c r="I68" s="3106" t="s">
        <v>4501</v>
      </c>
      <c r="J68" s="3106" t="s">
        <v>3212</v>
      </c>
      <c r="K68" s="3106" t="s">
        <v>4742</v>
      </c>
      <c r="L68" s="3107" t="s">
        <v>4596</v>
      </c>
      <c r="M68" s="3135"/>
      <c r="N68" s="3136"/>
      <c r="O68" s="3137" t="s">
        <v>5979</v>
      </c>
      <c r="P68" s="3138"/>
      <c r="Q68" s="3139"/>
      <c r="R68" s="3140"/>
      <c r="S68" s="2966"/>
      <c r="T68" s="2979" t="s">
        <v>4671</v>
      </c>
      <c r="U68" s="2960" t="s">
        <v>4741</v>
      </c>
      <c r="V68" s="2960" t="str">
        <f t="shared" si="3"/>
        <v>-AK-74</v>
      </c>
      <c r="W68" s="3010"/>
      <c r="X68" s="3010"/>
      <c r="Y68" s="3010"/>
      <c r="Z68" s="3010"/>
      <c r="AA68" s="3010"/>
      <c r="AB68" s="3010"/>
      <c r="AC68" s="3010"/>
      <c r="AD68" s="3010"/>
      <c r="AE68" s="3010"/>
      <c r="AF68" s="3118"/>
      <c r="AG68" s="3010"/>
      <c r="AH68" s="3010"/>
      <c r="AI68" s="3010"/>
      <c r="AJ68" s="3010"/>
      <c r="AK68" s="3010"/>
    </row>
    <row r="69" spans="8:8" ht="14.25" customHeight="1">
      <c r="B69" s="3141" t="str">
        <f t="shared" si="4"/>
        <v>-巴雷特M82</v>
      </c>
      <c r="C69" s="3142" t="s">
        <v>352</v>
      </c>
      <c r="D69" s="3143" t="s">
        <v>4744</v>
      </c>
      <c r="E69" s="3143" t="s">
        <v>4745</v>
      </c>
      <c r="F69" s="3143" t="s">
        <v>496</v>
      </c>
      <c r="G69" s="3143" t="s">
        <v>4500</v>
      </c>
      <c r="H69" s="3143" t="s">
        <v>4746</v>
      </c>
      <c r="I69" s="3143" t="s">
        <v>4537</v>
      </c>
      <c r="J69" s="3143" t="s">
        <v>3212</v>
      </c>
      <c r="K69" s="3143" t="s">
        <v>4747</v>
      </c>
      <c r="L69" s="3144" t="s">
        <v>4748</v>
      </c>
      <c r="M69" s="3135"/>
      <c r="N69" s="3136"/>
      <c r="O69" s="3137"/>
      <c r="P69" s="3138"/>
      <c r="Q69" s="3139"/>
      <c r="R69" s="3140"/>
      <c r="S69" s="2966"/>
      <c r="T69" s="2979" t="s">
        <v>4744</v>
      </c>
      <c r="U69" s="2960" t="s">
        <v>4743</v>
      </c>
      <c r="V69" s="2960" t="str">
        <f t="shared" si="3"/>
        <v>-巴雷特M82</v>
      </c>
      <c r="W69" s="3010"/>
      <c r="X69" s="3010"/>
      <c r="Y69" s="3010"/>
      <c r="Z69" s="3010"/>
      <c r="AA69" s="3010"/>
      <c r="AB69" s="3010"/>
      <c r="AC69" s="3010"/>
      <c r="AD69" s="3010"/>
      <c r="AE69" s="3010"/>
      <c r="AF69" s="3118"/>
      <c r="AG69" s="3010"/>
      <c r="AH69" s="3010"/>
      <c r="AI69" s="3010"/>
      <c r="AJ69" s="3010"/>
      <c r="AK69" s="3010"/>
    </row>
    <row r="70" spans="8:8" ht="14.25" customHeight="1">
      <c r="B70" s="3134" t="str">
        <f t="shared" si="4"/>
        <v>-FN FAL</v>
      </c>
      <c r="C70" s="3105" t="s">
        <v>352</v>
      </c>
      <c r="D70" s="3106" t="s">
        <v>4686</v>
      </c>
      <c r="E70" s="3106" t="s">
        <v>4687</v>
      </c>
      <c r="F70" s="3106" t="s">
        <v>496</v>
      </c>
      <c r="G70" s="3106" t="s">
        <v>4750</v>
      </c>
      <c r="H70" s="3106" t="s">
        <v>4682</v>
      </c>
      <c r="I70" s="3106" t="s">
        <v>4501</v>
      </c>
      <c r="J70" s="3106" t="s">
        <v>3212</v>
      </c>
      <c r="K70" s="3106" t="s">
        <v>4751</v>
      </c>
      <c r="L70" s="3107" t="s">
        <v>4752</v>
      </c>
      <c r="M70" s="3135"/>
      <c r="N70" s="3136"/>
      <c r="O70" s="3137"/>
      <c r="P70" s="3138"/>
      <c r="Q70" s="3139"/>
      <c r="R70" s="3140"/>
      <c r="S70" s="2966"/>
      <c r="T70" s="2979" t="s">
        <v>4686</v>
      </c>
      <c r="U70" s="2960" t="s">
        <v>4749</v>
      </c>
      <c r="V70" s="2960" t="str">
        <f t="shared" si="3"/>
        <v>-FN FAL</v>
      </c>
      <c r="W70" s="3010"/>
      <c r="X70" s="3010"/>
      <c r="Y70" s="3010"/>
      <c r="Z70" s="3010"/>
      <c r="AA70" s="3010"/>
      <c r="AB70" s="3010"/>
      <c r="AC70" s="3010"/>
      <c r="AD70" s="3010"/>
      <c r="AE70" s="3010"/>
      <c r="AF70" s="3118"/>
      <c r="AG70" s="3010"/>
      <c r="AH70" s="3010"/>
      <c r="AI70" s="3010"/>
      <c r="AJ70" s="3010"/>
      <c r="AK70" s="3010"/>
    </row>
    <row r="71" spans="8:8" ht="14.25" customHeight="1">
      <c r="B71" s="3141" t="str">
        <f t="shared" si="4"/>
        <v>-加利尔突击步枪</v>
      </c>
      <c r="C71" s="3142" t="s">
        <v>352</v>
      </c>
      <c r="D71" s="3143" t="s">
        <v>4671</v>
      </c>
      <c r="E71" s="3143" t="s">
        <v>4687</v>
      </c>
      <c r="F71" s="3143" t="s">
        <v>496</v>
      </c>
      <c r="G71" s="3143" t="s">
        <v>4754</v>
      </c>
      <c r="H71" s="3143" t="s">
        <v>4682</v>
      </c>
      <c r="I71" s="3143" t="s">
        <v>4636</v>
      </c>
      <c r="J71" s="3143" t="s">
        <v>3212</v>
      </c>
      <c r="K71" s="3143" t="s">
        <v>4755</v>
      </c>
      <c r="L71" s="3144" t="s">
        <v>4756</v>
      </c>
      <c r="M71" s="3135"/>
      <c r="N71" s="3136"/>
      <c r="O71" s="3137"/>
      <c r="P71" s="3138"/>
      <c r="Q71" s="3139"/>
      <c r="R71" s="3140"/>
      <c r="S71" s="2966"/>
      <c r="T71" s="2979" t="s">
        <v>4671</v>
      </c>
      <c r="U71" s="2960" t="s">
        <v>4753</v>
      </c>
      <c r="V71" s="2960" t="str">
        <f t="shared" si="3"/>
        <v>-加利尔突击步枪</v>
      </c>
      <c r="W71" s="3010"/>
      <c r="X71" s="3010"/>
      <c r="Y71" s="3010"/>
      <c r="Z71" s="3010"/>
      <c r="AA71" s="3010"/>
      <c r="AB71" s="3010"/>
      <c r="AC71" s="3010"/>
      <c r="AD71" s="3010"/>
      <c r="AE71" s="3010"/>
      <c r="AF71" s="3118"/>
      <c r="AG71" s="2984"/>
      <c r="AH71" s="3010"/>
      <c r="AI71" s="3010"/>
      <c r="AJ71" s="3010"/>
      <c r="AK71" s="3010"/>
    </row>
    <row r="72" spans="8:8" ht="14.25" customHeight="1">
      <c r="B72" s="3134" t="str">
        <f t="shared" si="4"/>
        <v>-M16A2</v>
      </c>
      <c r="C72" s="3105" t="s">
        <v>352</v>
      </c>
      <c r="D72" s="3106" t="s">
        <v>4671</v>
      </c>
      <c r="E72" s="3106" t="s">
        <v>4687</v>
      </c>
      <c r="F72" s="3106" t="s">
        <v>496</v>
      </c>
      <c r="G72" s="3106" t="s">
        <v>4750</v>
      </c>
      <c r="H72" s="3106" t="s">
        <v>4669</v>
      </c>
      <c r="I72" s="3106" t="s">
        <v>4501</v>
      </c>
      <c r="J72" s="3106" t="s">
        <v>3212</v>
      </c>
      <c r="K72" s="3106" t="s">
        <v>4729</v>
      </c>
      <c r="L72" s="3107" t="s">
        <v>4758</v>
      </c>
      <c r="M72" s="3135"/>
      <c r="N72" s="3136"/>
      <c r="O72" s="3137"/>
      <c r="P72" s="3138"/>
      <c r="Q72" s="3139"/>
      <c r="R72" s="3140"/>
      <c r="S72" s="2966"/>
      <c r="T72" s="2979" t="s">
        <v>4671</v>
      </c>
      <c r="U72" s="2960" t="s">
        <v>4757</v>
      </c>
      <c r="V72" s="2960" t="str">
        <f t="shared" si="3"/>
        <v>-M16A2</v>
      </c>
      <c r="W72" s="3010"/>
      <c r="X72" s="3010"/>
      <c r="Y72" s="3010"/>
      <c r="Z72" s="3010"/>
      <c r="AA72" s="3010"/>
      <c r="AB72" s="3010"/>
      <c r="AC72" s="3010"/>
      <c r="AD72" s="3010"/>
      <c r="AE72" s="3010"/>
      <c r="AF72" s="3118"/>
      <c r="AG72" s="2984"/>
      <c r="AH72" s="3010"/>
      <c r="AI72" s="3010"/>
      <c r="AJ72" s="3010"/>
      <c r="AK72" s="3010"/>
    </row>
    <row r="73" spans="8:8" ht="14.25" customHeight="1">
      <c r="B73" s="3141" t="str">
        <f t="shared" si="4"/>
        <v>-M4</v>
      </c>
      <c r="C73" s="3142" t="s">
        <v>352</v>
      </c>
      <c r="D73" s="3143" t="s">
        <v>4671</v>
      </c>
      <c r="E73" s="3143" t="s">
        <v>4691</v>
      </c>
      <c r="F73" s="3143" t="s">
        <v>496</v>
      </c>
      <c r="G73" s="3143" t="s">
        <v>4760</v>
      </c>
      <c r="H73" s="3143" t="s">
        <v>4669</v>
      </c>
      <c r="I73" s="3143" t="s">
        <v>4501</v>
      </c>
      <c r="J73" s="3143" t="s">
        <v>3212</v>
      </c>
      <c r="K73" s="3143" t="s">
        <v>4729</v>
      </c>
      <c r="L73" s="3144" t="s">
        <v>4761</v>
      </c>
      <c r="M73" s="3135"/>
      <c r="N73" s="3136"/>
      <c r="O73" s="3137"/>
      <c r="P73" s="3138"/>
      <c r="Q73" s="3139"/>
      <c r="R73" s="3140"/>
      <c r="S73" s="2966"/>
      <c r="T73" s="2979" t="s">
        <v>4671</v>
      </c>
      <c r="U73" s="2960" t="s">
        <v>4759</v>
      </c>
      <c r="V73" s="2960" t="str">
        <f t="shared" si="3"/>
        <v>-M4</v>
      </c>
      <c r="W73" s="3010"/>
      <c r="X73" s="3010"/>
      <c r="Y73" s="3010"/>
      <c r="Z73" s="3010"/>
      <c r="AA73" s="3010"/>
      <c r="AB73" s="3010"/>
      <c r="AC73" s="3010"/>
      <c r="AD73" s="3010"/>
      <c r="AE73" s="3010"/>
      <c r="AF73" s="3118"/>
      <c r="AG73" s="2984"/>
      <c r="AH73" s="3010"/>
      <c r="AI73" s="3010"/>
      <c r="AJ73" s="3010"/>
      <c r="AK73" s="3010"/>
    </row>
    <row r="74" spans="8:8" ht="14.25" customHeight="1">
      <c r="B74" s="3134" t="str">
        <f t="shared" si="4"/>
        <v>-斯泰尔 AUG</v>
      </c>
      <c r="C74" s="3105" t="s">
        <v>352</v>
      </c>
      <c r="D74" s="3106" t="s">
        <v>4671</v>
      </c>
      <c r="E74" s="3106" t="s">
        <v>4687</v>
      </c>
      <c r="F74" s="3106" t="s">
        <v>496</v>
      </c>
      <c r="G74" s="3106" t="s">
        <v>4739</v>
      </c>
      <c r="H74" s="3106" t="s">
        <v>4669</v>
      </c>
      <c r="I74" s="3106" t="s">
        <v>4624</v>
      </c>
      <c r="J74" s="3106" t="s">
        <v>3212</v>
      </c>
      <c r="K74" s="3106" t="s">
        <v>4763</v>
      </c>
      <c r="L74" s="3107" t="s">
        <v>4764</v>
      </c>
      <c r="M74" s="3135"/>
      <c r="N74" s="3136"/>
      <c r="O74" s="3137"/>
      <c r="P74" s="3138"/>
      <c r="Q74" s="3139"/>
      <c r="R74" s="3140"/>
      <c r="S74" s="2966"/>
      <c r="T74" s="2979" t="s">
        <v>4671</v>
      </c>
      <c r="U74" s="2960" t="s">
        <v>4762</v>
      </c>
      <c r="V74" s="2960" t="str">
        <f t="shared" si="3"/>
        <v>-斯泰尔 AUG</v>
      </c>
      <c r="W74" s="3010"/>
      <c r="X74" s="3010"/>
      <c r="Y74" s="3010"/>
      <c r="Z74" s="3010"/>
      <c r="AA74" s="3010"/>
      <c r="AB74" s="3010"/>
      <c r="AC74" s="3010"/>
      <c r="AD74" s="3010"/>
      <c r="AE74" s="3010"/>
      <c r="AF74" s="3118"/>
      <c r="AG74" s="2984"/>
      <c r="AH74" s="3010"/>
      <c r="AI74" s="3010"/>
      <c r="AJ74" s="3010"/>
      <c r="AK74" s="3010"/>
    </row>
    <row r="75" spans="8:8" ht="14.25" customHeight="1">
      <c r="B75" s="3141" t="str">
        <f t="shared" si="4"/>
        <v>-贝雷塔 M70/90</v>
      </c>
      <c r="C75" s="3142" t="s">
        <v>352</v>
      </c>
      <c r="D75" s="3143" t="s">
        <v>4671</v>
      </c>
      <c r="E75" s="3143" t="s">
        <v>4687</v>
      </c>
      <c r="F75" s="3143" t="s">
        <v>496</v>
      </c>
      <c r="G75" s="3143" t="s">
        <v>4766</v>
      </c>
      <c r="H75" s="3143" t="s">
        <v>4669</v>
      </c>
      <c r="I75" s="3143" t="s">
        <v>4624</v>
      </c>
      <c r="J75" s="3143" t="s">
        <v>3212</v>
      </c>
      <c r="K75" s="3143" t="s">
        <v>4767</v>
      </c>
      <c r="L75" s="3144" t="s">
        <v>4779</v>
      </c>
      <c r="M75" s="3145"/>
      <c r="N75" s="3136"/>
      <c r="O75" s="3137"/>
      <c r="P75" s="3138"/>
      <c r="Q75" s="3139"/>
      <c r="R75" s="3140"/>
      <c r="S75" s="2966"/>
      <c r="T75" s="2979" t="s">
        <v>4671</v>
      </c>
      <c r="U75" s="2960" t="s">
        <v>4765</v>
      </c>
      <c r="V75" s="2960" t="str">
        <f t="shared" si="3"/>
        <v>-贝雷塔 M70/90</v>
      </c>
      <c r="W75" s="3055"/>
      <c r="X75" s="3034"/>
      <c r="Y75" s="3034"/>
      <c r="Z75" s="3034"/>
      <c r="AA75" s="3146"/>
      <c r="AB75" s="3034"/>
      <c r="AC75" s="3034"/>
      <c r="AD75" s="3034"/>
      <c r="AE75" s="3034"/>
      <c r="AF75" s="3118"/>
      <c r="AG75" s="2984"/>
      <c r="AH75" s="2984"/>
      <c r="AI75" s="2984"/>
      <c r="AJ75" s="2984"/>
      <c r="AK75" s="2984"/>
    </row>
    <row r="76" spans="8:8" ht="14.25" customHeight="1">
      <c r="B76" s="3134" t="str">
        <f t="shared" si="4"/>
        <v>MP18I/MP28II</v>
      </c>
      <c r="C76" s="3105" t="s">
        <v>2666</v>
      </c>
      <c r="D76" s="3106" t="s">
        <v>383</v>
      </c>
      <c r="E76" s="3106" t="s">
        <v>4682</v>
      </c>
      <c r="F76" s="3106" t="s">
        <v>496</v>
      </c>
      <c r="G76" s="3106" t="s">
        <v>4739</v>
      </c>
      <c r="H76" s="3106" t="s">
        <v>4769</v>
      </c>
      <c r="I76" s="3106" t="s">
        <v>4537</v>
      </c>
      <c r="J76" s="3106" t="s">
        <v>11</v>
      </c>
      <c r="K76" s="3106" t="s">
        <v>4770</v>
      </c>
      <c r="L76" s="3107" t="s">
        <v>4771</v>
      </c>
      <c r="M76" s="3147" t="s">
        <v>5980</v>
      </c>
      <c r="N76" s="3136"/>
      <c r="O76" s="3137"/>
      <c r="P76" s="3138"/>
      <c r="Q76" s="3139"/>
      <c r="R76" s="3140"/>
      <c r="S76" s="2966"/>
      <c r="T76" s="2979" t="s">
        <v>383</v>
      </c>
      <c r="U76" s="2960" t="s">
        <v>4768</v>
      </c>
      <c r="V76" s="2960" t="str">
        <f t="shared" si="3"/>
        <v>MP18I/MP28II</v>
      </c>
      <c r="W76" s="3055"/>
      <c r="X76" s="3034"/>
      <c r="Y76" s="3034"/>
      <c r="Z76" s="3034"/>
      <c r="AA76" s="3146"/>
      <c r="AB76" s="3034"/>
      <c r="AC76" s="3034"/>
      <c r="AD76" s="3034"/>
      <c r="AE76" s="3034"/>
      <c r="AF76" s="3118"/>
      <c r="AG76" s="2984"/>
      <c r="AH76" s="2984"/>
      <c r="AI76" s="2984"/>
      <c r="AJ76" s="2984"/>
      <c r="AK76" s="2984"/>
    </row>
    <row r="77" spans="8:8" ht="14.25" customHeight="1">
      <c r="B77" s="3141" t="str">
        <f t="shared" si="4"/>
        <v>-MP5</v>
      </c>
      <c r="C77" s="3142" t="s">
        <v>2666</v>
      </c>
      <c r="D77" s="3143" t="s">
        <v>383</v>
      </c>
      <c r="E77" s="3143" t="s">
        <v>4682</v>
      </c>
      <c r="F77" s="3143" t="s">
        <v>496</v>
      </c>
      <c r="G77" s="3143" t="s">
        <v>4739</v>
      </c>
      <c r="H77" s="3143" t="s">
        <v>4773</v>
      </c>
      <c r="I77" s="3143" t="s">
        <v>4501</v>
      </c>
      <c r="J77" s="3143" t="s">
        <v>3212</v>
      </c>
      <c r="K77" s="3143" t="s">
        <v>4729</v>
      </c>
      <c r="L77" s="3144" t="s">
        <v>4774</v>
      </c>
      <c r="M77" s="3147"/>
      <c r="N77" s="3136"/>
      <c r="O77" s="3137"/>
      <c r="P77" s="3138"/>
      <c r="Q77" s="3139"/>
      <c r="R77" s="3140"/>
      <c r="S77" s="2966"/>
      <c r="T77" s="2979" t="s">
        <v>383</v>
      </c>
      <c r="U77" s="2960" t="s">
        <v>4772</v>
      </c>
      <c r="V77" s="2960" t="str">
        <f t="shared" si="3"/>
        <v>-MP5</v>
      </c>
      <c r="W77" s="3055"/>
      <c r="X77" s="3034"/>
      <c r="Y77" s="3034"/>
      <c r="Z77" s="3034"/>
      <c r="AA77" s="3146"/>
      <c r="AB77" s="3034"/>
      <c r="AC77" s="3034"/>
      <c r="AD77" s="3034"/>
      <c r="AE77" s="3034"/>
      <c r="AF77" s="3118"/>
      <c r="AG77" s="2984"/>
      <c r="AH77" s="2984"/>
      <c r="AI77" s="2984"/>
      <c r="AJ77" s="2984"/>
      <c r="AK77" s="2984"/>
    </row>
    <row r="78" spans="8:8" ht="14.25" customHeight="1">
      <c r="B78" s="3134" t="str">
        <f t="shared" si="4"/>
        <v>-MAC-11</v>
      </c>
      <c r="C78" s="3105" t="s">
        <v>2666</v>
      </c>
      <c r="D78" s="3106" t="s">
        <v>383</v>
      </c>
      <c r="E78" s="3106" t="s">
        <v>4619</v>
      </c>
      <c r="F78" s="3106" t="s">
        <v>496</v>
      </c>
      <c r="G78" s="3106" t="s">
        <v>4776</v>
      </c>
      <c r="H78" s="3106" t="s">
        <v>4777</v>
      </c>
      <c r="I78" s="3106" t="s">
        <v>4537</v>
      </c>
      <c r="J78" s="3106" t="s">
        <v>3212</v>
      </c>
      <c r="K78" s="3106" t="s">
        <v>4778</v>
      </c>
      <c r="L78" s="3107" t="s">
        <v>4779</v>
      </c>
      <c r="M78" s="3147"/>
      <c r="N78" s="3136"/>
      <c r="O78" s="3137"/>
      <c r="P78" s="3138"/>
      <c r="Q78" s="3139"/>
      <c r="R78" s="3140"/>
      <c r="S78" s="2966"/>
      <c r="T78" s="2979" t="s">
        <v>383</v>
      </c>
      <c r="U78" s="2960" t="s">
        <v>4775</v>
      </c>
      <c r="V78" s="2960" t="str">
        <f t="shared" si="3"/>
        <v>-MAC-11</v>
      </c>
      <c r="W78" s="3055"/>
      <c r="X78" s="3034"/>
      <c r="Y78" s="3034"/>
      <c r="Z78" s="3034"/>
      <c r="AA78" s="3146"/>
      <c r="AB78" s="3034"/>
      <c r="AC78" s="3034"/>
      <c r="AD78" s="3034"/>
      <c r="AE78" s="3034"/>
      <c r="AF78" s="3118"/>
      <c r="AG78" s="2984"/>
      <c r="AH78" s="2984"/>
      <c r="AI78" s="2984"/>
      <c r="AJ78" s="2984"/>
      <c r="AK78" s="2984"/>
    </row>
    <row r="79" spans="8:8" ht="14.25" customHeight="1">
      <c r="B79" s="3141" t="str">
        <f t="shared" si="4"/>
        <v>-蝎式冲锋枪</v>
      </c>
      <c r="C79" s="3142" t="s">
        <v>2666</v>
      </c>
      <c r="D79" s="3143" t="s">
        <v>4618</v>
      </c>
      <c r="E79" s="3143" t="s">
        <v>4619</v>
      </c>
      <c r="F79" s="3143" t="s">
        <v>496</v>
      </c>
      <c r="G79" s="3143" t="s">
        <v>4776</v>
      </c>
      <c r="H79" s="3143" t="s">
        <v>4682</v>
      </c>
      <c r="I79" s="3143" t="s">
        <v>4537</v>
      </c>
      <c r="J79" s="3143" t="s">
        <v>3212</v>
      </c>
      <c r="K79" s="3143" t="s">
        <v>4729</v>
      </c>
      <c r="L79" s="3144" t="s">
        <v>4781</v>
      </c>
      <c r="M79" s="3147"/>
      <c r="N79" s="3136"/>
      <c r="O79" s="3137"/>
      <c r="P79" s="3138"/>
      <c r="Q79" s="3139"/>
      <c r="R79" s="3140"/>
      <c r="S79" s="2966"/>
      <c r="T79" s="2979" t="s">
        <v>4618</v>
      </c>
      <c r="U79" s="2960" t="s">
        <v>4780</v>
      </c>
      <c r="V79" s="2960" t="str">
        <f t="shared" si="3"/>
        <v>-蝎式冲锋枪</v>
      </c>
      <c r="W79" s="3010"/>
      <c r="X79" s="3010"/>
      <c r="Y79" s="3010"/>
      <c r="Z79" s="3010"/>
      <c r="AA79" s="3010"/>
      <c r="AB79" s="3010"/>
      <c r="AC79" s="3010"/>
      <c r="AD79" s="3010"/>
      <c r="AE79" s="3010"/>
      <c r="AF79" s="3118"/>
      <c r="AG79" s="2984"/>
      <c r="AH79" s="2984"/>
      <c r="AI79" s="2984"/>
      <c r="AJ79" s="2984"/>
      <c r="AK79" s="2984"/>
    </row>
    <row r="80" spans="8:8" ht="14.25" customHeight="1">
      <c r="B80" s="3134" t="str">
        <f t="shared" si="4"/>
        <v>汤普森冲锋枪</v>
      </c>
      <c r="C80" s="3105" t="s">
        <v>2666</v>
      </c>
      <c r="D80" s="3106" t="s">
        <v>4653</v>
      </c>
      <c r="E80" s="3106" t="s">
        <v>4682</v>
      </c>
      <c r="F80" s="3106" t="s">
        <v>496</v>
      </c>
      <c r="G80" s="3106" t="s">
        <v>4766</v>
      </c>
      <c r="H80" s="3106" t="s">
        <v>4782</v>
      </c>
      <c r="I80" s="3106" t="s">
        <v>4537</v>
      </c>
      <c r="J80" s="3106" t="s">
        <v>11</v>
      </c>
      <c r="K80" s="3106" t="s">
        <v>4783</v>
      </c>
      <c r="L80" s="3107" t="s">
        <v>4784</v>
      </c>
      <c r="M80" s="3147"/>
      <c r="N80" s="3136"/>
      <c r="O80" s="3137"/>
      <c r="P80" s="3138"/>
      <c r="Q80" s="3139"/>
      <c r="R80" s="3140"/>
      <c r="S80" s="2966"/>
      <c r="T80" s="2979" t="s">
        <v>4653</v>
      </c>
      <c r="U80" s="2960" t="s">
        <v>4194</v>
      </c>
      <c r="V80" s="2960" t="str">
        <f t="shared" si="3"/>
        <v>汤普森冲锋枪</v>
      </c>
      <c r="W80" s="3055"/>
      <c r="X80" s="3034"/>
      <c r="Y80" s="3034"/>
      <c r="Z80" s="3034"/>
      <c r="AA80" s="3146"/>
      <c r="AB80" s="3034"/>
      <c r="AC80" s="3034"/>
      <c r="AD80" s="3034"/>
      <c r="AE80" s="3034"/>
      <c r="AF80" s="3118"/>
      <c r="AG80" s="2984"/>
      <c r="AH80" s="2984"/>
      <c r="AI80" s="2984"/>
      <c r="AJ80" s="2984"/>
      <c r="AK80" s="2984"/>
    </row>
    <row r="81" spans="8:8" ht="14.25" customHeight="1">
      <c r="B81" s="3141" t="str">
        <f t="shared" si="4"/>
        <v>-乌兹微型冲锋枪</v>
      </c>
      <c r="C81" s="3142" t="s">
        <v>2666</v>
      </c>
      <c r="D81" s="3143" t="s">
        <v>383</v>
      </c>
      <c r="E81" s="3143" t="s">
        <v>4682</v>
      </c>
      <c r="F81" s="3143" t="s">
        <v>496</v>
      </c>
      <c r="G81" s="3143" t="s">
        <v>4739</v>
      </c>
      <c r="H81" s="3143" t="s">
        <v>4777</v>
      </c>
      <c r="I81" s="3143" t="s">
        <v>4636</v>
      </c>
      <c r="J81" s="3143" t="s">
        <v>3212</v>
      </c>
      <c r="K81" s="3143" t="s">
        <v>4742</v>
      </c>
      <c r="L81" s="3144" t="s">
        <v>4752</v>
      </c>
      <c r="M81" s="3147"/>
      <c r="N81" s="3136"/>
      <c r="O81" s="3148"/>
      <c r="P81" s="3149"/>
      <c r="Q81" s="3139"/>
      <c r="R81" s="3140"/>
      <c r="S81" s="2966"/>
      <c r="T81" s="2979" t="s">
        <v>383</v>
      </c>
      <c r="U81" s="2960" t="s">
        <v>4785</v>
      </c>
      <c r="V81" s="2960" t="str">
        <f t="shared" si="3"/>
        <v>-乌兹微型冲锋枪</v>
      </c>
      <c r="W81" s="3055"/>
      <c r="X81" s="3034"/>
      <c r="Y81" s="3034"/>
      <c r="Z81" s="3034"/>
      <c r="AA81" s="3034"/>
      <c r="AB81" s="3034"/>
      <c r="AC81" s="3034"/>
      <c r="AD81" s="3034"/>
      <c r="AE81" s="3146"/>
      <c r="AF81" s="3118"/>
      <c r="AG81" s="2984"/>
      <c r="AH81" s="2984"/>
      <c r="AI81" s="2984"/>
      <c r="AJ81" s="2984"/>
      <c r="AK81" s="2984"/>
    </row>
    <row r="82" spans="8:8" ht="14.25" customHeight="1">
      <c r="B82" s="3134" t="str">
        <f t="shared" si="4"/>
        <v>-*1882 年式加特林</v>
      </c>
      <c r="C82" s="3105" t="s">
        <v>2697</v>
      </c>
      <c r="D82" s="3106" t="s">
        <v>4686</v>
      </c>
      <c r="E82" s="3106" t="s">
        <v>3482</v>
      </c>
      <c r="F82" s="3106" t="s">
        <v>496</v>
      </c>
      <c r="G82" s="3106" t="s">
        <v>4786</v>
      </c>
      <c r="H82" s="3106" t="s">
        <v>4684</v>
      </c>
      <c r="I82" s="3106" t="s">
        <v>4537</v>
      </c>
      <c r="J82" s="3106" t="s">
        <v>4646</v>
      </c>
      <c r="K82" s="3106" t="s">
        <v>4787</v>
      </c>
      <c r="L82" s="3107" t="s">
        <v>4788</v>
      </c>
      <c r="M82" s="3150" t="s">
        <v>5981</v>
      </c>
      <c r="N82" s="3151"/>
      <c r="O82" s="3152" t="s">
        <v>4789</v>
      </c>
      <c r="P82" s="3153"/>
      <c r="Q82" s="3136"/>
      <c r="R82" s="3140"/>
      <c r="S82" s="2966"/>
      <c r="T82" s="2979" t="s">
        <v>4686</v>
      </c>
      <c r="U82" s="2960" t="s">
        <v>5995</v>
      </c>
      <c r="V82" s="2960" t="str">
        <f t="shared" si="3"/>
        <v>*1882 年式加特林</v>
      </c>
      <c r="W82" s="3055"/>
      <c r="X82" s="3034"/>
      <c r="Y82" s="3034"/>
      <c r="Z82" s="3034"/>
      <c r="AA82" s="3034"/>
      <c r="AB82" s="3034"/>
      <c r="AC82" s="3034"/>
      <c r="AD82" s="3034"/>
      <c r="AE82" s="3146"/>
      <c r="AF82" s="3118"/>
      <c r="AG82" s="2984"/>
      <c r="AH82" s="2984"/>
      <c r="AI82" s="3010"/>
      <c r="AJ82" s="2984"/>
      <c r="AK82" s="2984"/>
    </row>
    <row r="83" spans="8:8" ht="14.25" customHeight="1">
      <c r="B83" s="3141" t="str">
        <f t="shared" si="4"/>
        <v>M1918 式勃朗宁自动步枪</v>
      </c>
      <c r="C83" s="3142" t="s">
        <v>2697</v>
      </c>
      <c r="D83" s="3143" t="s">
        <v>4686</v>
      </c>
      <c r="E83" s="3143" t="s">
        <v>4691</v>
      </c>
      <c r="F83" s="3143" t="s">
        <v>496</v>
      </c>
      <c r="G83" s="3143" t="s">
        <v>4739</v>
      </c>
      <c r="H83" s="3143" t="s">
        <v>4682</v>
      </c>
      <c r="I83" s="3143" t="s">
        <v>3482</v>
      </c>
      <c r="J83" s="3143" t="s">
        <v>11</v>
      </c>
      <c r="K83" s="3143" t="s">
        <v>4791</v>
      </c>
      <c r="L83" s="3144" t="s">
        <v>4771</v>
      </c>
      <c r="M83" s="3150"/>
      <c r="N83" s="3151"/>
      <c r="O83" s="3154"/>
      <c r="P83" s="3155"/>
      <c r="Q83" s="3136"/>
      <c r="R83" s="3140"/>
      <c r="S83" s="2966"/>
      <c r="T83" s="2979" t="s">
        <v>4686</v>
      </c>
      <c r="U83" s="2960" t="s">
        <v>4790</v>
      </c>
      <c r="V83" s="2960" t="str">
        <f t="shared" si="3"/>
        <v>M1918 式勃朗宁自动步枪</v>
      </c>
      <c r="W83" s="3055"/>
      <c r="X83" s="3034"/>
      <c r="Y83" s="3034"/>
      <c r="Z83" s="3034"/>
      <c r="AA83" s="3034"/>
      <c r="AB83" s="3034"/>
      <c r="AC83" s="3034"/>
      <c r="AD83" s="3034"/>
      <c r="AE83" s="3146"/>
      <c r="AF83" s="3118"/>
      <c r="AG83" s="2984"/>
      <c r="AH83" s="2984"/>
      <c r="AI83" s="3010"/>
      <c r="AJ83" s="2984"/>
      <c r="AK83" s="2984"/>
    </row>
    <row r="84" spans="8:8" ht="14.25" customHeight="1">
      <c r="B84" s="3134" t="str">
        <f t="shared" si="4"/>
        <v>勃朗宁 M1917A1(7.62mm)</v>
      </c>
      <c r="C84" s="3105" t="s">
        <v>2697</v>
      </c>
      <c r="D84" s="3106" t="s">
        <v>4686</v>
      </c>
      <c r="E84" s="3106" t="s">
        <v>3489</v>
      </c>
      <c r="F84" s="3106" t="s">
        <v>496</v>
      </c>
      <c r="G84" s="3106" t="s">
        <v>4786</v>
      </c>
      <c r="H84" s="3106" t="s">
        <v>4745</v>
      </c>
      <c r="I84" s="3106" t="s">
        <v>4537</v>
      </c>
      <c r="J84" s="3106" t="s">
        <v>11</v>
      </c>
      <c r="K84" s="3106" t="s">
        <v>4793</v>
      </c>
      <c r="L84" s="3107" t="s">
        <v>4794</v>
      </c>
      <c r="M84" s="3150"/>
      <c r="N84" s="3151"/>
      <c r="O84" s="3154"/>
      <c r="P84" s="3155"/>
      <c r="Q84" s="3136"/>
      <c r="R84" s="3140"/>
      <c r="S84" s="2966"/>
      <c r="T84" s="2979" t="s">
        <v>4686</v>
      </c>
      <c r="U84" s="2960" t="s">
        <v>4792</v>
      </c>
      <c r="V84" s="2960" t="str">
        <f t="shared" si="3"/>
        <v>勃朗宁 M1917A1(7.62mm)</v>
      </c>
      <c r="W84" s="3055"/>
      <c r="X84" s="3034"/>
      <c r="Y84" s="3034"/>
      <c r="Z84" s="3034"/>
      <c r="AA84" s="3034"/>
      <c r="AB84" s="3034"/>
      <c r="AC84" s="3034"/>
      <c r="AD84" s="3034"/>
      <c r="AE84" s="3146"/>
      <c r="AF84" s="3118"/>
      <c r="AG84" s="2984"/>
      <c r="AH84" s="2984"/>
      <c r="AI84" s="3010"/>
      <c r="AJ84" s="2984"/>
      <c r="AK84" s="2984"/>
    </row>
    <row r="85" spans="8:8" ht="14.25" customHeight="1">
      <c r="B85" s="3141" t="str">
        <f t="shared" si="4"/>
        <v>布伦轻机枪</v>
      </c>
      <c r="C85" s="3142" t="s">
        <v>2697</v>
      </c>
      <c r="D85" s="3143" t="s">
        <v>4686</v>
      </c>
      <c r="E85" s="3143" t="s">
        <v>4687</v>
      </c>
      <c r="F85" s="3143" t="s">
        <v>496</v>
      </c>
      <c r="G85" s="3143" t="s">
        <v>4766</v>
      </c>
      <c r="H85" s="3143" t="s">
        <v>4796</v>
      </c>
      <c r="I85" s="3143" t="s">
        <v>4537</v>
      </c>
      <c r="J85" s="3143" t="s">
        <v>11</v>
      </c>
      <c r="K85" s="3143" t="s">
        <v>4797</v>
      </c>
      <c r="L85" s="3144" t="s">
        <v>4784</v>
      </c>
      <c r="M85" s="3150"/>
      <c r="N85" s="3151"/>
      <c r="O85" s="3154"/>
      <c r="P85" s="3155"/>
      <c r="Q85" s="3136"/>
      <c r="R85" s="3140"/>
      <c r="S85" s="2966"/>
      <c r="T85" s="2979" t="s">
        <v>4686</v>
      </c>
      <c r="U85" s="2960" t="s">
        <v>4795</v>
      </c>
      <c r="V85" s="2960" t="str">
        <f t="shared" si="3"/>
        <v>布伦轻机枪</v>
      </c>
      <c r="W85" s="3055"/>
      <c r="X85" s="3034"/>
      <c r="Y85" s="3034"/>
      <c r="Z85" s="3034"/>
      <c r="AA85" s="3034"/>
      <c r="AB85" s="3034"/>
      <c r="AC85" s="3034"/>
      <c r="AD85" s="3034"/>
      <c r="AE85" s="3146"/>
      <c r="AF85" s="3118"/>
      <c r="AG85" s="2984"/>
      <c r="AH85" s="2984"/>
      <c r="AI85" s="3010"/>
      <c r="AJ85" s="2984"/>
      <c r="AK85" s="2984"/>
    </row>
    <row r="86" spans="8:8" ht="14.25" customHeight="1">
      <c r="B86" s="3134" t="str">
        <f t="shared" si="4"/>
        <v>路易斯Ⅰ型机枪</v>
      </c>
      <c r="C86" s="3105" t="s">
        <v>2697</v>
      </c>
      <c r="D86" s="3106" t="s">
        <v>4686</v>
      </c>
      <c r="E86" s="3106" t="s">
        <v>4687</v>
      </c>
      <c r="F86" s="3106" t="s">
        <v>496</v>
      </c>
      <c r="G86" s="3106" t="s">
        <v>4786</v>
      </c>
      <c r="H86" s="3106" t="s">
        <v>4799</v>
      </c>
      <c r="I86" s="3106" t="s">
        <v>4537</v>
      </c>
      <c r="J86" s="3106" t="s">
        <v>11</v>
      </c>
      <c r="K86" s="3106" t="s">
        <v>4800</v>
      </c>
      <c r="L86" s="3107" t="s">
        <v>4801</v>
      </c>
      <c r="M86" s="3150"/>
      <c r="N86" s="3151"/>
      <c r="O86" s="3154"/>
      <c r="P86" s="3155"/>
      <c r="Q86" s="3136"/>
      <c r="R86" s="3140"/>
      <c r="S86" s="2966"/>
      <c r="T86" s="2979" t="s">
        <v>4686</v>
      </c>
      <c r="U86" s="2960" t="s">
        <v>4798</v>
      </c>
      <c r="V86" s="2960" t="str">
        <f t="shared" si="3"/>
        <v>路易斯Ⅰ型机枪</v>
      </c>
      <c r="W86" s="3055"/>
      <c r="X86" s="3034"/>
      <c r="Y86" s="3034"/>
      <c r="Z86" s="3034"/>
      <c r="AA86" s="3034"/>
      <c r="AB86" s="3034"/>
      <c r="AC86" s="3034"/>
      <c r="AD86" s="3034"/>
      <c r="AE86" s="3146"/>
      <c r="AF86" s="3118"/>
      <c r="AG86" s="3010"/>
      <c r="AH86" s="2984"/>
      <c r="AI86" s="3010"/>
      <c r="AJ86" s="2984"/>
      <c r="AK86" s="2984"/>
    </row>
    <row r="87" spans="8:8" ht="14.25" customHeight="1">
      <c r="B87" s="3156" t="str">
        <f t="shared" si="4"/>
        <v>-GE M134 式 7.62mm 速射机枪</v>
      </c>
      <c r="C87" s="3157" t="s">
        <v>2697</v>
      </c>
      <c r="D87" s="3158" t="s">
        <v>4686</v>
      </c>
      <c r="E87" s="3158" t="s">
        <v>4684</v>
      </c>
      <c r="F87" s="3158" t="s">
        <v>496</v>
      </c>
      <c r="G87" s="3158" t="s">
        <v>4786</v>
      </c>
      <c r="H87" s="3158" t="s">
        <v>4803</v>
      </c>
      <c r="I87" s="3158" t="s">
        <v>4636</v>
      </c>
      <c r="J87" s="3158" t="s">
        <v>3212</v>
      </c>
      <c r="K87" s="3158" t="s">
        <v>4729</v>
      </c>
      <c r="L87" s="3159" t="s">
        <v>4804</v>
      </c>
      <c r="M87" s="3150"/>
      <c r="N87" s="3151"/>
      <c r="O87" s="3154"/>
      <c r="P87" s="3155"/>
      <c r="Q87" s="3136"/>
      <c r="R87" s="3140"/>
      <c r="S87" s="2966"/>
      <c r="T87" s="2979" t="s">
        <v>4686</v>
      </c>
      <c r="U87" s="2960" t="s">
        <v>4802</v>
      </c>
      <c r="V87" s="2960" t="str">
        <f t="shared" si="3"/>
        <v>-GE M134 式 7.62mm 速射机枪</v>
      </c>
      <c r="W87" s="3055"/>
      <c r="X87" s="3034"/>
      <c r="Y87" s="3034"/>
      <c r="Z87" s="3034"/>
      <c r="AA87" s="3034"/>
      <c r="AB87" s="3034"/>
      <c r="AC87" s="3034"/>
      <c r="AD87" s="3034"/>
      <c r="AE87" s="3146"/>
      <c r="AF87" s="3118"/>
      <c r="AG87" s="3010"/>
      <c r="AH87" s="2984"/>
      <c r="AI87" s="3010"/>
      <c r="AJ87" s="2984"/>
      <c r="AK87" s="2984"/>
    </row>
    <row r="88" spans="8:8" ht="14.25" customHeight="1">
      <c r="B88" s="3134" t="str">
        <f t="shared" si="4"/>
        <v>-FN 米尼米(5.56mm)，弹夹/弹带</v>
      </c>
      <c r="C88" s="3105" t="s">
        <v>2697</v>
      </c>
      <c r="D88" s="3106" t="s">
        <v>4671</v>
      </c>
      <c r="E88" s="3106" t="s">
        <v>4687</v>
      </c>
      <c r="F88" s="3106" t="s">
        <v>496</v>
      </c>
      <c r="G88" s="3106" t="s">
        <v>4786</v>
      </c>
      <c r="H88" s="3106" t="s">
        <v>4806</v>
      </c>
      <c r="I88" s="3106" t="s">
        <v>4624</v>
      </c>
      <c r="J88" s="3106" t="s">
        <v>3212</v>
      </c>
      <c r="K88" s="3106" t="s">
        <v>4729</v>
      </c>
      <c r="L88" s="3107" t="s">
        <v>4661</v>
      </c>
      <c r="M88" s="3150"/>
      <c r="N88" s="3151"/>
      <c r="O88" s="3154"/>
      <c r="P88" s="3155"/>
      <c r="Q88" s="3136"/>
      <c r="R88" s="3140"/>
      <c r="S88" s="2966"/>
      <c r="T88" s="2979" t="s">
        <v>4671</v>
      </c>
      <c r="U88" s="2960" t="s">
        <v>4805</v>
      </c>
      <c r="V88" s="2960" t="str">
        <f t="shared" si="3"/>
        <v>-FN 米尼米(5.56mm)，弹夹/弹带</v>
      </c>
      <c r="W88" s="3034"/>
      <c r="X88" s="3034"/>
      <c r="Y88" s="3034"/>
      <c r="Z88" s="3034"/>
      <c r="AA88" s="3034"/>
      <c r="AB88" s="3034"/>
      <c r="AC88" s="3034"/>
      <c r="AD88" s="3034"/>
      <c r="AE88" s="3034"/>
      <c r="AF88" s="2983"/>
      <c r="AG88" s="3010"/>
      <c r="AH88" s="2984"/>
      <c r="AI88" s="3010"/>
      <c r="AJ88" s="2984"/>
      <c r="AK88" s="2984"/>
    </row>
    <row r="89" spans="8:8" ht="14.25" customHeight="1">
      <c r="B89" s="3160" t="str">
        <f t="shared" si="4"/>
        <v>维克斯.303 机枪</v>
      </c>
      <c r="C89" s="3161" t="s">
        <v>2697</v>
      </c>
      <c r="D89" s="3162" t="s">
        <v>4686</v>
      </c>
      <c r="E89" s="3162" t="s">
        <v>4687</v>
      </c>
      <c r="F89" s="3162" t="s">
        <v>496</v>
      </c>
      <c r="G89" s="3162" t="s">
        <v>4786</v>
      </c>
      <c r="H89" s="3162" t="s">
        <v>4745</v>
      </c>
      <c r="I89" s="3162" t="s">
        <v>4624</v>
      </c>
      <c r="J89" s="3162" t="s">
        <v>11</v>
      </c>
      <c r="K89" s="3162" t="s">
        <v>4729</v>
      </c>
      <c r="L89" s="3163" t="s">
        <v>4562</v>
      </c>
      <c r="M89" s="3150"/>
      <c r="N89" s="3164"/>
      <c r="O89" s="3154"/>
      <c r="P89" s="3165"/>
      <c r="Q89" s="3166"/>
      <c r="R89" s="3167"/>
      <c r="S89" s="2966"/>
      <c r="T89" s="2979" t="s">
        <v>4686</v>
      </c>
      <c r="U89" s="2960" t="s">
        <v>4807</v>
      </c>
      <c r="V89" s="2960" t="str">
        <f t="shared" si="3"/>
        <v>维克斯.303 机枪</v>
      </c>
      <c r="W89" s="3034"/>
      <c r="X89" s="3034"/>
      <c r="Y89" s="3034"/>
      <c r="Z89" s="3034"/>
      <c r="AA89" s="3034"/>
      <c r="AB89" s="3034"/>
      <c r="AC89" s="3034"/>
      <c r="AD89" s="3034"/>
      <c r="AE89" s="3034"/>
      <c r="AF89" s="2983"/>
      <c r="AG89" s="3010"/>
      <c r="AH89" s="2984"/>
      <c r="AI89" s="3010"/>
      <c r="AJ89" s="2984"/>
      <c r="AK89" s="2984"/>
    </row>
    <row r="90" spans="8:8" ht="14.25" customHeight="1">
      <c r="B90" s="3168" t="str">
        <f t="shared" si="4"/>
        <v>莫洛托夫燃烧瓶</v>
      </c>
      <c r="C90" s="3169" t="s">
        <v>134</v>
      </c>
      <c r="D90" s="3170" t="s">
        <v>4809</v>
      </c>
      <c r="E90" s="3170" t="s">
        <v>4810</v>
      </c>
      <c r="F90" s="3170" t="s">
        <v>496</v>
      </c>
      <c r="G90" s="3170" t="s">
        <v>4536</v>
      </c>
      <c r="H90" s="3170" t="s">
        <v>4570</v>
      </c>
      <c r="I90" s="3170" t="s">
        <v>4521</v>
      </c>
      <c r="J90" s="3170" t="s">
        <v>4502</v>
      </c>
      <c r="K90" s="3170" t="s">
        <v>4729</v>
      </c>
      <c r="L90" s="3171" t="s">
        <v>4689</v>
      </c>
      <c r="M90" s="3172" t="s">
        <v>5982</v>
      </c>
      <c r="N90" s="3173" t="s">
        <v>5983</v>
      </c>
      <c r="O90" s="3173"/>
      <c r="P90" s="3174" t="s">
        <v>4842</v>
      </c>
      <c r="Q90" s="3175" t="s">
        <v>4843</v>
      </c>
      <c r="R90" s="3175"/>
      <c r="S90" s="2966"/>
      <c r="T90" s="2979" t="s">
        <v>4671</v>
      </c>
      <c r="U90" s="2960" t="s">
        <v>4808</v>
      </c>
      <c r="V90" s="2960" t="str">
        <f t="shared" si="3"/>
        <v>莫洛托夫燃烧瓶</v>
      </c>
      <c r="W90" s="3034"/>
      <c r="X90" s="3034"/>
      <c r="Y90" s="3034"/>
      <c r="Z90" s="3034"/>
      <c r="AA90" s="3034"/>
      <c r="AB90" s="3034"/>
      <c r="AC90" s="3034"/>
      <c r="AD90" s="3034"/>
      <c r="AE90" s="3034"/>
      <c r="AF90" s="2983"/>
      <c r="AG90" s="3010"/>
      <c r="AH90" s="3010"/>
      <c r="AI90" s="3010"/>
      <c r="AJ90" s="3010"/>
      <c r="AK90" s="3010"/>
    </row>
    <row r="91" spans="8:8" ht="14.25" customHeight="1">
      <c r="B91" s="2995" t="str">
        <f t="shared" si="4"/>
        <v>信号枪(信号弹枪)</v>
      </c>
      <c r="C91" s="2996" t="s">
        <v>130</v>
      </c>
      <c r="D91" s="2997" t="s">
        <v>4813</v>
      </c>
      <c r="E91" s="2997" t="s">
        <v>4603</v>
      </c>
      <c r="F91" s="2997" t="s">
        <v>496</v>
      </c>
      <c r="G91" s="2997" t="s">
        <v>4536</v>
      </c>
      <c r="H91" s="2997" t="s">
        <v>4500</v>
      </c>
      <c r="I91" s="2997" t="s">
        <v>3482</v>
      </c>
      <c r="J91" s="2997" t="s">
        <v>4502</v>
      </c>
      <c r="K91" s="2997" t="s">
        <v>4814</v>
      </c>
      <c r="L91" s="2998" t="s">
        <v>5984</v>
      </c>
      <c r="M91" s="3172"/>
      <c r="N91" s="3173"/>
      <c r="O91" s="3173"/>
      <c r="P91" s="3174" t="s">
        <v>4848</v>
      </c>
      <c r="Q91" s="3175"/>
      <c r="R91" s="3175"/>
      <c r="S91" s="2966"/>
      <c r="T91" s="2979" t="s">
        <v>4815</v>
      </c>
      <c r="U91" s="2960" t="s">
        <v>4812</v>
      </c>
      <c r="V91" s="2960" t="str">
        <f t="shared" si="3"/>
        <v>信号枪(信号弹枪)</v>
      </c>
      <c r="W91" s="3034"/>
      <c r="X91" s="3034"/>
      <c r="Y91" s="3034"/>
      <c r="Z91" s="3034"/>
      <c r="AA91" s="3034"/>
      <c r="AB91" s="3034"/>
      <c r="AC91" s="3034"/>
      <c r="AD91" s="3034"/>
      <c r="AE91" s="3034"/>
      <c r="AF91" s="2983"/>
      <c r="AG91" s="3010"/>
      <c r="AH91" s="3010"/>
      <c r="AI91" s="3010"/>
      <c r="AJ91" s="3010"/>
      <c r="AK91" s="3010"/>
    </row>
    <row r="92" spans="8:8" ht="14.25" customHeight="1">
      <c r="B92" s="3176" t="str">
        <f t="shared" si="4"/>
        <v>-M79 40mm 榴弹发射器</v>
      </c>
      <c r="C92" s="3102" t="s">
        <v>2710</v>
      </c>
      <c r="D92" s="3103" t="s">
        <v>4817</v>
      </c>
      <c r="E92" s="3103" t="s">
        <v>4682</v>
      </c>
      <c r="F92" s="3103" t="s">
        <v>496</v>
      </c>
      <c r="G92" s="3103" t="s">
        <v>4677</v>
      </c>
      <c r="H92" s="3103" t="s">
        <v>4500</v>
      </c>
      <c r="I92" s="3103" t="s">
        <v>4624</v>
      </c>
      <c r="J92" s="3103" t="s">
        <v>3212</v>
      </c>
      <c r="K92" s="3103" t="s">
        <v>4729</v>
      </c>
      <c r="L92" s="3104" t="s">
        <v>4801</v>
      </c>
      <c r="M92" s="3177"/>
      <c r="N92" s="3173"/>
      <c r="O92" s="3173"/>
      <c r="P92" s="3174" t="s">
        <v>1568</v>
      </c>
      <c r="Q92" s="3175"/>
      <c r="R92" s="3175"/>
      <c r="S92" s="2966"/>
      <c r="T92" s="2979" t="s">
        <v>4818</v>
      </c>
      <c r="U92" s="2960" t="s">
        <v>4816</v>
      </c>
      <c r="V92" s="2960" t="str">
        <f t="shared" si="3"/>
        <v>-M79 40mm 榴弹发射器</v>
      </c>
      <c r="W92" s="3034"/>
      <c r="X92" s="3034"/>
      <c r="Y92" s="3034"/>
      <c r="Z92" s="3034"/>
      <c r="AA92" s="3034"/>
      <c r="AB92" s="3034"/>
      <c r="AC92" s="3034"/>
      <c r="AD92" s="3034"/>
      <c r="AE92" s="3034"/>
      <c r="AF92" s="2983"/>
      <c r="AG92" s="3010"/>
      <c r="AH92" s="3010"/>
      <c r="AI92" s="3010"/>
      <c r="AJ92" s="3010"/>
      <c r="AK92" s="3010"/>
    </row>
    <row r="93" spans="8:8" ht="14.25" customHeight="1">
      <c r="B93" s="3176" t="str">
        <f t="shared" si="4"/>
        <v>炸药棒</v>
      </c>
      <c r="C93" s="3105" t="s">
        <v>134</v>
      </c>
      <c r="D93" s="3106" t="s">
        <v>4820</v>
      </c>
      <c r="E93" s="3106" t="s">
        <v>4821</v>
      </c>
      <c r="F93" s="3106" t="s">
        <v>496</v>
      </c>
      <c r="G93" s="3106" t="s">
        <v>4536</v>
      </c>
      <c r="H93" s="3106" t="s">
        <v>4570</v>
      </c>
      <c r="I93" s="3106" t="s">
        <v>4624</v>
      </c>
      <c r="J93" s="3106" t="s">
        <v>4502</v>
      </c>
      <c r="K93" s="3106" t="s">
        <v>4822</v>
      </c>
      <c r="L93" s="3107" t="s">
        <v>5985</v>
      </c>
      <c r="M93" s="3172"/>
      <c r="N93" s="3173"/>
      <c r="O93" s="3173"/>
      <c r="P93" s="3174" t="s">
        <v>1673</v>
      </c>
      <c r="Q93" s="3178"/>
      <c r="R93" s="3178"/>
      <c r="S93" s="2966"/>
      <c r="T93" s="2979" t="s">
        <v>1568</v>
      </c>
      <c r="U93" s="2960" t="s">
        <v>4819</v>
      </c>
      <c r="V93" s="2960" t="str">
        <f t="shared" si="3"/>
        <v>炸药棒</v>
      </c>
      <c r="W93" s="3034"/>
      <c r="X93" s="3034"/>
      <c r="Y93" s="3034"/>
      <c r="Z93" s="3034"/>
      <c r="AA93" s="3034"/>
      <c r="AB93" s="3034"/>
      <c r="AC93" s="3034"/>
      <c r="AD93" s="3034"/>
      <c r="AE93" s="3034"/>
      <c r="AF93" s="2983"/>
      <c r="AG93" s="3010"/>
      <c r="AH93" s="3010"/>
      <c r="AI93" s="3010"/>
      <c r="AJ93" s="3010"/>
      <c r="AK93" s="3010"/>
    </row>
    <row r="94" spans="8:8" ht="14.25" customHeight="1">
      <c r="B94" s="3176" t="str">
        <f t="shared" si="4"/>
        <v>雷管</v>
      </c>
      <c r="C94" s="3102" t="s">
        <v>107</v>
      </c>
      <c r="D94" s="3103" t="s">
        <v>4824</v>
      </c>
      <c r="E94" s="3103" t="s">
        <v>4729</v>
      </c>
      <c r="F94" s="3103" t="s">
        <v>496</v>
      </c>
      <c r="G94" s="3103" t="s">
        <v>4729</v>
      </c>
      <c r="H94" s="3103" t="s">
        <v>4570</v>
      </c>
      <c r="I94" s="3103" t="s">
        <v>3482</v>
      </c>
      <c r="J94" s="3103" t="s">
        <v>4502</v>
      </c>
      <c r="K94" s="3103" t="s">
        <v>4825</v>
      </c>
      <c r="L94" s="3104" t="s">
        <v>4826</v>
      </c>
      <c r="M94" s="3172"/>
      <c r="N94" s="3173"/>
      <c r="O94" s="3173"/>
      <c r="P94" s="3174" t="s">
        <v>383</v>
      </c>
      <c r="Q94" s="3179" t="s">
        <v>4863</v>
      </c>
      <c r="R94" s="3179"/>
      <c r="S94" s="2966"/>
      <c r="T94" s="2979" t="s">
        <v>1673</v>
      </c>
      <c r="U94" s="2960" t="s">
        <v>4823</v>
      </c>
      <c r="V94" s="2960" t="str">
        <f t="shared" si="3"/>
        <v>雷管</v>
      </c>
      <c r="W94" s="3034"/>
      <c r="X94" s="3034"/>
      <c r="Y94" s="3034"/>
      <c r="Z94" s="3034"/>
      <c r="AA94" s="3034"/>
      <c r="AB94" s="3034"/>
      <c r="AC94" s="3034"/>
      <c r="AD94" s="3034"/>
      <c r="AE94" s="3034"/>
      <c r="AF94" s="2983"/>
      <c r="AG94" s="3010"/>
      <c r="AH94" s="3010"/>
      <c r="AI94" s="3010"/>
      <c r="AJ94" s="3010"/>
      <c r="AK94" s="3010"/>
    </row>
    <row r="95" spans="8:8" ht="14.25" customHeight="1">
      <c r="B95" s="3176" t="str">
        <f t="shared" si="4"/>
        <v>爆破筒</v>
      </c>
      <c r="C95" s="3105" t="s">
        <v>142</v>
      </c>
      <c r="D95" s="3106" t="s">
        <v>4828</v>
      </c>
      <c r="E95" s="3106" t="s">
        <v>4829</v>
      </c>
      <c r="F95" s="3106" t="s">
        <v>496</v>
      </c>
      <c r="G95" s="3106" t="s">
        <v>4830</v>
      </c>
      <c r="H95" s="3106" t="s">
        <v>4570</v>
      </c>
      <c r="I95" s="3106" t="s">
        <v>4521</v>
      </c>
      <c r="J95" s="3106" t="s">
        <v>4502</v>
      </c>
      <c r="K95" s="3106" t="s">
        <v>4729</v>
      </c>
      <c r="L95" s="3107" t="s">
        <v>4831</v>
      </c>
      <c r="M95" s="3172"/>
      <c r="N95" s="3180" t="s">
        <v>4866</v>
      </c>
      <c r="O95" s="3180"/>
      <c r="P95" s="3174" t="s">
        <v>4618</v>
      </c>
      <c r="Q95" s="3181"/>
      <c r="R95" s="3181"/>
      <c r="S95" s="2966"/>
      <c r="T95" s="2979" t="s">
        <v>383</v>
      </c>
      <c r="U95" s="2960" t="s">
        <v>4827</v>
      </c>
      <c r="V95" s="2960" t="str">
        <f t="shared" si="3"/>
        <v>爆破筒</v>
      </c>
      <c r="W95" s="3034"/>
      <c r="X95" s="3034"/>
      <c r="Y95" s="3034"/>
      <c r="Z95" s="3034"/>
      <c r="AA95" s="3034"/>
      <c r="AB95" s="3034"/>
      <c r="AC95" s="3034"/>
      <c r="AD95" s="3034"/>
      <c r="AE95" s="3034"/>
      <c r="AF95" s="2983"/>
      <c r="AG95" s="3010"/>
      <c r="AH95" s="3010"/>
      <c r="AI95" s="3010"/>
      <c r="AJ95" s="3010"/>
      <c r="AK95" s="3010"/>
    </row>
    <row r="96" spans="8:8" ht="14.25" customHeight="1">
      <c r="B96" s="3176" t="str">
        <f t="shared" si="4"/>
        <v>-塑胶炸弹(C4) 100克</v>
      </c>
      <c r="C96" s="3102" t="s">
        <v>142</v>
      </c>
      <c r="D96" s="3103" t="s">
        <v>4833</v>
      </c>
      <c r="E96" s="3103" t="s">
        <v>4829</v>
      </c>
      <c r="F96" s="3103" t="s">
        <v>496</v>
      </c>
      <c r="G96" s="3103" t="s">
        <v>4830</v>
      </c>
      <c r="H96" s="3103" t="s">
        <v>4570</v>
      </c>
      <c r="I96" s="3103" t="s">
        <v>4624</v>
      </c>
      <c r="J96" s="3103" t="s">
        <v>3212</v>
      </c>
      <c r="K96" s="3103" t="s">
        <v>4729</v>
      </c>
      <c r="L96" s="3104" t="s">
        <v>4834</v>
      </c>
      <c r="M96" s="3172"/>
      <c r="N96" s="3180"/>
      <c r="O96" s="3180"/>
      <c r="P96" s="3174" t="s">
        <v>4519</v>
      </c>
      <c r="Q96" s="3181"/>
      <c r="R96" s="3181"/>
      <c r="S96" s="2966"/>
      <c r="T96" s="2979" t="s">
        <v>4835</v>
      </c>
      <c r="U96" s="2960" t="s">
        <v>4832</v>
      </c>
      <c r="V96" s="2960" t="str">
        <f t="shared" si="3"/>
        <v>-塑胶炸弹(C4) 100克</v>
      </c>
      <c r="W96" s="3034"/>
      <c r="X96" s="3034"/>
      <c r="Y96" s="3034"/>
      <c r="Z96" s="3034"/>
      <c r="AA96" s="3034"/>
      <c r="AB96" s="3034"/>
      <c r="AC96" s="3034"/>
      <c r="AD96" s="3034"/>
      <c r="AE96" s="3034"/>
      <c r="AF96" s="2983"/>
      <c r="AG96" s="3010"/>
      <c r="AH96" s="3010"/>
      <c r="AI96" s="3010"/>
      <c r="AJ96" s="3010"/>
      <c r="AK96" s="3010"/>
    </row>
    <row r="97" spans="8:8" ht="14.25" customHeight="1">
      <c r="B97" s="3176" t="str">
        <f t="shared" si="4"/>
        <v>手榴弹</v>
      </c>
      <c r="C97" s="3105" t="s">
        <v>134</v>
      </c>
      <c r="D97" s="3106" t="s">
        <v>4820</v>
      </c>
      <c r="E97" s="3106" t="s">
        <v>4821</v>
      </c>
      <c r="F97" s="3106" t="s">
        <v>496</v>
      </c>
      <c r="G97" s="3106" t="s">
        <v>4536</v>
      </c>
      <c r="H97" s="3106" t="s">
        <v>4570</v>
      </c>
      <c r="I97" s="3106" t="s">
        <v>4624</v>
      </c>
      <c r="J97" s="3106" t="s">
        <v>4502</v>
      </c>
      <c r="K97" s="3106" t="s">
        <v>4729</v>
      </c>
      <c r="L97" s="3107" t="s">
        <v>4837</v>
      </c>
      <c r="M97" s="3172"/>
      <c r="N97" s="3180"/>
      <c r="O97" s="3180"/>
      <c r="P97" s="3174" t="s">
        <v>4876</v>
      </c>
      <c r="Q97" s="3181"/>
      <c r="R97" s="3181"/>
      <c r="S97" s="2966"/>
      <c r="T97" s="2979" t="s">
        <v>1568</v>
      </c>
      <c r="U97" s="2960" t="s">
        <v>4836</v>
      </c>
      <c r="V97" s="2960" t="str">
        <f t="shared" si="3"/>
        <v>手榴弹</v>
      </c>
      <c r="W97" s="3034"/>
      <c r="X97" s="3034"/>
      <c r="Y97" s="3034"/>
      <c r="Z97" s="3034"/>
      <c r="AA97" s="3034"/>
      <c r="AB97" s="3034"/>
      <c r="AC97" s="3034"/>
      <c r="AD97" s="3034"/>
      <c r="AE97" s="3034"/>
      <c r="AF97" s="2983"/>
      <c r="AG97" s="3010"/>
      <c r="AH97" s="3010"/>
      <c r="AI97" s="3010"/>
      <c r="AJ97" s="3010"/>
      <c r="AK97" s="3010"/>
    </row>
    <row r="98" spans="8:8" ht="14.25" customHeight="1">
      <c r="B98" s="3176" t="str">
        <f t="shared" si="4"/>
        <v>-81mm迫击炮</v>
      </c>
      <c r="C98" s="3102" t="s">
        <v>149</v>
      </c>
      <c r="D98" s="3103" t="s">
        <v>4839</v>
      </c>
      <c r="E98" s="3103" t="s">
        <v>4840</v>
      </c>
      <c r="F98" s="3103" t="s">
        <v>496</v>
      </c>
      <c r="G98" s="3103" t="s">
        <v>4569</v>
      </c>
      <c r="H98" s="3103" t="s">
        <v>4841</v>
      </c>
      <c r="I98" s="3103" t="s">
        <v>3482</v>
      </c>
      <c r="J98" s="3103" t="s">
        <v>3212</v>
      </c>
      <c r="K98" s="3103" t="s">
        <v>4729</v>
      </c>
      <c r="L98" s="3104" t="s">
        <v>4654</v>
      </c>
      <c r="M98" s="3172"/>
      <c r="N98" s="3182" t="s">
        <v>4878</v>
      </c>
      <c r="O98" s="3182"/>
      <c r="P98" s="3182"/>
      <c r="Q98" s="3182"/>
      <c r="R98" s="3182"/>
      <c r="S98" s="2966"/>
      <c r="T98" s="2979" t="s">
        <v>4835</v>
      </c>
      <c r="U98" s="2960" t="s">
        <v>4838</v>
      </c>
      <c r="V98" s="2960" t="str">
        <f t="shared" si="3"/>
        <v>-81mm迫击炮</v>
      </c>
      <c r="W98" s="3034"/>
      <c r="X98" s="3034"/>
      <c r="Y98" s="3034"/>
      <c r="Z98" s="3034"/>
      <c r="AA98" s="3034"/>
      <c r="AB98" s="3034"/>
      <c r="AC98" s="3034"/>
      <c r="AD98" s="3034"/>
      <c r="AE98" s="3034"/>
      <c r="AF98" s="2983"/>
      <c r="AG98" s="3010"/>
      <c r="AH98" s="3010"/>
      <c r="AI98" s="3010"/>
      <c r="AJ98" s="3010"/>
      <c r="AK98" s="3010"/>
    </row>
    <row r="99" spans="8:8" ht="14.25" customHeight="1">
      <c r="B99" s="3176" t="str">
        <f t="shared" si="4"/>
        <v>75mm野战火炮</v>
      </c>
      <c r="C99" s="2996" t="s">
        <v>149</v>
      </c>
      <c r="D99" s="2997" t="s">
        <v>4845</v>
      </c>
      <c r="E99" s="2997" t="s">
        <v>4840</v>
      </c>
      <c r="F99" s="2997" t="s">
        <v>496</v>
      </c>
      <c r="G99" s="2997" t="s">
        <v>4604</v>
      </c>
      <c r="H99" s="2997" t="s">
        <v>4841</v>
      </c>
      <c r="I99" s="2997" t="s">
        <v>4624</v>
      </c>
      <c r="J99" s="2997" t="s">
        <v>4502</v>
      </c>
      <c r="K99" s="2997" t="s">
        <v>4846</v>
      </c>
      <c r="L99" s="2998" t="s">
        <v>4847</v>
      </c>
      <c r="M99" s="3172"/>
      <c r="N99" s="3173" t="s">
        <v>5986</v>
      </c>
      <c r="O99" s="3173"/>
      <c r="P99" s="3173"/>
      <c r="Q99" s="3183" t="s">
        <v>4811</v>
      </c>
      <c r="R99" s="3183"/>
      <c r="S99" s="2966"/>
      <c r="T99" s="2979" t="s">
        <v>4849</v>
      </c>
      <c r="U99" s="2960" t="s">
        <v>4844</v>
      </c>
      <c r="V99" s="2960" t="str">
        <f t="shared" si="3"/>
        <v>75mm野战火炮</v>
      </c>
      <c r="W99" s="3034"/>
      <c r="X99" s="3034"/>
      <c r="Y99" s="3034"/>
      <c r="Z99" s="3034"/>
      <c r="AA99" s="3034"/>
      <c r="AB99" s="3034"/>
      <c r="AC99" s="3034"/>
      <c r="AD99" s="3034"/>
      <c r="AE99" s="3034"/>
      <c r="AF99" s="2983"/>
      <c r="AG99" s="3010"/>
      <c r="AH99" s="3010"/>
      <c r="AI99" s="3010"/>
      <c r="AJ99" s="3010"/>
      <c r="AK99" s="3010"/>
    </row>
    <row r="100" spans="8:8" ht="14.25" customHeight="1">
      <c r="B100" s="3176" t="str">
        <f t="shared" si="4"/>
        <v>-120mm坦克炮(稳定)</v>
      </c>
      <c r="C100" s="3102" t="s">
        <v>149</v>
      </c>
      <c r="D100" s="3103" t="s">
        <v>4845</v>
      </c>
      <c r="E100" s="3103" t="s">
        <v>4851</v>
      </c>
      <c r="F100" s="3103" t="s">
        <v>496</v>
      </c>
      <c r="G100" s="3103" t="s">
        <v>4500</v>
      </c>
      <c r="H100" s="3103" t="s">
        <v>4841</v>
      </c>
      <c r="I100" s="3103" t="s">
        <v>3482</v>
      </c>
      <c r="J100" s="3103" t="s">
        <v>3212</v>
      </c>
      <c r="K100" s="3103" t="s">
        <v>4729</v>
      </c>
      <c r="L100" s="3104" t="s">
        <v>4794</v>
      </c>
      <c r="M100" s="3172"/>
      <c r="N100" s="3173"/>
      <c r="O100" s="3173"/>
      <c r="P100" s="3173"/>
      <c r="Q100" s="3183"/>
      <c r="R100" s="3183"/>
      <c r="S100" s="2966"/>
      <c r="T100" s="2979" t="s">
        <v>4852</v>
      </c>
      <c r="U100" s="2960" t="s">
        <v>4850</v>
      </c>
      <c r="V100" s="2960" t="str">
        <f t="shared" si="3"/>
        <v>-120mm坦克炮(稳定)</v>
      </c>
      <c r="W100" s="3034"/>
      <c r="X100" s="3034"/>
      <c r="Y100" s="3034"/>
      <c r="Z100" s="3034"/>
      <c r="AA100" s="3034"/>
      <c r="AB100" s="3034"/>
      <c r="AC100" s="3034"/>
      <c r="AD100" s="3034"/>
      <c r="AE100" s="3034"/>
      <c r="AF100" s="2983"/>
      <c r="AG100" s="3010"/>
      <c r="AH100" s="3010"/>
      <c r="AI100" s="3010"/>
      <c r="AJ100" s="3010"/>
      <c r="AK100" s="3010"/>
    </row>
    <row r="101" spans="8:8" ht="14.25" customHeight="1">
      <c r="B101" s="3176" t="str">
        <f t="shared" si="4"/>
        <v>-5英寸舰载炮(稳定)</v>
      </c>
      <c r="C101" s="2996" t="s">
        <v>149</v>
      </c>
      <c r="D101" s="2997" t="s">
        <v>4854</v>
      </c>
      <c r="E101" s="2997" t="s">
        <v>4855</v>
      </c>
      <c r="F101" s="2997" t="s">
        <v>496</v>
      </c>
      <c r="G101" s="2997">
        <v>1.0</v>
      </c>
      <c r="H101" s="2997" t="s">
        <v>4856</v>
      </c>
      <c r="I101" s="2997" t="s">
        <v>4636</v>
      </c>
      <c r="J101" s="2997" t="s">
        <v>3212</v>
      </c>
      <c r="K101" s="2997" t="s">
        <v>4729</v>
      </c>
      <c r="L101" s="2998" t="s">
        <v>4857</v>
      </c>
      <c r="M101" s="3172"/>
      <c r="N101" s="3173"/>
      <c r="O101" s="3173"/>
      <c r="P101" s="3173"/>
      <c r="Q101" s="3183"/>
      <c r="R101" s="3183"/>
      <c r="S101" s="2966"/>
      <c r="T101" s="2979" t="s">
        <v>4858</v>
      </c>
      <c r="U101" s="2960" t="s">
        <v>4853</v>
      </c>
      <c r="V101" s="2960" t="str">
        <f t="shared" si="3"/>
        <v>-5英寸舰载炮(稳定)</v>
      </c>
      <c r="W101" s="3034"/>
      <c r="X101" s="3034"/>
      <c r="Y101" s="3034"/>
      <c r="Z101" s="3034"/>
      <c r="AA101" s="3034"/>
      <c r="AB101" s="3034"/>
      <c r="AC101" s="3034"/>
      <c r="AD101" s="3034"/>
      <c r="AE101" s="3034"/>
      <c r="AF101" s="2983"/>
      <c r="AG101" s="3010"/>
      <c r="AH101" s="3010"/>
      <c r="AI101" s="3010"/>
      <c r="AJ101" s="3010"/>
      <c r="AK101" s="3010"/>
    </row>
    <row r="102" spans="8:8" ht="14.25" customHeight="1">
      <c r="B102" s="3176" t="str">
        <f t="shared" si="4"/>
        <v>反步兵地雷</v>
      </c>
      <c r="C102" s="3102" t="s">
        <v>142</v>
      </c>
      <c r="D102" s="3103" t="s">
        <v>4860</v>
      </c>
      <c r="E102" s="3103" t="s">
        <v>4829</v>
      </c>
      <c r="F102" s="3103" t="s">
        <v>496</v>
      </c>
      <c r="G102" s="3103" t="s">
        <v>4861</v>
      </c>
      <c r="H102" s="3103" t="s">
        <v>4570</v>
      </c>
      <c r="I102" s="3103" t="s">
        <v>4624</v>
      </c>
      <c r="J102" s="3103" t="s">
        <v>4502</v>
      </c>
      <c r="K102" s="3103" t="s">
        <v>4729</v>
      </c>
      <c r="L102" s="3104" t="s">
        <v>4862</v>
      </c>
      <c r="M102" s="3172"/>
      <c r="N102" s="3173"/>
      <c r="O102" s="3173"/>
      <c r="P102" s="3173"/>
      <c r="Q102" s="3183"/>
      <c r="R102" s="3183"/>
      <c r="S102" s="2966"/>
      <c r="T102" s="2979" t="s">
        <v>1568</v>
      </c>
      <c r="U102" s="2960" t="s">
        <v>4859</v>
      </c>
      <c r="V102" s="2960" t="str">
        <f t="shared" si="3"/>
        <v>反步兵地雷</v>
      </c>
      <c r="W102" s="3034"/>
      <c r="X102" s="3034"/>
      <c r="Y102" s="3034"/>
      <c r="Z102" s="3034"/>
      <c r="AA102" s="3034"/>
      <c r="AB102" s="3034"/>
      <c r="AC102" s="3034"/>
      <c r="AD102" s="3034"/>
      <c r="AE102" s="3034"/>
      <c r="AF102" s="2983"/>
      <c r="AG102" s="3010"/>
      <c r="AH102" s="3010"/>
      <c r="AI102" s="3010"/>
      <c r="AJ102" s="3010"/>
      <c r="AK102" s="3010"/>
    </row>
    <row r="103" spans="8:8" ht="14.25" customHeight="1">
      <c r="B103" s="3176" t="str">
        <f t="shared" si="4"/>
        <v>-阔剑地雷</v>
      </c>
      <c r="C103" s="3184" t="s">
        <v>142</v>
      </c>
      <c r="D103" s="3185" t="s">
        <v>4865</v>
      </c>
      <c r="E103" s="3185" t="s">
        <v>4829</v>
      </c>
      <c r="F103" s="3185" t="s">
        <v>496</v>
      </c>
      <c r="G103" s="3185" t="s">
        <v>4861</v>
      </c>
      <c r="H103" s="3185" t="s">
        <v>4570</v>
      </c>
      <c r="I103" s="3185" t="s">
        <v>4624</v>
      </c>
      <c r="J103" s="3185" t="s">
        <v>3212</v>
      </c>
      <c r="K103" s="3185" t="s">
        <v>4729</v>
      </c>
      <c r="L103" s="3186" t="s">
        <v>4673</v>
      </c>
      <c r="M103" s="3172"/>
      <c r="N103" s="3173"/>
      <c r="O103" s="3173"/>
      <c r="P103" s="3173"/>
      <c r="Q103" s="3183"/>
      <c r="R103" s="3183"/>
      <c r="S103" s="2966"/>
      <c r="T103" s="2979" t="s">
        <v>4867</v>
      </c>
      <c r="U103" s="2960" t="s">
        <v>4864</v>
      </c>
      <c r="V103" s="2960" t="str">
        <f t="shared" si="3"/>
        <v>-阔剑地雷</v>
      </c>
      <c r="W103" s="3034"/>
      <c r="X103" s="3034"/>
      <c r="Y103" s="3034"/>
      <c r="Z103" s="3034"/>
      <c r="AA103" s="3034"/>
      <c r="AB103" s="3034"/>
      <c r="AC103" s="3034"/>
      <c r="AD103" s="3034"/>
      <c r="AE103" s="3034"/>
      <c r="AF103" s="2983"/>
      <c r="AG103" s="3010"/>
      <c r="AH103" s="3010"/>
      <c r="AI103" s="3010"/>
      <c r="AJ103" s="3010"/>
      <c r="AK103" s="3010"/>
    </row>
    <row r="104" spans="8:8" ht="14.25" customHeight="1">
      <c r="B104" s="3176" t="str">
        <f t="shared" si="4"/>
        <v>火焰喷射器</v>
      </c>
      <c r="C104" s="3102" t="s">
        <v>2685</v>
      </c>
      <c r="D104" s="3103" t="s">
        <v>4809</v>
      </c>
      <c r="E104" s="3103" t="s">
        <v>4869</v>
      </c>
      <c r="F104" s="3103" t="s">
        <v>496</v>
      </c>
      <c r="G104" s="3103" t="s">
        <v>4500</v>
      </c>
      <c r="H104" s="3103" t="s">
        <v>4870</v>
      </c>
      <c r="I104" s="3103" t="s">
        <v>4871</v>
      </c>
      <c r="J104" s="3103" t="s">
        <v>4502</v>
      </c>
      <c r="K104" s="3103" t="s">
        <v>4729</v>
      </c>
      <c r="L104" s="3104" t="s">
        <v>4872</v>
      </c>
      <c r="M104" s="3172"/>
      <c r="N104" s="3173"/>
      <c r="O104" s="3173"/>
      <c r="P104" s="3173"/>
      <c r="Q104" s="3183"/>
      <c r="R104" s="3183"/>
      <c r="S104" s="2966"/>
      <c r="T104" s="2979" t="s">
        <v>4671</v>
      </c>
      <c r="U104" s="2960" t="s">
        <v>4868</v>
      </c>
      <c r="V104" s="2960" t="str">
        <f t="shared" si="3"/>
        <v>火焰喷射器</v>
      </c>
      <c r="W104" s="3034"/>
      <c r="X104" s="3034"/>
      <c r="Y104" s="3034"/>
      <c r="Z104" s="3034"/>
      <c r="AA104" s="3034"/>
      <c r="AB104" s="3034"/>
      <c r="AC104" s="3034"/>
      <c r="AD104" s="3034"/>
      <c r="AE104" s="3034"/>
      <c r="AF104" s="2983"/>
      <c r="AG104" s="3010"/>
      <c r="AH104" s="3010"/>
      <c r="AI104" s="3010"/>
      <c r="AJ104" s="3010"/>
      <c r="AK104" s="3010"/>
    </row>
    <row r="105" spans="8:8" ht="16.95" customHeight="1">
      <c r="A105" s="3187"/>
      <c r="B105" s="3188" t="str">
        <f t="shared" si="4"/>
        <v>-M72 式单发轻型反坦克炮</v>
      </c>
      <c r="C105" s="3189" t="s">
        <v>2710</v>
      </c>
      <c r="D105" s="3190" t="s">
        <v>4874</v>
      </c>
      <c r="E105" s="3190" t="s">
        <v>4875</v>
      </c>
      <c r="F105" s="3190" t="s">
        <v>496</v>
      </c>
      <c r="G105" s="3190" t="s">
        <v>4500</v>
      </c>
      <c r="H105" s="3190" t="s">
        <v>4500</v>
      </c>
      <c r="I105" s="3190" t="s">
        <v>4636</v>
      </c>
      <c r="J105" s="3190" t="s">
        <v>3212</v>
      </c>
      <c r="K105" s="3190" t="s">
        <v>4729</v>
      </c>
      <c r="L105" s="3191" t="s">
        <v>4804</v>
      </c>
      <c r="M105" s="3177"/>
      <c r="N105" s="3192"/>
      <c r="O105" s="3192"/>
      <c r="P105" s="3192"/>
      <c r="Q105" s="3193"/>
      <c r="R105" s="3193"/>
      <c r="S105" s="2966"/>
      <c r="T105" s="2979" t="s">
        <v>4877</v>
      </c>
      <c r="U105" s="2960" t="s">
        <v>4873</v>
      </c>
      <c r="V105" s="2960" t="str">
        <f t="shared" si="3"/>
        <v>-M72 式单发轻型反坦克炮</v>
      </c>
      <c r="W105" s="3034"/>
      <c r="X105" s="3034"/>
      <c r="Y105" s="3034"/>
      <c r="Z105" s="3034"/>
      <c r="AA105" s="3034"/>
      <c r="AB105" s="3034"/>
      <c r="AC105" s="3034"/>
      <c r="AD105" s="3034"/>
      <c r="AE105" s="3034"/>
      <c r="AF105" s="2983"/>
      <c r="AG105" s="3010"/>
      <c r="AH105" s="3010"/>
      <c r="AI105" s="3010"/>
      <c r="AJ105" s="3010"/>
      <c r="AK105" s="3010"/>
    </row>
    <row r="106" spans="8:8" ht="14.55">
      <c r="A106" s="3187"/>
      <c r="B106" s="3194"/>
      <c r="C106" s="3194"/>
      <c r="D106" s="2685"/>
      <c r="E106" s="2685"/>
      <c r="F106" s="2685"/>
      <c r="G106" s="2685"/>
      <c r="H106" s="2685"/>
      <c r="I106" s="2685"/>
      <c r="J106" s="2685"/>
      <c r="K106" s="2966"/>
      <c r="L106" s="2966"/>
      <c r="M106" s="2966"/>
      <c r="N106" s="3195"/>
      <c r="O106" s="3195"/>
      <c r="P106" s="3195"/>
      <c r="Q106" s="3195"/>
      <c r="R106" s="3195"/>
      <c r="S106" s="2966"/>
      <c r="T106" s="2966"/>
      <c r="W106" s="3010"/>
      <c r="X106" s="3010"/>
      <c r="Y106" s="3010"/>
      <c r="Z106" s="3010"/>
      <c r="AA106" s="3010"/>
      <c r="AB106" s="3010"/>
      <c r="AC106" s="3010"/>
      <c r="AD106" s="3010"/>
      <c r="AE106" s="3010"/>
      <c r="AF106" s="3010"/>
      <c r="AG106" s="3010"/>
      <c r="AH106" s="3010"/>
      <c r="AI106" s="3010"/>
      <c r="AJ106" s="3010"/>
      <c r="AK106" s="3010"/>
    </row>
    <row r="107" spans="8:8" ht="15.75">
      <c r="A107" s="3187"/>
      <c r="B107" s="3196" t="s">
        <v>4879</v>
      </c>
      <c r="C107" s="3197"/>
      <c r="D107" s="3197"/>
      <c r="E107" s="3197"/>
      <c r="F107" s="3197"/>
      <c r="G107" s="3197"/>
      <c r="H107" s="3197"/>
      <c r="I107" s="3197"/>
      <c r="J107" s="3197"/>
      <c r="K107" s="3197"/>
      <c r="L107" s="3198"/>
      <c r="M107" s="2687"/>
      <c r="N107" s="2687"/>
      <c r="O107" s="2687"/>
      <c r="P107" s="2687"/>
      <c r="Q107" s="2687"/>
      <c r="R107" s="2687"/>
      <c r="S107" s="2687"/>
      <c r="T107" s="2687"/>
      <c r="W107" s="3010"/>
      <c r="X107" s="3010"/>
      <c r="Y107" s="3010"/>
      <c r="Z107" s="3010"/>
      <c r="AA107" s="3010"/>
      <c r="AB107" s="3010"/>
      <c r="AC107" s="3010"/>
      <c r="AD107" s="3010"/>
      <c r="AE107" s="3010"/>
      <c r="AF107" s="3010"/>
      <c r="AG107" s="3010"/>
      <c r="AH107" s="3010"/>
      <c r="AI107" s="3010"/>
      <c r="AJ107" s="3010"/>
      <c r="AK107" s="3010"/>
    </row>
    <row r="108" spans="8:8" ht="15.0" customHeight="1">
      <c r="A108" s="3187"/>
      <c r="B108" s="3199" t="s">
        <v>4880</v>
      </c>
      <c r="C108" s="3200"/>
      <c r="D108" s="3200"/>
      <c r="E108" s="3200"/>
      <c r="F108" s="3200"/>
      <c r="G108" s="3200"/>
      <c r="H108" s="3200"/>
      <c r="I108" s="3200"/>
      <c r="J108" s="3200"/>
      <c r="K108" s="3200"/>
      <c r="L108" s="3201"/>
      <c r="M108" s="2687"/>
      <c r="N108" s="3202" t="s">
        <v>4881</v>
      </c>
      <c r="O108" s="3203"/>
      <c r="P108" s="3203"/>
      <c r="Q108" s="3203"/>
      <c r="R108" s="3204"/>
      <c r="S108" s="2687"/>
      <c r="T108" s="2687"/>
      <c r="W108" s="3010"/>
      <c r="X108" s="3010"/>
      <c r="Y108" s="3010"/>
      <c r="Z108" s="3010"/>
      <c r="AA108" s="3010"/>
      <c r="AB108" s="3010"/>
      <c r="AC108" s="3010"/>
      <c r="AD108" s="3010"/>
      <c r="AE108" s="3010"/>
      <c r="AF108" s="3010"/>
      <c r="AG108" s="3010"/>
      <c r="AH108" s="3010"/>
      <c r="AI108" s="3010"/>
      <c r="AJ108" s="3010"/>
      <c r="AK108" s="3010"/>
    </row>
    <row r="109" spans="8:8" ht="15.75">
      <c r="A109" s="3187"/>
      <c r="B109" s="3205" t="s">
        <v>4882</v>
      </c>
      <c r="C109" s="3206"/>
      <c r="D109" s="3206"/>
      <c r="E109" s="3206"/>
      <c r="F109" s="3206"/>
      <c r="G109" s="3206"/>
      <c r="H109" s="3206"/>
      <c r="I109" s="3206"/>
      <c r="J109" s="3206"/>
      <c r="K109" s="3206"/>
      <c r="L109" s="3207"/>
      <c r="M109" s="2687"/>
      <c r="N109" s="3208" t="s">
        <v>4883</v>
      </c>
      <c r="O109" s="3209"/>
      <c r="P109" s="3210" t="s">
        <v>4884</v>
      </c>
      <c r="Q109" s="3209" t="s">
        <v>4885</v>
      </c>
      <c r="R109" s="3211"/>
      <c r="S109" s="2687"/>
      <c r="T109" s="2687"/>
      <c r="W109" s="3010"/>
      <c r="X109" s="3010"/>
      <c r="Y109" s="3010"/>
      <c r="Z109" s="3010"/>
      <c r="AA109" s="3010"/>
      <c r="AB109" s="3010"/>
      <c r="AC109" s="3010"/>
      <c r="AD109" s="3010"/>
      <c r="AE109" s="3010"/>
      <c r="AF109" s="3010"/>
      <c r="AG109" s="3010"/>
      <c r="AH109" s="3010"/>
      <c r="AI109" s="3010"/>
      <c r="AJ109" s="3010"/>
      <c r="AK109" s="3010"/>
    </row>
    <row r="110" spans="8:8" ht="15.75">
      <c r="A110" s="3187"/>
      <c r="B110" s="3205" t="s">
        <v>4886</v>
      </c>
      <c r="C110" s="3206"/>
      <c r="D110" s="3206"/>
      <c r="E110" s="3206"/>
      <c r="F110" s="3206"/>
      <c r="G110" s="3206"/>
      <c r="H110" s="3206"/>
      <c r="I110" s="3206"/>
      <c r="J110" s="3206"/>
      <c r="K110" s="3206"/>
      <c r="L110" s="3207"/>
      <c r="M110" s="2687"/>
      <c r="N110" s="3212" t="s">
        <v>4887</v>
      </c>
      <c r="O110" s="3213"/>
      <c r="P110" s="3214" t="s">
        <v>4888</v>
      </c>
      <c r="Q110" s="3215" t="s">
        <v>4889</v>
      </c>
      <c r="R110" s="3216"/>
      <c r="S110" s="2687"/>
      <c r="T110" s="2687"/>
      <c r="W110" s="3010"/>
      <c r="X110" s="3010"/>
      <c r="Y110" s="3010"/>
      <c r="Z110" s="3010"/>
      <c r="AA110" s="3010"/>
      <c r="AB110" s="3010"/>
      <c r="AC110" s="3010"/>
      <c r="AD110" s="3010"/>
      <c r="AE110" s="3010"/>
      <c r="AF110" s="3010"/>
      <c r="AG110" s="3010"/>
      <c r="AH110" s="3010"/>
      <c r="AI110" s="3010"/>
      <c r="AJ110" s="3010"/>
      <c r="AK110" s="3010"/>
    </row>
    <row r="111" spans="8:8" ht="16.05" customHeight="1">
      <c r="A111" s="3187"/>
      <c r="B111" s="3217" t="s">
        <v>4890</v>
      </c>
      <c r="C111" s="3218"/>
      <c r="D111" s="3218"/>
      <c r="E111" s="3218"/>
      <c r="F111" s="3218"/>
      <c r="G111" s="3218"/>
      <c r="H111" s="3218"/>
      <c r="I111" s="3218"/>
      <c r="J111" s="3218"/>
      <c r="K111" s="3218"/>
      <c r="L111" s="3219"/>
      <c r="M111" s="2687"/>
      <c r="N111" s="3220"/>
      <c r="O111" s="3221"/>
      <c r="P111" s="3222" t="s">
        <v>4891</v>
      </c>
      <c r="Q111" s="3223"/>
      <c r="R111" s="3216"/>
      <c r="S111" s="2687"/>
      <c r="T111" s="2687"/>
      <c r="W111" s="3010"/>
      <c r="X111" s="3010"/>
      <c r="Y111" s="3010"/>
      <c r="Z111" s="3010"/>
      <c r="AA111" s="3010"/>
      <c r="AB111" s="3010"/>
      <c r="AC111" s="3010"/>
      <c r="AD111" s="3010"/>
      <c r="AE111" s="3010"/>
      <c r="AF111" s="3010"/>
      <c r="AG111" s="3010"/>
      <c r="AH111" s="3010"/>
      <c r="AI111" s="3010"/>
      <c r="AJ111" s="3010"/>
      <c r="AK111" s="3010"/>
    </row>
    <row r="112" spans="8:8" ht="15.75">
      <c r="A112" s="3187"/>
      <c r="B112" s="3224" t="s">
        <v>4892</v>
      </c>
      <c r="C112" s="3225"/>
      <c r="D112" s="3225"/>
      <c r="E112" s="3225"/>
      <c r="F112" s="3225"/>
      <c r="G112" s="3225"/>
      <c r="H112" s="3225"/>
      <c r="I112" s="3225"/>
      <c r="J112" s="3225"/>
      <c r="K112" s="3225"/>
      <c r="L112" s="3226"/>
      <c r="M112" s="2687"/>
      <c r="N112" s="3227"/>
      <c r="O112" s="2966"/>
      <c r="P112" s="3222"/>
      <c r="Q112" s="3215" t="s">
        <v>4893</v>
      </c>
      <c r="R112" s="3216"/>
      <c r="S112" s="2687"/>
      <c r="T112" s="2687"/>
    </row>
    <row r="113" spans="8:8" ht="15.75">
      <c r="A113" s="3187"/>
      <c r="B113" s="3224" t="s">
        <v>4894</v>
      </c>
      <c r="C113" s="3225"/>
      <c r="D113" s="3225"/>
      <c r="E113" s="3225"/>
      <c r="F113" s="3225"/>
      <c r="G113" s="3225"/>
      <c r="H113" s="3225"/>
      <c r="I113" s="3225"/>
      <c r="J113" s="3225"/>
      <c r="K113" s="3225"/>
      <c r="L113" s="3226"/>
      <c r="M113" s="2687"/>
      <c r="N113" s="3227"/>
      <c r="O113" s="2966"/>
      <c r="P113" s="3222" t="s">
        <v>4895</v>
      </c>
      <c r="Q113" s="3223"/>
      <c r="R113" s="3216"/>
      <c r="S113" s="2687"/>
      <c r="T113" s="2687"/>
    </row>
    <row r="114" spans="8:8" ht="15.75">
      <c r="A114" s="3187"/>
      <c r="B114" s="3228" t="s">
        <v>4896</v>
      </c>
      <c r="C114" s="3229"/>
      <c r="D114" s="3229"/>
      <c r="E114" s="3229"/>
      <c r="F114" s="3229"/>
      <c r="G114" s="3229"/>
      <c r="H114" s="3229"/>
      <c r="I114" s="3229"/>
      <c r="J114" s="3229"/>
      <c r="K114" s="3229"/>
      <c r="L114" s="3230"/>
      <c r="M114" s="2687"/>
      <c r="N114" s="3227"/>
      <c r="O114" s="2966"/>
      <c r="P114" s="3222" t="s">
        <v>4897</v>
      </c>
      <c r="Q114" s="3215" t="s">
        <v>4898</v>
      </c>
      <c r="R114" s="3216"/>
      <c r="S114" s="2687"/>
      <c r="T114" s="2687"/>
    </row>
    <row r="115" spans="8:8" ht="15.75">
      <c r="A115" s="3187"/>
      <c r="B115" s="3217" t="s">
        <v>4899</v>
      </c>
      <c r="C115" s="3218"/>
      <c r="D115" s="3218"/>
      <c r="E115" s="3218"/>
      <c r="F115" s="3218"/>
      <c r="G115" s="3218"/>
      <c r="H115" s="3218"/>
      <c r="I115" s="3218"/>
      <c r="J115" s="3218"/>
      <c r="K115" s="3218"/>
      <c r="L115" s="3219"/>
      <c r="M115" s="2687"/>
      <c r="N115" s="3231" t="s">
        <v>4900</v>
      </c>
      <c r="O115" s="3221"/>
      <c r="P115" s="3222"/>
      <c r="Q115" s="3223"/>
      <c r="R115" s="3216"/>
      <c r="S115" s="2687"/>
      <c r="T115" s="2687"/>
    </row>
    <row r="116" spans="8:8" ht="15.75">
      <c r="A116" s="3187"/>
      <c r="B116" s="3232" t="s">
        <v>4901</v>
      </c>
      <c r="C116" s="3233"/>
      <c r="D116" s="3233"/>
      <c r="E116" s="3233"/>
      <c r="F116" s="3233"/>
      <c r="G116" s="3233"/>
      <c r="H116" s="3233"/>
      <c r="I116" s="3233"/>
      <c r="J116" s="3233"/>
      <c r="K116" s="3233"/>
      <c r="L116" s="3234"/>
      <c r="M116" s="2687"/>
      <c r="N116" s="3220"/>
      <c r="O116" s="3221"/>
      <c r="P116" s="3222" t="s">
        <v>4902</v>
      </c>
      <c r="Q116" s="3223" t="s">
        <v>4903</v>
      </c>
      <c r="R116" s="3216"/>
      <c r="S116" s="2687"/>
      <c r="T116" s="2687"/>
    </row>
    <row r="117" spans="8:8" ht="15.75">
      <c r="A117" s="3187"/>
      <c r="B117" s="3224" t="s">
        <v>4904</v>
      </c>
      <c r="C117" s="3225"/>
      <c r="D117" s="3225"/>
      <c r="E117" s="3225"/>
      <c r="F117" s="3225"/>
      <c r="G117" s="3225"/>
      <c r="H117" s="3225"/>
      <c r="I117" s="3225"/>
      <c r="J117" s="3225"/>
      <c r="K117" s="3225"/>
      <c r="L117" s="3226"/>
      <c r="M117" s="2687"/>
      <c r="N117" s="3235"/>
      <c r="O117" s="3236"/>
      <c r="P117" s="3222" t="s">
        <v>4905</v>
      </c>
      <c r="Q117" s="3223" t="s">
        <v>4906</v>
      </c>
      <c r="R117" s="3216"/>
      <c r="S117" s="2687"/>
      <c r="T117" s="2687"/>
    </row>
    <row r="118" spans="8:8" ht="15.75">
      <c r="A118" s="3187"/>
      <c r="B118" s="3232" t="s">
        <v>4907</v>
      </c>
      <c r="C118" s="3233"/>
      <c r="D118" s="3233"/>
      <c r="E118" s="3233"/>
      <c r="F118" s="3233"/>
      <c r="G118" s="3233"/>
      <c r="H118" s="3233"/>
      <c r="I118" s="3233"/>
      <c r="J118" s="3233"/>
      <c r="K118" s="3233"/>
      <c r="L118" s="3234"/>
      <c r="M118" s="2687"/>
      <c r="N118" s="3237"/>
      <c r="O118" s="3238"/>
      <c r="P118" s="3239"/>
      <c r="Q118" s="3215" t="s">
        <v>4908</v>
      </c>
      <c r="R118" s="3240"/>
      <c r="S118" s="2687"/>
      <c r="T118" s="2687"/>
    </row>
    <row r="119" spans="8:8" ht="15.75">
      <c r="A119" s="3187"/>
      <c r="B119" s="3241" t="s">
        <v>4909</v>
      </c>
      <c r="C119" s="3242"/>
      <c r="D119" s="3242"/>
      <c r="E119" s="3242"/>
      <c r="F119" s="3242"/>
      <c r="G119" s="3242"/>
      <c r="H119" s="3242"/>
      <c r="I119" s="3242"/>
      <c r="J119" s="3242"/>
      <c r="K119" s="3242"/>
      <c r="L119" s="3243"/>
      <c r="M119" s="2687"/>
      <c r="N119" s="3237"/>
      <c r="O119" s="3238"/>
      <c r="P119" s="3239"/>
      <c r="Q119" s="3215"/>
      <c r="R119" s="3240"/>
      <c r="S119" s="2687"/>
      <c r="T119" s="2687"/>
    </row>
    <row r="120" spans="8:8" ht="15.75">
      <c r="A120" s="3187"/>
      <c r="B120" s="3244"/>
      <c r="C120" s="3244"/>
      <c r="D120" s="2686"/>
      <c r="E120" s="2686"/>
      <c r="F120" s="2686"/>
      <c r="G120" s="2686"/>
      <c r="H120" s="2686"/>
      <c r="I120" s="2686"/>
      <c r="J120" s="2686"/>
      <c r="K120" s="2687"/>
      <c r="L120" s="2687"/>
      <c r="M120" s="2687"/>
      <c r="N120" s="3231" t="s">
        <v>4910</v>
      </c>
      <c r="O120" s="3221"/>
      <c r="P120" s="3239"/>
      <c r="Q120" s="3215" t="s">
        <v>4911</v>
      </c>
      <c r="R120" s="3240"/>
      <c r="S120" s="2687"/>
      <c r="T120" s="2687"/>
    </row>
    <row r="121" spans="8:8" ht="15.75">
      <c r="A121" s="3187"/>
      <c r="B121" s="3245" t="s">
        <v>4912</v>
      </c>
      <c r="C121" s="3246" t="s">
        <v>4913</v>
      </c>
      <c r="D121" s="3246"/>
      <c r="E121" s="3247" t="s">
        <v>4914</v>
      </c>
      <c r="F121" s="3247"/>
      <c r="G121" s="3247"/>
      <c r="H121" s="3247"/>
      <c r="I121" s="3247"/>
      <c r="J121" s="3247"/>
      <c r="K121" s="3247"/>
      <c r="L121" s="3248"/>
      <c r="M121" s="2687"/>
      <c r="N121" s="3249"/>
      <c r="O121" s="3250"/>
      <c r="P121" s="3251"/>
      <c r="Q121" s="3252"/>
      <c r="R121" s="3253"/>
      <c r="S121" s="2687"/>
      <c r="T121" s="2687"/>
    </row>
    <row r="122" spans="8:8" ht="15.75">
      <c r="A122" s="3187"/>
      <c r="B122" s="3254"/>
      <c r="C122" s="3255"/>
      <c r="D122" s="3255"/>
      <c r="E122" s="3256"/>
      <c r="F122" s="3256"/>
      <c r="G122" s="3256"/>
      <c r="H122" s="3256"/>
      <c r="I122" s="3256"/>
      <c r="J122" s="3256"/>
      <c r="K122" s="3256"/>
      <c r="L122" s="3257"/>
      <c r="M122" s="2687"/>
      <c r="N122" s="2687"/>
      <c r="O122" s="2687"/>
      <c r="P122" s="2687"/>
      <c r="Q122" s="2687"/>
      <c r="R122" s="2687"/>
      <c r="S122" s="2687"/>
      <c r="T122" s="2687"/>
    </row>
    <row r="123" spans="8:8" ht="16.35">
      <c r="A123" s="3187"/>
      <c r="B123" s="3205" t="s">
        <v>4915</v>
      </c>
      <c r="C123" s="3225" t="s">
        <v>4591</v>
      </c>
      <c r="D123" s="3225"/>
      <c r="E123" s="3258" t="s">
        <v>4916</v>
      </c>
      <c r="F123" s="3258"/>
      <c r="G123" s="3258"/>
      <c r="H123" s="3258"/>
      <c r="I123" s="3258"/>
      <c r="J123" s="3258"/>
      <c r="K123" s="3258"/>
      <c r="L123" s="3259"/>
      <c r="M123" s="2687"/>
      <c r="N123" s="3260" t="s">
        <v>4917</v>
      </c>
      <c r="O123" s="3261"/>
      <c r="P123" s="3261"/>
      <c r="Q123" s="3261"/>
      <c r="R123" s="3261"/>
      <c r="S123" s="3261"/>
      <c r="T123" s="3262"/>
    </row>
    <row r="124" spans="8:8" ht="15.75">
      <c r="A124" s="3187"/>
      <c r="B124" s="3205"/>
      <c r="C124" s="3225"/>
      <c r="D124" s="3225"/>
      <c r="E124" s="3258"/>
      <c r="F124" s="3258"/>
      <c r="G124" s="3258"/>
      <c r="H124" s="3258"/>
      <c r="I124" s="3258"/>
      <c r="J124" s="3258"/>
      <c r="K124" s="3258"/>
      <c r="L124" s="3259"/>
      <c r="M124" s="2687"/>
      <c r="N124" s="3263" t="s">
        <v>4918</v>
      </c>
      <c r="O124" s="3264" t="s">
        <v>4919</v>
      </c>
      <c r="P124" s="3265"/>
      <c r="Q124" s="3265"/>
      <c r="R124" s="3265"/>
      <c r="S124" s="3265"/>
      <c r="T124" s="3266"/>
    </row>
    <row r="125" spans="8:8" ht="15.75">
      <c r="A125" s="3187"/>
      <c r="B125" s="3205"/>
      <c r="C125" s="3225"/>
      <c r="D125" s="3225"/>
      <c r="E125" s="3258"/>
      <c r="F125" s="3258"/>
      <c r="G125" s="3258"/>
      <c r="H125" s="3258"/>
      <c r="I125" s="3258"/>
      <c r="J125" s="3258"/>
      <c r="K125" s="3258"/>
      <c r="L125" s="3259"/>
      <c r="M125" s="2687"/>
      <c r="N125" s="3267"/>
      <c r="O125" s="3268"/>
      <c r="P125" s="3269"/>
      <c r="Q125" s="3269"/>
      <c r="R125" s="3269"/>
      <c r="S125" s="3269"/>
      <c r="T125" s="3270"/>
    </row>
    <row r="126" spans="8:8" ht="15.75">
      <c r="A126" s="3187"/>
      <c r="B126" s="3271" t="s">
        <v>4920</v>
      </c>
      <c r="C126" s="3272" t="s">
        <v>4519</v>
      </c>
      <c r="D126" s="3272"/>
      <c r="E126" s="3273" t="s">
        <v>4921</v>
      </c>
      <c r="F126" s="3273"/>
      <c r="G126" s="3273"/>
      <c r="H126" s="3273"/>
      <c r="I126" s="3273"/>
      <c r="J126" s="3273"/>
      <c r="K126" s="3273"/>
      <c r="L126" s="3274"/>
      <c r="M126" s="2687"/>
      <c r="N126" s="3275" t="s">
        <v>4922</v>
      </c>
      <c r="O126" s="3276" t="s">
        <v>4923</v>
      </c>
      <c r="P126" s="3277"/>
      <c r="Q126" s="3277"/>
      <c r="R126" s="3277"/>
      <c r="S126" s="3277"/>
      <c r="T126" s="3278"/>
    </row>
    <row r="127" spans="8:8" ht="15.75">
      <c r="A127" s="3187"/>
      <c r="B127" s="3271"/>
      <c r="C127" s="3272"/>
      <c r="D127" s="3272"/>
      <c r="E127" s="3273"/>
      <c r="F127" s="3273"/>
      <c r="G127" s="3273"/>
      <c r="H127" s="3273"/>
      <c r="I127" s="3273"/>
      <c r="J127" s="3273"/>
      <c r="K127" s="3273"/>
      <c r="L127" s="3274"/>
      <c r="M127" s="2687"/>
      <c r="N127" s="3279"/>
      <c r="O127" s="3280"/>
      <c r="P127" s="3281"/>
      <c r="Q127" s="3281"/>
      <c r="R127" s="3281"/>
      <c r="S127" s="3281"/>
      <c r="T127" s="3282"/>
    </row>
    <row r="128" spans="8:8" ht="15.75">
      <c r="A128" s="3187"/>
      <c r="B128" s="3271"/>
      <c r="C128" s="3272"/>
      <c r="D128" s="3272"/>
      <c r="E128" s="3273"/>
      <c r="F128" s="3273"/>
      <c r="G128" s="3273"/>
      <c r="H128" s="3273"/>
      <c r="I128" s="3273"/>
      <c r="J128" s="3273"/>
      <c r="K128" s="3273"/>
      <c r="L128" s="3274"/>
      <c r="M128" s="2687"/>
      <c r="N128" s="3283" t="s">
        <v>4924</v>
      </c>
      <c r="O128" s="3284" t="s">
        <v>4925</v>
      </c>
      <c r="P128" s="3285"/>
      <c r="Q128" s="3285"/>
      <c r="R128" s="3285"/>
      <c r="S128" s="3285"/>
      <c r="T128" s="3286"/>
    </row>
    <row r="129" spans="8:8" ht="15.75">
      <c r="A129" s="3187"/>
      <c r="B129" s="3205" t="s">
        <v>4926</v>
      </c>
      <c r="C129" s="3225" t="s">
        <v>383</v>
      </c>
      <c r="D129" s="3225"/>
      <c r="E129" s="3200" t="s">
        <v>4927</v>
      </c>
      <c r="F129" s="3200"/>
      <c r="G129" s="3200"/>
      <c r="H129" s="3200"/>
      <c r="I129" s="3200"/>
      <c r="J129" s="3200"/>
      <c r="K129" s="3200"/>
      <c r="L129" s="3201"/>
      <c r="M129" s="2687"/>
      <c r="N129" s="3283"/>
      <c r="O129" s="3284"/>
      <c r="P129" s="3287"/>
      <c r="Q129" s="3287"/>
      <c r="R129" s="3287"/>
      <c r="S129" s="3287"/>
      <c r="T129" s="3286"/>
    </row>
    <row r="130" spans="8:8" ht="15.75">
      <c r="A130" s="3187"/>
      <c r="B130" s="3205"/>
      <c r="C130" s="3225"/>
      <c r="D130" s="3225"/>
      <c r="E130" s="3200"/>
      <c r="F130" s="3200"/>
      <c r="G130" s="3200"/>
      <c r="H130" s="3200"/>
      <c r="I130" s="3200"/>
      <c r="J130" s="3200"/>
      <c r="K130" s="3200"/>
      <c r="L130" s="3201"/>
      <c r="M130" s="2687"/>
      <c r="N130" s="3283"/>
      <c r="O130" s="3284"/>
      <c r="P130" s="3287"/>
      <c r="Q130" s="3287"/>
      <c r="R130" s="3287"/>
      <c r="S130" s="3287"/>
      <c r="T130" s="3286"/>
    </row>
    <row r="131" spans="8:8" ht="15.75">
      <c r="A131" s="3187"/>
      <c r="B131" s="3205"/>
      <c r="C131" s="3225"/>
      <c r="D131" s="3225"/>
      <c r="E131" s="3200"/>
      <c r="F131" s="3200"/>
      <c r="G131" s="3200"/>
      <c r="H131" s="3200"/>
      <c r="I131" s="3200"/>
      <c r="J131" s="3200"/>
      <c r="K131" s="3200"/>
      <c r="L131" s="3201"/>
      <c r="M131" s="2687"/>
      <c r="N131" s="3283"/>
      <c r="O131" s="3284"/>
      <c r="P131" s="3287"/>
      <c r="Q131" s="3287"/>
      <c r="R131" s="3287"/>
      <c r="S131" s="3287"/>
      <c r="T131" s="3286"/>
    </row>
    <row r="132" spans="8:8" ht="15.75">
      <c r="A132" s="3187"/>
      <c r="B132" s="3288" t="s">
        <v>4928</v>
      </c>
      <c r="C132" s="3272" t="s">
        <v>1673</v>
      </c>
      <c r="D132" s="3289"/>
      <c r="E132" s="3290" t="s">
        <v>4929</v>
      </c>
      <c r="F132" s="3290"/>
      <c r="G132" s="3290"/>
      <c r="H132" s="3290"/>
      <c r="I132" s="3290"/>
      <c r="J132" s="3290"/>
      <c r="K132" s="3290"/>
      <c r="L132" s="3291"/>
      <c r="M132" s="2687"/>
      <c r="N132" s="3292"/>
      <c r="O132" s="3293"/>
      <c r="P132" s="3294"/>
      <c r="Q132" s="3294"/>
      <c r="R132" s="3294"/>
      <c r="S132" s="3294"/>
      <c r="T132" s="3295"/>
    </row>
    <row r="133" spans="8:8" ht="15.75">
      <c r="A133" s="3187"/>
      <c r="B133" s="3296"/>
      <c r="C133" s="3289"/>
      <c r="D133" s="3289"/>
      <c r="E133" s="3290"/>
      <c r="F133" s="3290"/>
      <c r="G133" s="3290"/>
      <c r="H133" s="3290"/>
      <c r="I133" s="3290"/>
      <c r="J133" s="3290"/>
      <c r="K133" s="3290"/>
      <c r="L133" s="3291"/>
      <c r="M133" s="2687"/>
      <c r="N133" s="3297" t="s">
        <v>4930</v>
      </c>
      <c r="O133" s="3276" t="s">
        <v>4931</v>
      </c>
      <c r="P133" s="3298"/>
      <c r="Q133" s="3298"/>
      <c r="R133" s="3298"/>
      <c r="S133" s="3298"/>
      <c r="T133" s="3278"/>
    </row>
    <row r="134" spans="8:8" ht="15.75">
      <c r="A134" s="3187"/>
      <c r="B134" s="3296"/>
      <c r="C134" s="3289"/>
      <c r="D134" s="3289"/>
      <c r="E134" s="3290"/>
      <c r="F134" s="3290"/>
      <c r="G134" s="3290"/>
      <c r="H134" s="3290"/>
      <c r="I134" s="3290"/>
      <c r="J134" s="3290"/>
      <c r="K134" s="3290"/>
      <c r="L134" s="3291"/>
      <c r="M134" s="2687"/>
      <c r="N134" s="3297"/>
      <c r="O134" s="3276"/>
      <c r="P134" s="3277"/>
      <c r="Q134" s="3277"/>
      <c r="R134" s="3277"/>
      <c r="S134" s="3277"/>
      <c r="T134" s="3278"/>
    </row>
    <row r="135" spans="8:8" ht="15.75">
      <c r="A135" s="3187"/>
      <c r="B135" s="3224" t="s">
        <v>4932</v>
      </c>
      <c r="C135" s="3225" t="s">
        <v>1568</v>
      </c>
      <c r="D135" s="3225"/>
      <c r="E135" s="3299" t="s">
        <v>4933</v>
      </c>
      <c r="F135" s="3299"/>
      <c r="G135" s="3299"/>
      <c r="H135" s="3299"/>
      <c r="I135" s="3299"/>
      <c r="J135" s="3299"/>
      <c r="K135" s="3299"/>
      <c r="L135" s="3300"/>
      <c r="M135" s="2687"/>
      <c r="N135" s="3297"/>
      <c r="O135" s="3276"/>
      <c r="P135" s="3277"/>
      <c r="Q135" s="3277"/>
      <c r="R135" s="3277"/>
      <c r="S135" s="3277"/>
      <c r="T135" s="3278"/>
    </row>
    <row r="136" spans="8:8" ht="15.75">
      <c r="A136" s="3187"/>
      <c r="B136" s="3224"/>
      <c r="C136" s="3225"/>
      <c r="D136" s="3225"/>
      <c r="E136" s="3299"/>
      <c r="F136" s="3299"/>
      <c r="G136" s="3299"/>
      <c r="H136" s="3299"/>
      <c r="I136" s="3299"/>
      <c r="J136" s="3299"/>
      <c r="K136" s="3299"/>
      <c r="L136" s="3300"/>
      <c r="M136" s="2687"/>
      <c r="N136" s="3297"/>
      <c r="O136" s="3276"/>
      <c r="P136" s="3277"/>
      <c r="Q136" s="3277"/>
      <c r="R136" s="3277"/>
      <c r="S136" s="3277"/>
      <c r="T136" s="3278"/>
    </row>
    <row r="137" spans="8:8" ht="15.75">
      <c r="A137" s="3187"/>
      <c r="B137" s="3224"/>
      <c r="C137" s="3225"/>
      <c r="D137" s="3225"/>
      <c r="E137" s="3299"/>
      <c r="F137" s="3299"/>
      <c r="G137" s="3299"/>
      <c r="H137" s="3299"/>
      <c r="I137" s="3299"/>
      <c r="J137" s="3299"/>
      <c r="K137" s="3299"/>
      <c r="L137" s="3300"/>
      <c r="M137" s="2687"/>
      <c r="N137" s="3297"/>
      <c r="O137" s="3276"/>
      <c r="P137" s="3277"/>
      <c r="Q137" s="3277"/>
      <c r="R137" s="3277"/>
      <c r="S137" s="3277"/>
      <c r="T137" s="3278"/>
    </row>
    <row r="138" spans="8:8" ht="15.75">
      <c r="A138" s="3187"/>
      <c r="B138" s="3288" t="s">
        <v>4934</v>
      </c>
      <c r="C138" s="3272" t="s">
        <v>4848</v>
      </c>
      <c r="D138" s="3272"/>
      <c r="E138" s="3290" t="s">
        <v>4935</v>
      </c>
      <c r="F138" s="3290"/>
      <c r="G138" s="3290"/>
      <c r="H138" s="3290"/>
      <c r="I138" s="3290"/>
      <c r="J138" s="3290"/>
      <c r="K138" s="3290"/>
      <c r="L138" s="3291"/>
      <c r="M138" s="2687"/>
      <c r="N138" s="3297"/>
      <c r="O138" s="3276"/>
      <c r="P138" s="3277"/>
      <c r="Q138" s="3277"/>
      <c r="R138" s="3277"/>
      <c r="S138" s="3277"/>
      <c r="T138" s="3278"/>
    </row>
    <row r="139" spans="8:8" ht="15.75">
      <c r="A139" s="3187"/>
      <c r="B139" s="3288"/>
      <c r="C139" s="3272"/>
      <c r="D139" s="3272"/>
      <c r="E139" s="3290"/>
      <c r="F139" s="3290"/>
      <c r="G139" s="3290"/>
      <c r="H139" s="3290"/>
      <c r="I139" s="3290"/>
      <c r="J139" s="3290"/>
      <c r="K139" s="3290"/>
      <c r="L139" s="3291"/>
      <c r="M139" s="2687"/>
      <c r="N139" s="3297"/>
      <c r="O139" s="3276"/>
      <c r="P139" s="3277"/>
      <c r="Q139" s="3277"/>
      <c r="R139" s="3277"/>
      <c r="S139" s="3277"/>
      <c r="T139" s="3278"/>
    </row>
    <row r="140" spans="8:8" ht="15.75">
      <c r="A140" s="3187"/>
      <c r="B140" s="3301"/>
      <c r="C140" s="3302"/>
      <c r="D140" s="3302"/>
      <c r="E140" s="3303"/>
      <c r="F140" s="3303"/>
      <c r="G140" s="3303"/>
      <c r="H140" s="3303"/>
      <c r="I140" s="3303"/>
      <c r="J140" s="3303"/>
      <c r="K140" s="3303"/>
      <c r="L140" s="3304"/>
      <c r="M140" s="2687"/>
      <c r="N140" s="3297"/>
      <c r="O140" s="3276"/>
      <c r="P140" s="3298"/>
      <c r="Q140" s="3298"/>
      <c r="R140" s="3298"/>
      <c r="S140" s="3298"/>
      <c r="T140" s="3278"/>
    </row>
    <row r="141" spans="8:8">
      <c r="A141" s="3187"/>
      <c r="B141" s="2685"/>
      <c r="C141" s="2685"/>
      <c r="D141" s="2685"/>
      <c r="E141" s="2685"/>
      <c r="F141" s="2685"/>
      <c r="G141" s="2685"/>
      <c r="H141" s="2685"/>
      <c r="I141" s="2685"/>
      <c r="J141" s="2685"/>
      <c r="K141" s="2966"/>
      <c r="L141" s="2966"/>
      <c r="M141" s="2966"/>
      <c r="N141" s="3305"/>
      <c r="O141" s="3305"/>
      <c r="P141" s="3305"/>
      <c r="Q141" s="3305"/>
      <c r="R141" s="3305"/>
      <c r="S141" s="3305"/>
      <c r="T141" s="3305"/>
    </row>
    <row r="142" spans="8:8">
      <c r="A142" s="3187"/>
      <c r="B142" s="3306" t="s">
        <v>4936</v>
      </c>
      <c r="C142" s="3307"/>
      <c r="D142" s="3307"/>
      <c r="E142" s="3307"/>
      <c r="F142" s="3307"/>
      <c r="G142" s="3307"/>
      <c r="H142" s="3307"/>
      <c r="I142" s="3307"/>
      <c r="J142" s="3307"/>
      <c r="K142" s="3307"/>
      <c r="L142" s="3307"/>
      <c r="M142" s="3307"/>
      <c r="N142" s="3307"/>
      <c r="O142" s="3307"/>
      <c r="P142" s="3307"/>
      <c r="Q142" s="3307"/>
      <c r="R142" s="3307"/>
      <c r="S142" s="3307"/>
      <c r="T142" s="3308"/>
    </row>
    <row r="143" spans="8:8">
      <c r="A143" s="3187"/>
      <c r="B143" s="3309"/>
      <c r="C143" s="3310"/>
      <c r="D143" s="3310"/>
      <c r="E143" s="3310"/>
      <c r="F143" s="3310"/>
      <c r="G143" s="3310"/>
      <c r="H143" s="3310"/>
      <c r="I143" s="3310"/>
      <c r="J143" s="3310"/>
      <c r="K143" s="3310"/>
      <c r="L143" s="3310"/>
      <c r="M143" s="3310"/>
      <c r="N143" s="3310"/>
      <c r="O143" s="3310"/>
      <c r="P143" s="3310"/>
      <c r="Q143" s="3310"/>
      <c r="R143" s="3310"/>
      <c r="S143" s="3310"/>
      <c r="T143" s="3311"/>
    </row>
    <row r="144" spans="8:8">
      <c r="A144" s="3187"/>
      <c r="B144" s="3312"/>
      <c r="C144" s="3313"/>
      <c r="D144" s="3313"/>
      <c r="E144" s="3313"/>
      <c r="F144" s="3313"/>
      <c r="G144" s="3313"/>
      <c r="H144" s="3313"/>
      <c r="I144" s="3313"/>
      <c r="J144" s="3313"/>
      <c r="K144" s="3313"/>
      <c r="L144" s="3313"/>
      <c r="M144" s="3313"/>
      <c r="N144" s="3313"/>
      <c r="O144" s="3313"/>
      <c r="P144" s="3313"/>
      <c r="Q144" s="3313"/>
      <c r="R144" s="3313"/>
      <c r="S144" s="3313"/>
      <c r="T144" s="3314"/>
    </row>
    <row r="145" spans="8:8" ht="15.75">
      <c r="A145" s="3187"/>
      <c r="B145" s="3244"/>
      <c r="C145" s="3244"/>
      <c r="D145" s="3244"/>
      <c r="E145" s="3244"/>
      <c r="F145" s="3244"/>
      <c r="G145" s="3244"/>
      <c r="H145" s="2686"/>
      <c r="I145" s="2686"/>
      <c r="J145" s="2686"/>
      <c r="K145" s="2687"/>
      <c r="L145" s="2687"/>
      <c r="M145" s="2687"/>
      <c r="N145" s="3236"/>
      <c r="O145" s="2687"/>
      <c r="P145" s="2687"/>
      <c r="Q145" s="2687"/>
      <c r="R145" s="2687"/>
      <c r="S145" s="2687"/>
      <c r="T145" s="2687"/>
    </row>
    <row r="146" spans="8:8" ht="23.0" customHeight="1">
      <c r="A146" s="3187"/>
      <c r="B146" s="3315" t="s">
        <v>4937</v>
      </c>
      <c r="C146" s="3244"/>
      <c r="D146" s="3316" t="s">
        <v>4938</v>
      </c>
      <c r="E146" s="3317"/>
      <c r="F146" s="3316" t="s">
        <v>4939</v>
      </c>
      <c r="G146" s="3318"/>
      <c r="H146" s="3318"/>
      <c r="I146" s="3317"/>
      <c r="J146" s="2686"/>
      <c r="K146" s="3319" t="s">
        <v>4940</v>
      </c>
      <c r="L146" s="3320"/>
      <c r="M146" s="3321"/>
      <c r="N146" s="2687"/>
      <c r="O146" s="3319" t="s">
        <v>4941</v>
      </c>
      <c r="P146" s="3321"/>
      <c r="Q146" s="2687"/>
      <c r="R146" s="3319" t="s">
        <v>4942</v>
      </c>
      <c r="S146" s="3320"/>
      <c r="T146" s="3321"/>
    </row>
    <row r="147" spans="8:8" ht="15.75">
      <c r="A147" s="3187"/>
      <c r="B147" s="3322" t="s">
        <v>4943</v>
      </c>
      <c r="C147" s="3323"/>
      <c r="D147" s="3324" t="s">
        <v>4944</v>
      </c>
      <c r="E147" s="3325"/>
      <c r="F147" s="3324" t="s">
        <v>4945</v>
      </c>
      <c r="G147" s="3326"/>
      <c r="H147" s="3326"/>
      <c r="I147" s="3325"/>
      <c r="J147" s="3323"/>
      <c r="K147" s="3327" t="s">
        <v>4946</v>
      </c>
      <c r="L147" s="3298"/>
      <c r="M147" s="3278"/>
      <c r="N147" s="3328"/>
      <c r="O147" s="3327" t="s">
        <v>4947</v>
      </c>
      <c r="P147" s="3278"/>
      <c r="Q147" s="3328"/>
      <c r="R147" s="3329" t="s">
        <v>4948</v>
      </c>
      <c r="S147" s="3330"/>
      <c r="T147" s="3331"/>
    </row>
    <row r="148" spans="8:8" ht="15.75">
      <c r="A148" s="3187"/>
      <c r="B148" s="3322"/>
      <c r="C148" s="3323"/>
      <c r="D148" s="3324"/>
      <c r="E148" s="3325"/>
      <c r="F148" s="3324"/>
      <c r="G148" s="3326"/>
      <c r="H148" s="3326"/>
      <c r="I148" s="3325"/>
      <c r="J148" s="3323"/>
      <c r="K148" s="3327"/>
      <c r="L148" s="3298"/>
      <c r="M148" s="3278"/>
      <c r="N148" s="3328"/>
      <c r="O148" s="3327"/>
      <c r="P148" s="3278"/>
      <c r="Q148" s="3328"/>
      <c r="R148" s="3329"/>
      <c r="S148" s="3330"/>
      <c r="T148" s="3331"/>
    </row>
    <row r="149" spans="8:8" ht="15.75">
      <c r="A149" s="3187"/>
      <c r="B149" s="3322"/>
      <c r="C149" s="3323"/>
      <c r="D149" s="3324"/>
      <c r="E149" s="3325"/>
      <c r="F149" s="3324"/>
      <c r="G149" s="3326"/>
      <c r="H149" s="3326"/>
      <c r="I149" s="3325"/>
      <c r="J149" s="3323"/>
      <c r="K149" s="3327"/>
      <c r="L149" s="3298"/>
      <c r="M149" s="3278"/>
      <c r="N149" s="3328"/>
      <c r="O149" s="3327"/>
      <c r="P149" s="3278"/>
      <c r="Q149" s="3328"/>
      <c r="R149" s="3329"/>
      <c r="S149" s="3330"/>
      <c r="T149" s="3331"/>
    </row>
    <row r="150" spans="8:8" ht="15.75">
      <c r="A150" s="3187"/>
      <c r="B150" s="3322"/>
      <c r="C150" s="3323"/>
      <c r="D150" s="3324"/>
      <c r="E150" s="3325"/>
      <c r="F150" s="3324"/>
      <c r="G150" s="3326"/>
      <c r="H150" s="3326"/>
      <c r="I150" s="3325"/>
      <c r="J150" s="3323"/>
      <c r="K150" s="3327"/>
      <c r="L150" s="3298"/>
      <c r="M150" s="3278"/>
      <c r="N150" s="3328"/>
      <c r="O150" s="3327"/>
      <c r="P150" s="3278"/>
      <c r="Q150" s="3328"/>
      <c r="R150" s="3329"/>
      <c r="S150" s="3330"/>
      <c r="T150" s="3331"/>
    </row>
    <row r="151" spans="8:8" ht="15.75">
      <c r="A151" s="3187"/>
      <c r="B151" s="3322"/>
      <c r="C151" s="3323"/>
      <c r="D151" s="3324"/>
      <c r="E151" s="3325"/>
      <c r="F151" s="3324"/>
      <c r="G151" s="3326"/>
      <c r="H151" s="3326"/>
      <c r="I151" s="3325"/>
      <c r="J151" s="3323"/>
      <c r="K151" s="3327"/>
      <c r="L151" s="3298"/>
      <c r="M151" s="3278"/>
      <c r="N151" s="3328"/>
      <c r="O151" s="3327"/>
      <c r="P151" s="3278"/>
      <c r="Q151" s="3328"/>
      <c r="R151" s="3329"/>
      <c r="S151" s="3330"/>
      <c r="T151" s="3331"/>
    </row>
    <row r="152" spans="8:8" ht="15.75">
      <c r="A152" s="3187"/>
      <c r="B152" s="3322"/>
      <c r="C152" s="3323"/>
      <c r="D152" s="3324"/>
      <c r="E152" s="3325"/>
      <c r="F152" s="3324"/>
      <c r="G152" s="3326"/>
      <c r="H152" s="3326"/>
      <c r="I152" s="3325"/>
      <c r="J152" s="3323"/>
      <c r="K152" s="3327"/>
      <c r="L152" s="3298"/>
      <c r="M152" s="3278"/>
      <c r="N152" s="3328"/>
      <c r="O152" s="3327"/>
      <c r="P152" s="3278"/>
      <c r="Q152" s="3328"/>
      <c r="R152" s="3329"/>
      <c r="S152" s="3330"/>
      <c r="T152" s="3331"/>
    </row>
    <row r="153" spans="8:8" ht="15.75">
      <c r="A153" s="3187"/>
      <c r="B153" s="3322"/>
      <c r="C153" s="3323"/>
      <c r="D153" s="3324"/>
      <c r="E153" s="3325"/>
      <c r="F153" s="3324"/>
      <c r="G153" s="3326"/>
      <c r="H153" s="3326"/>
      <c r="I153" s="3325"/>
      <c r="J153" s="3323"/>
      <c r="K153" s="3327"/>
      <c r="L153" s="3298"/>
      <c r="M153" s="3278"/>
      <c r="N153" s="3328"/>
      <c r="O153" s="3327"/>
      <c r="P153" s="3278"/>
      <c r="Q153" s="3328"/>
      <c r="R153" s="3329"/>
      <c r="S153" s="3330"/>
      <c r="T153" s="3331"/>
    </row>
    <row r="154" spans="8:8" ht="15.75">
      <c r="A154" s="3187"/>
      <c r="B154" s="3322"/>
      <c r="C154" s="3323"/>
      <c r="D154" s="3324"/>
      <c r="E154" s="3325"/>
      <c r="F154" s="3324"/>
      <c r="G154" s="3326"/>
      <c r="H154" s="3326"/>
      <c r="I154" s="3325"/>
      <c r="J154" s="3323"/>
      <c r="K154" s="3327"/>
      <c r="L154" s="3298"/>
      <c r="M154" s="3278"/>
      <c r="N154" s="3328"/>
      <c r="O154" s="3327"/>
      <c r="P154" s="3278"/>
      <c r="Q154" s="3328"/>
      <c r="R154" s="3329"/>
      <c r="S154" s="3330"/>
      <c r="T154" s="3331"/>
    </row>
    <row r="155" spans="8:8" ht="15.75">
      <c r="A155" s="3187"/>
      <c r="B155" s="3332"/>
      <c r="C155" s="3323"/>
      <c r="D155" s="3333"/>
      <c r="E155" s="3334"/>
      <c r="F155" s="3333"/>
      <c r="G155" s="3335"/>
      <c r="H155" s="3335"/>
      <c r="I155" s="3334"/>
      <c r="J155" s="3323"/>
      <c r="K155" s="3336"/>
      <c r="L155" s="3337"/>
      <c r="M155" s="3338"/>
      <c r="N155" s="3328"/>
      <c r="O155" s="3336"/>
      <c r="P155" s="3338"/>
      <c r="Q155" s="3328"/>
      <c r="R155" s="3339"/>
      <c r="S155" s="3340"/>
      <c r="T155" s="3341"/>
    </row>
    <row r="156" spans="8:8" ht="15.75">
      <c r="A156" s="3187"/>
      <c r="B156" s="3244"/>
      <c r="C156" s="3244"/>
      <c r="D156" s="3244"/>
      <c r="E156" s="3244"/>
      <c r="F156" s="3244"/>
      <c r="G156" s="3244"/>
      <c r="H156" s="3244"/>
      <c r="I156" s="3244"/>
      <c r="J156" s="3244"/>
      <c r="K156" s="2687"/>
      <c r="L156" s="2687"/>
      <c r="M156" s="2687"/>
      <c r="N156" s="2687"/>
      <c r="O156" s="2687"/>
      <c r="P156" s="2687"/>
      <c r="Q156" s="2687"/>
      <c r="R156" s="2687"/>
      <c r="S156" s="2687"/>
      <c r="T156" s="2687"/>
    </row>
    <row r="157" spans="8:8" ht="15.75">
      <c r="A157" s="3187"/>
      <c r="B157" s="3316" t="s">
        <v>4949</v>
      </c>
      <c r="C157" s="3316" t="s">
        <v>4950</v>
      </c>
      <c r="D157" s="3317"/>
      <c r="E157" s="3244"/>
      <c r="F157" s="3316" t="s">
        <v>4951</v>
      </c>
      <c r="G157" s="3318"/>
      <c r="H157" s="3318"/>
      <c r="I157" s="3318"/>
      <c r="J157" s="3318"/>
      <c r="K157" s="3316" t="s">
        <v>4952</v>
      </c>
      <c r="L157" s="3317"/>
      <c r="M157" s="2687"/>
      <c r="N157" s="3319" t="s">
        <v>4953</v>
      </c>
      <c r="O157" s="3320"/>
      <c r="P157" s="3320"/>
      <c r="Q157" s="3320"/>
      <c r="R157" s="3320"/>
      <c r="S157" s="3320"/>
      <c r="T157" s="3321"/>
    </row>
    <row r="158" spans="8:8" ht="15.75">
      <c r="A158" s="3187"/>
      <c r="B158" s="3342"/>
      <c r="C158" s="3342"/>
      <c r="D158" s="3343"/>
      <c r="E158" s="3244"/>
      <c r="F158" s="3342"/>
      <c r="G158" s="3344"/>
      <c r="H158" s="3344"/>
      <c r="I158" s="3344"/>
      <c r="J158" s="3344"/>
      <c r="K158" s="3342"/>
      <c r="L158" s="3343"/>
      <c r="M158" s="2687"/>
      <c r="N158" s="3345"/>
      <c r="O158" s="3346"/>
      <c r="P158" s="3346"/>
      <c r="Q158" s="3346"/>
      <c r="R158" s="3346"/>
      <c r="S158" s="3346"/>
      <c r="T158" s="3347"/>
    </row>
    <row r="159" spans="8:8" ht="15.75">
      <c r="A159" s="3187"/>
      <c r="B159" s="3205" t="s">
        <v>4954</v>
      </c>
      <c r="C159" s="3205" t="s">
        <v>4955</v>
      </c>
      <c r="D159" s="3207"/>
      <c r="E159" s="3244"/>
      <c r="F159" s="3348" t="s">
        <v>4956</v>
      </c>
      <c r="G159" s="3349"/>
      <c r="H159" s="3349"/>
      <c r="I159" s="3349"/>
      <c r="J159" s="3349"/>
      <c r="K159" s="3324" t="s">
        <v>4957</v>
      </c>
      <c r="L159" s="3325"/>
      <c r="M159" s="2687"/>
      <c r="N159" s="3350" t="s">
        <v>4958</v>
      </c>
      <c r="O159" s="3351"/>
      <c r="P159" s="3351"/>
      <c r="Q159" s="3352"/>
      <c r="R159" s="3353" t="s">
        <v>4959</v>
      </c>
      <c r="S159" s="3354"/>
      <c r="T159" s="3355"/>
      <c r="U159" s="3356"/>
    </row>
    <row r="160" spans="8:8" ht="15.75">
      <c r="A160" s="3187"/>
      <c r="B160" s="3205"/>
      <c r="C160" s="3205"/>
      <c r="D160" s="3207"/>
      <c r="E160" s="3244"/>
      <c r="F160" s="3348"/>
      <c r="G160" s="3349"/>
      <c r="H160" s="3349"/>
      <c r="I160" s="3349"/>
      <c r="J160" s="3349"/>
      <c r="K160" s="3324"/>
      <c r="L160" s="3325"/>
      <c r="M160" s="2687"/>
      <c r="N160" s="3357"/>
      <c r="O160" s="3358"/>
      <c r="P160" s="3359"/>
      <c r="Q160" s="3360"/>
      <c r="R160" s="3361"/>
      <c r="S160" s="3362"/>
      <c r="T160" s="3363"/>
      <c r="U160" s="3356"/>
    </row>
    <row r="161" spans="8:8" ht="15.75">
      <c r="B161" s="3205"/>
      <c r="C161" s="3205"/>
      <c r="D161" s="3207"/>
      <c r="E161" s="2686"/>
      <c r="F161" s="3348"/>
      <c r="G161" s="3349"/>
      <c r="H161" s="3349"/>
      <c r="I161" s="3349"/>
      <c r="J161" s="3349"/>
      <c r="K161" s="3324"/>
      <c r="L161" s="3325"/>
      <c r="M161" s="2687"/>
      <c r="N161" s="3364" t="s">
        <v>4960</v>
      </c>
      <c r="O161" s="3365"/>
      <c r="P161" s="3366"/>
      <c r="Q161" s="3367"/>
      <c r="R161" s="3367"/>
      <c r="S161" s="3367"/>
      <c r="T161" s="3368"/>
    </row>
    <row r="162" spans="8:8" ht="15.75">
      <c r="B162" s="3205"/>
      <c r="C162" s="3369" t="s">
        <v>4961</v>
      </c>
      <c r="D162" s="3370" t="s">
        <v>1733</v>
      </c>
      <c r="E162" s="2686"/>
      <c r="F162" s="3348"/>
      <c r="G162" s="3349"/>
      <c r="H162" s="3349"/>
      <c r="I162" s="3349"/>
      <c r="J162" s="3349"/>
      <c r="K162" s="3324"/>
      <c r="L162" s="3325"/>
      <c r="M162" s="2687"/>
      <c r="N162" s="3371"/>
      <c r="O162" s="3372"/>
      <c r="P162" s="3373"/>
      <c r="Q162" s="3372"/>
      <c r="R162" s="3372"/>
      <c r="S162" s="3372"/>
      <c r="T162" s="3374"/>
    </row>
    <row r="163" spans="8:8" ht="15.75">
      <c r="B163" s="3205"/>
      <c r="C163" s="3375" t="s">
        <v>4962</v>
      </c>
      <c r="D163" s="3376" t="s">
        <v>1724</v>
      </c>
      <c r="E163" s="2686"/>
      <c r="F163" s="3348"/>
      <c r="G163" s="3349"/>
      <c r="H163" s="3349"/>
      <c r="I163" s="3349"/>
      <c r="J163" s="3349"/>
      <c r="K163" s="3324"/>
      <c r="L163" s="3325"/>
      <c r="M163" s="2687"/>
      <c r="N163" s="3377" t="s">
        <v>4963</v>
      </c>
      <c r="O163" s="3378"/>
      <c r="P163" s="3378"/>
      <c r="Q163" s="3378"/>
      <c r="R163" s="3378"/>
      <c r="S163" s="3378"/>
      <c r="T163" s="3379"/>
    </row>
    <row r="164" spans="8:8" ht="15.75">
      <c r="B164" s="3205"/>
      <c r="C164" s="3375" t="s">
        <v>4964</v>
      </c>
      <c r="D164" s="3376" t="s">
        <v>4965</v>
      </c>
      <c r="E164" s="2686"/>
      <c r="F164" s="3348"/>
      <c r="G164" s="3349"/>
      <c r="H164" s="3349"/>
      <c r="I164" s="3349"/>
      <c r="J164" s="3349"/>
      <c r="K164" s="3324"/>
      <c r="L164" s="3325"/>
      <c r="M164" s="2687"/>
      <c r="N164" s="3380" t="s">
        <v>4966</v>
      </c>
      <c r="O164" s="3381"/>
      <c r="P164" s="3381"/>
      <c r="Q164" s="3381"/>
      <c r="R164" s="3381"/>
      <c r="S164" s="3381"/>
      <c r="T164" s="3382"/>
    </row>
    <row r="165" spans="8:8" ht="15.75">
      <c r="B165" s="3205"/>
      <c r="C165" s="3375" t="s">
        <v>4967</v>
      </c>
      <c r="D165" s="3376" t="s">
        <v>4968</v>
      </c>
      <c r="E165" s="2686"/>
      <c r="F165" s="3348"/>
      <c r="G165" s="3349"/>
      <c r="H165" s="3349"/>
      <c r="I165" s="3349"/>
      <c r="J165" s="3349"/>
      <c r="K165" s="3324"/>
      <c r="L165" s="3325"/>
      <c r="M165" s="2687"/>
      <c r="N165" s="3383" t="s">
        <v>4969</v>
      </c>
      <c r="O165" s="3378"/>
      <c r="P165" s="3378"/>
      <c r="Q165" s="3384"/>
      <c r="R165" s="3378" t="s">
        <v>4970</v>
      </c>
      <c r="S165" s="3378"/>
      <c r="T165" s="3379"/>
    </row>
    <row r="166" spans="8:8" ht="15.75">
      <c r="B166" s="3205"/>
      <c r="C166" s="3375" t="s">
        <v>4971</v>
      </c>
      <c r="D166" s="3376" t="s">
        <v>1615</v>
      </c>
      <c r="E166" s="2686"/>
      <c r="F166" s="3348"/>
      <c r="G166" s="3349"/>
      <c r="H166" s="3349"/>
      <c r="I166" s="3349"/>
      <c r="J166" s="3349"/>
      <c r="K166" s="3324"/>
      <c r="L166" s="3325"/>
      <c r="M166" s="2687"/>
      <c r="N166" s="3377"/>
      <c r="O166" s="3378"/>
      <c r="P166" s="3378"/>
      <c r="Q166" s="3384"/>
      <c r="R166" s="3378"/>
      <c r="S166" s="3378"/>
      <c r="T166" s="3379"/>
    </row>
    <row r="167" spans="8:8" ht="15.75">
      <c r="B167" s="3205"/>
      <c r="C167" s="3375" t="s">
        <v>4972</v>
      </c>
      <c r="D167" s="3376" t="s">
        <v>1628</v>
      </c>
      <c r="E167" s="2686"/>
      <c r="F167" s="3348"/>
      <c r="G167" s="3349"/>
      <c r="H167" s="3349"/>
      <c r="I167" s="3349"/>
      <c r="J167" s="3349"/>
      <c r="K167" s="3324"/>
      <c r="L167" s="3325"/>
      <c r="M167" s="2687"/>
      <c r="N167" s="3377"/>
      <c r="O167" s="3378"/>
      <c r="P167" s="3378"/>
      <c r="Q167" s="3384"/>
      <c r="R167" s="3378"/>
      <c r="S167" s="3378"/>
      <c r="T167" s="3379"/>
      <c r="U167" s="3356"/>
    </row>
    <row r="168" spans="8:8" ht="15.75">
      <c r="B168" s="3385"/>
      <c r="C168" s="3386">
        <v>20.0</v>
      </c>
      <c r="D168" s="3387" t="s">
        <v>1450</v>
      </c>
      <c r="E168" s="2686"/>
      <c r="F168" s="3388"/>
      <c r="G168" s="3389"/>
      <c r="H168" s="3389"/>
      <c r="I168" s="3389"/>
      <c r="J168" s="3389"/>
      <c r="K168" s="3333"/>
      <c r="L168" s="3334"/>
      <c r="M168" s="3236"/>
      <c r="N168" s="3390"/>
      <c r="O168" s="3391"/>
      <c r="P168" s="3391"/>
      <c r="Q168" s="3392"/>
      <c r="R168" s="3391"/>
      <c r="S168" s="3391"/>
      <c r="T168" s="3393"/>
      <c r="U168" s="3356"/>
    </row>
    <row r="169" spans="8:8" ht="15.75">
      <c r="B169" s="2686"/>
      <c r="C169" s="2686"/>
      <c r="D169" s="2686"/>
      <c r="E169" s="2686"/>
      <c r="F169" s="2686"/>
      <c r="G169" s="2686"/>
      <c r="H169" s="2686"/>
      <c r="I169" s="2686"/>
      <c r="J169" s="2686"/>
      <c r="K169" s="3236"/>
      <c r="L169" s="3236"/>
      <c r="M169" s="3236"/>
      <c r="N169" s="3394"/>
      <c r="O169" s="3394"/>
      <c r="P169" s="3394"/>
      <c r="Q169" s="3394"/>
      <c r="R169" s="3395"/>
      <c r="S169" s="3395"/>
      <c r="T169" s="3395"/>
      <c r="U169" s="3356"/>
    </row>
    <row r="170" spans="8:8" ht="15.75">
      <c r="B170" s="3319" t="s">
        <v>4973</v>
      </c>
      <c r="C170" s="3321"/>
      <c r="D170" s="3319" t="s">
        <v>4974</v>
      </c>
      <c r="E170" s="3320"/>
      <c r="F170" s="3320"/>
      <c r="G170" s="3321"/>
      <c r="H170" s="2685"/>
      <c r="I170" s="3396" t="s">
        <v>4975</v>
      </c>
      <c r="J170" s="3397"/>
      <c r="K170" s="3397"/>
      <c r="L170" s="3397"/>
      <c r="M170" s="3397"/>
      <c r="N170" s="3397"/>
      <c r="O170" s="3398"/>
      <c r="P170" s="2966"/>
      <c r="Q170" s="3319" t="s">
        <v>4976</v>
      </c>
      <c r="R170" s="3320"/>
      <c r="S170" s="3320"/>
      <c r="T170" s="3321"/>
      <c r="U170" s="3356"/>
    </row>
    <row r="171" spans="8:8" ht="15.75">
      <c r="B171" s="3345"/>
      <c r="C171" s="3347"/>
      <c r="D171" s="3345"/>
      <c r="E171" s="3346"/>
      <c r="F171" s="3346"/>
      <c r="G171" s="3347"/>
      <c r="H171" s="2685"/>
      <c r="I171" s="3399"/>
      <c r="J171" s="3400"/>
      <c r="K171" s="3400"/>
      <c r="L171" s="3400"/>
      <c r="M171" s="3400"/>
      <c r="N171" s="3400"/>
      <c r="O171" s="3401"/>
      <c r="P171" s="2966"/>
      <c r="Q171" s="3345"/>
      <c r="R171" s="3346"/>
      <c r="S171" s="3346"/>
      <c r="T171" s="3347"/>
      <c r="U171" s="3356"/>
    </row>
    <row r="172" spans="8:8" ht="15.75">
      <c r="B172" s="3231" t="s">
        <v>4977</v>
      </c>
      <c r="C172" s="3363"/>
      <c r="D172" s="3402" t="s">
        <v>4978</v>
      </c>
      <c r="E172" s="3258"/>
      <c r="F172" s="3258"/>
      <c r="G172" s="3259"/>
      <c r="H172" s="3403"/>
      <c r="I172" s="3231" t="s">
        <v>4979</v>
      </c>
      <c r="J172" s="3362"/>
      <c r="K172" s="3362"/>
      <c r="L172" s="3362"/>
      <c r="M172" s="3362"/>
      <c r="N172" s="3362"/>
      <c r="O172" s="3363"/>
      <c r="P172" s="2966"/>
      <c r="Q172" s="3402" t="s">
        <v>4980</v>
      </c>
      <c r="R172" s="3258"/>
      <c r="S172" s="3258"/>
      <c r="T172" s="3259"/>
      <c r="U172" s="3356"/>
    </row>
    <row r="173" spans="8:8" ht="15.75">
      <c r="B173" s="3231"/>
      <c r="C173" s="3363"/>
      <c r="D173" s="3402"/>
      <c r="E173" s="3258"/>
      <c r="F173" s="3258"/>
      <c r="G173" s="3259"/>
      <c r="H173" s="3403"/>
      <c r="I173" s="3231"/>
      <c r="J173" s="3362"/>
      <c r="K173" s="3362"/>
      <c r="L173" s="3362"/>
      <c r="M173" s="3362"/>
      <c r="N173" s="3362"/>
      <c r="O173" s="3363"/>
      <c r="P173" s="2966"/>
      <c r="Q173" s="3402"/>
      <c r="R173" s="3258"/>
      <c r="S173" s="3258"/>
      <c r="T173" s="3259"/>
      <c r="U173" s="3356"/>
    </row>
    <row r="174" spans="8:8" ht="15.75">
      <c r="B174" s="3231"/>
      <c r="C174" s="3363"/>
      <c r="D174" s="3402"/>
      <c r="E174" s="3258"/>
      <c r="F174" s="3258"/>
      <c r="G174" s="3259"/>
      <c r="H174" s="3403"/>
      <c r="I174" s="3231"/>
      <c r="J174" s="3362"/>
      <c r="K174" s="3362"/>
      <c r="L174" s="3362"/>
      <c r="M174" s="3362"/>
      <c r="N174" s="3362"/>
      <c r="O174" s="3363"/>
      <c r="P174" s="2966"/>
      <c r="Q174" s="3402"/>
      <c r="R174" s="3258"/>
      <c r="S174" s="3258"/>
      <c r="T174" s="3259"/>
      <c r="U174" s="3356"/>
    </row>
    <row r="175" spans="8:8" ht="15.75">
      <c r="B175" s="3231"/>
      <c r="C175" s="3363"/>
      <c r="D175" s="3402"/>
      <c r="E175" s="3258"/>
      <c r="F175" s="3258"/>
      <c r="G175" s="3259"/>
      <c r="H175" s="3403"/>
      <c r="I175" s="3231"/>
      <c r="J175" s="3362"/>
      <c r="K175" s="3362"/>
      <c r="L175" s="3362"/>
      <c r="M175" s="3362"/>
      <c r="N175" s="3362"/>
      <c r="O175" s="3363"/>
      <c r="P175" s="2966"/>
      <c r="Q175" s="3402"/>
      <c r="R175" s="3258"/>
      <c r="S175" s="3258"/>
      <c r="T175" s="3259"/>
    </row>
    <row r="176" spans="8:8" ht="15.75">
      <c r="B176" s="3231"/>
      <c r="C176" s="3363"/>
      <c r="D176" s="3402"/>
      <c r="E176" s="3258"/>
      <c r="F176" s="3258"/>
      <c r="G176" s="3259"/>
      <c r="H176" s="3403"/>
      <c r="I176" s="3231"/>
      <c r="J176" s="3362"/>
      <c r="K176" s="3362"/>
      <c r="L176" s="3362"/>
      <c r="M176" s="3362"/>
      <c r="N176" s="3362"/>
      <c r="O176" s="3363"/>
      <c r="P176" s="2966"/>
      <c r="Q176" s="3402"/>
      <c r="R176" s="3258"/>
      <c r="S176" s="3258"/>
      <c r="T176" s="3259"/>
    </row>
    <row r="177" spans="8:8" ht="15.75">
      <c r="B177" s="3231"/>
      <c r="C177" s="3363"/>
      <c r="D177" s="3402"/>
      <c r="E177" s="3258"/>
      <c r="F177" s="3258"/>
      <c r="G177" s="3259"/>
      <c r="H177" s="3403"/>
      <c r="I177" s="3231"/>
      <c r="J177" s="3362"/>
      <c r="K177" s="3362"/>
      <c r="L177" s="3362"/>
      <c r="M177" s="3362"/>
      <c r="N177" s="3362"/>
      <c r="O177" s="3363"/>
      <c r="P177" s="2966"/>
      <c r="Q177" s="3402"/>
      <c r="R177" s="3258"/>
      <c r="S177" s="3258"/>
      <c r="T177" s="3259"/>
    </row>
    <row r="178" spans="8:8" ht="15.75">
      <c r="B178" s="3231"/>
      <c r="C178" s="3363"/>
      <c r="D178" s="3402"/>
      <c r="E178" s="3258"/>
      <c r="F178" s="3258"/>
      <c r="G178" s="3259"/>
      <c r="H178" s="3403"/>
      <c r="I178" s="3231"/>
      <c r="J178" s="3362"/>
      <c r="K178" s="3362"/>
      <c r="L178" s="3362"/>
      <c r="M178" s="3362"/>
      <c r="N178" s="3362"/>
      <c r="O178" s="3363"/>
      <c r="P178" s="2966"/>
      <c r="Q178" s="3402"/>
      <c r="R178" s="3258"/>
      <c r="S178" s="3258"/>
      <c r="T178" s="3259"/>
    </row>
    <row r="179" spans="8:8" ht="15.75">
      <c r="B179" s="3231"/>
      <c r="C179" s="3363"/>
      <c r="D179" s="3402"/>
      <c r="E179" s="3258"/>
      <c r="F179" s="3258"/>
      <c r="G179" s="3259"/>
      <c r="H179" s="3403"/>
      <c r="I179" s="3231"/>
      <c r="J179" s="3362"/>
      <c r="K179" s="3362"/>
      <c r="L179" s="3362"/>
      <c r="M179" s="3362"/>
      <c r="N179" s="3362"/>
      <c r="O179" s="3363"/>
      <c r="P179" s="2966"/>
      <c r="Q179" s="3402"/>
      <c r="R179" s="3258"/>
      <c r="S179" s="3258"/>
      <c r="T179" s="3259"/>
    </row>
    <row r="180" spans="8:8" ht="15.75">
      <c r="B180" s="3404"/>
      <c r="C180" s="3405"/>
      <c r="D180" s="3406"/>
      <c r="E180" s="3407"/>
      <c r="F180" s="3407"/>
      <c r="G180" s="3408"/>
      <c r="H180" s="3403"/>
      <c r="I180" s="3404"/>
      <c r="J180" s="3409"/>
      <c r="K180" s="3409"/>
      <c r="L180" s="3409"/>
      <c r="M180" s="3409"/>
      <c r="N180" s="3409"/>
      <c r="O180" s="3405"/>
      <c r="P180" s="2966"/>
      <c r="Q180" s="3406"/>
      <c r="R180" s="3407"/>
      <c r="S180" s="3407"/>
      <c r="T180" s="3408"/>
    </row>
    <row r="181" spans="8:8" ht="15.75">
      <c r="A181" s="3410"/>
      <c r="B181" s="3395"/>
      <c r="C181" s="3411"/>
      <c r="D181" s="3403"/>
      <c r="E181" s="3403"/>
      <c r="F181" s="3403"/>
      <c r="G181" s="3403"/>
      <c r="H181" s="3403"/>
      <c r="I181" s="3411"/>
      <c r="J181" s="3411"/>
      <c r="K181" s="3411"/>
      <c r="L181" s="3411"/>
      <c r="M181" s="3411"/>
      <c r="N181" s="3411"/>
      <c r="O181" s="3395"/>
      <c r="P181" s="3412"/>
      <c r="Q181" s="3403"/>
      <c r="R181" s="3403"/>
      <c r="S181" s="3403"/>
      <c r="T181" s="3394"/>
    </row>
    <row r="182" spans="8:8" ht="16.95" customHeight="1">
      <c r="B182" s="3413" t="s">
        <v>4981</v>
      </c>
      <c r="C182" s="3414"/>
      <c r="D182" s="3414"/>
      <c r="E182" s="3414"/>
      <c r="F182" s="3414"/>
      <c r="G182" s="3414"/>
      <c r="H182" s="3414"/>
      <c r="I182" s="3414"/>
      <c r="J182" s="3414"/>
      <c r="K182" s="3415"/>
      <c r="L182" s="2966"/>
      <c r="M182" s="3416" t="s">
        <v>1522</v>
      </c>
      <c r="N182" s="3417"/>
      <c r="O182" s="3417"/>
      <c r="P182" s="3417"/>
      <c r="Q182" s="3417"/>
      <c r="R182" s="3417"/>
      <c r="S182" s="3417"/>
      <c r="T182" s="3418"/>
      <c r="U182" s="3419"/>
      <c r="AC182" s="3420"/>
      <c r="AD182" s="3420"/>
      <c r="AE182" s="3421"/>
      <c r="AF182" s="3010"/>
    </row>
    <row r="183" spans="8:8" ht="16.95" customHeight="1">
      <c r="B183" s="3422"/>
      <c r="C183" s="3423"/>
      <c r="D183" s="3423"/>
      <c r="E183" s="3423"/>
      <c r="F183" s="3423"/>
      <c r="G183" s="3423"/>
      <c r="H183" s="3423"/>
      <c r="I183" s="3423"/>
      <c r="J183" s="3423"/>
      <c r="K183" s="3424"/>
      <c r="L183" s="2966"/>
      <c r="M183" s="3425"/>
      <c r="N183" s="3426"/>
      <c r="O183" s="3426"/>
      <c r="P183" s="3426"/>
      <c r="Q183" s="3426"/>
      <c r="R183" s="3426"/>
      <c r="S183" s="3426"/>
      <c r="T183" s="3427"/>
      <c r="U183" s="3419"/>
      <c r="Y183" s="3420"/>
      <c r="Z183" s="3420"/>
      <c r="AA183" s="3420"/>
      <c r="AB183" s="3420"/>
      <c r="AC183" s="3420"/>
      <c r="AD183" s="3420"/>
      <c r="AE183" s="3421"/>
      <c r="AF183" s="3010"/>
    </row>
    <row r="184" spans="8:8" ht="16.95" customHeight="1">
      <c r="B184" s="3428" t="s">
        <v>4982</v>
      </c>
      <c r="C184" s="3429"/>
      <c r="D184" s="3429"/>
      <c r="E184" s="3429"/>
      <c r="F184" s="3361" t="s">
        <v>4983</v>
      </c>
      <c r="G184" s="3362"/>
      <c r="H184" s="3362"/>
      <c r="I184" s="3362"/>
      <c r="J184" s="3362"/>
      <c r="K184" s="3363"/>
      <c r="L184" s="2966"/>
      <c r="M184" s="3430" t="s">
        <v>1534</v>
      </c>
      <c r="N184" s="3431"/>
      <c r="O184" s="3432" t="s">
        <v>1535</v>
      </c>
      <c r="P184" s="3433"/>
      <c r="Q184" s="3432" t="s">
        <v>4984</v>
      </c>
      <c r="R184" s="3433"/>
      <c r="S184" s="3431" t="s">
        <v>161</v>
      </c>
      <c r="T184" s="3434"/>
      <c r="Y184" s="3435"/>
      <c r="Z184" s="3435"/>
      <c r="AA184" s="3435"/>
      <c r="AB184" s="3435"/>
      <c r="AC184" s="3435"/>
      <c r="AD184" s="3435"/>
      <c r="AE184" s="3421"/>
      <c r="AF184" s="3010"/>
    </row>
    <row r="185" spans="8:8" ht="16.95" customHeight="1">
      <c r="B185" s="3436" t="s">
        <v>4985</v>
      </c>
      <c r="C185" s="3437" t="s">
        <v>4986</v>
      </c>
      <c r="D185" s="3437"/>
      <c r="E185" s="3437"/>
      <c r="F185" s="3361"/>
      <c r="G185" s="3362"/>
      <c r="H185" s="3362"/>
      <c r="I185" s="3362"/>
      <c r="J185" s="3362"/>
      <c r="K185" s="3363"/>
      <c r="L185" s="2966"/>
      <c r="M185" s="3438" t="s">
        <v>1707</v>
      </c>
      <c r="N185" s="3439"/>
      <c r="O185" s="3440" t="str">
        <f>IF($M185=0,"",VLOOKUP($M185,附表!I38:M49,2,FALSE))</f>
        <v> </v>
      </c>
      <c r="P185" s="3441"/>
      <c r="Q185" s="3442" t="str">
        <f>IF($M185=0,"",VLOOKUP($M185,附表!I38:M49,3,FALSE))</f>
        <v> </v>
      </c>
      <c r="R185" s="2650"/>
      <c r="S185" s="3443" t="str">
        <f>IF($M185=0,"",VLOOKUP($M185,附表!I38:M49,4,FALSE))</f>
        <v> </v>
      </c>
      <c r="T185" s="3444"/>
      <c r="Y185" s="3435"/>
      <c r="Z185" s="3435"/>
      <c r="AA185" s="3435"/>
      <c r="AB185" s="3435"/>
      <c r="AC185" s="3435"/>
      <c r="AD185" s="3435"/>
      <c r="AE185" s="3421"/>
      <c r="AF185" s="3010"/>
    </row>
    <row r="186" spans="8:8" ht="16.95" customHeight="1">
      <c r="B186" s="3436"/>
      <c r="C186" s="3437"/>
      <c r="D186" s="3437"/>
      <c r="E186" s="3437"/>
      <c r="F186" s="3361"/>
      <c r="G186" s="3362"/>
      <c r="H186" s="3362"/>
      <c r="I186" s="3362"/>
      <c r="J186" s="3362"/>
      <c r="K186" s="3363"/>
      <c r="L186" s="2966"/>
      <c r="M186" s="3438"/>
      <c r="N186" s="3439"/>
      <c r="O186" s="3440"/>
      <c r="P186" s="3441"/>
      <c r="Q186" s="3442"/>
      <c r="R186" s="3445"/>
      <c r="S186" s="3443"/>
      <c r="T186" s="3444"/>
      <c r="U186" s="3446"/>
      <c r="Y186" s="3435"/>
      <c r="Z186" s="3435"/>
      <c r="AA186" s="3435"/>
      <c r="AB186" s="3435"/>
      <c r="AC186" s="3435"/>
      <c r="AD186" s="3435"/>
      <c r="AE186" s="3421"/>
      <c r="AF186" s="3010"/>
    </row>
    <row r="187" spans="8:8" ht="16.95" customHeight="1">
      <c r="B187" s="3447" t="s">
        <v>4987</v>
      </c>
      <c r="C187" s="3221" t="s">
        <v>4988</v>
      </c>
      <c r="D187" s="3448"/>
      <c r="E187" s="3448"/>
      <c r="F187" s="3361"/>
      <c r="G187" s="3362"/>
      <c r="H187" s="3362"/>
      <c r="I187" s="3362"/>
      <c r="J187" s="3362"/>
      <c r="K187" s="3363"/>
      <c r="L187" s="2966"/>
      <c r="M187" s="3438"/>
      <c r="N187" s="3439"/>
      <c r="O187" s="3440"/>
      <c r="P187" s="3441"/>
      <c r="Q187" s="3442"/>
      <c r="R187" s="3445"/>
      <c r="S187" s="3443"/>
      <c r="T187" s="3444"/>
      <c r="Y187" s="3435"/>
      <c r="Z187" s="3435"/>
      <c r="AA187" s="3435"/>
      <c r="AB187" s="3435"/>
      <c r="AC187" s="3435"/>
      <c r="AD187" s="3435"/>
      <c r="AE187" s="3421"/>
      <c r="AF187" s="3010"/>
    </row>
    <row r="188" spans="8:8" ht="16.95" customHeight="1">
      <c r="B188" s="3449" t="s">
        <v>4989</v>
      </c>
      <c r="C188" s="3450" t="s">
        <v>4990</v>
      </c>
      <c r="D188" s="3450"/>
      <c r="E188" s="3450"/>
      <c r="F188" s="3361"/>
      <c r="G188" s="3362"/>
      <c r="H188" s="3362"/>
      <c r="I188" s="3362"/>
      <c r="J188" s="3362"/>
      <c r="K188" s="3363"/>
      <c r="L188" s="2966"/>
      <c r="M188" s="3451" t="s">
        <v>104</v>
      </c>
      <c r="N188" s="3452"/>
      <c r="O188" s="3452"/>
      <c r="P188" s="3452"/>
      <c r="Q188" s="3452"/>
      <c r="R188" s="3452"/>
      <c r="S188" s="3452"/>
      <c r="T188" s="3453"/>
      <c r="U188" s="3446"/>
      <c r="Y188" s="3435"/>
      <c r="Z188" s="3435"/>
      <c r="AA188" s="3435"/>
      <c r="AB188" s="3435"/>
      <c r="AC188" s="3435"/>
      <c r="AD188" s="3435"/>
      <c r="AE188" s="3421"/>
      <c r="AF188" s="3010"/>
    </row>
    <row r="189" spans="8:8" ht="16.95" customHeight="1">
      <c r="B189" s="3447" t="s">
        <v>4991</v>
      </c>
      <c r="C189" s="3221" t="s">
        <v>4992</v>
      </c>
      <c r="D189" s="3221"/>
      <c r="E189" s="3221"/>
      <c r="F189" s="3361"/>
      <c r="G189" s="3362"/>
      <c r="H189" s="3362"/>
      <c r="I189" s="3362"/>
      <c r="J189" s="3362"/>
      <c r="K189" s="3363"/>
      <c r="L189" s="2966"/>
      <c r="M189" s="3454" t="str">
        <f>IF($M185=0,"",VLOOKUP($M185,附表!I38:M49,5,FALSE))</f>
        <v> </v>
      </c>
      <c r="N189" s="3455"/>
      <c r="O189" s="3455"/>
      <c r="P189" s="3455"/>
      <c r="Q189" s="3455"/>
      <c r="R189" s="3455"/>
      <c r="S189" s="3455"/>
      <c r="T189" s="3456"/>
      <c r="Y189" s="3435"/>
      <c r="Z189" s="3435"/>
      <c r="AA189" s="3435"/>
      <c r="AB189" s="3435"/>
      <c r="AC189" s="3435"/>
      <c r="AD189" s="3435"/>
      <c r="AE189" s="3421"/>
      <c r="AF189" s="3010"/>
    </row>
    <row r="190" spans="8:8" ht="16.95" customHeight="1">
      <c r="B190" s="3457" t="s">
        <v>4993</v>
      </c>
      <c r="C190" s="3458"/>
      <c r="D190" s="3458"/>
      <c r="E190" s="3458"/>
      <c r="F190" s="3459"/>
      <c r="G190" s="3460"/>
      <c r="H190" s="3460"/>
      <c r="I190" s="3460"/>
      <c r="J190" s="3460"/>
      <c r="K190" s="3461"/>
      <c r="L190" s="2966"/>
      <c r="M190" s="3454"/>
      <c r="N190" s="3455"/>
      <c r="O190" s="3455"/>
      <c r="P190" s="3455"/>
      <c r="Q190" s="3455"/>
      <c r="R190" s="3455"/>
      <c r="S190" s="3455"/>
      <c r="T190" s="3456"/>
      <c r="U190" s="3446"/>
      <c r="Y190" s="3435"/>
      <c r="Z190" s="3435"/>
      <c r="AA190" s="3435"/>
      <c r="AB190" s="3435"/>
      <c r="AC190" s="3435"/>
      <c r="AD190" s="3435"/>
      <c r="AE190" s="3421"/>
      <c r="AF190" s="3010"/>
    </row>
    <row r="191" spans="8:8" ht="16.95" customHeight="1">
      <c r="B191" s="3402" t="s">
        <v>4994</v>
      </c>
      <c r="C191" s="3258"/>
      <c r="D191" s="3258"/>
      <c r="E191" s="3258"/>
      <c r="F191" s="3258"/>
      <c r="G191" s="3258"/>
      <c r="H191" s="3258"/>
      <c r="I191" s="3258"/>
      <c r="J191" s="3258"/>
      <c r="K191" s="3259"/>
      <c r="L191" s="2966"/>
      <c r="M191" s="3454"/>
      <c r="N191" s="3455"/>
      <c r="O191" s="3455"/>
      <c r="P191" s="3455"/>
      <c r="Q191" s="3455"/>
      <c r="R191" s="3455"/>
      <c r="S191" s="3455"/>
      <c r="T191" s="3456"/>
      <c r="Y191" s="3435"/>
      <c r="Z191" s="3435"/>
      <c r="AA191" s="3435"/>
      <c r="AB191" s="3435"/>
      <c r="AC191" s="3435"/>
      <c r="AD191" s="3435"/>
      <c r="AE191" s="3421"/>
      <c r="AF191" s="3010"/>
    </row>
    <row r="192" spans="8:8" ht="16.95" customHeight="1">
      <c r="B192" s="3402" t="s">
        <v>4995</v>
      </c>
      <c r="C192" s="3258"/>
      <c r="D192" s="3258"/>
      <c r="E192" s="3258"/>
      <c r="F192" s="3258"/>
      <c r="G192" s="3258"/>
      <c r="H192" s="3258"/>
      <c r="I192" s="3258"/>
      <c r="J192" s="3258"/>
      <c r="K192" s="3259"/>
      <c r="L192" s="2966"/>
      <c r="M192" s="3454"/>
      <c r="N192" s="3455"/>
      <c r="O192" s="3455"/>
      <c r="P192" s="3455"/>
      <c r="Q192" s="3455"/>
      <c r="R192" s="3455"/>
      <c r="S192" s="3455"/>
      <c r="T192" s="3456"/>
      <c r="U192" s="3446"/>
      <c r="Y192" s="3435"/>
      <c r="Z192" s="3435"/>
      <c r="AA192" s="3435"/>
      <c r="AB192" s="3435"/>
      <c r="AC192" s="3435"/>
      <c r="AD192" s="3435"/>
      <c r="AE192" s="3421"/>
      <c r="AF192" s="3010"/>
    </row>
    <row r="193" spans="8:8" ht="16.95" customHeight="1">
      <c r="B193" s="3406" t="s">
        <v>4996</v>
      </c>
      <c r="C193" s="3407"/>
      <c r="D193" s="3407"/>
      <c r="E193" s="3407"/>
      <c r="F193" s="3407"/>
      <c r="G193" s="3407"/>
      <c r="H193" s="3407"/>
      <c r="I193" s="3407"/>
      <c r="J193" s="3407"/>
      <c r="K193" s="3408"/>
      <c r="L193" s="2966"/>
      <c r="M193" s="3462"/>
      <c r="N193" s="3463"/>
      <c r="O193" s="3463"/>
      <c r="P193" s="3463"/>
      <c r="Q193" s="3463"/>
      <c r="R193" s="3463"/>
      <c r="S193" s="3463"/>
      <c r="T193" s="3464"/>
      <c r="Y193" s="3435"/>
      <c r="Z193" s="3435"/>
      <c r="AA193" s="3435"/>
      <c r="AB193" s="3435"/>
      <c r="AC193" s="3435"/>
      <c r="AD193" s="3435"/>
      <c r="AE193" s="3421"/>
      <c r="AF193" s="3010"/>
    </row>
    <row r="194" spans="8:8" ht="16.95" customHeight="1">
      <c r="B194" s="3465"/>
      <c r="C194" s="3465"/>
      <c r="D194" s="3465"/>
      <c r="E194" s="3465"/>
      <c r="F194" s="3465"/>
      <c r="G194" s="3465"/>
      <c r="H194" s="3465"/>
      <c r="I194" s="3465"/>
      <c r="J194" s="3465"/>
      <c r="K194" s="2966"/>
      <c r="L194" s="2966"/>
      <c r="M194" s="3466"/>
      <c r="N194" s="3466"/>
      <c r="O194" s="3466"/>
      <c r="P194" s="3466"/>
      <c r="Q194" s="3466"/>
      <c r="R194" s="3466"/>
      <c r="S194" s="3466"/>
      <c r="T194" s="3466"/>
      <c r="Y194" s="3467"/>
      <c r="Z194" s="3467"/>
      <c r="AA194" s="3467"/>
      <c r="AB194" s="3467"/>
      <c r="AC194" s="3467"/>
      <c r="AD194" s="3467"/>
      <c r="AE194" s="3468"/>
      <c r="AF194" s="3469"/>
    </row>
    <row r="195" spans="8:8" ht="16.95" customHeight="1">
      <c r="B195" s="3448"/>
      <c r="C195" s="3448"/>
      <c r="D195" s="3448"/>
      <c r="E195" s="3448"/>
      <c r="F195" s="3448"/>
      <c r="G195" s="3448"/>
      <c r="H195" s="3448"/>
      <c r="I195" s="3448"/>
      <c r="J195" s="3448"/>
      <c r="K195" s="3448"/>
      <c r="L195" s="3448"/>
      <c r="M195" s="3448"/>
      <c r="N195" s="3448"/>
      <c r="O195" s="3448"/>
      <c r="P195" s="3448"/>
      <c r="Q195" s="3448"/>
      <c r="R195" s="3448"/>
      <c r="S195" s="3448"/>
      <c r="T195" s="3448"/>
    </row>
    <row r="196" spans="8:8" ht="18.0" customHeight="1">
      <c r="B196" s="3470" t="s">
        <v>4997</v>
      </c>
      <c r="C196" s="3471"/>
      <c r="D196" s="3471"/>
      <c r="E196" s="3471"/>
      <c r="F196" s="3471"/>
      <c r="G196" s="3471"/>
      <c r="H196" s="3471"/>
      <c r="I196" s="3471"/>
      <c r="J196" s="3471"/>
      <c r="K196" s="3471"/>
      <c r="L196" s="3471"/>
      <c r="M196" s="3471"/>
      <c r="N196" s="3471"/>
      <c r="O196" s="3471"/>
      <c r="P196" s="3471"/>
      <c r="Q196" s="3471"/>
      <c r="R196" s="3471"/>
      <c r="S196" s="3471"/>
      <c r="T196" s="3472"/>
      <c r="U196" s="3473"/>
    </row>
    <row r="197" spans="8:8" ht="18.0" customHeight="1">
      <c r="B197" s="3474"/>
      <c r="C197" s="3475"/>
      <c r="D197" s="3475"/>
      <c r="E197" s="3475"/>
      <c r="F197" s="3475"/>
      <c r="G197" s="3475"/>
      <c r="H197" s="3475"/>
      <c r="I197" s="3475"/>
      <c r="J197" s="3475"/>
      <c r="K197" s="3475"/>
      <c r="L197" s="3475"/>
      <c r="M197" s="3475"/>
      <c r="N197" s="3475"/>
      <c r="O197" s="3475"/>
      <c r="P197" s="3475"/>
      <c r="Q197" s="3475"/>
      <c r="R197" s="3475"/>
      <c r="S197" s="3475"/>
      <c r="T197" s="3476"/>
      <c r="U197" s="3473"/>
    </row>
    <row r="198" spans="8:8" ht="18.0" customHeight="1">
      <c r="B198" s="3477"/>
      <c r="C198" s="3478"/>
      <c r="D198" s="3478"/>
      <c r="E198" s="3478"/>
      <c r="F198" s="3478"/>
      <c r="G198" s="3478"/>
      <c r="H198" s="3478"/>
      <c r="I198" s="3478"/>
      <c r="J198" s="3478"/>
      <c r="K198" s="3478"/>
      <c r="L198" s="3478"/>
      <c r="M198" s="3478"/>
      <c r="N198" s="3478"/>
      <c r="O198" s="3478"/>
      <c r="P198" s="3478"/>
      <c r="Q198" s="3478"/>
      <c r="R198" s="3478"/>
      <c r="S198" s="3478"/>
      <c r="T198" s="3479"/>
      <c r="U198" s="3473"/>
    </row>
    <row r="199" spans="8:8" ht="18.0" customHeight="1">
      <c r="B199" s="3480"/>
      <c r="C199" s="3480"/>
      <c r="D199" s="3480"/>
      <c r="E199" s="3480"/>
      <c r="F199" s="3480"/>
      <c r="G199" s="3480"/>
      <c r="H199" s="3480"/>
      <c r="I199" s="3480"/>
      <c r="J199" s="3480"/>
      <c r="K199" s="3481"/>
      <c r="L199" s="3481"/>
      <c r="M199" s="3481"/>
      <c r="N199" s="3481"/>
      <c r="O199" s="3481"/>
      <c r="P199" s="3481"/>
      <c r="Q199" s="3481"/>
      <c r="R199" s="3481"/>
      <c r="S199" s="3481"/>
      <c r="T199" s="3481"/>
      <c r="U199" s="3482"/>
    </row>
    <row r="200" spans="8:8" ht="18.0" customHeight="1">
      <c r="B200" s="3480"/>
      <c r="C200" s="3483" t="s">
        <v>4997</v>
      </c>
      <c r="D200" s="3484"/>
      <c r="E200" s="3485"/>
      <c r="F200" s="3480"/>
      <c r="G200" s="3480"/>
      <c r="H200" s="3480"/>
      <c r="I200" s="3480"/>
      <c r="J200" s="3486"/>
      <c r="K200" s="3481"/>
      <c r="L200" s="3481"/>
      <c r="M200" s="3481"/>
      <c r="N200" s="3483" t="s">
        <v>4998</v>
      </c>
      <c r="O200" s="3484"/>
      <c r="P200" s="3484"/>
      <c r="Q200" s="3484"/>
      <c r="R200" s="3485"/>
      <c r="S200" s="3481"/>
      <c r="T200" s="3481"/>
    </row>
    <row r="201" spans="8:8" ht="18.0" customHeight="1">
      <c r="B201" s="3480"/>
      <c r="C201" s="3487"/>
      <c r="D201" s="3488"/>
      <c r="E201" s="3489"/>
      <c r="F201" s="3480"/>
      <c r="G201" s="3480"/>
      <c r="H201" s="3480"/>
      <c r="I201" s="3480"/>
      <c r="J201" s="3486"/>
      <c r="K201" s="3481"/>
      <c r="L201" s="3481"/>
      <c r="M201" s="3481"/>
      <c r="N201" s="3487"/>
      <c r="O201" s="3488"/>
      <c r="P201" s="3488"/>
      <c r="Q201" s="3488"/>
      <c r="R201" s="3489"/>
      <c r="S201" s="3481"/>
      <c r="T201" s="3481"/>
    </row>
    <row r="202" spans="8:8" ht="18.0" customHeight="1">
      <c r="B202" s="3480"/>
      <c r="C202" s="3480"/>
      <c r="D202" s="3480"/>
      <c r="E202" s="3480"/>
      <c r="F202" s="3480"/>
      <c r="G202" s="3480"/>
      <c r="H202" s="3480"/>
      <c r="I202" s="3480"/>
      <c r="J202" s="3486"/>
      <c r="K202" s="3481"/>
      <c r="L202" s="3481"/>
      <c r="M202" s="3481"/>
      <c r="N202" s="3481"/>
      <c r="O202" s="3481"/>
      <c r="P202" s="3481"/>
      <c r="Q202" s="3481"/>
      <c r="R202" s="3481"/>
      <c r="S202" s="3481"/>
      <c r="T202" s="3481"/>
    </row>
    <row r="203" spans="8:8" ht="18.0" customHeight="1">
      <c r="B203" s="3490" t="s">
        <v>5996</v>
      </c>
      <c r="C203" s="3480"/>
      <c r="D203" s="3480"/>
      <c r="E203" s="3491" t="s">
        <v>5997</v>
      </c>
      <c r="F203" s="3492"/>
      <c r="G203" s="3492"/>
      <c r="H203" s="3493"/>
      <c r="I203" s="3480"/>
      <c r="J203" s="3486"/>
      <c r="K203" s="3481"/>
      <c r="L203" s="3481"/>
      <c r="M203" s="3481"/>
      <c r="N203" s="3481"/>
      <c r="O203" s="3494" t="s">
        <v>4999</v>
      </c>
      <c r="P203" s="3495"/>
      <c r="Q203" s="3496"/>
      <c r="R203" s="3481"/>
      <c r="S203" s="3481"/>
      <c r="T203" s="3481"/>
    </row>
    <row r="204" spans="8:8" ht="18.0" customHeight="1">
      <c r="B204" s="3497"/>
      <c r="C204" s="3480"/>
      <c r="D204" s="3480"/>
      <c r="E204" s="3498"/>
      <c r="F204" s="3499"/>
      <c r="G204" s="3499"/>
      <c r="H204" s="3500"/>
      <c r="I204" s="3480"/>
      <c r="J204" s="3486"/>
      <c r="K204" s="3481"/>
      <c r="L204" s="3501"/>
      <c r="M204" s="3501"/>
      <c r="N204" s="3501"/>
      <c r="O204" s="3502"/>
      <c r="P204" s="3503"/>
      <c r="Q204" s="3504"/>
      <c r="R204" s="3501"/>
      <c r="S204" s="3501"/>
      <c r="T204" s="3481"/>
    </row>
    <row r="205" spans="8:8" ht="18.0" customHeight="1">
      <c r="B205" s="3497"/>
      <c r="C205" s="3505" t="s">
        <v>5000</v>
      </c>
      <c r="D205" s="3505"/>
      <c r="E205" s="3498"/>
      <c r="F205" s="3499"/>
      <c r="G205" s="3499"/>
      <c r="H205" s="3500"/>
      <c r="I205" s="3480"/>
      <c r="J205" s="3486"/>
      <c r="K205" s="3506" t="s">
        <v>5001</v>
      </c>
      <c r="L205" s="3507"/>
      <c r="M205" s="3481"/>
      <c r="N205" s="3481"/>
      <c r="O205" s="3508"/>
      <c r="P205" s="3509"/>
      <c r="Q205" s="3510"/>
      <c r="R205" s="3481"/>
      <c r="S205" s="3481"/>
      <c r="T205" s="3511" t="s">
        <v>5001</v>
      </c>
    </row>
    <row r="206" spans="8:8" ht="18.0" customHeight="1">
      <c r="B206" s="3497"/>
      <c r="C206" s="3505"/>
      <c r="D206" s="3505"/>
      <c r="E206" s="3498"/>
      <c r="F206" s="3499"/>
      <c r="G206" s="3499"/>
      <c r="H206" s="3500"/>
      <c r="I206" s="3480"/>
      <c r="J206" s="3486"/>
      <c r="K206" s="3506"/>
      <c r="L206" s="3507"/>
      <c r="M206" s="3481"/>
      <c r="N206" s="3481"/>
      <c r="O206" s="3481"/>
      <c r="P206" s="3512" t="s">
        <v>5001</v>
      </c>
      <c r="Q206" s="3481"/>
      <c r="R206" s="3481"/>
      <c r="S206" s="3481"/>
      <c r="T206" s="3511"/>
    </row>
    <row r="207" spans="8:8" ht="18.0" customHeight="1">
      <c r="B207" s="3497"/>
      <c r="C207" s="3480"/>
      <c r="D207" s="3480"/>
      <c r="E207" s="3498"/>
      <c r="F207" s="3499"/>
      <c r="G207" s="3499"/>
      <c r="H207" s="3500"/>
      <c r="I207" s="3480"/>
      <c r="J207" s="3486"/>
      <c r="K207" s="3494" t="s">
        <v>5002</v>
      </c>
      <c r="L207" s="3495"/>
      <c r="M207" s="3496"/>
      <c r="N207" s="3481"/>
      <c r="O207" s="3494" t="s">
        <v>5003</v>
      </c>
      <c r="P207" s="3495"/>
      <c r="Q207" s="3496"/>
      <c r="R207" s="3481"/>
      <c r="S207" s="3494" t="s">
        <v>5004</v>
      </c>
      <c r="T207" s="3496"/>
      <c r="U207" s="3481"/>
      <c r="V207" s="3481"/>
    </row>
    <row r="208" spans="8:8" ht="18.0" customHeight="1">
      <c r="B208" s="3513"/>
      <c r="C208" s="3480"/>
      <c r="D208" s="3480"/>
      <c r="E208" s="3514"/>
      <c r="F208" s="3515"/>
      <c r="G208" s="3515"/>
      <c r="H208" s="3516"/>
      <c r="I208" s="3480"/>
      <c r="J208" s="3486"/>
      <c r="K208" s="3502"/>
      <c r="L208" s="3503"/>
      <c r="M208" s="3504"/>
      <c r="N208" s="3481"/>
      <c r="O208" s="3502"/>
      <c r="P208" s="3503"/>
      <c r="Q208" s="3504"/>
      <c r="R208" s="3481"/>
      <c r="S208" s="3502"/>
      <c r="T208" s="3504"/>
      <c r="U208" s="3481"/>
      <c r="V208" s="3481"/>
    </row>
    <row r="209" spans="8:8" ht="18.0" customHeight="1">
      <c r="B209" s="3512" t="s">
        <v>5001</v>
      </c>
      <c r="C209" s="3517"/>
      <c r="D209" s="3517"/>
      <c r="E209" s="3518" t="s">
        <v>5001</v>
      </c>
      <c r="F209" s="3518"/>
      <c r="G209" s="3518" t="s">
        <v>5001</v>
      </c>
      <c r="H209" s="3480"/>
      <c r="I209" s="3480"/>
      <c r="J209" s="3486"/>
      <c r="K209" s="3508"/>
      <c r="L209" s="3509"/>
      <c r="M209" s="3510"/>
      <c r="N209" s="3481"/>
      <c r="O209" s="3508"/>
      <c r="P209" s="3509"/>
      <c r="Q209" s="3510"/>
      <c r="R209" s="3481"/>
      <c r="S209" s="3508"/>
      <c r="T209" s="3510"/>
      <c r="U209" s="3481"/>
      <c r="V209" s="3481"/>
    </row>
    <row r="210" spans="8:8" ht="18.0" customHeight="1">
      <c r="B210" s="3490" t="s">
        <v>6010</v>
      </c>
      <c r="C210" s="3480"/>
      <c r="D210" s="3480"/>
      <c r="E210" s="3519" t="s">
        <v>6011</v>
      </c>
      <c r="F210" s="3520"/>
      <c r="G210" s="3519" t="s">
        <v>5005</v>
      </c>
      <c r="H210" s="3520"/>
      <c r="I210" s="3480"/>
      <c r="J210" s="3486"/>
      <c r="K210" s="3521" t="s">
        <v>5001</v>
      </c>
      <c r="L210" s="3521"/>
      <c r="M210" s="3521"/>
      <c r="N210" s="3481"/>
      <c r="O210" s="3481"/>
      <c r="P210" s="3512" t="s">
        <v>5001</v>
      </c>
      <c r="Q210" s="3481"/>
      <c r="R210" s="3481"/>
      <c r="S210" s="3521" t="s">
        <v>5001</v>
      </c>
      <c r="T210" s="3521"/>
    </row>
    <row r="211" spans="8:8" ht="18.0" customHeight="1">
      <c r="B211" s="3497"/>
      <c r="C211" s="3480"/>
      <c r="D211" s="3480"/>
      <c r="E211" s="3522"/>
      <c r="F211" s="3523"/>
      <c r="G211" s="3522"/>
      <c r="H211" s="3523"/>
      <c r="I211" s="3480"/>
      <c r="J211" s="3486"/>
      <c r="K211" s="3524" t="s">
        <v>5006</v>
      </c>
      <c r="L211" s="3525"/>
      <c r="M211" s="3526"/>
      <c r="N211" s="3481"/>
      <c r="O211" s="3527" t="s">
        <v>5007</v>
      </c>
      <c r="P211" s="3528"/>
      <c r="Q211" s="3529"/>
      <c r="R211" s="3481"/>
      <c r="S211" s="3530" t="s">
        <v>1457</v>
      </c>
      <c r="T211" s="3531"/>
    </row>
    <row r="212" spans="8:8" ht="18.0" customHeight="1">
      <c r="B212" s="3497"/>
      <c r="C212" s="3480"/>
      <c r="D212" s="3480"/>
      <c r="E212" s="3522"/>
      <c r="F212" s="3523"/>
      <c r="G212" s="3522"/>
      <c r="H212" s="3523"/>
      <c r="I212" s="3480"/>
      <c r="J212" s="3486"/>
      <c r="K212" s="3532"/>
      <c r="L212" s="3533"/>
      <c r="M212" s="3534"/>
      <c r="N212" s="3481"/>
      <c r="O212" s="3535"/>
      <c r="P212" s="3536"/>
      <c r="Q212" s="3537"/>
      <c r="R212" s="3481"/>
      <c r="S212" s="3538"/>
      <c r="T212" s="3539"/>
    </row>
    <row r="213" spans="8:8" ht="18.0" customHeight="1">
      <c r="B213" s="3497"/>
      <c r="C213" s="3480"/>
      <c r="D213" s="3480"/>
      <c r="E213" s="3540"/>
      <c r="F213" s="3541"/>
      <c r="G213" s="3540"/>
      <c r="H213" s="3541"/>
      <c r="I213" s="3480"/>
      <c r="J213" s="3486"/>
      <c r="K213" s="3532"/>
      <c r="L213" s="3533"/>
      <c r="M213" s="3534"/>
      <c r="N213" s="3481"/>
      <c r="O213" s="3535"/>
      <c r="P213" s="3536"/>
      <c r="Q213" s="3537"/>
      <c r="R213" s="3481"/>
      <c r="S213" s="3538"/>
      <c r="T213" s="3539"/>
    </row>
    <row r="214" spans="8:8" ht="18.0" customHeight="1">
      <c r="B214" s="3497"/>
      <c r="C214" s="3542" t="s">
        <v>5000</v>
      </c>
      <c r="D214" s="3542"/>
      <c r="E214" s="3480"/>
      <c r="F214" s="3480"/>
      <c r="G214" s="3480"/>
      <c r="H214" s="3480"/>
      <c r="I214" s="3480"/>
      <c r="J214" s="3486"/>
      <c r="K214" s="3543"/>
      <c r="L214" s="3544"/>
      <c r="M214" s="3545"/>
      <c r="N214" s="3481"/>
      <c r="O214" s="3546"/>
      <c r="P214" s="3547"/>
      <c r="Q214" s="3548"/>
      <c r="R214" s="3481"/>
      <c r="S214" s="3549"/>
      <c r="T214" s="3550"/>
    </row>
    <row r="215" spans="8:8" ht="18.0" customHeight="1">
      <c r="B215" s="3513"/>
      <c r="C215" s="3542"/>
      <c r="D215" s="3542"/>
      <c r="E215" s="3491" t="s">
        <v>5998</v>
      </c>
      <c r="F215" s="3551"/>
      <c r="G215" s="3551"/>
      <c r="H215" s="3552"/>
      <c r="I215" s="3480"/>
      <c r="J215" s="3486"/>
      <c r="K215" s="3481"/>
      <c r="L215" s="3481"/>
      <c r="M215" s="3481"/>
      <c r="N215" s="3481"/>
      <c r="O215" s="3481"/>
      <c r="P215" s="3481"/>
      <c r="Q215" s="3481"/>
      <c r="R215" s="3481"/>
      <c r="S215" s="3481"/>
      <c r="T215" s="3481"/>
    </row>
    <row r="216" spans="8:8" ht="18.0" customHeight="1">
      <c r="B216" s="3512" t="s">
        <v>5001</v>
      </c>
      <c r="C216" s="3480"/>
      <c r="D216" s="3480"/>
      <c r="E216" s="3553"/>
      <c r="F216" s="3521"/>
      <c r="G216" s="3521"/>
      <c r="H216" s="3554"/>
      <c r="I216" s="3480"/>
      <c r="J216" s="3486"/>
      <c r="K216" s="3555"/>
      <c r="L216" s="3555"/>
      <c r="M216" s="3555"/>
      <c r="N216" s="3555"/>
      <c r="O216" s="3555"/>
      <c r="P216" s="3555"/>
      <c r="Q216" s="3555"/>
      <c r="R216" s="3555"/>
      <c r="S216" s="3555"/>
      <c r="T216" s="3555"/>
    </row>
    <row r="217" spans="8:8" ht="18.0" customHeight="1">
      <c r="B217" s="3556" t="s">
        <v>6009</v>
      </c>
      <c r="C217" s="3557"/>
      <c r="D217" s="3512" t="s">
        <v>5008</v>
      </c>
      <c r="E217" s="3553"/>
      <c r="F217" s="3521"/>
      <c r="G217" s="3521"/>
      <c r="H217" s="3554"/>
      <c r="I217" s="3480"/>
      <c r="J217" s="3486"/>
      <c r="K217" s="3481"/>
      <c r="L217" s="3481"/>
      <c r="M217" s="3481"/>
      <c r="N217" s="3481"/>
      <c r="O217" s="3494" t="s">
        <v>5999</v>
      </c>
      <c r="P217" s="3495"/>
      <c r="Q217" s="3496"/>
      <c r="R217" s="3481"/>
      <c r="S217" s="3481"/>
      <c r="T217" s="3481"/>
    </row>
    <row r="218" spans="8:8" ht="18.0" customHeight="1">
      <c r="B218" s="3558"/>
      <c r="C218" s="3559"/>
      <c r="D218" s="3480"/>
      <c r="E218" s="3553"/>
      <c r="F218" s="3521"/>
      <c r="G218" s="3521"/>
      <c r="H218" s="3554"/>
      <c r="I218" s="3480"/>
      <c r="J218" s="3486"/>
      <c r="K218" s="3560" t="s">
        <v>5009</v>
      </c>
      <c r="L218" s="3561"/>
      <c r="M218" s="3493"/>
      <c r="N218" s="3481"/>
      <c r="O218" s="3508"/>
      <c r="P218" s="3509"/>
      <c r="Q218" s="3510"/>
      <c r="R218" s="3481"/>
      <c r="S218" s="3481"/>
      <c r="T218" s="3481"/>
      <c r="V218" s="3482"/>
      <c r="W218" s="3562"/>
      <c r="X218" s="3562"/>
      <c r="Y218" s="3562"/>
      <c r="Z218" s="3562"/>
      <c r="AA218" s="3562"/>
    </row>
    <row r="219" spans="8:8" ht="18.0" customHeight="1">
      <c r="B219" s="3558"/>
      <c r="C219" s="3559"/>
      <c r="D219" s="3480"/>
      <c r="E219" s="3553"/>
      <c r="F219" s="3521"/>
      <c r="G219" s="3521"/>
      <c r="H219" s="3554"/>
      <c r="I219" s="3480"/>
      <c r="J219" s="3486"/>
      <c r="K219" s="3498"/>
      <c r="L219" s="3499"/>
      <c r="M219" s="3500"/>
      <c r="N219" s="3481"/>
      <c r="O219" s="3563"/>
      <c r="P219" s="3512" t="s">
        <v>5001</v>
      </c>
      <c r="Q219" s="3563"/>
      <c r="R219" s="3481"/>
      <c r="S219" s="3481"/>
      <c r="T219" s="3481"/>
    </row>
    <row r="220" spans="8:8" ht="18.0" customHeight="1">
      <c r="B220" s="3558"/>
      <c r="C220" s="3559"/>
      <c r="D220" s="3480"/>
      <c r="E220" s="3553"/>
      <c r="F220" s="3521"/>
      <c r="G220" s="3521"/>
      <c r="H220" s="3554"/>
      <c r="I220" s="3480"/>
      <c r="J220" s="3486"/>
      <c r="K220" s="3498"/>
      <c r="L220" s="3499"/>
      <c r="M220" s="3500"/>
      <c r="N220" s="3564" t="s">
        <v>5010</v>
      </c>
      <c r="O220" s="3494" t="s">
        <v>5011</v>
      </c>
      <c r="P220" s="3495"/>
      <c r="Q220" s="3496"/>
      <c r="R220" s="3564" t="s">
        <v>5012</v>
      </c>
      <c r="S220" s="3565" t="s">
        <v>5013</v>
      </c>
      <c r="T220" s="3566"/>
    </row>
    <row r="221" spans="8:8" ht="18.0" customHeight="1">
      <c r="B221" s="3558"/>
      <c r="C221" s="3559"/>
      <c r="D221" s="3480"/>
      <c r="E221" s="3553"/>
      <c r="F221" s="3521"/>
      <c r="G221" s="3521"/>
      <c r="H221" s="3554"/>
      <c r="I221" s="3480"/>
      <c r="J221" s="3486"/>
      <c r="K221" s="3514"/>
      <c r="L221" s="3515"/>
      <c r="M221" s="3516"/>
      <c r="N221" s="3564"/>
      <c r="O221" s="3502"/>
      <c r="P221" s="3503"/>
      <c r="Q221" s="3504"/>
      <c r="R221" s="3564"/>
      <c r="S221" s="3438"/>
      <c r="T221" s="3567"/>
    </row>
    <row r="222" spans="8:8" ht="18.0" customHeight="1">
      <c r="B222" s="3558"/>
      <c r="C222" s="3559"/>
      <c r="D222" s="3480"/>
      <c r="E222" s="3553"/>
      <c r="F222" s="3521"/>
      <c r="G222" s="3521"/>
      <c r="H222" s="3554"/>
      <c r="I222" s="3480"/>
      <c r="J222" s="3486"/>
      <c r="K222" s="3481"/>
      <c r="L222" s="3481"/>
      <c r="M222" s="3481"/>
      <c r="N222" s="3481"/>
      <c r="O222" s="3508"/>
      <c r="P222" s="3509"/>
      <c r="Q222" s="3510"/>
      <c r="R222" s="3481"/>
      <c r="S222" s="3568"/>
      <c r="T222" s="3569"/>
    </row>
    <row r="223" spans="8:8" ht="18.0" customHeight="1">
      <c r="B223" s="3570"/>
      <c r="C223" s="3571"/>
      <c r="D223" s="3480"/>
      <c r="E223" s="3572"/>
      <c r="F223" s="3573"/>
      <c r="G223" s="3573"/>
      <c r="H223" s="3574"/>
      <c r="I223" s="3480"/>
      <c r="J223" s="3486"/>
      <c r="K223" s="3481"/>
      <c r="L223" s="3481"/>
      <c r="M223" s="3481"/>
      <c r="N223" s="3481"/>
      <c r="O223" s="3481"/>
      <c r="P223" s="3481"/>
      <c r="Q223" s="3481"/>
      <c r="R223" s="3481"/>
      <c r="S223" s="3575" t="s">
        <v>5001</v>
      </c>
      <c r="T223" s="3575"/>
      <c r="U223" s="3482"/>
    </row>
    <row r="224" spans="8:8" ht="18.0" customHeight="1">
      <c r="B224" s="3521" t="s">
        <v>5001</v>
      </c>
      <c r="C224" s="3521"/>
      <c r="D224" s="3480"/>
      <c r="E224" s="3480"/>
      <c r="F224" s="3480"/>
      <c r="G224" s="3480"/>
      <c r="H224" s="3480"/>
      <c r="I224" s="3480"/>
      <c r="J224" s="3486"/>
      <c r="K224" s="3565" t="s">
        <v>5014</v>
      </c>
      <c r="L224" s="3576"/>
      <c r="M224" s="3576"/>
      <c r="N224" s="3566"/>
      <c r="O224" s="3499" t="s">
        <v>5015</v>
      </c>
      <c r="P224" s="3499"/>
      <c r="Q224" s="3577" t="s">
        <v>5016</v>
      </c>
      <c r="R224" s="3578"/>
      <c r="S224" s="3578"/>
      <c r="T224" s="3579"/>
    </row>
    <row r="225" spans="8:8" ht="18.0" customHeight="1">
      <c r="B225" s="3580" t="s">
        <v>6000</v>
      </c>
      <c r="C225" s="3552"/>
      <c r="D225" s="3480"/>
      <c r="E225" s="3581" t="s">
        <v>6001</v>
      </c>
      <c r="F225" s="3492"/>
      <c r="G225" s="3492"/>
      <c r="H225" s="3493"/>
      <c r="I225" s="3480"/>
      <c r="J225" s="3486"/>
      <c r="K225" s="3438"/>
      <c r="L225" s="3439"/>
      <c r="M225" s="3439"/>
      <c r="N225" s="3567"/>
      <c r="O225" s="3499"/>
      <c r="P225" s="3499"/>
      <c r="Q225" s="3582"/>
      <c r="R225" s="3583"/>
      <c r="S225" s="3583"/>
      <c r="T225" s="3584"/>
    </row>
    <row r="226" spans="8:8" ht="18.0" customHeight="1">
      <c r="B226" s="3572"/>
      <c r="C226" s="3574"/>
      <c r="D226" s="3480"/>
      <c r="E226" s="3498"/>
      <c r="F226" s="3499"/>
      <c r="G226" s="3499"/>
      <c r="H226" s="3500"/>
      <c r="I226" s="3480"/>
      <c r="J226" s="3486"/>
      <c r="K226" s="3560" t="s">
        <v>5017</v>
      </c>
      <c r="L226" s="3561"/>
      <c r="M226" s="3561"/>
      <c r="N226" s="3585"/>
      <c r="O226" s="3481"/>
      <c r="P226" s="3586" t="s">
        <v>5018</v>
      </c>
      <c r="Q226" s="3587" t="s">
        <v>5019</v>
      </c>
      <c r="R226" s="3481"/>
      <c r="S226" s="3587" t="s">
        <v>5020</v>
      </c>
      <c r="T226" s="3499"/>
    </row>
    <row r="227" spans="8:8" ht="18.0" customHeight="1">
      <c r="B227" s="3480"/>
      <c r="C227" s="3480"/>
      <c r="D227" s="3480"/>
      <c r="E227" s="3498"/>
      <c r="F227" s="3499"/>
      <c r="G227" s="3499"/>
      <c r="H227" s="3500"/>
      <c r="I227" s="3480"/>
      <c r="J227" s="3486"/>
      <c r="K227" s="3588"/>
      <c r="L227" s="3587"/>
      <c r="M227" s="3587"/>
      <c r="N227" s="3589"/>
      <c r="O227" s="3481"/>
      <c r="P227" s="3586"/>
      <c r="Q227" s="3587"/>
      <c r="R227" s="3481"/>
      <c r="S227" s="3499"/>
      <c r="T227" s="3499"/>
    </row>
    <row r="228" spans="8:8" ht="18.0" customHeight="1">
      <c r="B228" s="3581" t="s">
        <v>6002</v>
      </c>
      <c r="C228" s="3590"/>
      <c r="D228" s="3480"/>
      <c r="E228" s="3498"/>
      <c r="F228" s="3499"/>
      <c r="G228" s="3499"/>
      <c r="H228" s="3500"/>
      <c r="I228" s="3480"/>
      <c r="J228" s="3486"/>
      <c r="K228" s="3591"/>
      <c r="L228" s="3592"/>
      <c r="M228" s="3592"/>
      <c r="N228" s="3593"/>
      <c r="O228" s="3439" t="s">
        <v>5021</v>
      </c>
      <c r="P228" s="3481"/>
      <c r="Q228" s="3587"/>
      <c r="R228" s="3481"/>
      <c r="S228" s="3499"/>
      <c r="T228" s="3499"/>
    </row>
    <row r="229" spans="8:8" ht="18.0" customHeight="1">
      <c r="B229" s="3594"/>
      <c r="C229" s="3595"/>
      <c r="D229" s="3480"/>
      <c r="E229" s="3498"/>
      <c r="F229" s="3499"/>
      <c r="G229" s="3499"/>
      <c r="H229" s="3500"/>
      <c r="I229" s="3480"/>
      <c r="J229" s="3486"/>
      <c r="K229" s="3587" t="s">
        <v>5022</v>
      </c>
      <c r="L229" s="3596"/>
      <c r="N229" s="3503" t="s">
        <v>6003</v>
      </c>
      <c r="O229" s="3439"/>
      <c r="P229" s="3481"/>
      <c r="Q229" s="3587"/>
      <c r="R229" s="3481"/>
      <c r="S229" s="3499"/>
      <c r="T229" s="3499"/>
    </row>
    <row r="230" spans="8:8" ht="18.0" customHeight="1">
      <c r="B230" s="3594"/>
      <c r="C230" s="3595"/>
      <c r="D230" s="3480"/>
      <c r="E230" s="3498"/>
      <c r="F230" s="3499"/>
      <c r="G230" s="3499"/>
      <c r="H230" s="3500"/>
      <c r="I230" s="3480"/>
      <c r="J230" s="3486"/>
      <c r="K230" s="3587"/>
      <c r="L230" s="3596"/>
      <c r="N230" s="3564"/>
      <c r="O230" s="3439"/>
      <c r="P230" s="3481"/>
      <c r="Q230" s="3597" t="s">
        <v>6004</v>
      </c>
      <c r="R230" s="3578"/>
      <c r="S230" s="3578"/>
      <c r="T230" s="3579"/>
    </row>
    <row r="231" spans="8:8" ht="18.0" customHeight="1">
      <c r="B231" s="3594"/>
      <c r="C231" s="3595"/>
      <c r="D231" s="3480"/>
      <c r="E231" s="3498"/>
      <c r="F231" s="3499"/>
      <c r="G231" s="3499"/>
      <c r="H231" s="3500"/>
      <c r="I231" s="3480"/>
      <c r="J231" s="3486"/>
      <c r="K231" s="3587"/>
      <c r="L231" s="3596"/>
      <c r="M231" s="3597" t="s">
        <v>5023</v>
      </c>
      <c r="N231" s="3578"/>
      <c r="O231" s="3579"/>
      <c r="P231" s="3481"/>
      <c r="Q231" s="3582"/>
      <c r="R231" s="3583"/>
      <c r="S231" s="3583"/>
      <c r="T231" s="3584"/>
    </row>
    <row r="232" spans="8:8" ht="18.0" customHeight="1">
      <c r="B232" s="3594"/>
      <c r="C232" s="3595"/>
      <c r="D232" s="3480"/>
      <c r="E232" s="3498"/>
      <c r="F232" s="3499"/>
      <c r="G232" s="3499"/>
      <c r="H232" s="3500"/>
      <c r="I232" s="3480"/>
      <c r="J232" s="3486"/>
      <c r="K232" s="3587"/>
      <c r="L232" s="3596"/>
      <c r="M232" s="3582"/>
      <c r="N232" s="3583"/>
      <c r="O232" s="3584"/>
      <c r="Q232" s="3356"/>
      <c r="R232" s="3356"/>
      <c r="S232" s="3356"/>
      <c r="T232" s="3356"/>
    </row>
    <row r="233" spans="8:8" ht="19.4" customHeight="1">
      <c r="B233" s="3598"/>
      <c r="C233" s="3599"/>
      <c r="D233" s="3480"/>
      <c r="E233" s="3514"/>
      <c r="F233" s="3515"/>
      <c r="G233" s="3515"/>
      <c r="H233" s="3516"/>
      <c r="I233" s="3480"/>
      <c r="J233" s="3486"/>
      <c r="K233" s="3587"/>
      <c r="L233" s="3596"/>
      <c r="M233" s="3555"/>
      <c r="N233" s="3555"/>
      <c r="O233" s="3555"/>
      <c r="P233" s="3356"/>
      <c r="Q233" s="3581" t="s">
        <v>6005</v>
      </c>
      <c r="R233" s="3600"/>
      <c r="S233" s="3600"/>
      <c r="T233" s="3601"/>
    </row>
    <row r="234" spans="8:8" ht="15.75" customHeight="1">
      <c r="B234" s="3480"/>
      <c r="C234" s="3480"/>
      <c r="D234" s="3480"/>
      <c r="E234" s="3480"/>
      <c r="F234" s="3480"/>
      <c r="G234" s="3480"/>
      <c r="H234" s="3480"/>
      <c r="I234" s="3480"/>
      <c r="J234" s="3486"/>
      <c r="K234" s="3597" t="s">
        <v>5024</v>
      </c>
      <c r="L234" s="3600"/>
      <c r="M234" s="3600"/>
      <c r="N234" s="3600"/>
      <c r="O234" s="3601"/>
      <c r="P234" s="3356"/>
      <c r="Q234" s="3602"/>
      <c r="R234" s="3603"/>
      <c r="S234" s="3603"/>
      <c r="T234" s="3604"/>
    </row>
    <row r="235" spans="8:8" ht="15.75">
      <c r="B235" s="3480"/>
      <c r="C235" s="3480"/>
      <c r="D235" s="3480"/>
      <c r="E235" s="3480"/>
      <c r="F235" s="3480"/>
      <c r="G235" s="3480"/>
      <c r="H235" s="3480"/>
      <c r="I235" s="3480"/>
      <c r="J235" s="3486"/>
      <c r="K235" s="3602"/>
      <c r="L235" s="3603"/>
      <c r="M235" s="3603"/>
      <c r="N235" s="3603"/>
      <c r="O235" s="3604"/>
      <c r="P235" s="3356"/>
      <c r="Q235" s="3602"/>
      <c r="R235" s="3603"/>
      <c r="S235" s="3603"/>
      <c r="T235" s="3604"/>
    </row>
    <row r="236" spans="8:8" ht="16.35">
      <c r="B236" s="3480"/>
      <c r="C236" s="3480"/>
      <c r="D236" s="3480"/>
      <c r="E236" s="3480"/>
      <c r="F236" s="3480"/>
      <c r="G236" s="3480"/>
      <c r="H236" s="3480"/>
      <c r="I236" s="3480"/>
      <c r="J236" s="3486"/>
      <c r="K236" s="3605"/>
      <c r="L236" s="3606"/>
      <c r="M236" s="3606"/>
      <c r="N236" s="3606"/>
      <c r="O236" s="3607"/>
      <c r="P236" s="3481"/>
      <c r="Q236" s="3602"/>
      <c r="R236" s="3603"/>
      <c r="S236" s="3603"/>
      <c r="T236" s="3604"/>
    </row>
    <row r="237" spans="8:8" ht="16.35">
      <c r="B237" s="3480"/>
      <c r="C237" s="3480"/>
      <c r="D237" s="3480"/>
      <c r="E237" s="3480"/>
      <c r="F237" s="3480"/>
      <c r="G237" s="3480"/>
      <c r="H237" s="3480"/>
      <c r="I237" s="3480"/>
      <c r="J237" s="3486"/>
      <c r="K237" s="3481"/>
      <c r="L237" s="3481"/>
      <c r="M237" s="3481"/>
      <c r="N237" s="3481"/>
      <c r="O237" s="3481"/>
      <c r="P237" s="3481"/>
      <c r="Q237" s="3602"/>
      <c r="R237" s="3603"/>
      <c r="S237" s="3603"/>
      <c r="T237" s="3604"/>
    </row>
    <row r="238" spans="8:8" ht="21.2">
      <c r="B238" s="3608" t="s">
        <v>5025</v>
      </c>
      <c r="C238" s="3480"/>
      <c r="D238" s="3480"/>
      <c r="E238" s="3480"/>
      <c r="F238" s="3480"/>
      <c r="G238" s="3480"/>
      <c r="H238" s="3480"/>
      <c r="I238" s="3480"/>
      <c r="J238" s="3486"/>
      <c r="K238" s="3481"/>
      <c r="L238" s="3481"/>
      <c r="M238" s="3481"/>
      <c r="N238" s="3481"/>
      <c r="O238" s="3481"/>
      <c r="P238" s="3481"/>
      <c r="Q238" s="3602"/>
      <c r="R238" s="3603"/>
      <c r="S238" s="3603"/>
      <c r="T238" s="3604"/>
    </row>
    <row r="239" spans="8:8" ht="15.75" customHeight="1">
      <c r="B239" s="3609" t="s">
        <v>5026</v>
      </c>
      <c r="C239" s="3480"/>
      <c r="D239" s="3480"/>
      <c r="E239" s="3480"/>
      <c r="F239" s="3480"/>
      <c r="G239" s="3480"/>
      <c r="H239" s="3480"/>
      <c r="I239" s="3480"/>
      <c r="J239" s="3486"/>
      <c r="K239" s="3481"/>
      <c r="L239" s="3481"/>
      <c r="M239" s="3481"/>
      <c r="N239" s="3481"/>
      <c r="O239" s="3481"/>
      <c r="P239" s="3481"/>
      <c r="Q239" s="3602"/>
      <c r="R239" s="3603"/>
      <c r="S239" s="3603"/>
      <c r="T239" s="3604"/>
    </row>
    <row r="240" spans="8:8" ht="16.35">
      <c r="B240" s="3610"/>
      <c r="C240" s="3480"/>
      <c r="D240" s="3480"/>
      <c r="E240" s="3480"/>
      <c r="F240" s="3480"/>
      <c r="G240" s="3480"/>
      <c r="H240" s="3480"/>
      <c r="I240" s="3480"/>
      <c r="J240" s="3480"/>
      <c r="K240" s="3481"/>
      <c r="L240" s="3481"/>
      <c r="M240" s="3481"/>
      <c r="N240" s="3481"/>
      <c r="O240" s="3481"/>
      <c r="P240" s="3481"/>
      <c r="Q240" s="3605"/>
      <c r="R240" s="3606"/>
      <c r="S240" s="3606"/>
      <c r="T240" s="3607"/>
    </row>
    <row r="241" spans="8:8" ht="15.75">
      <c r="B241" s="3610"/>
      <c r="C241" s="3480"/>
      <c r="D241" s="3480"/>
      <c r="E241" s="3480"/>
      <c r="F241" s="3480"/>
      <c r="G241" s="3480"/>
      <c r="H241" s="3480"/>
      <c r="I241" s="3480"/>
      <c r="J241" s="3480"/>
      <c r="K241" s="3481"/>
      <c r="L241" s="3481"/>
      <c r="M241" s="3481"/>
      <c r="N241" s="3481"/>
      <c r="O241" s="3481"/>
      <c r="P241" s="3481"/>
      <c r="Q241" s="3481"/>
      <c r="R241" s="3481"/>
      <c r="S241" s="3481"/>
      <c r="T241" s="3481"/>
    </row>
    <row r="242" spans="8:8" ht="15.75">
      <c r="B242" s="3610"/>
      <c r="C242" s="3480"/>
      <c r="D242" s="3480"/>
      <c r="E242" s="3480"/>
      <c r="F242" s="3480"/>
      <c r="G242" s="3480"/>
      <c r="H242" s="3480"/>
      <c r="I242" s="3480"/>
      <c r="J242" s="3480"/>
      <c r="K242" s="3481"/>
      <c r="L242" s="3481"/>
      <c r="M242" s="3481"/>
      <c r="N242" s="3481"/>
      <c r="O242" s="3481"/>
      <c r="P242" s="3481"/>
      <c r="Q242" s="3481"/>
      <c r="R242" s="3481"/>
      <c r="S242" s="3481"/>
      <c r="T242" s="3481"/>
    </row>
    <row r="243" spans="8:8" ht="15.75">
      <c r="B243" s="3610"/>
      <c r="C243" s="3480"/>
      <c r="D243" s="3480"/>
      <c r="E243" s="3480"/>
      <c r="F243" s="3480"/>
      <c r="G243" s="3480"/>
      <c r="H243" s="3480"/>
      <c r="I243" s="3480"/>
      <c r="J243" s="3480"/>
      <c r="K243" s="3481"/>
      <c r="L243" s="3481"/>
      <c r="M243" s="3481"/>
      <c r="N243" s="3481"/>
      <c r="O243" s="3481"/>
      <c r="P243" s="3481"/>
      <c r="Q243" s="3481"/>
      <c r="R243" s="3481"/>
      <c r="S243" s="3481"/>
      <c r="T243" s="3481"/>
    </row>
    <row r="244" spans="8:8" ht="15.75">
      <c r="B244" s="3610"/>
      <c r="C244" s="3480"/>
      <c r="D244" s="3480"/>
      <c r="E244" s="3480"/>
      <c r="F244" s="3480"/>
      <c r="G244" s="3480"/>
      <c r="H244" s="3480"/>
      <c r="I244" s="3480"/>
      <c r="J244" s="3480"/>
      <c r="K244" s="3481"/>
      <c r="L244" s="3481"/>
      <c r="M244" s="3481"/>
      <c r="N244" s="3481"/>
      <c r="O244" s="3481"/>
      <c r="P244" s="3481"/>
      <c r="Q244" s="3481"/>
      <c r="R244" s="3481"/>
      <c r="S244" s="3481"/>
      <c r="T244" s="3481"/>
    </row>
    <row r="245" spans="8:8" ht="15.75">
      <c r="B245" s="3610"/>
      <c r="C245" s="3480"/>
      <c r="D245" s="3480"/>
      <c r="E245" s="3480"/>
      <c r="F245" s="3480"/>
      <c r="G245" s="3480"/>
      <c r="H245" s="3480"/>
      <c r="I245" s="3480"/>
      <c r="J245" s="3480"/>
      <c r="K245" s="3481"/>
      <c r="L245" s="3481"/>
      <c r="M245" s="3481"/>
      <c r="N245" s="3481"/>
      <c r="O245" s="3481"/>
      <c r="P245" s="3481"/>
      <c r="Q245" s="3481"/>
      <c r="R245" s="3481"/>
      <c r="S245" s="3481"/>
      <c r="T245" s="3481"/>
    </row>
    <row r="246" spans="8:8" ht="16.35">
      <c r="B246" s="3611"/>
      <c r="C246" s="3480"/>
      <c r="D246" s="3480"/>
      <c r="E246" s="3480"/>
      <c r="F246" s="3480"/>
      <c r="G246" s="3480"/>
      <c r="H246" s="3480"/>
      <c r="I246" s="3480"/>
      <c r="J246" s="3480"/>
      <c r="K246" s="3481"/>
      <c r="L246" s="3481"/>
      <c r="M246" s="3481"/>
      <c r="N246" s="3481"/>
      <c r="O246" s="3481"/>
      <c r="P246" s="3481"/>
      <c r="Q246" s="3481"/>
      <c r="R246" s="3481"/>
      <c r="S246" s="3481"/>
      <c r="T246" s="3481"/>
    </row>
    <row r="247" spans="8:8" ht="15.75">
      <c r="C247" s="3480"/>
      <c r="D247" s="3480"/>
      <c r="E247" s="3480"/>
      <c r="F247" s="3480"/>
      <c r="G247" s="3480"/>
      <c r="H247" s="3480"/>
      <c r="I247" s="3480"/>
      <c r="J247" s="3480"/>
      <c r="K247" s="3481"/>
      <c r="L247" s="3481"/>
      <c r="M247" s="3481"/>
      <c r="N247" s="3481"/>
      <c r="O247" s="3481"/>
      <c r="P247" s="3481"/>
      <c r="Q247" s="3481"/>
      <c r="R247" s="3481"/>
      <c r="S247" s="3481"/>
      <c r="T247" s="3481"/>
    </row>
    <row r="248" spans="8:8" ht="15.75">
      <c r="C248" s="3480"/>
      <c r="D248"/>
      <c r="E248"/>
      <c r="F248"/>
      <c r="G248" s="3480"/>
      <c r="H248" s="3480"/>
      <c r="I248" s="3480"/>
      <c r="J248" s="3480"/>
      <c r="K248" s="3481"/>
      <c r="L248" s="3481"/>
      <c r="M248" s="3481"/>
      <c r="N248" s="3481"/>
      <c r="O248" s="3481"/>
      <c r="P248" s="3481"/>
      <c r="Q248" s="3481"/>
      <c r="R248" s="3481"/>
      <c r="S248" s="3481"/>
      <c r="T248" s="3481"/>
    </row>
    <row r="249" spans="8:8" ht="15.75">
      <c r="C249" s="3480"/>
      <c r="D249"/>
      <c r="E249"/>
      <c r="F249"/>
      <c r="G249" s="3480"/>
      <c r="H249" s="3480"/>
      <c r="I249" s="3480"/>
      <c r="J249" s="3480"/>
      <c r="K249" s="3481"/>
      <c r="L249" s="3481"/>
      <c r="M249" s="3481"/>
      <c r="N249" s="3481"/>
      <c r="O249" s="3481"/>
      <c r="P249" s="3481"/>
      <c r="Q249" s="3481"/>
      <c r="R249" s="3481"/>
      <c r="S249" s="3481"/>
      <c r="T249" s="3481"/>
    </row>
    <row r="250" spans="8:8" ht="15.75">
      <c r="C250" s="3480"/>
      <c r="D250"/>
      <c r="E250"/>
      <c r="F250"/>
      <c r="H250" s="3480"/>
      <c r="I250" s="3480"/>
      <c r="J250" s="3480"/>
      <c r="K250" s="3481"/>
      <c r="L250" s="3481"/>
      <c r="M250" s="3481"/>
      <c r="N250" s="3481"/>
      <c r="O250" s="3481"/>
      <c r="P250" s="3481"/>
      <c r="Q250" s="3481"/>
      <c r="R250" s="3481"/>
      <c r="S250" s="3481"/>
      <c r="T250" s="3481"/>
    </row>
    <row r="251" spans="8:8" ht="15.75">
      <c r="C251" s="3480"/>
      <c r="D251"/>
      <c r="E251"/>
      <c r="F251"/>
      <c r="H251" s="3480"/>
      <c r="I251" s="3480"/>
      <c r="J251" s="3480"/>
      <c r="K251" s="3481"/>
      <c r="L251" s="3481"/>
      <c r="M251" s="3481"/>
      <c r="N251" s="3481"/>
      <c r="O251" s="3481"/>
      <c r="P251" s="3481"/>
      <c r="Q251" s="3481"/>
      <c r="R251" s="3481"/>
      <c r="S251" s="3481"/>
      <c r="T251" s="3481"/>
    </row>
    <row r="252" spans="8:8" ht="15.75">
      <c r="C252" s="3480"/>
      <c r="D252"/>
      <c r="E252"/>
      <c r="F252"/>
      <c r="H252" s="3480"/>
      <c r="I252" s="3480"/>
      <c r="J252" s="3480"/>
      <c r="K252" s="3481"/>
      <c r="L252" s="3481"/>
      <c r="M252" s="3481"/>
      <c r="N252" s="3481"/>
      <c r="O252" s="3481"/>
      <c r="P252" s="3481"/>
      <c r="Q252" s="3481"/>
      <c r="R252" s="3481"/>
      <c r="S252" s="3481"/>
      <c r="T252" s="3481"/>
    </row>
    <row r="253" spans="8:8" ht="15.75">
      <c r="C253" s="3480"/>
      <c r="D253"/>
      <c r="E253"/>
      <c r="F253"/>
      <c r="H253" s="3480"/>
      <c r="I253" s="3480"/>
      <c r="J253" s="3480"/>
      <c r="K253" s="3481"/>
      <c r="L253" s="3481"/>
      <c r="M253" s="3481"/>
      <c r="N253" s="3481"/>
      <c r="O253" s="3481"/>
      <c r="P253" s="3481"/>
      <c r="Q253" s="3481"/>
      <c r="R253" s="3481"/>
      <c r="S253" s="3481"/>
      <c r="T253" s="3481"/>
    </row>
    <row r="254" spans="8:8" ht="15.75">
      <c r="C254" s="3480"/>
      <c r="D254"/>
      <c r="E254"/>
      <c r="F254"/>
      <c r="H254" s="3480"/>
      <c r="I254" s="3480"/>
      <c r="J254" s="3480"/>
      <c r="K254" s="3481"/>
      <c r="L254" s="3481"/>
      <c r="M254" s="3481"/>
      <c r="N254" s="3481"/>
      <c r="O254" s="3481"/>
      <c r="P254" s="3481"/>
      <c r="Q254" s="3481"/>
      <c r="R254" s="3481"/>
      <c r="S254" s="3481"/>
      <c r="T254" s="3481"/>
    </row>
    <row r="255" spans="8:8" ht="15.75">
      <c r="C255" s="3480"/>
      <c r="D255"/>
      <c r="E255"/>
      <c r="F255"/>
      <c r="H255" s="3480"/>
      <c r="I255" s="3480"/>
      <c r="J255" s="3480"/>
      <c r="K255" s="3481"/>
      <c r="L255" s="3481"/>
      <c r="M255" s="3481"/>
      <c r="N255" s="3481"/>
      <c r="O255" s="3481"/>
      <c r="P255" s="3481"/>
      <c r="Q255" s="3481"/>
      <c r="R255" s="3481"/>
      <c r="S255" s="3481"/>
      <c r="T255" s="3481"/>
    </row>
    <row r="256" spans="8:8" ht="15.75">
      <c r="C256" s="3480"/>
      <c r="D256"/>
      <c r="E256"/>
      <c r="F256"/>
      <c r="H256" s="3480"/>
      <c r="I256" s="3480"/>
      <c r="J256" s="3480"/>
      <c r="K256" s="3481"/>
      <c r="L256" s="3481"/>
      <c r="M256" s="3481"/>
      <c r="N256" s="3481"/>
      <c r="O256" s="3481"/>
      <c r="P256" s="3481"/>
      <c r="Q256" s="3481"/>
      <c r="R256" s="3481"/>
      <c r="S256" s="3481"/>
      <c r="T256" s="3481"/>
    </row>
    <row r="302" spans="8:8" ht="15.75">
      <c r="B302" s="3480"/>
      <c r="C302" s="3480"/>
      <c r="D302" s="3480"/>
      <c r="E302" s="3480"/>
      <c r="F302" s="3480"/>
      <c r="G302" s="3480"/>
      <c r="H302" s="3480"/>
      <c r="I302" s="3480"/>
      <c r="J302" s="3480"/>
      <c r="K302" s="3481"/>
      <c r="L302" s="3481"/>
      <c r="M302" s="3481"/>
      <c r="N302" s="3481"/>
      <c r="O302" s="3481"/>
      <c r="P302" s="3481"/>
      <c r="Q302" s="3481"/>
      <c r="R302" s="3481"/>
      <c r="S302" s="3481"/>
      <c r="T302" s="3481"/>
    </row>
    <row r="303" spans="8:8" ht="15.75">
      <c r="B303" s="3480"/>
      <c r="C303" s="3480"/>
      <c r="D303" s="3480"/>
      <c r="E303" s="3480"/>
      <c r="F303" s="3480"/>
      <c r="G303" s="3480"/>
      <c r="H303" s="3480"/>
      <c r="I303" s="3480"/>
      <c r="J303" s="3480"/>
      <c r="K303" s="3481"/>
      <c r="L303" s="3481"/>
      <c r="M303" s="3481"/>
      <c r="N303" s="3481"/>
      <c r="O303" s="3481"/>
      <c r="P303" s="3481"/>
      <c r="Q303" s="3481"/>
      <c r="R303" s="3481"/>
      <c r="S303" s="3481"/>
      <c r="T303" s="3481"/>
    </row>
    <row r="304" spans="8:8" ht="15.75">
      <c r="B304" s="3480"/>
      <c r="C304" s="3480"/>
      <c r="D304" s="3480"/>
      <c r="E304" s="3480"/>
      <c r="F304" s="3480"/>
      <c r="G304" s="3480"/>
      <c r="H304" s="3480"/>
      <c r="I304" s="3480"/>
      <c r="J304" s="3480"/>
      <c r="K304" s="3481"/>
      <c r="L304" s="3481"/>
      <c r="M304" s="3481"/>
      <c r="N304" s="3481"/>
      <c r="O304" s="3481"/>
      <c r="P304" s="3481"/>
      <c r="Q304" s="3481"/>
      <c r="R304" s="3481"/>
      <c r="S304" s="3481"/>
      <c r="T304" s="3481"/>
    </row>
    <row r="305" spans="8:8" ht="15.75">
      <c r="B305" s="3480"/>
      <c r="C305" s="3480"/>
      <c r="D305" s="3480"/>
      <c r="E305" s="3480"/>
      <c r="F305" s="3480"/>
      <c r="G305" s="3480"/>
      <c r="H305" s="3480"/>
      <c r="I305" s="3480"/>
      <c r="J305" s="3480"/>
      <c r="K305" s="3481"/>
      <c r="L305" s="3481"/>
      <c r="M305" s="3481"/>
      <c r="N305" s="3481"/>
      <c r="O305" s="3481"/>
      <c r="P305" s="3481"/>
      <c r="Q305" s="3481"/>
      <c r="R305" s="3481"/>
      <c r="S305" s="3481"/>
      <c r="T305" s="3481"/>
    </row>
    <row r="306" spans="8:8" ht="15.75">
      <c r="B306" s="3480"/>
      <c r="C306" s="3480"/>
      <c r="D306" s="3480"/>
      <c r="E306" s="3480"/>
      <c r="F306" s="3480"/>
      <c r="G306" s="3480"/>
      <c r="H306" s="3480"/>
      <c r="I306" s="3480"/>
      <c r="J306" s="3480"/>
      <c r="K306" s="3481"/>
      <c r="L306" s="3481"/>
      <c r="M306" s="3481"/>
      <c r="N306" s="3481"/>
      <c r="O306" s="3481"/>
      <c r="P306" s="3481"/>
      <c r="Q306" s="3481"/>
      <c r="R306" s="3481"/>
      <c r="S306" s="3481"/>
      <c r="T306" s="3481"/>
    </row>
    <row r="307" spans="8:8" ht="15.75">
      <c r="B307" s="3480"/>
      <c r="C307" s="3480"/>
      <c r="D307" s="3480"/>
      <c r="E307" s="3480"/>
      <c r="F307" s="3480"/>
      <c r="G307" s="3480"/>
      <c r="H307" s="3480"/>
      <c r="I307" s="3480"/>
      <c r="J307" s="3480"/>
      <c r="K307" s="3481"/>
      <c r="L307" s="3481"/>
      <c r="M307" s="3481"/>
      <c r="N307" s="3481"/>
      <c r="O307" s="3481"/>
      <c r="P307" s="3481"/>
      <c r="Q307" s="3481"/>
      <c r="R307" s="3481"/>
      <c r="S307" s="3481"/>
      <c r="T307" s="3481"/>
    </row>
    <row r="308" spans="8:8" ht="15.75">
      <c r="B308" s="3480"/>
      <c r="C308" s="3480"/>
      <c r="D308" s="3480"/>
      <c r="E308" s="3480"/>
      <c r="F308" s="3480"/>
      <c r="G308" s="3480"/>
      <c r="H308" s="3480"/>
      <c r="I308" s="3480"/>
      <c r="J308" s="3480"/>
      <c r="K308" s="3481"/>
      <c r="L308" s="3481"/>
      <c r="M308" s="3481"/>
      <c r="N308" s="3481"/>
      <c r="O308" s="3481"/>
      <c r="P308" s="3481"/>
      <c r="Q308" s="3481"/>
      <c r="R308" s="3481"/>
      <c r="S308" s="3481"/>
      <c r="T308" s="3481"/>
    </row>
    <row r="309" spans="8:8" ht="15.75">
      <c r="B309" s="3480"/>
      <c r="C309" s="3480"/>
      <c r="D309" s="3480"/>
      <c r="E309" s="3480"/>
      <c r="F309" s="3480"/>
      <c r="G309" s="3480"/>
      <c r="H309" s="3480"/>
      <c r="I309" s="3480"/>
      <c r="J309" s="3480"/>
      <c r="K309" s="3481"/>
      <c r="L309" s="3481"/>
      <c r="M309" s="3481"/>
      <c r="N309" s="3481"/>
      <c r="O309" s="3481"/>
      <c r="P309" s="3481"/>
      <c r="Q309" s="3481"/>
      <c r="R309" s="3481"/>
      <c r="S309" s="3481"/>
      <c r="T309" s="3481"/>
    </row>
    <row r="310" spans="8:8" ht="15.75">
      <c r="B310" s="3480"/>
      <c r="C310" s="3480"/>
      <c r="D310" s="3480"/>
      <c r="E310" s="3480"/>
      <c r="F310" s="3480"/>
      <c r="G310" s="3480"/>
      <c r="H310" s="3480"/>
      <c r="I310" s="3480"/>
      <c r="J310" s="3480"/>
      <c r="K310" s="3481"/>
      <c r="L310" s="3481"/>
      <c r="M310" s="3481"/>
      <c r="N310" s="3481"/>
      <c r="O310" s="3481"/>
      <c r="P310" s="3481"/>
      <c r="Q310" s="3481"/>
      <c r="R310" s="3481"/>
      <c r="S310" s="3481"/>
      <c r="T310" s="3481"/>
    </row>
    <row r="311" spans="8:8" ht="15.75">
      <c r="B311" s="3480"/>
      <c r="C311" s="3480"/>
      <c r="D311" s="3480"/>
      <c r="E311" s="3480"/>
      <c r="F311" s="3480"/>
      <c r="G311" s="3480"/>
      <c r="H311" s="3480"/>
      <c r="I311" s="3480"/>
      <c r="J311" s="3480"/>
      <c r="K311" s="3481"/>
      <c r="L311" s="3481"/>
      <c r="M311" s="3481"/>
      <c r="N311" s="3481"/>
      <c r="O311" s="3481"/>
      <c r="P311" s="3481"/>
      <c r="Q311" s="3481"/>
      <c r="R311" s="3481"/>
      <c r="S311" s="3481"/>
      <c r="T311" s="3481"/>
    </row>
    <row r="312" spans="8:8" ht="15.75">
      <c r="B312" s="3480"/>
      <c r="C312" s="3480"/>
      <c r="D312" s="3480"/>
      <c r="E312" s="3480"/>
      <c r="F312" s="3480"/>
      <c r="G312" s="3480"/>
      <c r="H312" s="3480"/>
      <c r="I312" s="3480"/>
      <c r="J312" s="3480"/>
      <c r="K312" s="3481"/>
      <c r="L312" s="3481"/>
      <c r="M312" s="3481"/>
      <c r="N312" s="3481"/>
      <c r="O312" s="3481"/>
      <c r="P312" s="3481"/>
      <c r="Q312" s="3481"/>
      <c r="R312" s="3481"/>
      <c r="S312" s="3481"/>
      <c r="T312" s="3481"/>
    </row>
    <row r="313" spans="8:8" ht="15.75">
      <c r="B313" s="3480"/>
      <c r="C313" s="3480"/>
      <c r="D313" s="3480"/>
      <c r="E313" s="3480"/>
      <c r="F313" s="3480"/>
      <c r="G313" s="3480"/>
      <c r="H313" s="3480"/>
      <c r="I313" s="3480"/>
      <c r="J313" s="3480"/>
      <c r="K313" s="3481"/>
      <c r="L313" s="3481"/>
      <c r="M313" s="3481"/>
      <c r="N313" s="3481"/>
      <c r="O313" s="3481"/>
      <c r="P313" s="3481"/>
      <c r="Q313" s="3481"/>
      <c r="R313" s="3481"/>
      <c r="S313" s="3481"/>
      <c r="T313" s="3481"/>
    </row>
    <row r="314" spans="8:8" ht="15.75">
      <c r="B314" s="3480"/>
      <c r="C314" s="3480"/>
      <c r="D314" s="3480"/>
      <c r="E314" s="3480"/>
      <c r="F314" s="3480"/>
      <c r="G314" s="3480"/>
      <c r="H314" s="3480"/>
      <c r="I314" s="3480"/>
      <c r="J314" s="3480"/>
      <c r="K314" s="3481"/>
      <c r="L314" s="3481"/>
      <c r="M314" s="3481"/>
      <c r="N314" s="3481"/>
      <c r="O314" s="3481"/>
      <c r="P314" s="3481"/>
      <c r="Q314" s="3481"/>
      <c r="R314" s="3481"/>
      <c r="S314" s="3481"/>
      <c r="T314" s="3481"/>
    </row>
    <row r="315" spans="8:8" ht="15.75">
      <c r="B315" s="3480"/>
      <c r="C315" s="3480"/>
      <c r="D315" s="3480"/>
      <c r="E315" s="3480"/>
      <c r="F315" s="3480"/>
      <c r="G315" s="3480"/>
      <c r="H315" s="3480"/>
      <c r="I315" s="3480"/>
      <c r="J315" s="3480"/>
      <c r="K315" s="3481"/>
      <c r="L315" s="3481"/>
      <c r="M315" s="3481"/>
      <c r="N315" s="3481"/>
      <c r="O315" s="3481"/>
      <c r="P315" s="3481"/>
      <c r="Q315" s="3481"/>
      <c r="R315" s="3481"/>
      <c r="S315" s="3481"/>
      <c r="T315" s="3481"/>
    </row>
    <row r="316" spans="8:8" ht="15.75">
      <c r="B316" s="3480"/>
      <c r="C316" s="3480"/>
      <c r="D316" s="3480"/>
      <c r="E316" s="3480"/>
      <c r="F316" s="3480"/>
      <c r="G316" s="3480"/>
      <c r="H316" s="3480"/>
      <c r="I316" s="3480"/>
      <c r="J316" s="3480"/>
      <c r="K316" s="3481"/>
      <c r="L316" s="3481"/>
      <c r="M316" s="3481"/>
      <c r="N316" s="3481"/>
      <c r="O316" s="3481"/>
      <c r="P316" s="3481"/>
      <c r="Q316" s="3481"/>
      <c r="R316" s="3481"/>
      <c r="S316" s="3481"/>
      <c r="T316" s="3481"/>
    </row>
    <row r="317" spans="8:8" ht="15.75">
      <c r="B317" s="3480"/>
      <c r="C317" s="3480"/>
      <c r="D317" s="3480"/>
      <c r="E317" s="3480"/>
      <c r="F317" s="3480"/>
      <c r="G317" s="3480"/>
      <c r="H317" s="3480"/>
      <c r="I317" s="3480"/>
      <c r="J317" s="3480"/>
      <c r="K317" s="3481"/>
      <c r="L317" s="3481"/>
      <c r="M317" s="3481"/>
      <c r="N317" s="3481"/>
      <c r="O317" s="3481"/>
      <c r="P317" s="3481"/>
      <c r="Q317" s="3481"/>
      <c r="R317" s="3481"/>
      <c r="S317" s="3481"/>
      <c r="T317" s="3481"/>
    </row>
    <row r="318" spans="8:8" ht="15.75">
      <c r="B318" s="3480"/>
      <c r="C318" s="3480"/>
      <c r="D318" s="3480"/>
      <c r="E318" s="3480"/>
      <c r="F318" s="3480"/>
      <c r="G318" s="3480"/>
      <c r="H318" s="3480"/>
      <c r="I318" s="3480"/>
      <c r="J318" s="3480"/>
      <c r="K318" s="3481"/>
      <c r="L318" s="3481"/>
      <c r="M318" s="3481"/>
      <c r="N318" s="3481"/>
      <c r="O318" s="3481"/>
      <c r="P318" s="3481"/>
      <c r="Q318" s="3481"/>
      <c r="R318" s="3481"/>
      <c r="S318" s="3481"/>
      <c r="T318" s="3481"/>
    </row>
    <row r="319" spans="8:8" ht="15.75">
      <c r="B319" s="3480"/>
      <c r="C319" s="3480"/>
      <c r="D319" s="3480"/>
      <c r="E319" s="3480"/>
      <c r="F319" s="3480"/>
      <c r="G319" s="3480"/>
      <c r="H319" s="3480"/>
      <c r="I319" s="3480"/>
      <c r="J319" s="3480"/>
      <c r="K319" s="3481"/>
      <c r="L319" s="3481"/>
      <c r="M319" s="3481"/>
      <c r="N319" s="3481"/>
      <c r="O319" s="3481"/>
      <c r="P319" s="3481"/>
      <c r="Q319" s="3481"/>
      <c r="R319" s="3481"/>
      <c r="S319" s="3481"/>
      <c r="T319" s="3481"/>
    </row>
    <row r="320" spans="8:8" ht="15.75">
      <c r="B320" s="3480"/>
      <c r="C320" s="3480"/>
      <c r="D320" s="3480"/>
      <c r="E320" s="3480"/>
      <c r="F320" s="3480"/>
      <c r="G320" s="3480"/>
      <c r="H320" s="3480"/>
      <c r="I320" s="3480"/>
      <c r="J320" s="3480"/>
      <c r="K320" s="3481"/>
      <c r="L320" s="3481"/>
      <c r="M320" s="3481"/>
      <c r="N320" s="3481"/>
      <c r="O320" s="3481"/>
      <c r="P320" s="3481"/>
      <c r="Q320" s="3481"/>
      <c r="R320" s="3481"/>
      <c r="S320" s="3481"/>
      <c r="T320" s="3481"/>
    </row>
    <row r="321" spans="8:8" ht="15.75">
      <c r="B321" s="3480"/>
      <c r="C321" s="3480"/>
      <c r="D321" s="3480"/>
      <c r="E321" s="3480"/>
      <c r="F321" s="3480"/>
      <c r="G321" s="3480"/>
      <c r="H321" s="3480"/>
      <c r="I321" s="3480"/>
      <c r="J321" s="3480"/>
      <c r="K321" s="3481"/>
      <c r="L321" s="3481"/>
      <c r="M321" s="3481"/>
      <c r="N321" s="3481"/>
      <c r="O321" s="3481"/>
      <c r="P321" s="3481"/>
      <c r="Q321" s="3481"/>
      <c r="R321" s="3481"/>
      <c r="S321" s="3481"/>
      <c r="T321" s="3481"/>
    </row>
    <row r="322" spans="8:8" ht="15.75">
      <c r="B322" s="3480"/>
      <c r="C322" s="3480"/>
      <c r="D322" s="3480"/>
      <c r="E322" s="3480"/>
      <c r="F322" s="3480"/>
      <c r="G322" s="3480"/>
      <c r="H322" s="3480"/>
      <c r="I322" s="3480"/>
      <c r="J322" s="3480"/>
      <c r="K322" s="3481"/>
      <c r="L322" s="3481"/>
      <c r="M322" s="3481"/>
      <c r="N322" s="3481"/>
      <c r="O322" s="3481"/>
      <c r="P322" s="3481"/>
      <c r="Q322" s="3481"/>
      <c r="R322" s="3481"/>
      <c r="S322" s="3481"/>
      <c r="T322" s="3481"/>
    </row>
    <row r="323" spans="8:8" ht="15.75">
      <c r="B323" s="3480"/>
      <c r="C323" s="3480"/>
      <c r="D323" s="3480"/>
      <c r="E323" s="3480"/>
      <c r="F323" s="3480"/>
      <c r="G323" s="3480"/>
      <c r="H323" s="3480"/>
      <c r="I323" s="3480"/>
      <c r="J323" s="3480"/>
      <c r="K323" s="3481"/>
      <c r="L323" s="3481"/>
      <c r="M323" s="3481"/>
      <c r="N323" s="3481"/>
      <c r="O323" s="3481"/>
      <c r="P323" s="3481"/>
      <c r="Q323" s="3481"/>
      <c r="R323" s="3481"/>
      <c r="S323" s="3481"/>
      <c r="T323" s="3481"/>
    </row>
    <row r="324" spans="8:8" ht="15.75">
      <c r="B324" s="3480"/>
      <c r="C324" s="3480"/>
      <c r="D324" s="3480"/>
      <c r="E324" s="3480"/>
      <c r="F324" s="3480"/>
      <c r="G324" s="3480"/>
      <c r="H324" s="3480"/>
      <c r="I324" s="3480"/>
      <c r="J324" s="3480"/>
      <c r="K324" s="3481"/>
      <c r="L324" s="3481"/>
      <c r="M324" s="3481"/>
      <c r="N324" s="3481"/>
      <c r="O324" s="3481"/>
      <c r="P324" s="3481"/>
      <c r="Q324" s="3481"/>
      <c r="R324" s="3481"/>
      <c r="S324" s="3481"/>
      <c r="T324" s="3481"/>
    </row>
    <row r="325" spans="8:8" ht="15.75">
      <c r="B325" s="3480"/>
      <c r="C325" s="3480"/>
      <c r="D325" s="3480"/>
      <c r="E325" s="3480"/>
      <c r="F325" s="3480"/>
      <c r="G325" s="3480"/>
      <c r="H325" s="3480"/>
      <c r="I325" s="3480"/>
      <c r="J325" s="3480"/>
      <c r="K325" s="3481"/>
      <c r="L325" s="3481"/>
      <c r="M325" s="3481"/>
      <c r="N325" s="3481"/>
      <c r="O325" s="3481"/>
      <c r="P325" s="3481"/>
      <c r="Q325" s="3481"/>
      <c r="R325" s="3481"/>
      <c r="S325" s="3481"/>
      <c r="T325" s="3481"/>
    </row>
    <row r="326" spans="8:8" ht="15.75">
      <c r="B326" s="3480"/>
      <c r="C326" s="3480"/>
      <c r="D326" s="3480"/>
      <c r="E326" s="3480"/>
      <c r="F326" s="3480"/>
      <c r="G326" s="3480"/>
      <c r="H326" s="3480"/>
      <c r="I326" s="3480"/>
      <c r="J326" s="3480"/>
      <c r="K326" s="3481"/>
      <c r="L326" s="3481"/>
      <c r="M326" s="3481"/>
      <c r="N326" s="3481"/>
      <c r="O326" s="3481"/>
      <c r="P326" s="3481"/>
      <c r="Q326" s="3481"/>
      <c r="R326" s="3481"/>
      <c r="S326" s="3481"/>
      <c r="T326" s="3481"/>
    </row>
    <row r="327" spans="8:8" ht="15.75">
      <c r="B327" s="3480"/>
      <c r="C327" s="3480"/>
      <c r="D327" s="3480"/>
      <c r="E327" s="3480"/>
      <c r="F327" s="3480"/>
      <c r="G327" s="3480"/>
      <c r="H327" s="3480"/>
      <c r="I327" s="3480"/>
      <c r="J327" s="3480"/>
      <c r="K327" s="3481"/>
      <c r="L327" s="3481"/>
      <c r="M327" s="3481"/>
      <c r="N327" s="3481"/>
      <c r="O327" s="3481"/>
      <c r="P327" s="3481"/>
      <c r="Q327" s="3481"/>
      <c r="R327" s="3481"/>
      <c r="S327" s="3481"/>
      <c r="T327" s="3481"/>
    </row>
    <row r="328" spans="8:8" ht="15.75">
      <c r="B328" s="3480"/>
      <c r="C328" s="3480"/>
      <c r="D328" s="3480"/>
      <c r="E328" s="3480"/>
      <c r="F328" s="3480"/>
      <c r="G328" s="3480"/>
      <c r="H328" s="3480"/>
      <c r="I328" s="3480"/>
      <c r="J328" s="3480"/>
      <c r="K328" s="3481"/>
      <c r="L328" s="3481"/>
      <c r="M328" s="3481"/>
      <c r="N328" s="3481"/>
      <c r="O328" s="3481"/>
      <c r="P328" s="3481"/>
      <c r="Q328" s="3481"/>
      <c r="R328" s="3481"/>
      <c r="S328" s="3481"/>
      <c r="T328" s="3481"/>
    </row>
    <row r="329" spans="8:8" ht="15.75">
      <c r="B329" s="3480"/>
      <c r="C329" s="3480"/>
      <c r="D329" s="3480"/>
      <c r="E329" s="3480"/>
      <c r="F329" s="3480"/>
      <c r="G329" s="3480"/>
      <c r="H329" s="3480"/>
      <c r="I329" s="3480"/>
      <c r="J329" s="3480"/>
      <c r="K329" s="3481"/>
      <c r="L329" s="3481"/>
      <c r="M329" s="3481"/>
      <c r="N329" s="3481"/>
      <c r="O329" s="3481"/>
      <c r="P329" s="3481"/>
      <c r="Q329" s="3481"/>
      <c r="R329" s="3481"/>
      <c r="S329" s="3481"/>
      <c r="T329" s="3481"/>
    </row>
    <row r="330" spans="8:8" ht="15.75">
      <c r="B330" s="3480"/>
      <c r="C330" s="3480"/>
      <c r="D330" s="3480"/>
      <c r="E330" s="3480"/>
      <c r="F330" s="3480"/>
      <c r="G330" s="3480"/>
      <c r="H330" s="3480"/>
      <c r="I330" s="3480"/>
      <c r="J330" s="3480"/>
      <c r="K330" s="3481"/>
      <c r="L330" s="3481"/>
      <c r="M330" s="3481"/>
      <c r="N330" s="3481"/>
      <c r="O330" s="3481"/>
      <c r="P330" s="3481"/>
      <c r="Q330" s="3481"/>
      <c r="R330" s="3481"/>
      <c r="S330" s="3481"/>
      <c r="T330" s="3481"/>
    </row>
    <row r="331" spans="8:8" ht="15.75">
      <c r="B331" s="3480"/>
      <c r="C331" s="3480"/>
      <c r="D331" s="3480"/>
      <c r="E331" s="3480"/>
      <c r="F331" s="3480"/>
      <c r="G331" s="3480"/>
      <c r="H331" s="3480"/>
      <c r="I331" s="3480"/>
      <c r="J331" s="3480"/>
      <c r="K331" s="3481"/>
      <c r="L331" s="3481"/>
      <c r="M331" s="3481"/>
      <c r="N331" s="3481"/>
      <c r="O331" s="3481"/>
      <c r="P331" s="3481"/>
      <c r="Q331" s="3481"/>
      <c r="R331" s="3481"/>
      <c r="S331" s="3481"/>
      <c r="T331" s="3481"/>
    </row>
    <row r="332" spans="8:8" ht="15.75">
      <c r="B332" s="3480"/>
      <c r="C332" s="3480"/>
      <c r="D332" s="3480"/>
      <c r="E332" s="3480"/>
      <c r="F332" s="3480"/>
      <c r="G332" s="3480"/>
      <c r="H332" s="3480"/>
      <c r="I332" s="3480"/>
      <c r="J332" s="3480"/>
      <c r="K332" s="3481"/>
      <c r="L332" s="3481"/>
      <c r="M332" s="3481"/>
      <c r="N332" s="3481"/>
      <c r="O332" s="3481"/>
      <c r="P332" s="3481"/>
      <c r="Q332" s="3481"/>
      <c r="R332" s="3481"/>
      <c r="S332" s="3481"/>
      <c r="T332" s="3481"/>
    </row>
    <row r="333" spans="8:8" ht="15.75">
      <c r="B333" s="3480"/>
      <c r="C333" s="3480"/>
      <c r="D333" s="3480"/>
      <c r="E333" s="3480"/>
      <c r="F333" s="3480"/>
      <c r="G333" s="3480"/>
      <c r="H333" s="3480"/>
      <c r="I333" s="3480"/>
      <c r="J333" s="3480"/>
      <c r="K333" s="3481"/>
      <c r="L333" s="3481"/>
      <c r="M333" s="3481"/>
      <c r="N333" s="3481"/>
      <c r="O333" s="3481"/>
      <c r="P333" s="3481"/>
      <c r="Q333" s="3481"/>
      <c r="R333" s="3481"/>
      <c r="S333" s="3481"/>
      <c r="T333" s="3481"/>
    </row>
    <row r="334" spans="8:8" ht="15.75">
      <c r="B334" s="3480"/>
      <c r="C334" s="3480"/>
      <c r="D334" s="3480"/>
      <c r="E334" s="3480"/>
      <c r="F334" s="3480"/>
      <c r="G334" s="3480"/>
      <c r="H334" s="3480"/>
      <c r="I334" s="3480"/>
      <c r="J334" s="3480"/>
      <c r="K334" s="3481"/>
      <c r="L334" s="3481"/>
      <c r="M334" s="3481"/>
      <c r="N334" s="3481"/>
      <c r="O334" s="3481"/>
      <c r="P334" s="3481"/>
      <c r="Q334" s="3481"/>
      <c r="R334" s="3481"/>
      <c r="S334" s="3481"/>
      <c r="T334" s="3481"/>
    </row>
    <row r="335" spans="8:8" ht="15.75">
      <c r="B335" s="3480"/>
      <c r="C335" s="3480"/>
      <c r="D335" s="3480"/>
      <c r="E335" s="3480"/>
      <c r="F335" s="3480"/>
      <c r="G335" s="3480"/>
      <c r="H335" s="3480"/>
      <c r="I335" s="3480"/>
      <c r="J335" s="3480"/>
      <c r="K335" s="3481"/>
      <c r="L335" s="3481"/>
      <c r="M335" s="3481"/>
      <c r="N335" s="3481"/>
      <c r="O335" s="3481"/>
      <c r="P335" s="3481"/>
      <c r="Q335" s="3481"/>
      <c r="R335" s="3481"/>
      <c r="S335" s="3481"/>
      <c r="T335" s="3481"/>
    </row>
    <row r="336" spans="8:8" ht="15.75">
      <c r="B336" s="3480"/>
      <c r="C336" s="3480"/>
      <c r="D336" s="3480"/>
      <c r="E336" s="3480"/>
      <c r="F336" s="3480"/>
      <c r="G336" s="3480"/>
      <c r="H336" s="3480"/>
      <c r="I336" s="3480"/>
      <c r="J336" s="3480"/>
      <c r="K336" s="3481"/>
      <c r="L336" s="3481"/>
      <c r="M336" s="3481"/>
      <c r="N336" s="3481"/>
      <c r="O336" s="3481"/>
      <c r="P336" s="3481"/>
      <c r="Q336" s="3481"/>
      <c r="R336" s="3481"/>
      <c r="S336" s="3481"/>
      <c r="T336" s="3481"/>
    </row>
    <row r="337" spans="8:8" ht="15.75">
      <c r="B337" s="3480"/>
      <c r="C337" s="3480"/>
      <c r="D337" s="3480"/>
      <c r="E337" s="3480"/>
      <c r="F337" s="3480"/>
      <c r="G337" s="3480"/>
      <c r="H337" s="3480"/>
      <c r="I337" s="3480"/>
      <c r="J337" s="3480"/>
      <c r="K337" s="3481"/>
      <c r="L337" s="3481"/>
      <c r="M337" s="3481"/>
      <c r="N337" s="3481"/>
      <c r="O337" s="3481"/>
      <c r="P337" s="3481"/>
      <c r="Q337" s="3481"/>
      <c r="R337" s="3481"/>
      <c r="S337" s="3481"/>
      <c r="T337" s="3481"/>
    </row>
    <row r="338" spans="8:8" ht="15.75">
      <c r="B338" s="3480"/>
      <c r="C338" s="3480"/>
      <c r="D338" s="3480"/>
      <c r="E338" s="3480"/>
      <c r="F338" s="3480"/>
      <c r="G338" s="3480"/>
      <c r="H338" s="3480"/>
      <c r="I338" s="3480"/>
      <c r="J338" s="3480"/>
      <c r="K338" s="3481"/>
      <c r="L338" s="3481"/>
      <c r="M338" s="3481"/>
      <c r="N338" s="3481"/>
      <c r="O338" s="3481"/>
      <c r="P338" s="3481"/>
      <c r="Q338" s="3481"/>
      <c r="R338" s="3481"/>
      <c r="S338" s="3481"/>
      <c r="T338" s="3481"/>
    </row>
    <row r="339" spans="8:8" ht="15.75">
      <c r="B339" s="3480"/>
      <c r="C339" s="3480"/>
      <c r="D339" s="3480"/>
      <c r="E339" s="3480"/>
      <c r="F339" s="3480"/>
      <c r="G339" s="3480"/>
      <c r="H339" s="3480"/>
      <c r="I339" s="3480"/>
      <c r="J339" s="3480"/>
      <c r="K339" s="3481"/>
      <c r="L339" s="3481"/>
      <c r="M339" s="3481"/>
      <c r="N339" s="3481"/>
      <c r="O339" s="3481"/>
      <c r="P339" s="3481"/>
      <c r="Q339" s="3481"/>
      <c r="R339" s="3481"/>
      <c r="S339" s="3481"/>
      <c r="T339" s="3481"/>
    </row>
  </sheetData>
  <sheetProtection sheet="1" objects="1"/>
  <mergeCells count="206">
    <mergeCell ref="R220:R221"/>
    <mergeCell ref="F159:J168"/>
    <mergeCell ref="C185:E186"/>
    <mergeCell ref="N163:T163"/>
    <mergeCell ref="N161:T162"/>
    <mergeCell ref="M46:M56"/>
    <mergeCell ref="O211:Q214"/>
    <mergeCell ref="Q116:R116"/>
    <mergeCell ref="P226:P227"/>
    <mergeCell ref="O184:P184"/>
    <mergeCell ref="N98:R98"/>
    <mergeCell ref="Q99:R105"/>
    <mergeCell ref="N1:R1"/>
    <mergeCell ref="N18:R21"/>
    <mergeCell ref="M82:M89"/>
    <mergeCell ref="P57:P66"/>
    <mergeCell ref="N46:N56"/>
    <mergeCell ref="M76:M81"/>
    <mergeCell ref="B111:L111"/>
    <mergeCell ref="B116:L116"/>
    <mergeCell ref="A2:A16"/>
    <mergeCell ref="N2:R10"/>
    <mergeCell ref="O82:P89"/>
    <mergeCell ref="M57:M66"/>
    <mergeCell ref="M2:M29"/>
    <mergeCell ref="C132:D134"/>
    <mergeCell ref="B117:L117"/>
    <mergeCell ref="R159:T160"/>
    <mergeCell ref="C205:D206"/>
    <mergeCell ref="K226:N228"/>
    <mergeCell ref="N15:R17"/>
    <mergeCell ref="N90:O94"/>
    <mergeCell ref="M67:M75"/>
    <mergeCell ref="O57:O66"/>
    <mergeCell ref="O68:P81"/>
    <mergeCell ref="B192:K192"/>
    <mergeCell ref="N115:O116"/>
    <mergeCell ref="B142:T144"/>
    <mergeCell ref="E138:L140"/>
    <mergeCell ref="D195:E195"/>
    <mergeCell ref="B119:L119"/>
    <mergeCell ref="K218:M221"/>
    <mergeCell ref="S211:T214"/>
    <mergeCell ref="Q109:R109"/>
    <mergeCell ref="B170:C171"/>
    <mergeCell ref="D170:G171"/>
    <mergeCell ref="E121:L122"/>
    <mergeCell ref="B132:B134"/>
    <mergeCell ref="D146:E146"/>
    <mergeCell ref="K207:M209"/>
    <mergeCell ref="B228:C233"/>
    <mergeCell ref="O146:P146"/>
    <mergeCell ref="E210:F213"/>
    <mergeCell ref="S223:T223"/>
    <mergeCell ref="B190:E190"/>
    <mergeCell ref="B126:B128"/>
    <mergeCell ref="N165:Q168"/>
    <mergeCell ref="N99:P105"/>
    <mergeCell ref="N118:O119"/>
    <mergeCell ref="O147:P155"/>
    <mergeCell ref="M30:M45"/>
    <mergeCell ref="N22:R25"/>
    <mergeCell ref="S210:T210"/>
    <mergeCell ref="N67:N89"/>
    <mergeCell ref="O228:O230"/>
    <mergeCell ref="O224:P225"/>
    <mergeCell ref="Q117:R117"/>
    <mergeCell ref="N123:T123"/>
    <mergeCell ref="K234:O236"/>
    <mergeCell ref="N120:O121"/>
    <mergeCell ref="B224:C224"/>
    <mergeCell ref="S220:T222"/>
    <mergeCell ref="C123:D125"/>
    <mergeCell ref="N57:N66"/>
    <mergeCell ref="Q110:R111"/>
    <mergeCell ref="M185:N187"/>
    <mergeCell ref="B157:B158"/>
    <mergeCell ref="M188:T188"/>
    <mergeCell ref="B225:C226"/>
    <mergeCell ref="E132:L134"/>
    <mergeCell ref="E225:H233"/>
    <mergeCell ref="B239:B246"/>
    <mergeCell ref="O30:P45"/>
    <mergeCell ref="T205:T206"/>
    <mergeCell ref="M231:O232"/>
    <mergeCell ref="S185:T187"/>
    <mergeCell ref="C126:D128"/>
    <mergeCell ref="Q112:R113"/>
    <mergeCell ref="B138:B140"/>
    <mergeCell ref="O185:P187"/>
    <mergeCell ref="Q90:R93"/>
    <mergeCell ref="C187:E187"/>
    <mergeCell ref="B114:L114"/>
    <mergeCell ref="O133:T140"/>
    <mergeCell ref="B191:K191"/>
    <mergeCell ref="B115:L115"/>
    <mergeCell ref="Q184:R184"/>
    <mergeCell ref="B121:B122"/>
    <mergeCell ref="Q185:R187"/>
    <mergeCell ref="I172:O180"/>
    <mergeCell ref="G210:H213"/>
    <mergeCell ref="M189:T193"/>
    <mergeCell ref="E129:L131"/>
    <mergeCell ref="B159:B168"/>
    <mergeCell ref="Q120:R121"/>
    <mergeCell ref="R146:T146"/>
    <mergeCell ref="O128:T132"/>
    <mergeCell ref="B196:T198"/>
    <mergeCell ref="J195:T195"/>
    <mergeCell ref="Q114:R115"/>
    <mergeCell ref="B185:B186"/>
    <mergeCell ref="E203:H208"/>
    <mergeCell ref="K210:M210"/>
    <mergeCell ref="Q224:T225"/>
    <mergeCell ref="N108:R108"/>
    <mergeCell ref="Q226:Q229"/>
    <mergeCell ref="O203:Q205"/>
    <mergeCell ref="O207:Q209"/>
    <mergeCell ref="S184:T184"/>
    <mergeCell ref="K159:L168"/>
    <mergeCell ref="Q67:R89"/>
    <mergeCell ref="N30:N37"/>
    <mergeCell ref="O124:T125"/>
    <mergeCell ref="B135:B137"/>
    <mergeCell ref="O220:Q222"/>
    <mergeCell ref="E126:L128"/>
    <mergeCell ref="B123:B125"/>
    <mergeCell ref="B107:L107"/>
    <mergeCell ref="N229:N230"/>
    <mergeCell ref="R165:T168"/>
    <mergeCell ref="N109:O109"/>
    <mergeCell ref="N110:O111"/>
    <mergeCell ref="N200:R201"/>
    <mergeCell ref="K224:N225"/>
    <mergeCell ref="N11:R14"/>
    <mergeCell ref="N164:T164"/>
    <mergeCell ref="N126:N127"/>
    <mergeCell ref="Q118:R119"/>
    <mergeCell ref="O46:P56"/>
    <mergeCell ref="N38:N45"/>
    <mergeCell ref="N106:R106"/>
    <mergeCell ref="N220:N221"/>
    <mergeCell ref="M184:N184"/>
    <mergeCell ref="Q233:T240"/>
    <mergeCell ref="B172:C180"/>
    <mergeCell ref="B112:L112"/>
    <mergeCell ref="N128:N132"/>
    <mergeCell ref="B210:B215"/>
    <mergeCell ref="B110:L110"/>
    <mergeCell ref="B217:C223"/>
    <mergeCell ref="Q170:T171"/>
    <mergeCell ref="E123:L125"/>
    <mergeCell ref="C189:E189"/>
    <mergeCell ref="Q230:T231"/>
    <mergeCell ref="D147:E155"/>
    <mergeCell ref="B203:B208"/>
    <mergeCell ref="C129:D131"/>
    <mergeCell ref="F184:K190"/>
    <mergeCell ref="B195:C195"/>
    <mergeCell ref="N159:Q160"/>
    <mergeCell ref="N133:N140"/>
    <mergeCell ref="C188:E188"/>
    <mergeCell ref="K205:K206"/>
    <mergeCell ref="B182:K183"/>
    <mergeCell ref="C214:D215"/>
    <mergeCell ref="K157:L158"/>
    <mergeCell ref="B147:B155"/>
    <mergeCell ref="K229:K233"/>
    <mergeCell ref="K147:M155"/>
    <mergeCell ref="B193:K193"/>
    <mergeCell ref="F146:I146"/>
    <mergeCell ref="D172:G180"/>
    <mergeCell ref="C157:D158"/>
    <mergeCell ref="F157:J158"/>
    <mergeCell ref="C159:D161"/>
    <mergeCell ref="B108:L108"/>
    <mergeCell ref="K146:M146"/>
    <mergeCell ref="C135:D137"/>
    <mergeCell ref="B109:L109"/>
    <mergeCell ref="N95:O97"/>
    <mergeCell ref="M182:T183"/>
    <mergeCell ref="O217:Q218"/>
    <mergeCell ref="Q172:T180"/>
    <mergeCell ref="S226:T229"/>
    <mergeCell ref="B184:E184"/>
    <mergeCell ref="E135:L137"/>
    <mergeCell ref="C121:D122"/>
    <mergeCell ref="E215:H223"/>
    <mergeCell ref="B113:L113"/>
    <mergeCell ref="C200:E201"/>
    <mergeCell ref="I170:O171"/>
    <mergeCell ref="K211:M214"/>
    <mergeCell ref="B129:B131"/>
    <mergeCell ref="F195:I195"/>
    <mergeCell ref="S207:T209"/>
    <mergeCell ref="N124:N125"/>
    <mergeCell ref="Q94:R97"/>
    <mergeCell ref="R147:T155"/>
    <mergeCell ref="N157:T158"/>
    <mergeCell ref="O126:T127"/>
    <mergeCell ref="O67:P67"/>
    <mergeCell ref="M90:M105"/>
    <mergeCell ref="C138:D140"/>
    <mergeCell ref="F147:I155"/>
    <mergeCell ref="B118:L118"/>
    <mergeCell ref="A17:A29"/>
  </mergeCells>
  <conditionalFormatting sqref="B2:B105">
    <cfRule type="containsText" text="-" operator="containsText" priority="1" dxfId="1129">
      <formula>NOT(ISERROR(SEARCH("-",B2)))</formula>
    </cfRule>
  </conditionalFormatting>
  <pageMargins left="0.75" right="0.75" top="1.0" bottom="1.0" header="0.509027777777778" footer="0.509027777777778"/>
  <extLst>
    <ext xmlns:x14="http://schemas.microsoft.com/office/spreadsheetml/2009/9/main" uri="{CCE6A557-97BC-4b89-ADB6-D9C93CAAB3DF}">
      <x14:dataValidations xmlns:xm="http://schemas.microsoft.com/office/excel/2006/main" count="1">
        <x14:dataValidation allowBlank="1" type="list" errorStyle="stop" showInputMessage="1" showErrorMessage="1">
          <x14:formula1>
            <xm:f>附表!$I$38:$I$49</xm:f>
          </x14:formula1>
          <xm:sqref>M185:N187</xm:sqref>
        </x14:dataValidation>
      </x14:dataValidations>
    </ext>
  </extLst>
</worksheet>
</file>

<file path=xl/worksheets/sheet13.xml><?xml version="1.0" encoding="utf-8"?>
<worksheet xmlns:r="http://schemas.openxmlformats.org/officeDocument/2006/relationships" xmlns="http://schemas.openxmlformats.org/spreadsheetml/2006/main">
  <dimension ref="A1:XFD355"/>
  <sheetViews>
    <sheetView workbookViewId="0" showGridLines="0" showRowColHeaders="0">
      <pane ySplit="1" topLeftCell="A2" state="frozen" activePane="bottomLeft"/>
      <selection pane="bottomLeft" activeCell="A1" sqref="A1"/>
    </sheetView>
  </sheetViews>
  <sheetFormatPr defaultRowHeight="14.55" defaultColWidth="10"/>
  <cols>
    <col min="1" max="1" customWidth="1" width="3.3320312" style="2959"/>
    <col min="2" max="2" customWidth="1" width="28.332031" style="2959"/>
    <col min="3" max="3" customWidth="1" width="11.0" style="2959"/>
    <col min="4" max="4" customWidth="1" width="5.6640625" style="2959"/>
    <col min="5" max="5" customWidth="1" width="16.777344" style="2959"/>
    <col min="6" max="6" customWidth="1" width="20.0" style="2959"/>
    <col min="7" max="7" customWidth="1" width="4.7773438" style="2959"/>
    <col min="8" max="8" customWidth="1" width="11.777344" style="2959"/>
    <col min="9" max="9" customWidth="1" width="13.0" style="2960"/>
    <col min="10" max="10" customWidth="1" width="8.6640625" style="2960"/>
    <col min="11" max="11" customWidth="1" width="9.109375" style="2960"/>
    <col min="12" max="12" customWidth="1" width="8.886719" style="2960"/>
    <col min="13" max="13" customWidth="1" width="16.332031" style="2960"/>
    <col min="14" max="14" customWidth="1" width="13.886719" style="2960"/>
    <col min="15" max="15" customWidth="1" width="11.886719" style="2960"/>
    <col min="16" max="16" customWidth="1" width="8.886719" style="2960"/>
    <col min="17" max="17" customWidth="1" width="30.554688" style="2960"/>
    <col min="18" max="18" customWidth="1" width="18.554688" style="2960"/>
    <col min="19" max="19" customWidth="1" width="7.5546875" style="2960"/>
    <col min="20" max="20" customWidth="1" width="6.0" style="2960"/>
    <col min="21" max="21" customWidth="1" width="10.6640625" style="2960"/>
    <col min="22" max="22" customWidth="1" width="7.21875" style="2960"/>
    <col min="23" max="23" customWidth="1" width="10.5546875" style="2960"/>
    <col min="24" max="24" customWidth="1" width="13.5546875" style="2960"/>
    <col min="25" max="25" customWidth="1" width="10.777344" style="2960"/>
    <col min="26" max="26" customWidth="1" width="7.7773438" style="2960"/>
    <col min="27" max="27" customWidth="1" width="9.6640625" style="2960"/>
    <col min="28" max="28" customWidth="1" width="13.0" style="2960"/>
    <col min="29" max="32" customWidth="1" width="8.886719" style="2961"/>
    <col min="33" max="33" hidden="1" customWidth="0" width="8.886719" style="2961"/>
    <col min="34" max="34" hidden="1" customWidth="0" width="9.6640625" style="2961"/>
    <col min="35" max="16382" hidden="1" customWidth="0" width="8.886719" style="2960"/>
    <col min="16383" max="16383" hidden="1" customWidth="0" width="8.886719" style="2752"/>
    <col min="16384" max="16384" customWidth="1" width="8.886719" style="2752"/>
  </cols>
  <sheetData>
    <row r="1" spans="8:8" ht="21.95" customHeight="1">
      <c r="B1" s="3612" t="s">
        <v>5027</v>
      </c>
      <c r="C1" s="3613" t="s">
        <v>5028</v>
      </c>
      <c r="D1" s="3614" t="s">
        <v>5029</v>
      </c>
      <c r="E1" s="3613" t="s">
        <v>5030</v>
      </c>
      <c r="F1" s="3613" t="s">
        <v>5031</v>
      </c>
      <c r="G1" s="3614" t="s">
        <v>5032</v>
      </c>
      <c r="H1" s="3613" t="s">
        <v>4494</v>
      </c>
      <c r="I1" s="3615" t="s">
        <v>4495</v>
      </c>
      <c r="J1" s="3615" t="s">
        <v>158</v>
      </c>
      <c r="K1" s="3616" t="s">
        <v>261</v>
      </c>
      <c r="L1" s="3616"/>
      <c r="M1" s="3616"/>
      <c r="N1" s="3616"/>
      <c r="O1" s="3616"/>
      <c r="P1" s="2966"/>
      <c r="Q1" s="3617" t="s">
        <v>5033</v>
      </c>
      <c r="R1" s="3618" t="s">
        <v>301</v>
      </c>
      <c r="S1" s="3619" t="s">
        <v>32</v>
      </c>
      <c r="T1" s="3619" t="s">
        <v>172</v>
      </c>
      <c r="U1" s="3619" t="s">
        <v>5034</v>
      </c>
      <c r="V1" s="3618" t="s">
        <v>5035</v>
      </c>
      <c r="W1" s="3618" t="s">
        <v>5036</v>
      </c>
      <c r="X1" s="3618" t="s">
        <v>5037</v>
      </c>
      <c r="Y1" s="3620" t="s">
        <v>4494</v>
      </c>
      <c r="Z1" s="3620" t="s">
        <v>158</v>
      </c>
      <c r="AA1" s="3621" t="s">
        <v>261</v>
      </c>
      <c r="AB1" s="3621"/>
      <c r="AC1" s="3621"/>
      <c r="AD1" s="3621"/>
      <c r="AE1" s="3621"/>
      <c r="AF1" s="3622"/>
      <c r="AG1" s="2968"/>
      <c r="AH1" s="2968"/>
    </row>
    <row r="2" spans="8:8" ht="14.25" customHeight="1">
      <c r="B2" s="3623" t="s">
        <v>5038</v>
      </c>
      <c r="C2" s="3624">
        <v>1.0</v>
      </c>
      <c r="D2" s="3624">
        <v>0.0</v>
      </c>
      <c r="E2" s="3624" t="s">
        <v>5039</v>
      </c>
      <c r="F2" s="3624" t="s">
        <v>5040</v>
      </c>
      <c r="G2" s="3624" t="s">
        <v>171</v>
      </c>
      <c r="H2" s="3624" t="s">
        <v>4502</v>
      </c>
      <c r="I2" s="3625" t="s">
        <v>5041</v>
      </c>
      <c r="J2" s="3626" t="s">
        <v>5042</v>
      </c>
      <c r="K2" s="3627" t="s">
        <v>5043</v>
      </c>
      <c r="L2" s="3628"/>
      <c r="M2" s="3628"/>
      <c r="N2" s="3628"/>
      <c r="O2" s="3628"/>
      <c r="P2" s="3629"/>
      <c r="Q2" s="3630" t="s">
        <v>5044</v>
      </c>
      <c r="R2" s="3631" t="s">
        <v>105</v>
      </c>
      <c r="S2" s="3631">
        <v>13.0</v>
      </c>
      <c r="T2" s="3631">
        <v>4.0</v>
      </c>
      <c r="U2" s="3631">
        <v>1.0</v>
      </c>
      <c r="V2" s="3631" t="s">
        <v>5045</v>
      </c>
      <c r="W2" s="3632" t="s">
        <v>5046</v>
      </c>
      <c r="X2" s="3633" t="s">
        <v>5047</v>
      </c>
      <c r="Y2" s="3634" t="s">
        <v>3212</v>
      </c>
      <c r="Z2" s="3635" t="s">
        <v>3896</v>
      </c>
      <c r="AA2" s="3636" t="s">
        <v>5048</v>
      </c>
      <c r="AB2" s="3637"/>
      <c r="AC2" s="3638"/>
      <c r="AD2" s="3639"/>
      <c r="AE2" s="3639"/>
      <c r="AF2" s="3622"/>
      <c r="AG2" s="2984"/>
      <c r="AH2" s="2984"/>
    </row>
    <row r="3" spans="8:8" ht="14.25" customHeight="1">
      <c r="B3" s="3640" t="s">
        <v>5049</v>
      </c>
      <c r="C3" s="3641">
        <v>2.0</v>
      </c>
      <c r="D3" s="3641">
        <v>0.0</v>
      </c>
      <c r="E3" s="3641" t="s">
        <v>1450</v>
      </c>
      <c r="F3" s="3641" t="s">
        <v>5050</v>
      </c>
      <c r="G3" s="3641" t="s">
        <v>496</v>
      </c>
      <c r="H3" s="3641" t="s">
        <v>11</v>
      </c>
      <c r="I3" s="3642" t="s">
        <v>4729</v>
      </c>
      <c r="J3" s="3626"/>
      <c r="K3" s="3627"/>
      <c r="L3" s="3628"/>
      <c r="M3" s="3628"/>
      <c r="N3" s="3628"/>
      <c r="O3" s="3628"/>
      <c r="P3" s="3629"/>
      <c r="Q3" s="3630" t="s">
        <v>5051</v>
      </c>
      <c r="R3" s="3631" t="s">
        <v>105</v>
      </c>
      <c r="S3" s="3631">
        <v>14.0</v>
      </c>
      <c r="T3" s="3631">
        <v>5.0</v>
      </c>
      <c r="U3" s="3631">
        <v>2.0</v>
      </c>
      <c r="V3" s="3631">
        <v>4.0</v>
      </c>
      <c r="W3" s="3632" t="s">
        <v>5052</v>
      </c>
      <c r="X3" s="3633" t="s">
        <v>5047</v>
      </c>
      <c r="Y3" s="3634" t="s">
        <v>4502</v>
      </c>
      <c r="Z3" s="3635"/>
      <c r="AA3" s="3636"/>
      <c r="AB3" s="3637"/>
      <c r="AC3" s="3638"/>
      <c r="AD3" s="3639"/>
      <c r="AE3" s="3639"/>
      <c r="AF3" s="3643"/>
      <c r="AG3" s="2984"/>
      <c r="AH3" s="2984"/>
    </row>
    <row r="4" spans="8:8" ht="14.25" customHeight="1">
      <c r="B4" s="3623" t="s">
        <v>5053</v>
      </c>
      <c r="C4" s="3624">
        <v>3.0</v>
      </c>
      <c r="D4" s="3624" t="s">
        <v>88</v>
      </c>
      <c r="E4" s="3624" t="s">
        <v>88</v>
      </c>
      <c r="F4" s="3624" t="s">
        <v>88</v>
      </c>
      <c r="G4" s="3624" t="s">
        <v>496</v>
      </c>
      <c r="H4" s="3624" t="s">
        <v>88</v>
      </c>
      <c r="I4" s="3644" t="s">
        <v>5054</v>
      </c>
      <c r="J4" s="3626"/>
      <c r="K4" s="3627"/>
      <c r="L4" s="3628"/>
      <c r="M4" s="3628"/>
      <c r="N4" s="3628"/>
      <c r="O4" s="3628"/>
      <c r="P4" s="3629"/>
      <c r="Q4" s="3645" t="s">
        <v>5055</v>
      </c>
      <c r="R4" s="3646" t="s">
        <v>105</v>
      </c>
      <c r="S4" s="3646">
        <v>15.0</v>
      </c>
      <c r="T4" s="3646">
        <v>6.0</v>
      </c>
      <c r="U4" s="3646">
        <v>2.0</v>
      </c>
      <c r="V4" s="3646">
        <v>4.0</v>
      </c>
      <c r="W4" s="3647" t="s">
        <v>5052</v>
      </c>
      <c r="X4" s="3648" t="s">
        <v>5047</v>
      </c>
      <c r="Y4" s="3649" t="s">
        <v>3212</v>
      </c>
      <c r="Z4" s="3635"/>
      <c r="AA4" s="3636"/>
      <c r="AB4" s="3637"/>
      <c r="AC4" s="3638"/>
      <c r="AD4" s="3639"/>
      <c r="AE4" s="3639"/>
      <c r="AF4" s="3650"/>
      <c r="AG4" s="2984"/>
      <c r="AH4" s="2984"/>
    </row>
    <row r="5" spans="8:8" ht="14.25" customHeight="1">
      <c r="B5" s="3640" t="s">
        <v>5056</v>
      </c>
      <c r="C5" s="3641">
        <v>5.0</v>
      </c>
      <c r="D5" s="3641">
        <v>0.0</v>
      </c>
      <c r="E5" s="3641" t="s">
        <v>1450</v>
      </c>
      <c r="F5" s="3641" t="s">
        <v>5050</v>
      </c>
      <c r="G5" s="3641" t="s">
        <v>496</v>
      </c>
      <c r="H5" s="3641" t="s">
        <v>3212</v>
      </c>
      <c r="I5" s="3642" t="s">
        <v>4729</v>
      </c>
      <c r="J5" s="3626"/>
      <c r="K5" s="3627"/>
      <c r="L5" s="3628"/>
      <c r="M5" s="3628"/>
      <c r="N5" s="3628"/>
      <c r="O5" s="3628"/>
      <c r="P5" s="3629"/>
      <c r="Q5" s="3630" t="s">
        <v>5057</v>
      </c>
      <c r="R5" s="3651" t="s">
        <v>105</v>
      </c>
      <c r="S5" s="3631">
        <v>16.0</v>
      </c>
      <c r="T5" s="3631">
        <v>5.0</v>
      </c>
      <c r="U5" s="3631">
        <v>2.0</v>
      </c>
      <c r="V5" s="3631">
        <v>1.0</v>
      </c>
      <c r="W5" s="3632" t="s">
        <v>5046</v>
      </c>
      <c r="X5" s="3631" t="s">
        <v>88</v>
      </c>
      <c r="Y5" s="3634" t="s">
        <v>3212</v>
      </c>
      <c r="Z5" s="3635"/>
      <c r="AA5" s="3636"/>
      <c r="AB5" s="3638"/>
      <c r="AC5" s="3638"/>
      <c r="AD5" s="3639"/>
      <c r="AE5" s="3639"/>
      <c r="AF5" s="3622"/>
      <c r="AG5" s="2984"/>
      <c r="AH5" s="2984"/>
    </row>
    <row r="6" spans="8:8" ht="14.25" customHeight="1">
      <c r="B6" s="3623" t="s">
        <v>5058</v>
      </c>
      <c r="C6" s="3624">
        <v>8.0</v>
      </c>
      <c r="D6" s="3624">
        <v>0.0</v>
      </c>
      <c r="E6" s="3624" t="s">
        <v>5039</v>
      </c>
      <c r="F6" s="3624" t="s">
        <v>5040</v>
      </c>
      <c r="G6" s="3624" t="s">
        <v>496</v>
      </c>
      <c r="H6" s="3624" t="s">
        <v>3212</v>
      </c>
      <c r="I6" s="3625" t="s">
        <v>4729</v>
      </c>
      <c r="J6" s="3626"/>
      <c r="K6" s="3627"/>
      <c r="L6" s="3628"/>
      <c r="M6" s="3628"/>
      <c r="N6" s="3628"/>
      <c r="O6" s="3628"/>
      <c r="P6" s="3629"/>
      <c r="Q6" s="3645" t="s">
        <v>5059</v>
      </c>
      <c r="R6" s="3631" t="s">
        <v>105</v>
      </c>
      <c r="S6" s="3646">
        <v>14.0</v>
      </c>
      <c r="T6" s="3646">
        <v>6.0</v>
      </c>
      <c r="U6" s="3646">
        <v>2.0</v>
      </c>
      <c r="V6" s="3646" t="s">
        <v>5060</v>
      </c>
      <c r="W6" s="3647" t="s">
        <v>5052</v>
      </c>
      <c r="X6" s="3648" t="s">
        <v>5061</v>
      </c>
      <c r="Y6" s="3649" t="s">
        <v>4502</v>
      </c>
      <c r="Z6" s="3635"/>
      <c r="AA6" s="3636"/>
      <c r="AB6" s="3638"/>
      <c r="AC6" s="3638"/>
      <c r="AD6" s="3639"/>
      <c r="AE6" s="3639"/>
      <c r="AF6" s="3622"/>
      <c r="AG6" s="2984"/>
      <c r="AH6" s="2984"/>
    </row>
    <row r="7" spans="8:8" ht="14.25" customHeight="1">
      <c r="B7" s="3640" t="s">
        <v>5062</v>
      </c>
      <c r="C7" s="3641">
        <v>15.0</v>
      </c>
      <c r="D7" s="3641" t="s">
        <v>88</v>
      </c>
      <c r="E7" s="3641" t="s">
        <v>88</v>
      </c>
      <c r="F7" s="3641" t="s">
        <v>88</v>
      </c>
      <c r="G7" s="3641" t="s">
        <v>496</v>
      </c>
      <c r="H7" s="3641" t="s">
        <v>3212</v>
      </c>
      <c r="I7" s="3642" t="s">
        <v>5063</v>
      </c>
      <c r="J7" s="3626"/>
      <c r="K7" s="3627"/>
      <c r="L7" s="3628"/>
      <c r="M7" s="3628"/>
      <c r="N7" s="3628"/>
      <c r="O7" s="3628"/>
      <c r="P7" s="3629"/>
      <c r="Q7" s="3630" t="s">
        <v>5064</v>
      </c>
      <c r="R7" s="3631" t="s">
        <v>105</v>
      </c>
      <c r="S7" s="3631">
        <v>13.0</v>
      </c>
      <c r="T7" s="3631">
        <v>7.0</v>
      </c>
      <c r="U7" s="3631">
        <v>2.0</v>
      </c>
      <c r="V7" s="3631" t="s">
        <v>5060</v>
      </c>
      <c r="W7" s="3632" t="s">
        <v>5052</v>
      </c>
      <c r="X7" s="3633" t="s">
        <v>5061</v>
      </c>
      <c r="Y7" s="3634" t="s">
        <v>3212</v>
      </c>
      <c r="Z7" s="3635"/>
      <c r="AA7" s="3636"/>
      <c r="AB7" s="3638"/>
      <c r="AC7" s="3638"/>
      <c r="AD7" s="3639"/>
      <c r="AE7" s="3639"/>
      <c r="AF7" s="3622"/>
      <c r="AG7" s="2984"/>
      <c r="AH7" s="2984"/>
    </row>
    <row r="8" spans="8:8" ht="14.25" customHeight="1">
      <c r="B8" s="3623" t="s">
        <v>5065</v>
      </c>
      <c r="C8" s="3624">
        <v>19.0</v>
      </c>
      <c r="D8" s="3624" t="s">
        <v>88</v>
      </c>
      <c r="E8" s="3624" t="s">
        <v>88</v>
      </c>
      <c r="F8" s="3624" t="s">
        <v>88</v>
      </c>
      <c r="G8" s="3624" t="s">
        <v>496</v>
      </c>
      <c r="H8" s="3624" t="s">
        <v>88</v>
      </c>
      <c r="I8" s="3644" t="s">
        <v>5066</v>
      </c>
      <c r="J8" s="3626"/>
      <c r="K8" s="3627"/>
      <c r="L8" s="3628"/>
      <c r="M8" s="3628"/>
      <c r="N8" s="3628"/>
      <c r="O8" s="3628"/>
      <c r="P8" s="3629"/>
      <c r="Q8" s="3645" t="s">
        <v>5067</v>
      </c>
      <c r="R8" s="3646" t="s">
        <v>105</v>
      </c>
      <c r="S8" s="3646">
        <v>13.0</v>
      </c>
      <c r="T8" s="3646">
        <v>9.0</v>
      </c>
      <c r="U8" s="3646">
        <v>2.0</v>
      </c>
      <c r="V8" s="3646" t="s">
        <v>5068</v>
      </c>
      <c r="W8" s="3647" t="s">
        <v>5052</v>
      </c>
      <c r="X8" s="3648" t="s">
        <v>5069</v>
      </c>
      <c r="Y8" s="3649" t="s">
        <v>3212</v>
      </c>
      <c r="Z8" s="3635"/>
      <c r="AA8" s="3636"/>
      <c r="AB8" s="3638"/>
      <c r="AC8" s="3638"/>
      <c r="AD8" s="3639"/>
      <c r="AE8" s="3639"/>
      <c r="AF8" s="3622"/>
      <c r="AG8" s="2984"/>
      <c r="AH8" s="2984"/>
    </row>
    <row r="9" spans="8:8" ht="14.25" customHeight="1">
      <c r="B9" s="3623" t="s">
        <v>5070</v>
      </c>
      <c r="C9" s="3624">
        <v>20.0</v>
      </c>
      <c r="D9" s="3624" t="s">
        <v>88</v>
      </c>
      <c r="E9" s="3624" t="s">
        <v>88</v>
      </c>
      <c r="F9" s="3624" t="s">
        <v>88</v>
      </c>
      <c r="G9" s="3624" t="s">
        <v>496</v>
      </c>
      <c r="H9" s="3624" t="s">
        <v>4502</v>
      </c>
      <c r="I9" s="3625" t="s">
        <v>5071</v>
      </c>
      <c r="J9" s="3626"/>
      <c r="K9" s="3627"/>
      <c r="L9" s="3628"/>
      <c r="M9" s="3628"/>
      <c r="N9" s="3628"/>
      <c r="O9" s="3628"/>
      <c r="P9" s="3629"/>
      <c r="Q9" s="3630" t="s">
        <v>5072</v>
      </c>
      <c r="R9" s="3631" t="s">
        <v>105</v>
      </c>
      <c r="S9" s="3631">
        <v>13.0</v>
      </c>
      <c r="T9" s="3631">
        <v>1.0</v>
      </c>
      <c r="U9" s="3631">
        <v>0.0</v>
      </c>
      <c r="V9" s="3631">
        <v>1.0</v>
      </c>
      <c r="W9" s="3632" t="s">
        <v>5052</v>
      </c>
      <c r="X9" s="3633" t="s">
        <v>88</v>
      </c>
      <c r="Y9" s="3652" t="s">
        <v>4502</v>
      </c>
      <c r="Z9" s="3635"/>
      <c r="AA9" s="3636"/>
      <c r="AB9" s="3638"/>
      <c r="AC9" s="3638"/>
      <c r="AD9" s="3639"/>
      <c r="AE9" s="3639"/>
      <c r="AF9" s="3622"/>
      <c r="AG9" s="2984"/>
      <c r="AH9" s="2984"/>
    </row>
    <row r="10" spans="8:8" ht="14.25" customHeight="1">
      <c r="B10" s="3653" t="s">
        <v>5073</v>
      </c>
      <c r="C10" s="3654" t="s">
        <v>5074</v>
      </c>
      <c r="D10" s="3654" t="s">
        <v>88</v>
      </c>
      <c r="E10" s="3654" t="s">
        <v>5075</v>
      </c>
      <c r="F10" s="3654" t="s">
        <v>5076</v>
      </c>
      <c r="G10" s="3654" t="s">
        <v>1485</v>
      </c>
      <c r="H10" s="3654" t="s">
        <v>88</v>
      </c>
      <c r="I10" s="3655" t="s">
        <v>88</v>
      </c>
      <c r="J10" s="3626"/>
      <c r="K10" s="3627"/>
      <c r="L10" s="3628"/>
      <c r="M10" s="3628"/>
      <c r="N10" s="3628"/>
      <c r="O10" s="3628"/>
      <c r="P10" s="3629"/>
      <c r="Q10" s="3645" t="s">
        <v>5077</v>
      </c>
      <c r="R10" s="3646" t="s">
        <v>105</v>
      </c>
      <c r="S10" s="3646">
        <v>16.0</v>
      </c>
      <c r="T10" s="3646">
        <v>3.0</v>
      </c>
      <c r="U10" s="3646">
        <v>0.0</v>
      </c>
      <c r="V10" s="3646">
        <v>1.0</v>
      </c>
      <c r="W10" s="3647" t="s">
        <v>5052</v>
      </c>
      <c r="X10" s="3648" t="s">
        <v>88</v>
      </c>
      <c r="Y10" s="3634" t="s">
        <v>4502</v>
      </c>
      <c r="Z10" s="3635"/>
      <c r="AA10" s="3636"/>
      <c r="AB10" s="3638"/>
      <c r="AC10" s="3638"/>
      <c r="AD10" s="3639"/>
      <c r="AE10" s="3639"/>
      <c r="AF10" s="3622"/>
      <c r="AG10" s="3010"/>
      <c r="AH10" s="3010"/>
    </row>
    <row r="11" spans="8:8" ht="14.25" customHeight="1">
      <c r="B11" s="3656" t="s">
        <v>5078</v>
      </c>
      <c r="C11" s="3657">
        <v>8.0</v>
      </c>
      <c r="D11" s="3657" t="s">
        <v>5079</v>
      </c>
      <c r="E11" s="3657" t="s">
        <v>5075</v>
      </c>
      <c r="F11" s="3657" t="s">
        <v>5080</v>
      </c>
      <c r="G11" s="3657" t="s">
        <v>1485</v>
      </c>
      <c r="H11" s="3657" t="s">
        <v>88</v>
      </c>
      <c r="I11" s="3658" t="s">
        <v>4729</v>
      </c>
      <c r="J11" s="3626"/>
      <c r="K11" s="3627"/>
      <c r="L11" s="3628"/>
      <c r="M11" s="3628"/>
      <c r="N11" s="3628"/>
      <c r="O11" s="3628"/>
      <c r="P11" s="3629"/>
      <c r="Q11" s="3659" t="s">
        <v>5081</v>
      </c>
      <c r="R11" s="3660" t="s">
        <v>5082</v>
      </c>
      <c r="S11" s="3660">
        <v>11.0</v>
      </c>
      <c r="T11" s="3660">
        <v>20.0</v>
      </c>
      <c r="U11" s="3660">
        <v>24.0</v>
      </c>
      <c r="V11" s="3660">
        <v>4.0</v>
      </c>
      <c r="W11" s="3661" t="s">
        <v>5046</v>
      </c>
      <c r="X11" s="3662" t="s">
        <v>5052</v>
      </c>
      <c r="Y11" s="3663" t="s">
        <v>4502</v>
      </c>
      <c r="Z11" s="3664" t="s">
        <v>5083</v>
      </c>
      <c r="AA11" s="3636"/>
      <c r="AB11" s="3638"/>
      <c r="AC11" s="3638"/>
      <c r="AD11" s="3639"/>
      <c r="AE11" s="3639"/>
      <c r="AF11" s="3622"/>
      <c r="AG11" s="3010"/>
      <c r="AH11" s="3010"/>
    </row>
    <row r="12" spans="8:8" ht="14.25" customHeight="1">
      <c r="B12" s="3623" t="s">
        <v>5084</v>
      </c>
      <c r="C12" s="3624">
        <v>10.0</v>
      </c>
      <c r="D12" s="3624" t="s">
        <v>88</v>
      </c>
      <c r="E12" s="3624" t="s">
        <v>88</v>
      </c>
      <c r="F12" s="3624" t="s">
        <v>88</v>
      </c>
      <c r="G12" s="3624" t="s">
        <v>496</v>
      </c>
      <c r="H12" s="3624" t="s">
        <v>4502</v>
      </c>
      <c r="I12" s="3625" t="s">
        <v>5085</v>
      </c>
      <c r="J12" s="3626"/>
      <c r="K12" s="3627"/>
      <c r="L12" s="3628"/>
      <c r="M12" s="3628"/>
      <c r="N12" s="3628"/>
      <c r="O12" s="3628"/>
      <c r="P12" s="3629"/>
      <c r="Q12" s="3630" t="s">
        <v>5086</v>
      </c>
      <c r="R12" s="3631" t="s">
        <v>5082</v>
      </c>
      <c r="S12" s="3631">
        <v>12.0</v>
      </c>
      <c r="T12" s="3631">
        <v>12.0</v>
      </c>
      <c r="U12" s="3631">
        <v>1.0</v>
      </c>
      <c r="V12" s="3631" t="s">
        <v>3875</v>
      </c>
      <c r="W12" s="3632" t="s">
        <v>5087</v>
      </c>
      <c r="X12" s="3665" t="s">
        <v>5088</v>
      </c>
      <c r="Y12" s="3634" t="s">
        <v>11</v>
      </c>
      <c r="Z12" s="3664"/>
      <c r="AA12" s="3636"/>
      <c r="AB12" s="3638"/>
      <c r="AC12" s="3638"/>
      <c r="AD12" s="3639"/>
      <c r="AE12" s="3639"/>
      <c r="AF12" s="3622"/>
      <c r="AG12" s="3010"/>
      <c r="AH12" s="3010"/>
    </row>
    <row r="13" spans="8:8" ht="14.25" customHeight="1">
      <c r="B13" s="3666" t="s">
        <v>5089</v>
      </c>
      <c r="C13" s="3667" t="s">
        <v>5090</v>
      </c>
      <c r="D13" s="3667" t="s">
        <v>88</v>
      </c>
      <c r="E13" s="3667" t="s">
        <v>5091</v>
      </c>
      <c r="F13" s="3667" t="s">
        <v>88</v>
      </c>
      <c r="G13" s="3667" t="s">
        <v>171</v>
      </c>
      <c r="H13" s="3668" t="s">
        <v>5092</v>
      </c>
      <c r="I13" s="3669" t="s">
        <v>88</v>
      </c>
      <c r="J13" s="3670" t="s">
        <v>5093</v>
      </c>
      <c r="K13" s="3671" t="s">
        <v>5094</v>
      </c>
      <c r="L13" s="3671"/>
      <c r="M13" s="3671"/>
      <c r="N13" s="3671"/>
      <c r="O13" s="3672"/>
      <c r="P13" s="3629"/>
      <c r="Q13" s="3659" t="s">
        <v>5095</v>
      </c>
      <c r="R13" s="3660" t="s">
        <v>5082</v>
      </c>
      <c r="S13" s="3660">
        <v>15.0</v>
      </c>
      <c r="T13" s="3660">
        <v>14.0</v>
      </c>
      <c r="U13" s="3660">
        <v>2.0</v>
      </c>
      <c r="V13" s="3660" t="s">
        <v>3875</v>
      </c>
      <c r="W13" s="3661" t="s">
        <v>5052</v>
      </c>
      <c r="X13" s="3673" t="s">
        <v>5096</v>
      </c>
      <c r="Y13" s="3663" t="s">
        <v>3212</v>
      </c>
      <c r="Z13" s="3664"/>
      <c r="AA13" s="3636"/>
      <c r="AB13" s="3638"/>
      <c r="AC13" s="3638"/>
      <c r="AD13" s="3639"/>
      <c r="AE13" s="3639"/>
      <c r="AF13" s="3622"/>
      <c r="AG13" s="3010"/>
      <c r="AH13" s="3010"/>
    </row>
    <row r="14" spans="8:8" ht="14.25" customHeight="1">
      <c r="B14" s="3666" t="s">
        <v>5097</v>
      </c>
      <c r="C14" s="3674" t="s">
        <v>5098</v>
      </c>
      <c r="D14" s="3674" t="s">
        <v>88</v>
      </c>
      <c r="E14" s="3674" t="s">
        <v>5091</v>
      </c>
      <c r="F14" s="3674" t="s">
        <v>88</v>
      </c>
      <c r="G14" s="3674" t="s">
        <v>171</v>
      </c>
      <c r="H14" s="3668"/>
      <c r="I14" s="3669"/>
      <c r="J14" s="3670"/>
      <c r="K14" s="3675"/>
      <c r="L14" s="3676"/>
      <c r="M14" s="3676"/>
      <c r="N14" s="3676"/>
      <c r="O14" s="3677"/>
      <c r="P14" s="3629"/>
      <c r="Q14" s="3678" t="s">
        <v>5099</v>
      </c>
      <c r="R14" s="3679" t="s">
        <v>5100</v>
      </c>
      <c r="S14" s="3679">
        <v>11.0</v>
      </c>
      <c r="T14" s="3679">
        <v>4.0</v>
      </c>
      <c r="U14" s="3679">
        <v>0.0</v>
      </c>
      <c r="V14" s="3679">
        <v>1.0</v>
      </c>
      <c r="W14" s="3680" t="s">
        <v>5052</v>
      </c>
      <c r="X14" s="3679" t="s">
        <v>88</v>
      </c>
      <c r="Y14" s="3681" t="s">
        <v>5101</v>
      </c>
      <c r="Z14" s="3682" t="s">
        <v>5102</v>
      </c>
      <c r="AA14" s="3636"/>
      <c r="AB14" s="3638"/>
      <c r="AC14" s="3638"/>
      <c r="AD14" s="3639"/>
      <c r="AE14" s="3639"/>
      <c r="AF14" s="3622"/>
      <c r="AG14" s="3010"/>
      <c r="AH14" s="3010"/>
    </row>
    <row r="15" spans="8:8" ht="14.25" customHeight="1">
      <c r="B15" s="3666" t="s">
        <v>5103</v>
      </c>
      <c r="C15" s="3667" t="s">
        <v>5104</v>
      </c>
      <c r="D15" s="3667" t="s">
        <v>88</v>
      </c>
      <c r="E15" s="3667" t="s">
        <v>5091</v>
      </c>
      <c r="F15" s="3667" t="s">
        <v>88</v>
      </c>
      <c r="G15" s="3667" t="s">
        <v>171</v>
      </c>
      <c r="H15" s="3668"/>
      <c r="I15" s="3669"/>
      <c r="J15" s="3670"/>
      <c r="K15" s="3675"/>
      <c r="L15" s="3676"/>
      <c r="M15" s="3676"/>
      <c r="N15" s="3676"/>
      <c r="O15" s="3677"/>
      <c r="P15" s="3629"/>
      <c r="Q15" s="3630" t="s">
        <v>5105</v>
      </c>
      <c r="R15" s="3631" t="s">
        <v>5106</v>
      </c>
      <c r="S15" s="3631">
        <v>10.0</v>
      </c>
      <c r="T15" s="3631">
        <v>3.0</v>
      </c>
      <c r="U15" s="3631">
        <v>0.0</v>
      </c>
      <c r="V15" s="3631" t="s">
        <v>5107</v>
      </c>
      <c r="W15" s="3631" t="s">
        <v>5096</v>
      </c>
      <c r="X15" s="3631" t="s">
        <v>5061</v>
      </c>
      <c r="Y15" s="3634" t="s">
        <v>11</v>
      </c>
      <c r="Z15" s="3682"/>
      <c r="AA15" s="3636"/>
      <c r="AB15" s="3638"/>
      <c r="AC15" s="3638"/>
      <c r="AD15" s="3639"/>
      <c r="AE15" s="3639"/>
      <c r="AF15" s="3622"/>
      <c r="AG15" s="3010"/>
      <c r="AH15" s="3010"/>
    </row>
    <row r="16" spans="8:8" ht="14.25" customHeight="1">
      <c r="B16" s="3683" t="s">
        <v>5108</v>
      </c>
      <c r="C16" s="3684">
        <v>2.0</v>
      </c>
      <c r="D16" s="3684" t="s">
        <v>88</v>
      </c>
      <c r="E16" s="3684" t="s">
        <v>88</v>
      </c>
      <c r="F16" s="3684" t="s">
        <v>88</v>
      </c>
      <c r="G16" s="3684" t="s">
        <v>171</v>
      </c>
      <c r="H16" s="3684" t="s">
        <v>5109</v>
      </c>
      <c r="I16" s="3685" t="s">
        <v>5110</v>
      </c>
      <c r="J16" s="3670"/>
      <c r="K16" s="3686"/>
      <c r="L16" s="3686"/>
      <c r="M16" s="3686"/>
      <c r="N16" s="3686"/>
      <c r="O16" s="3687"/>
      <c r="P16" s="3629"/>
      <c r="Q16" s="3678" t="s">
        <v>4481</v>
      </c>
      <c r="R16" s="3679" t="s">
        <v>5100</v>
      </c>
      <c r="S16" s="3679">
        <v>10.0</v>
      </c>
      <c r="T16" s="3679">
        <v>0.5</v>
      </c>
      <c r="U16" s="3679">
        <v>0.0</v>
      </c>
      <c r="V16" s="3679">
        <v>1.0</v>
      </c>
      <c r="W16" s="3680" t="s">
        <v>5052</v>
      </c>
      <c r="X16" s="3679" t="s">
        <v>88</v>
      </c>
      <c r="Y16" s="3681" t="s">
        <v>4502</v>
      </c>
      <c r="Z16" s="3682"/>
      <c r="AA16" s="3636"/>
      <c r="AB16" s="3638"/>
      <c r="AC16" s="3638"/>
      <c r="AD16" s="3639"/>
      <c r="AE16" s="3639"/>
      <c r="AF16" s="3622"/>
      <c r="AG16" s="3010"/>
      <c r="AH16" s="3010"/>
    </row>
    <row r="17" spans="8:8" ht="14.25" customHeight="1">
      <c r="B17" s="3688" t="s">
        <v>5111</v>
      </c>
      <c r="C17" s="3667">
        <v>8.0</v>
      </c>
      <c r="D17" s="3667" t="s">
        <v>88</v>
      </c>
      <c r="E17" s="3667" t="s">
        <v>88</v>
      </c>
      <c r="F17" s="3667" t="s">
        <v>88</v>
      </c>
      <c r="G17" s="3667" t="s">
        <v>171</v>
      </c>
      <c r="H17" s="3667" t="s">
        <v>3212</v>
      </c>
      <c r="I17" s="3689">
        <v>40.0</v>
      </c>
      <c r="J17" s="3670"/>
      <c r="K17" s="3690" t="s">
        <v>5882</v>
      </c>
      <c r="L17" s="3691"/>
      <c r="M17" s="3691"/>
      <c r="N17" s="3691"/>
      <c r="O17" s="3691"/>
      <c r="P17" s="3629"/>
      <c r="Q17" s="3692" t="s">
        <v>5112</v>
      </c>
      <c r="R17" s="3693" t="s">
        <v>5113</v>
      </c>
      <c r="S17" s="3693">
        <v>4.0</v>
      </c>
      <c r="T17" s="3693">
        <v>2.0</v>
      </c>
      <c r="U17" s="3693">
        <v>0.0</v>
      </c>
      <c r="V17" s="3693">
        <v>3.0</v>
      </c>
      <c r="W17" s="3694" t="s">
        <v>5114</v>
      </c>
      <c r="X17" s="3695" t="s">
        <v>5047</v>
      </c>
      <c r="Y17" s="3696" t="s">
        <v>4502</v>
      </c>
      <c r="Z17" s="3697" t="s">
        <v>5115</v>
      </c>
      <c r="AA17" s="3636"/>
      <c r="AB17" s="3639"/>
      <c r="AC17" s="3639"/>
      <c r="AD17" s="3639"/>
      <c r="AE17" s="3639"/>
      <c r="AF17" s="3622"/>
      <c r="AG17" s="3010"/>
      <c r="AH17" s="3010"/>
    </row>
    <row r="18" spans="8:8" ht="14.25" customHeight="1">
      <c r="B18" s="3698" t="s">
        <v>5116</v>
      </c>
      <c r="C18" s="3674">
        <v>12.0</v>
      </c>
      <c r="D18" s="3674" t="s">
        <v>88</v>
      </c>
      <c r="E18" s="3674" t="s">
        <v>88</v>
      </c>
      <c r="F18" s="3674" t="s">
        <v>88</v>
      </c>
      <c r="G18" s="3674" t="s">
        <v>496</v>
      </c>
      <c r="H18" s="3674" t="s">
        <v>4502</v>
      </c>
      <c r="I18" s="3699" t="s">
        <v>5117</v>
      </c>
      <c r="J18" s="3670"/>
      <c r="K18" s="3700"/>
      <c r="L18" s="3701"/>
      <c r="M18" s="3701"/>
      <c r="N18" s="3701"/>
      <c r="O18" s="3701"/>
      <c r="P18" s="3629"/>
      <c r="Q18" s="3630" t="s">
        <v>5118</v>
      </c>
      <c r="R18" s="3631" t="s">
        <v>5113</v>
      </c>
      <c r="S18" s="3631">
        <v>12.0</v>
      </c>
      <c r="T18" s="3631">
        <v>4.0</v>
      </c>
      <c r="U18" s="3631">
        <v>0.0</v>
      </c>
      <c r="V18" s="3631">
        <v>22.0</v>
      </c>
      <c r="W18" s="3632" t="s">
        <v>5119</v>
      </c>
      <c r="X18" s="3633" t="s">
        <v>5047</v>
      </c>
      <c r="Y18" s="3634" t="s">
        <v>4502</v>
      </c>
      <c r="Z18" s="3697"/>
      <c r="AA18" s="3636"/>
      <c r="AB18" s="3639"/>
      <c r="AC18" s="3639"/>
      <c r="AD18" s="3639"/>
      <c r="AE18" s="3639"/>
      <c r="AF18" s="3622"/>
      <c r="AG18" s="3010"/>
      <c r="AH18" s="3010"/>
    </row>
    <row r="19" spans="8:8" ht="14.25" customHeight="1">
      <c r="B19" s="3688" t="s">
        <v>5120</v>
      </c>
      <c r="C19" s="3667">
        <v>1.0</v>
      </c>
      <c r="D19" s="3667" t="s">
        <v>88</v>
      </c>
      <c r="E19" s="3667" t="s">
        <v>88</v>
      </c>
      <c r="F19" s="3667" t="s">
        <v>88</v>
      </c>
      <c r="G19" s="3667" t="s">
        <v>496</v>
      </c>
      <c r="H19" s="3667" t="s">
        <v>4502</v>
      </c>
      <c r="I19" s="3689" t="s">
        <v>5121</v>
      </c>
      <c r="J19" s="3670"/>
      <c r="K19" s="3700"/>
      <c r="L19" s="3701"/>
      <c r="M19" s="3701"/>
      <c r="N19" s="3701"/>
      <c r="O19" s="3701"/>
      <c r="P19" s="3629"/>
      <c r="Q19" s="3692" t="s">
        <v>5122</v>
      </c>
      <c r="R19" s="3693" t="s">
        <v>5123</v>
      </c>
      <c r="S19" s="3693">
        <v>14.0</v>
      </c>
      <c r="T19" s="3693">
        <v>3.0</v>
      </c>
      <c r="U19" s="3693">
        <v>0.0</v>
      </c>
      <c r="V19" s="3693">
        <v>6.0</v>
      </c>
      <c r="W19" s="3694" t="s">
        <v>5052</v>
      </c>
      <c r="X19" s="3695" t="s">
        <v>5047</v>
      </c>
      <c r="Y19" s="3696" t="s">
        <v>4502</v>
      </c>
      <c r="Z19" s="3697"/>
      <c r="AA19" s="3636"/>
      <c r="AB19" s="3639"/>
      <c r="AC19" s="3639"/>
      <c r="AD19" s="3639"/>
      <c r="AE19" s="3639"/>
      <c r="AF19" s="3622"/>
      <c r="AG19" s="3010"/>
      <c r="AH19" s="3010"/>
    </row>
    <row r="20" spans="8:8" ht="14.25" customHeight="1">
      <c r="B20" s="3683" t="s">
        <v>5124</v>
      </c>
      <c r="C20" s="3684">
        <v>20.0</v>
      </c>
      <c r="D20" s="3684" t="s">
        <v>88</v>
      </c>
      <c r="E20" s="3684" t="s">
        <v>88</v>
      </c>
      <c r="F20" s="3684" t="s">
        <v>88</v>
      </c>
      <c r="G20" s="3684" t="s">
        <v>496</v>
      </c>
      <c r="H20" s="3684" t="s">
        <v>5125</v>
      </c>
      <c r="I20" s="3702" t="s">
        <v>5126</v>
      </c>
      <c r="J20" s="3670"/>
      <c r="K20" s="3700"/>
      <c r="L20" s="3701"/>
      <c r="M20" s="3701"/>
      <c r="N20" s="3701"/>
      <c r="O20" s="3701"/>
      <c r="P20" s="3629"/>
      <c r="Q20" s="3630" t="s">
        <v>5127</v>
      </c>
      <c r="R20" s="3631" t="s">
        <v>5113</v>
      </c>
      <c r="S20" s="3631">
        <v>11.0</v>
      </c>
      <c r="T20" s="3631">
        <v>32.0</v>
      </c>
      <c r="U20" s="3631" t="s">
        <v>5128</v>
      </c>
      <c r="V20" s="3631" t="s">
        <v>5129</v>
      </c>
      <c r="W20" s="3632" t="s">
        <v>5052</v>
      </c>
      <c r="X20" s="3633" t="s">
        <v>5130</v>
      </c>
      <c r="Y20" s="3634" t="s">
        <v>4502</v>
      </c>
      <c r="Z20" s="3697"/>
      <c r="AA20" s="3636"/>
      <c r="AB20" s="3639"/>
      <c r="AC20" s="3639"/>
      <c r="AD20" s="3639"/>
      <c r="AE20" s="3639"/>
      <c r="AF20" s="3622"/>
      <c r="AG20" s="3010"/>
      <c r="AH20" s="3010"/>
    </row>
    <row r="21" spans="8:8" ht="14.25" customHeight="1">
      <c r="B21" s="3688" t="s">
        <v>5131</v>
      </c>
      <c r="C21" s="3667" t="s">
        <v>5132</v>
      </c>
      <c r="D21" s="3667" t="s">
        <v>88</v>
      </c>
      <c r="E21" s="3667" t="s">
        <v>88</v>
      </c>
      <c r="F21" s="3667" t="s">
        <v>88</v>
      </c>
      <c r="G21" s="3667" t="s">
        <v>1485</v>
      </c>
      <c r="H21" s="3667" t="s">
        <v>3212</v>
      </c>
      <c r="I21" s="3689" t="s">
        <v>5133</v>
      </c>
      <c r="J21" s="3670"/>
      <c r="K21" s="3700"/>
      <c r="L21" s="3701"/>
      <c r="M21" s="3701"/>
      <c r="N21" s="3701"/>
      <c r="O21" s="3701"/>
      <c r="P21" s="3629"/>
      <c r="Q21" s="3703" t="s">
        <v>5134</v>
      </c>
      <c r="R21" s="3693" t="s">
        <v>5135</v>
      </c>
      <c r="S21" s="3693">
        <v>11.0</v>
      </c>
      <c r="T21" s="3693">
        <v>65.0</v>
      </c>
      <c r="U21" s="3693" t="s">
        <v>5128</v>
      </c>
      <c r="V21" s="3693" t="s">
        <v>5136</v>
      </c>
      <c r="W21" s="3694" t="s">
        <v>5052</v>
      </c>
      <c r="X21" s="3695" t="s">
        <v>5130</v>
      </c>
      <c r="Y21" s="3696" t="s">
        <v>4502</v>
      </c>
      <c r="Z21" s="3697"/>
      <c r="AA21" s="3636"/>
      <c r="AB21" s="3704" t="s">
        <v>5137</v>
      </c>
      <c r="AC21" s="3705"/>
      <c r="AD21" s="3705"/>
      <c r="AE21" s="3706"/>
      <c r="AF21" s="3622"/>
      <c r="AG21" s="3010"/>
      <c r="AH21" s="3010"/>
    </row>
    <row r="22" spans="8:8" ht="14.25" customHeight="1">
      <c r="B22" s="3698" t="s">
        <v>5138</v>
      </c>
      <c r="C22" s="3674">
        <v>15.0</v>
      </c>
      <c r="D22" s="3674" t="s">
        <v>88</v>
      </c>
      <c r="E22" s="3674" t="s">
        <v>88</v>
      </c>
      <c r="F22" s="3674" t="s">
        <v>88</v>
      </c>
      <c r="G22" s="3674" t="s">
        <v>496</v>
      </c>
      <c r="H22" s="3674" t="s">
        <v>4502</v>
      </c>
      <c r="I22" s="3699" t="s">
        <v>5071</v>
      </c>
      <c r="J22" s="3670"/>
      <c r="K22" s="3700"/>
      <c r="L22" s="3701"/>
      <c r="M22" s="3701"/>
      <c r="N22" s="3701"/>
      <c r="O22" s="3701"/>
      <c r="P22" s="3629"/>
      <c r="Q22" s="3703" t="s">
        <v>5139</v>
      </c>
      <c r="R22" s="3631" t="s">
        <v>5140</v>
      </c>
      <c r="S22" s="3631">
        <v>11.0</v>
      </c>
      <c r="T22" s="3631">
        <v>75.0</v>
      </c>
      <c r="U22" s="3631" t="s">
        <v>5128</v>
      </c>
      <c r="V22" s="3631" t="s">
        <v>5141</v>
      </c>
      <c r="W22" s="3632" t="s">
        <v>5052</v>
      </c>
      <c r="X22" s="3633" t="s">
        <v>5142</v>
      </c>
      <c r="Y22" s="3634" t="s">
        <v>5143</v>
      </c>
      <c r="Z22" s="3697"/>
      <c r="AA22" s="3636"/>
      <c r="AB22" s="3707"/>
      <c r="AC22" s="3708"/>
      <c r="AD22" s="3708"/>
      <c r="AE22" s="3709"/>
      <c r="AF22" s="3622"/>
      <c r="AG22" s="3010"/>
      <c r="AH22" s="3010"/>
    </row>
    <row r="23" spans="8:8" ht="14.25" customHeight="1">
      <c r="B23" s="3688" t="s">
        <v>5144</v>
      </c>
      <c r="C23" s="3667">
        <v>4.0</v>
      </c>
      <c r="D23" s="3667" t="s">
        <v>88</v>
      </c>
      <c r="E23" s="3667" t="s">
        <v>5145</v>
      </c>
      <c r="F23" s="3667" t="s">
        <v>88</v>
      </c>
      <c r="G23" s="3667" t="s">
        <v>496</v>
      </c>
      <c r="H23" s="3667" t="s">
        <v>4502</v>
      </c>
      <c r="I23" s="3689" t="s">
        <v>5146</v>
      </c>
      <c r="J23" s="3670"/>
      <c r="K23" s="3700"/>
      <c r="L23" s="3701"/>
      <c r="M23" s="3701"/>
      <c r="N23" s="3701"/>
      <c r="O23" s="3701"/>
      <c r="P23" s="3629"/>
      <c r="Q23" s="3703" t="s">
        <v>5147</v>
      </c>
      <c r="R23" s="3693" t="s">
        <v>5140</v>
      </c>
      <c r="S23" s="3693">
        <v>12.0</v>
      </c>
      <c r="T23" s="3693">
        <v>24.0</v>
      </c>
      <c r="U23" s="3693" t="s">
        <v>5128</v>
      </c>
      <c r="V23" s="3693" t="s">
        <v>5148</v>
      </c>
      <c r="W23" s="3694" t="s">
        <v>5052</v>
      </c>
      <c r="X23" s="3695" t="s">
        <v>5130</v>
      </c>
      <c r="Y23" s="3696" t="s">
        <v>4502</v>
      </c>
      <c r="Z23" s="3697"/>
      <c r="AA23" s="3636"/>
      <c r="AB23" s="3710"/>
      <c r="AC23" s="3711"/>
      <c r="AD23" s="3711"/>
      <c r="AE23" s="3712"/>
      <c r="AF23" s="3622"/>
      <c r="AG23" s="3010"/>
      <c r="AH23" s="3010"/>
    </row>
    <row r="24" spans="8:8" ht="14.25" customHeight="1">
      <c r="B24" s="3698" t="s">
        <v>5149</v>
      </c>
      <c r="C24" s="3674">
        <v>3.0</v>
      </c>
      <c r="D24" s="3674" t="s">
        <v>88</v>
      </c>
      <c r="E24" s="3674" t="s">
        <v>88</v>
      </c>
      <c r="F24" s="3674" t="s">
        <v>88</v>
      </c>
      <c r="G24" s="3674" t="s">
        <v>496</v>
      </c>
      <c r="H24" s="3674" t="s">
        <v>4502</v>
      </c>
      <c r="I24" s="3713" t="s">
        <v>5150</v>
      </c>
      <c r="J24" s="3670"/>
      <c r="K24" s="3700"/>
      <c r="L24" s="3701"/>
      <c r="M24" s="3701"/>
      <c r="N24" s="3701"/>
      <c r="O24" s="3701"/>
      <c r="P24" s="3629"/>
      <c r="Q24" s="3714" t="s">
        <v>5151</v>
      </c>
      <c r="R24" s="3715" t="s">
        <v>105</v>
      </c>
      <c r="S24" s="3715">
        <v>12.0</v>
      </c>
      <c r="T24" s="3715">
        <v>6.0</v>
      </c>
      <c r="U24" s="3715">
        <v>2.0</v>
      </c>
      <c r="V24" s="3715">
        <v>80.0</v>
      </c>
      <c r="W24" s="3716" t="s">
        <v>5052</v>
      </c>
      <c r="X24" s="3717" t="s">
        <v>5096</v>
      </c>
      <c r="Y24" s="3718" t="s">
        <v>4502</v>
      </c>
      <c r="Z24" s="3719" t="s">
        <v>5152</v>
      </c>
      <c r="AA24" s="3720"/>
      <c r="AB24" s="3720"/>
      <c r="AC24" s="3720"/>
      <c r="AD24" s="3720"/>
      <c r="AE24" s="3720"/>
      <c r="AF24" s="3721"/>
      <c r="AG24" s="3010"/>
      <c r="AH24" s="3010"/>
    </row>
    <row r="25" spans="8:8" ht="14.25" customHeight="1">
      <c r="B25" s="3688" t="s">
        <v>5153</v>
      </c>
      <c r="C25" s="3667">
        <v>3.0</v>
      </c>
      <c r="D25" s="3667" t="s">
        <v>88</v>
      </c>
      <c r="E25" s="3667" t="s">
        <v>88</v>
      </c>
      <c r="F25" s="3667" t="s">
        <v>88</v>
      </c>
      <c r="G25" s="3667" t="s">
        <v>496</v>
      </c>
      <c r="H25" s="3667" t="s">
        <v>5154</v>
      </c>
      <c r="I25" s="3722" t="s">
        <v>5155</v>
      </c>
      <c r="J25" s="3670"/>
      <c r="K25" s="3700"/>
      <c r="L25" s="3701"/>
      <c r="M25" s="3701"/>
      <c r="N25" s="3701"/>
      <c r="O25" s="3701"/>
      <c r="P25" s="3629"/>
      <c r="Q25" s="3723" t="s">
        <v>1741</v>
      </c>
      <c r="R25" s="3724" t="s">
        <v>105</v>
      </c>
      <c r="S25" s="3724">
        <v>12.0</v>
      </c>
      <c r="T25" s="3724">
        <v>7.0</v>
      </c>
      <c r="U25" s="3724">
        <v>2.0</v>
      </c>
      <c r="V25" s="3724">
        <v>200.0</v>
      </c>
      <c r="W25" s="3725" t="s">
        <v>5052</v>
      </c>
      <c r="X25" s="3726" t="s">
        <v>5096</v>
      </c>
      <c r="Y25" s="3727" t="s">
        <v>4502</v>
      </c>
      <c r="Z25" s="3728"/>
      <c r="AA25" s="3720"/>
      <c r="AB25" s="3720"/>
      <c r="AC25" s="3729"/>
      <c r="AD25" s="3729"/>
      <c r="AE25" s="3729"/>
      <c r="AF25" s="3721"/>
      <c r="AG25" s="3010"/>
      <c r="AH25" s="3010"/>
    </row>
    <row r="26" spans="8:8" ht="14.25" customHeight="1">
      <c r="B26" s="3730" t="s">
        <v>5156</v>
      </c>
      <c r="C26" s="3731">
        <v>2.0</v>
      </c>
      <c r="D26" s="3731" t="s">
        <v>88</v>
      </c>
      <c r="E26" s="3731" t="s">
        <v>88</v>
      </c>
      <c r="F26" s="3731" t="s">
        <v>88</v>
      </c>
      <c r="G26" s="3731" t="s">
        <v>171</v>
      </c>
      <c r="H26" s="3731" t="s">
        <v>4502</v>
      </c>
      <c r="I26" s="3732" t="s">
        <v>4729</v>
      </c>
      <c r="J26" s="3670"/>
      <c r="K26" s="3733"/>
      <c r="L26" s="3734"/>
      <c r="M26" s="3734"/>
      <c r="N26" s="3734"/>
      <c r="O26" s="3734"/>
      <c r="P26" s="3629"/>
      <c r="Q26" s="3714" t="s">
        <v>5157</v>
      </c>
      <c r="R26" s="3715" t="s">
        <v>105</v>
      </c>
      <c r="S26" s="3715">
        <v>12.0</v>
      </c>
      <c r="T26" s="3715">
        <v>6.0</v>
      </c>
      <c r="U26" s="3715">
        <v>2.0</v>
      </c>
      <c r="V26" s="3715">
        <v>50.0</v>
      </c>
      <c r="W26" s="3716" t="s">
        <v>5052</v>
      </c>
      <c r="X26" s="3717" t="s">
        <v>5047</v>
      </c>
      <c r="Y26" s="3718" t="s">
        <v>4502</v>
      </c>
      <c r="Z26" s="3728"/>
      <c r="AA26" s="3720"/>
      <c r="AB26" s="3720"/>
      <c r="AC26" s="3735"/>
      <c r="AD26" s="3735"/>
      <c r="AE26" s="3735"/>
      <c r="AF26" s="3622"/>
      <c r="AG26" s="3010"/>
      <c r="AH26" s="3010"/>
    </row>
    <row r="27" spans="8:8" ht="14.25" customHeight="1">
      <c r="B27" s="3736" t="s">
        <v>5158</v>
      </c>
      <c r="C27" s="3737">
        <v>1.0</v>
      </c>
      <c r="D27" s="3737">
        <v>0.0</v>
      </c>
      <c r="E27" s="3737" t="s">
        <v>1450</v>
      </c>
      <c r="F27" s="3738" t="s">
        <v>5050</v>
      </c>
      <c r="G27" s="3737" t="s">
        <v>171</v>
      </c>
      <c r="H27" s="3737" t="s">
        <v>4502</v>
      </c>
      <c r="I27" s="3739" t="s">
        <v>5159</v>
      </c>
      <c r="J27" s="3740" t="s">
        <v>1450</v>
      </c>
      <c r="K27" s="3741" t="s">
        <v>5160</v>
      </c>
      <c r="L27" s="3742"/>
      <c r="M27" s="3742"/>
      <c r="N27" s="3742"/>
      <c r="O27" s="3743"/>
      <c r="P27" s="3629"/>
      <c r="Q27" s="3723" t="s">
        <v>5161</v>
      </c>
      <c r="R27" s="3724" t="s">
        <v>105</v>
      </c>
      <c r="S27" s="3724">
        <v>14.0</v>
      </c>
      <c r="T27" s="3724">
        <v>5.0</v>
      </c>
      <c r="U27" s="3724">
        <v>2.0</v>
      </c>
      <c r="V27" s="3724" t="s">
        <v>5045</v>
      </c>
      <c r="W27" s="3725" t="s">
        <v>5046</v>
      </c>
      <c r="X27" s="3726" t="s">
        <v>5047</v>
      </c>
      <c r="Y27" s="3727" t="s">
        <v>3212</v>
      </c>
      <c r="Z27" s="3728"/>
      <c r="AA27" s="3720"/>
      <c r="AB27" s="3720"/>
      <c r="AC27" s="3735"/>
      <c r="AD27" s="3735"/>
      <c r="AE27" s="3735"/>
      <c r="AF27" s="3622"/>
      <c r="AG27" s="3010"/>
      <c r="AH27" s="3010"/>
    </row>
    <row r="28" spans="8:8" ht="14.25" customHeight="1">
      <c r="B28" s="3698" t="s">
        <v>5162</v>
      </c>
      <c r="C28" s="3674">
        <v>1.0</v>
      </c>
      <c r="D28" s="3674">
        <v>0.0</v>
      </c>
      <c r="E28" s="3674" t="s">
        <v>1456</v>
      </c>
      <c r="F28" s="3744" t="s">
        <v>5050</v>
      </c>
      <c r="G28" s="3674" t="s">
        <v>496</v>
      </c>
      <c r="H28" s="3674" t="s">
        <v>4575</v>
      </c>
      <c r="I28" s="3699" t="s">
        <v>4729</v>
      </c>
      <c r="J28" s="3740"/>
      <c r="K28" s="3745"/>
      <c r="L28" s="3746"/>
      <c r="M28" s="3746"/>
      <c r="N28" s="3746"/>
      <c r="O28" s="3747"/>
      <c r="P28" s="3629"/>
      <c r="Q28" s="3714" t="s">
        <v>5163</v>
      </c>
      <c r="R28" s="3715" t="s">
        <v>105</v>
      </c>
      <c r="S28" s="3715">
        <v>11.0</v>
      </c>
      <c r="T28" s="3715">
        <v>1.0</v>
      </c>
      <c r="U28" s="3715">
        <v>0.0</v>
      </c>
      <c r="V28" s="3715">
        <v>1.0</v>
      </c>
      <c r="W28" s="3716" t="s">
        <v>5052</v>
      </c>
      <c r="X28" s="3717" t="s">
        <v>88</v>
      </c>
      <c r="Y28" s="3718" t="s">
        <v>3212</v>
      </c>
      <c r="Z28" s="3728"/>
      <c r="AA28" s="3729"/>
      <c r="AB28" s="3729"/>
      <c r="AC28" s="3735"/>
      <c r="AD28" s="3735"/>
      <c r="AE28" s="3735"/>
      <c r="AF28" s="3622"/>
      <c r="AG28" s="3010"/>
      <c r="AH28" s="3010"/>
    </row>
    <row r="29" spans="8:8" ht="14.25" customHeight="1">
      <c r="B29" s="3736" t="s">
        <v>5164</v>
      </c>
      <c r="C29" s="3737">
        <v>1.0</v>
      </c>
      <c r="D29" s="3737">
        <v>0.0</v>
      </c>
      <c r="E29" s="3737" t="s">
        <v>5165</v>
      </c>
      <c r="F29" s="3738" t="s">
        <v>5050</v>
      </c>
      <c r="G29" s="3737" t="s">
        <v>496</v>
      </c>
      <c r="H29" s="3737" t="s">
        <v>4502</v>
      </c>
      <c r="I29" s="3739" t="s">
        <v>5166</v>
      </c>
      <c r="J29" s="3740"/>
      <c r="K29" s="3748"/>
      <c r="L29" s="3748"/>
      <c r="M29" s="3748"/>
      <c r="N29" s="3748"/>
      <c r="O29" s="3749"/>
      <c r="P29" s="3750"/>
      <c r="Q29" s="3723" t="s">
        <v>5167</v>
      </c>
      <c r="R29" s="3724" t="s">
        <v>105</v>
      </c>
      <c r="S29" s="3724">
        <v>14.0</v>
      </c>
      <c r="T29" s="3724">
        <v>4.0</v>
      </c>
      <c r="U29" s="3724">
        <v>0.0</v>
      </c>
      <c r="V29" s="3724">
        <v>2.0</v>
      </c>
      <c r="W29" s="3725" t="s">
        <v>5052</v>
      </c>
      <c r="X29" s="3726" t="s">
        <v>5047</v>
      </c>
      <c r="Y29" s="3727" t="s">
        <v>4502</v>
      </c>
      <c r="Z29" s="3728"/>
      <c r="AA29" s="3729"/>
      <c r="AB29" s="3729"/>
      <c r="AC29" s="3735"/>
      <c r="AD29" s="3735"/>
      <c r="AE29" s="3735"/>
      <c r="AF29" s="3622"/>
      <c r="AG29" s="3010"/>
      <c r="AH29" s="3010"/>
    </row>
    <row r="30" spans="8:8" ht="14.25" customHeight="1">
      <c r="B30" s="3698" t="s">
        <v>5168</v>
      </c>
      <c r="C30" s="3674" t="s">
        <v>5169</v>
      </c>
      <c r="D30" s="3674">
        <v>0.0</v>
      </c>
      <c r="E30" s="3674" t="s">
        <v>5170</v>
      </c>
      <c r="F30" s="3744" t="s">
        <v>5050</v>
      </c>
      <c r="G30" s="3674" t="s">
        <v>496</v>
      </c>
      <c r="H30" s="3674" t="s">
        <v>4502</v>
      </c>
      <c r="I30" s="3699" t="s">
        <v>5171</v>
      </c>
      <c r="J30" s="3740"/>
      <c r="K30" s="3751" t="s">
        <v>5172</v>
      </c>
      <c r="L30" s="3751"/>
      <c r="M30" s="3751"/>
      <c r="N30" s="3751"/>
      <c r="O30" s="3752"/>
      <c r="P30" s="3750"/>
      <c r="Q30" s="3714" t="s">
        <v>5173</v>
      </c>
      <c r="R30" s="3715" t="s">
        <v>105</v>
      </c>
      <c r="S30" s="3715">
        <v>14.0</v>
      </c>
      <c r="T30" s="3715">
        <v>6.0</v>
      </c>
      <c r="U30" s="3715">
        <v>2.0</v>
      </c>
      <c r="V30" s="3715">
        <v>5.0</v>
      </c>
      <c r="W30" s="3716" t="s">
        <v>5052</v>
      </c>
      <c r="X30" s="3717" t="s">
        <v>5096</v>
      </c>
      <c r="Y30" s="3718" t="s">
        <v>4502</v>
      </c>
      <c r="Z30" s="3728"/>
      <c r="AA30" s="3729"/>
      <c r="AB30" s="3729"/>
      <c r="AC30" s="3735"/>
      <c r="AD30" s="3735"/>
      <c r="AE30" s="3735"/>
      <c r="AF30" s="3622"/>
      <c r="AG30" s="3010"/>
      <c r="AH30" s="3010"/>
    </row>
    <row r="31" spans="8:8" ht="14.25" customHeight="1">
      <c r="B31" s="3753" t="s">
        <v>5174</v>
      </c>
      <c r="C31" s="3754" t="s">
        <v>5175</v>
      </c>
      <c r="D31" s="3754">
        <v>0.0</v>
      </c>
      <c r="E31" s="3754" t="s">
        <v>5176</v>
      </c>
      <c r="F31" s="3755" t="s">
        <v>5050</v>
      </c>
      <c r="G31" s="3754" t="s">
        <v>496</v>
      </c>
      <c r="H31" s="3754" t="s">
        <v>3212</v>
      </c>
      <c r="I31" s="3756">
        <v>15.0</v>
      </c>
      <c r="J31" s="3740"/>
      <c r="K31" s="3757"/>
      <c r="L31" s="3758"/>
      <c r="M31" s="3758"/>
      <c r="N31" s="3758"/>
      <c r="O31" s="3759"/>
      <c r="P31" s="3750"/>
      <c r="Q31" s="3723" t="s">
        <v>5177</v>
      </c>
      <c r="R31" s="3724" t="s">
        <v>344</v>
      </c>
      <c r="S31" s="3724" t="s">
        <v>5178</v>
      </c>
      <c r="T31" s="3724">
        <v>-1.0</v>
      </c>
      <c r="U31" s="3724">
        <v>0.0</v>
      </c>
      <c r="V31" s="3724">
        <v>1.0</v>
      </c>
      <c r="W31" s="3725" t="s">
        <v>5052</v>
      </c>
      <c r="X31" s="3726" t="s">
        <v>88</v>
      </c>
      <c r="Y31" s="3727" t="s">
        <v>3212</v>
      </c>
      <c r="Z31" s="3728"/>
      <c r="AA31" s="3729"/>
      <c r="AB31" s="3729"/>
      <c r="AC31" s="3735"/>
      <c r="AD31" s="3735"/>
      <c r="AE31" s="3735"/>
      <c r="AF31" s="3622"/>
      <c r="AG31" s="2984"/>
      <c r="AH31" s="2984"/>
    </row>
    <row r="32" spans="8:8" ht="14.25" customHeight="1">
      <c r="B32" s="3698" t="s">
        <v>5179</v>
      </c>
      <c r="C32" s="3674" t="s">
        <v>4569</v>
      </c>
      <c r="D32" s="3674">
        <v>0.0</v>
      </c>
      <c r="E32" s="3674" t="s">
        <v>1456</v>
      </c>
      <c r="F32" s="3744" t="s">
        <v>5050</v>
      </c>
      <c r="G32" s="3674" t="s">
        <v>496</v>
      </c>
      <c r="H32" s="3674" t="s">
        <v>4502</v>
      </c>
      <c r="I32" s="3713" t="s">
        <v>4509</v>
      </c>
      <c r="J32" s="3740"/>
      <c r="K32" s="3760"/>
      <c r="L32" s="3760"/>
      <c r="M32" s="3760"/>
      <c r="N32" s="3760"/>
      <c r="O32" s="3761"/>
      <c r="P32" s="3750"/>
      <c r="Q32" s="3714" t="s">
        <v>5180</v>
      </c>
      <c r="R32" s="3715" t="s">
        <v>344</v>
      </c>
      <c r="S32" s="3715" t="s">
        <v>5178</v>
      </c>
      <c r="T32" s="3715">
        <v>-1.0</v>
      </c>
      <c r="U32" s="3715">
        <v>0.0</v>
      </c>
      <c r="V32" s="3715">
        <v>1.0</v>
      </c>
      <c r="W32" s="3716" t="s">
        <v>5052</v>
      </c>
      <c r="X32" s="3717" t="s">
        <v>88</v>
      </c>
      <c r="Y32" s="3718" t="s">
        <v>4502</v>
      </c>
      <c r="Z32" s="3728"/>
      <c r="AA32" s="3729"/>
      <c r="AB32" s="3729"/>
      <c r="AC32" s="3729"/>
      <c r="AD32" s="3735"/>
      <c r="AE32" s="3735"/>
      <c r="AF32" s="3650"/>
      <c r="AG32" s="2984"/>
      <c r="AH32" s="2984"/>
    </row>
    <row r="33" spans="8:8" ht="14.25" customHeight="1">
      <c r="B33" s="3736" t="s">
        <v>5181</v>
      </c>
      <c r="C33" s="3737" t="s">
        <v>5182</v>
      </c>
      <c r="D33" s="3737">
        <v>0.0</v>
      </c>
      <c r="E33" s="3737" t="s">
        <v>1456</v>
      </c>
      <c r="F33" s="3737" t="s">
        <v>5183</v>
      </c>
      <c r="G33" s="3737" t="s">
        <v>171</v>
      </c>
      <c r="H33" s="3737" t="s">
        <v>4502</v>
      </c>
      <c r="I33" s="3739" t="s">
        <v>5184</v>
      </c>
      <c r="J33" s="3740"/>
      <c r="K33" s="3750"/>
      <c r="L33" s="3750"/>
      <c r="M33" s="3750"/>
      <c r="N33" s="3750"/>
      <c r="O33" s="3750"/>
      <c r="P33" s="3750"/>
      <c r="Q33" s="3723" t="s">
        <v>5185</v>
      </c>
      <c r="R33" s="3724" t="s">
        <v>106</v>
      </c>
      <c r="S33" s="3724">
        <v>8.0</v>
      </c>
      <c r="T33" s="3724">
        <v>4.0</v>
      </c>
      <c r="U33" s="3724">
        <v>0.0</v>
      </c>
      <c r="V33" s="3724">
        <v>1.0</v>
      </c>
      <c r="W33" s="3725" t="s">
        <v>5052</v>
      </c>
      <c r="X33" s="3726" t="s">
        <v>88</v>
      </c>
      <c r="Y33" s="3727" t="s">
        <v>4502</v>
      </c>
      <c r="Z33" s="3728"/>
      <c r="AA33" s="3729"/>
      <c r="AB33" s="3729"/>
      <c r="AC33" s="3729"/>
      <c r="AD33" s="3735"/>
      <c r="AE33" s="3735"/>
      <c r="AF33" s="3650"/>
      <c r="AG33" s="2984"/>
      <c r="AH33" s="2984"/>
    </row>
    <row r="34" spans="8:8" ht="14.25" customHeight="1">
      <c r="B34" s="3698" t="s">
        <v>5186</v>
      </c>
      <c r="C34" s="3674" t="s">
        <v>5187</v>
      </c>
      <c r="D34" s="3674">
        <v>0.0</v>
      </c>
      <c r="E34" s="3674" t="s">
        <v>5188</v>
      </c>
      <c r="F34" s="3744" t="s">
        <v>5050</v>
      </c>
      <c r="G34" s="3674" t="s">
        <v>171</v>
      </c>
      <c r="H34" s="3674" t="s">
        <v>4502</v>
      </c>
      <c r="I34" s="3713" t="s">
        <v>4509</v>
      </c>
      <c r="J34" s="3740"/>
      <c r="K34" s="3750"/>
      <c r="L34" s="3750"/>
      <c r="M34" s="3750"/>
      <c r="N34" s="3750"/>
      <c r="O34" s="3750"/>
      <c r="P34" s="3750"/>
      <c r="Q34" s="3714" t="s">
        <v>5189</v>
      </c>
      <c r="R34" s="3715" t="s">
        <v>105</v>
      </c>
      <c r="S34" s="3715">
        <v>10.0</v>
      </c>
      <c r="T34" s="3715">
        <v>4.0</v>
      </c>
      <c r="U34" s="3715">
        <v>0.0</v>
      </c>
      <c r="V34" s="3715">
        <v>1.0</v>
      </c>
      <c r="W34" s="3716" t="s">
        <v>5052</v>
      </c>
      <c r="X34" s="3717" t="s">
        <v>88</v>
      </c>
      <c r="Y34" s="3718" t="s">
        <v>4502</v>
      </c>
      <c r="Z34" s="3728"/>
      <c r="AA34" s="3729"/>
      <c r="AB34" s="3729"/>
      <c r="AC34" s="3729"/>
      <c r="AD34" s="3735"/>
      <c r="AE34" s="3735"/>
      <c r="AF34" s="3622"/>
      <c r="AG34" s="2984"/>
      <c r="AH34" s="2984"/>
    </row>
    <row r="35" spans="8:8" ht="14.25" customHeight="1">
      <c r="B35" s="3736" t="s">
        <v>5190</v>
      </c>
      <c r="C35" s="3737" t="s">
        <v>4569</v>
      </c>
      <c r="D35" s="3737">
        <v>0.0</v>
      </c>
      <c r="E35" s="3737" t="s">
        <v>1450</v>
      </c>
      <c r="F35" s="3738" t="s">
        <v>5050</v>
      </c>
      <c r="G35" s="3737" t="s">
        <v>496</v>
      </c>
      <c r="H35" s="3737" t="s">
        <v>4502</v>
      </c>
      <c r="I35" s="3739" t="s">
        <v>5191</v>
      </c>
      <c r="J35" s="3740"/>
      <c r="K35" s="3750"/>
      <c r="L35" s="3750"/>
      <c r="M35" s="3750"/>
      <c r="N35" s="3750"/>
      <c r="O35" s="3750"/>
      <c r="P35" s="3750"/>
      <c r="Q35" s="3723" t="s">
        <v>5192</v>
      </c>
      <c r="R35" s="3724" t="s">
        <v>5193</v>
      </c>
      <c r="S35" s="3724">
        <v>10.0</v>
      </c>
      <c r="T35" s="3724">
        <v>4.0</v>
      </c>
      <c r="U35" s="3724">
        <v>0.0</v>
      </c>
      <c r="V35" s="3724">
        <v>1.0</v>
      </c>
      <c r="W35" s="3725" t="s">
        <v>5052</v>
      </c>
      <c r="X35" s="3726" t="s">
        <v>88</v>
      </c>
      <c r="Y35" s="3727" t="s">
        <v>4502</v>
      </c>
      <c r="Z35" s="3728"/>
      <c r="AA35" s="3729"/>
      <c r="AB35" s="3729"/>
      <c r="AC35" s="3729"/>
      <c r="AD35" s="3735"/>
      <c r="AE35" s="3735"/>
      <c r="AF35" s="3622"/>
      <c r="AG35" s="2984"/>
      <c r="AH35" s="2984"/>
    </row>
    <row r="36" spans="8:8" ht="14.25" customHeight="1">
      <c r="B36" s="3698" t="s">
        <v>5194</v>
      </c>
      <c r="C36" s="3674">
        <v>3.0</v>
      </c>
      <c r="D36" s="3674">
        <v>0.0</v>
      </c>
      <c r="E36" s="3674" t="s">
        <v>5195</v>
      </c>
      <c r="F36" s="3744" t="s">
        <v>5050</v>
      </c>
      <c r="G36" s="3674" t="s">
        <v>496</v>
      </c>
      <c r="H36" s="3674" t="s">
        <v>5196</v>
      </c>
      <c r="I36" s="3699" t="s">
        <v>4729</v>
      </c>
      <c r="J36" s="3740"/>
      <c r="K36" s="3750"/>
      <c r="L36" s="3762" t="s">
        <v>5883</v>
      </c>
      <c r="M36" s="3762"/>
      <c r="N36" s="3762"/>
      <c r="O36" s="3762"/>
      <c r="P36" s="3629"/>
      <c r="Q36" s="3714" t="s">
        <v>5197</v>
      </c>
      <c r="R36" s="3715" t="s">
        <v>5198</v>
      </c>
      <c r="S36" s="3715">
        <v>9.0</v>
      </c>
      <c r="T36" s="3715">
        <v>3.0</v>
      </c>
      <c r="U36" s="3715">
        <v>0.0</v>
      </c>
      <c r="V36" s="3715">
        <v>2.0</v>
      </c>
      <c r="W36" s="3716" t="s">
        <v>5052</v>
      </c>
      <c r="X36" s="3717" t="s">
        <v>5047</v>
      </c>
      <c r="Y36" s="3718" t="s">
        <v>4502</v>
      </c>
      <c r="Z36" s="3728"/>
      <c r="AA36" s="3729"/>
      <c r="AB36" s="3729"/>
      <c r="AC36" s="3729"/>
      <c r="AD36" s="3735"/>
      <c r="AE36" s="3735"/>
      <c r="AF36" s="3622"/>
      <c r="AG36" s="2984"/>
      <c r="AH36" s="2984"/>
    </row>
    <row r="37" spans="8:8" ht="14.25" customHeight="1">
      <c r="B37" s="3736" t="s">
        <v>5199</v>
      </c>
      <c r="C37" s="3737">
        <v>3.0</v>
      </c>
      <c r="D37" s="3737">
        <v>0.0</v>
      </c>
      <c r="E37" s="3737" t="s">
        <v>5200</v>
      </c>
      <c r="F37" s="3738" t="s">
        <v>5050</v>
      </c>
      <c r="G37" s="3737" t="s">
        <v>496</v>
      </c>
      <c r="H37" s="3737" t="s">
        <v>5196</v>
      </c>
      <c r="I37" s="3739" t="s">
        <v>4729</v>
      </c>
      <c r="J37" s="3740"/>
      <c r="K37" s="3750"/>
      <c r="L37" s="3762"/>
      <c r="M37" s="3762"/>
      <c r="N37" s="3762"/>
      <c r="O37" s="3762"/>
      <c r="P37" s="3629"/>
      <c r="Q37" s="3763" t="s">
        <v>5201</v>
      </c>
      <c r="R37" s="3764" t="s">
        <v>5082</v>
      </c>
      <c r="S37" s="3764">
        <v>19.0</v>
      </c>
      <c r="T37" s="3764">
        <v>65.0</v>
      </c>
      <c r="U37" s="3764">
        <v>10.0</v>
      </c>
      <c r="V37" s="3764">
        <v>300.0</v>
      </c>
      <c r="W37" s="3765" t="s">
        <v>5052</v>
      </c>
      <c r="X37" s="3766" t="s">
        <v>5096</v>
      </c>
      <c r="Y37" s="3767" t="s">
        <v>4502</v>
      </c>
      <c r="Z37" s="3768" t="s">
        <v>5202</v>
      </c>
      <c r="AA37" s="3735"/>
      <c r="AB37" s="3735"/>
      <c r="AC37" s="3735"/>
      <c r="AD37" s="3735"/>
      <c r="AE37" s="3735"/>
      <c r="AF37" s="3622"/>
      <c r="AG37" s="2984"/>
      <c r="AH37" s="2984"/>
    </row>
    <row r="38" spans="8:8" ht="14.25" customHeight="1">
      <c r="B38" s="3698" t="s">
        <v>5203</v>
      </c>
      <c r="C38" s="3674">
        <v>2.0</v>
      </c>
      <c r="D38" s="3674">
        <v>0.0</v>
      </c>
      <c r="E38" s="3674" t="s">
        <v>1450</v>
      </c>
      <c r="F38" s="3744" t="s">
        <v>5050</v>
      </c>
      <c r="G38" s="3674" t="s">
        <v>496</v>
      </c>
      <c r="H38" s="3674" t="s">
        <v>5196</v>
      </c>
      <c r="I38" s="3699" t="s">
        <v>4729</v>
      </c>
      <c r="J38" s="3740"/>
      <c r="K38" s="3750"/>
      <c r="L38" s="3762"/>
      <c r="M38" s="3762"/>
      <c r="N38" s="3762"/>
      <c r="O38" s="3762"/>
      <c r="P38" s="3629"/>
      <c r="Q38" s="3723" t="s">
        <v>5204</v>
      </c>
      <c r="R38" s="3724" t="s">
        <v>5205</v>
      </c>
      <c r="S38" s="3724">
        <v>20.0</v>
      </c>
      <c r="T38" s="3724">
        <v>45.0</v>
      </c>
      <c r="U38" s="3724">
        <v>15.0</v>
      </c>
      <c r="V38" s="3724">
        <v>1.0</v>
      </c>
      <c r="W38" s="3725" t="s">
        <v>5046</v>
      </c>
      <c r="X38" s="3769" t="s">
        <v>5206</v>
      </c>
      <c r="Y38" s="3727" t="s">
        <v>4502</v>
      </c>
      <c r="Z38" s="3768"/>
      <c r="AA38" s="3735"/>
      <c r="AB38" s="3735"/>
      <c r="AC38" s="3735"/>
      <c r="AD38" s="3735"/>
      <c r="AE38" s="3735"/>
      <c r="AF38" s="3622"/>
      <c r="AG38" s="2984"/>
      <c r="AH38" s="2984"/>
    </row>
    <row r="39" spans="8:8" ht="14.25" customHeight="1">
      <c r="B39" s="3736" t="s">
        <v>5207</v>
      </c>
      <c r="C39" s="3737">
        <v>4.0</v>
      </c>
      <c r="D39" s="3737">
        <v>0.0</v>
      </c>
      <c r="E39" s="3737" t="s">
        <v>5165</v>
      </c>
      <c r="F39" s="3738" t="s">
        <v>5050</v>
      </c>
      <c r="G39" s="3770" t="s">
        <v>496</v>
      </c>
      <c r="H39" s="3737" t="s">
        <v>5208</v>
      </c>
      <c r="I39" s="3739" t="s">
        <v>4729</v>
      </c>
      <c r="J39" s="3740"/>
      <c r="K39" s="3750"/>
      <c r="L39" s="3762"/>
      <c r="M39" s="3762"/>
      <c r="N39" s="3762"/>
      <c r="O39" s="3762"/>
      <c r="P39" s="3629"/>
      <c r="Q39" s="3763" t="s">
        <v>5209</v>
      </c>
      <c r="R39" s="3764" t="s">
        <v>5205</v>
      </c>
      <c r="S39" s="3764">
        <v>19.0</v>
      </c>
      <c r="T39" s="3764">
        <v>53.0</v>
      </c>
      <c r="U39" s="3764">
        <v>20.0</v>
      </c>
      <c r="V39" s="3764">
        <v>2.0</v>
      </c>
      <c r="W39" s="3765" t="s">
        <v>5046</v>
      </c>
      <c r="X39" s="3766" t="s">
        <v>5206</v>
      </c>
      <c r="Y39" s="3767" t="s">
        <v>4502</v>
      </c>
      <c r="Z39" s="3768"/>
      <c r="AA39" s="3771" t="s">
        <v>5210</v>
      </c>
      <c r="AB39" s="3772"/>
      <c r="AC39" s="3772"/>
      <c r="AD39" s="3772"/>
      <c r="AE39" s="3773"/>
      <c r="AF39" s="3622"/>
      <c r="AG39" s="2984"/>
      <c r="AH39" s="2984"/>
    </row>
    <row r="40" spans="8:8" ht="14.25" customHeight="1">
      <c r="B40" s="3774" t="s">
        <v>5211</v>
      </c>
      <c r="C40" s="3775">
        <v>4.0</v>
      </c>
      <c r="D40" s="3775">
        <v>0.0</v>
      </c>
      <c r="E40" s="3775" t="s">
        <v>5165</v>
      </c>
      <c r="F40" s="3776" t="s">
        <v>5050</v>
      </c>
      <c r="G40" s="3777" t="s">
        <v>496</v>
      </c>
      <c r="H40" s="3775" t="s">
        <v>5212</v>
      </c>
      <c r="I40" s="3778" t="s">
        <v>4729</v>
      </c>
      <c r="J40" s="3740"/>
      <c r="K40" s="3750"/>
      <c r="L40" s="3762"/>
      <c r="M40" s="3762"/>
      <c r="N40" s="3762"/>
      <c r="O40" s="3762"/>
      <c r="P40" s="3629"/>
      <c r="Q40" s="3723" t="s">
        <v>5213</v>
      </c>
      <c r="R40" s="3724" t="s">
        <v>5082</v>
      </c>
      <c r="S40" s="3724">
        <v>18.0</v>
      </c>
      <c r="T40" s="3724">
        <v>35.0</v>
      </c>
      <c r="U40" s="3724">
        <v>7.0</v>
      </c>
      <c r="V40" s="3724" t="s">
        <v>5214</v>
      </c>
      <c r="W40" s="3725" t="s">
        <v>5052</v>
      </c>
      <c r="X40" s="3769" t="s">
        <v>5096</v>
      </c>
      <c r="Y40" s="3727" t="s">
        <v>3212</v>
      </c>
      <c r="Z40" s="3768"/>
      <c r="AA40" s="3779"/>
      <c r="AB40" s="3780"/>
      <c r="AC40" s="3780"/>
      <c r="AD40" s="3780"/>
      <c r="AE40" s="3781"/>
      <c r="AF40" s="3622"/>
      <c r="AG40" s="3010"/>
      <c r="AH40" s="3010"/>
    </row>
    <row r="41" spans="8:8" ht="14.25" customHeight="1">
      <c r="B41" s="3736" t="s">
        <v>5215</v>
      </c>
      <c r="C41" s="3770">
        <v>1.0</v>
      </c>
      <c r="D41" s="3737">
        <v>0.0</v>
      </c>
      <c r="E41" s="3737" t="s">
        <v>5188</v>
      </c>
      <c r="F41" s="3738" t="s">
        <v>5050</v>
      </c>
      <c r="G41" s="3770" t="s">
        <v>171</v>
      </c>
      <c r="H41" s="3737" t="s">
        <v>5216</v>
      </c>
      <c r="I41" s="3739" t="s">
        <v>5217</v>
      </c>
      <c r="J41" s="3740"/>
      <c r="K41" s="3750"/>
      <c r="L41" s="3762"/>
      <c r="M41" s="3762"/>
      <c r="N41" s="3762"/>
      <c r="O41" s="3762"/>
      <c r="P41" s="3629"/>
      <c r="Q41" s="3763" t="s">
        <v>5218</v>
      </c>
      <c r="R41" s="3764" t="s">
        <v>5082</v>
      </c>
      <c r="S41" s="3764">
        <v>18.0</v>
      </c>
      <c r="T41" s="3764">
        <v>60.0</v>
      </c>
      <c r="U41" s="3764">
        <v>15.0</v>
      </c>
      <c r="V41" s="3764">
        <v>2.0</v>
      </c>
      <c r="W41" s="3765" t="s">
        <v>5046</v>
      </c>
      <c r="X41" s="3766" t="s">
        <v>5206</v>
      </c>
      <c r="Y41" s="3767" t="s">
        <v>4502</v>
      </c>
      <c r="Z41" s="3768"/>
      <c r="AA41" s="3782"/>
      <c r="AB41" s="3783"/>
      <c r="AC41" s="3783"/>
      <c r="AD41" s="3783"/>
      <c r="AE41" s="3784"/>
      <c r="AF41" s="3622"/>
      <c r="AG41" s="3010"/>
      <c r="AH41" s="3010"/>
    </row>
    <row r="42" spans="8:8" ht="14.25" customHeight="1">
      <c r="B42" s="3785" t="s">
        <v>5219</v>
      </c>
      <c r="C42" s="3786">
        <v>2.0</v>
      </c>
      <c r="D42" s="3787">
        <v>0.0</v>
      </c>
      <c r="E42" s="3787" t="s">
        <v>5220</v>
      </c>
      <c r="F42" s="3787" t="s">
        <v>5040</v>
      </c>
      <c r="G42" s="3786" t="s">
        <v>171</v>
      </c>
      <c r="H42" s="3787" t="s">
        <v>4502</v>
      </c>
      <c r="I42" s="3788" t="s">
        <v>5221</v>
      </c>
      <c r="J42" s="3789" t="s">
        <v>5222</v>
      </c>
      <c r="K42" s="3750"/>
      <c r="L42" s="3762"/>
      <c r="M42" s="3762"/>
      <c r="N42" s="3762"/>
      <c r="O42" s="3762"/>
      <c r="P42" s="3629"/>
      <c r="Q42" s="3723" t="s">
        <v>5223</v>
      </c>
      <c r="R42" s="3724" t="s">
        <v>5082</v>
      </c>
      <c r="S42" s="3724">
        <v>16.0</v>
      </c>
      <c r="T42" s="3724">
        <v>64.0</v>
      </c>
      <c r="U42" s="3724">
        <v>10.0</v>
      </c>
      <c r="V42" s="3724">
        <v>2.0</v>
      </c>
      <c r="W42" s="3725" t="s">
        <v>5052</v>
      </c>
      <c r="X42" s="3769" t="s">
        <v>5096</v>
      </c>
      <c r="Y42" s="3727" t="s">
        <v>4502</v>
      </c>
      <c r="Z42" s="3768"/>
      <c r="AA42" s="3790" t="s">
        <v>5224</v>
      </c>
      <c r="AB42" s="3791"/>
      <c r="AC42" s="3791"/>
      <c r="AD42" s="3791"/>
      <c r="AE42" s="3792"/>
      <c r="AF42" s="3622"/>
      <c r="AG42" s="3010"/>
      <c r="AH42" s="3010"/>
    </row>
    <row r="43" spans="8:8" ht="14.25" customHeight="1">
      <c r="B43" s="3698" t="s">
        <v>5225</v>
      </c>
      <c r="C43" s="3684">
        <v>2.0</v>
      </c>
      <c r="D43" s="3674">
        <v>0.0</v>
      </c>
      <c r="E43" s="3674" t="s">
        <v>5226</v>
      </c>
      <c r="F43" s="3674" t="s">
        <v>5040</v>
      </c>
      <c r="G43" s="3684" t="s">
        <v>171</v>
      </c>
      <c r="H43" s="3674" t="s">
        <v>3212</v>
      </c>
      <c r="I43" s="3699">
        <v>160.0</v>
      </c>
      <c r="J43" s="3789"/>
      <c r="K43" s="3750"/>
      <c r="L43" s="3762"/>
      <c r="M43" s="3762"/>
      <c r="N43" s="3762"/>
      <c r="O43" s="3762"/>
      <c r="P43" s="3629"/>
      <c r="Q43" s="3763" t="s">
        <v>5227</v>
      </c>
      <c r="R43" s="3764" t="s">
        <v>5205</v>
      </c>
      <c r="S43" s="3764" t="s">
        <v>5228</v>
      </c>
      <c r="T43" s="3764">
        <v>35.0</v>
      </c>
      <c r="U43" s="3764">
        <v>20.0</v>
      </c>
      <c r="V43" s="3764">
        <v>1.0</v>
      </c>
      <c r="W43" s="3765" t="s">
        <v>5046</v>
      </c>
      <c r="X43" s="3766" t="s">
        <v>88</v>
      </c>
      <c r="Y43" s="3767" t="s">
        <v>3212</v>
      </c>
      <c r="Z43" s="3768"/>
      <c r="AA43" s="3793"/>
      <c r="AB43" s="3794"/>
      <c r="AC43" s="3794"/>
      <c r="AD43" s="3794"/>
      <c r="AE43" s="3795"/>
      <c r="AF43" s="3622"/>
      <c r="AG43" s="3010"/>
      <c r="AH43" s="3010"/>
    </row>
    <row r="44" spans="8:8" ht="14.25" customHeight="1">
      <c r="B44" s="3785" t="s">
        <v>5229</v>
      </c>
      <c r="C44" s="3786">
        <v>2.0</v>
      </c>
      <c r="D44" s="3787">
        <v>0.0</v>
      </c>
      <c r="E44" s="3787" t="s">
        <v>5230</v>
      </c>
      <c r="F44" s="3787" t="s">
        <v>5231</v>
      </c>
      <c r="G44" s="3786" t="s">
        <v>496</v>
      </c>
      <c r="H44" s="3787" t="s">
        <v>4502</v>
      </c>
      <c r="I44" s="3796" t="s">
        <v>5232</v>
      </c>
      <c r="J44" s="3789"/>
      <c r="K44" s="3750"/>
      <c r="L44" s="3762"/>
      <c r="M44" s="3762"/>
      <c r="N44" s="3762"/>
      <c r="O44" s="3762"/>
      <c r="P44" s="3629"/>
      <c r="Q44" s="3723" t="s">
        <v>5233</v>
      </c>
      <c r="R44" s="3726" t="s">
        <v>5082</v>
      </c>
      <c r="S44" s="3724">
        <v>15.0</v>
      </c>
      <c r="T44" s="3726">
        <v>20.0</v>
      </c>
      <c r="U44" s="3726">
        <v>4.0</v>
      </c>
      <c r="V44" s="3726">
        <v>8.0</v>
      </c>
      <c r="W44" s="3797" t="s">
        <v>5052</v>
      </c>
      <c r="X44" s="3726" t="s">
        <v>5047</v>
      </c>
      <c r="Y44" s="3798" t="s">
        <v>3212</v>
      </c>
      <c r="Z44" s="3768"/>
      <c r="AA44" s="3793"/>
      <c r="AB44" s="3794"/>
      <c r="AC44" s="3794"/>
      <c r="AD44" s="3794"/>
      <c r="AE44" s="3795"/>
      <c r="AF44" s="3622"/>
      <c r="AG44" s="3010"/>
      <c r="AH44" s="3010"/>
    </row>
    <row r="45" spans="8:8" ht="14.25" customHeight="1">
      <c r="B45" s="3698" t="s">
        <v>5234</v>
      </c>
      <c r="C45" s="3684">
        <v>3.0</v>
      </c>
      <c r="D45" s="3674">
        <v>0.0</v>
      </c>
      <c r="E45" s="3674" t="s">
        <v>5235</v>
      </c>
      <c r="F45" s="3674" t="s">
        <v>5040</v>
      </c>
      <c r="G45" s="3684" t="s">
        <v>496</v>
      </c>
      <c r="H45" s="3674" t="s">
        <v>3212</v>
      </c>
      <c r="I45" s="3699">
        <v>35.0</v>
      </c>
      <c r="J45" s="3789"/>
      <c r="K45" s="3750"/>
      <c r="L45" s="3762"/>
      <c r="M45" s="3762"/>
      <c r="N45" s="3762"/>
      <c r="O45" s="3762"/>
      <c r="P45" s="3629"/>
      <c r="Q45" s="3799" t="s">
        <v>5236</v>
      </c>
      <c r="R45" s="3800" t="s">
        <v>359</v>
      </c>
      <c r="S45" s="3801">
        <v>14.0</v>
      </c>
      <c r="T45" s="3802">
        <v>-2.0</v>
      </c>
      <c r="U45" s="3802">
        <v>0.0</v>
      </c>
      <c r="V45" s="3802" t="s">
        <v>88</v>
      </c>
      <c r="W45" s="3802" t="s">
        <v>88</v>
      </c>
      <c r="X45" s="3801" t="s">
        <v>88</v>
      </c>
      <c r="Y45" s="3803" t="s">
        <v>3212</v>
      </c>
      <c r="Z45" s="3768"/>
      <c r="AA45" s="3804"/>
      <c r="AB45" s="3805"/>
      <c r="AC45" s="3805"/>
      <c r="AD45" s="3805"/>
      <c r="AE45" s="3806"/>
      <c r="AF45" s="3622"/>
      <c r="AG45" s="3010"/>
      <c r="AH45" s="3010"/>
    </row>
    <row r="46" spans="8:8" ht="14.25" customHeight="1">
      <c r="B46" s="3785" t="s">
        <v>5237</v>
      </c>
      <c r="C46" s="3786">
        <v>4.0</v>
      </c>
      <c r="D46" s="3787">
        <v>1.0</v>
      </c>
      <c r="E46" s="3787" t="s">
        <v>5238</v>
      </c>
      <c r="F46" s="3787" t="s">
        <v>5040</v>
      </c>
      <c r="G46" s="3786" t="s">
        <v>496</v>
      </c>
      <c r="H46" s="3787" t="s">
        <v>5196</v>
      </c>
      <c r="I46" s="3788" t="s">
        <v>4729</v>
      </c>
      <c r="J46" s="3789"/>
      <c r="K46" s="3750"/>
      <c r="L46" s="3807"/>
      <c r="M46" s="3807"/>
      <c r="N46" s="3807"/>
      <c r="O46" s="3807"/>
      <c r="P46" s="3629"/>
      <c r="Q46" s="3808" t="s">
        <v>5239</v>
      </c>
      <c r="R46" s="3809" t="s">
        <v>5082</v>
      </c>
      <c r="S46" s="3809" t="s">
        <v>88</v>
      </c>
      <c r="T46" s="3809">
        <v>6.0</v>
      </c>
      <c r="U46" s="3809">
        <v>0.0</v>
      </c>
      <c r="V46" s="3809">
        <v>9.0</v>
      </c>
      <c r="W46" s="3810" t="s">
        <v>5052</v>
      </c>
      <c r="X46" s="3811" t="s">
        <v>5047</v>
      </c>
      <c r="Y46" s="3812" t="s">
        <v>4502</v>
      </c>
      <c r="Z46" s="3768"/>
      <c r="AA46" s="3813"/>
      <c r="AB46" s="3729"/>
      <c r="AC46" s="3729"/>
      <c r="AD46" s="3729"/>
      <c r="AE46" s="3729"/>
      <c r="AF46" s="3622"/>
      <c r="AG46" s="3010"/>
      <c r="AH46" s="3010"/>
    </row>
    <row r="47" spans="8:8" ht="14.25" customHeight="1">
      <c r="B47" s="3698" t="s">
        <v>5240</v>
      </c>
      <c r="C47" s="3684">
        <v>4.0</v>
      </c>
      <c r="D47" s="3674">
        <v>1.0</v>
      </c>
      <c r="E47" s="3674" t="s">
        <v>5238</v>
      </c>
      <c r="F47" s="3674" t="s">
        <v>5040</v>
      </c>
      <c r="G47" s="3684" t="s">
        <v>496</v>
      </c>
      <c r="H47" s="3674" t="s">
        <v>5196</v>
      </c>
      <c r="I47" s="3699" t="s">
        <v>4729</v>
      </c>
      <c r="J47" s="3789"/>
      <c r="K47" s="3750"/>
      <c r="L47" s="3807"/>
      <c r="M47" s="3807"/>
      <c r="N47" s="3807"/>
      <c r="O47" s="3807"/>
      <c r="P47" s="3629"/>
      <c r="Q47" s="3723" t="s">
        <v>5241</v>
      </c>
      <c r="R47" s="3724" t="s">
        <v>5082</v>
      </c>
      <c r="S47" s="3724">
        <v>12.0</v>
      </c>
      <c r="T47" s="3724">
        <v>20.0</v>
      </c>
      <c r="U47" s="3724">
        <v>2.0</v>
      </c>
      <c r="V47" s="3724" t="s">
        <v>5242</v>
      </c>
      <c r="W47" s="3725" t="s">
        <v>5046</v>
      </c>
      <c r="X47" s="3769" t="s">
        <v>5206</v>
      </c>
      <c r="Y47" s="3727" t="s">
        <v>11</v>
      </c>
      <c r="Z47" s="3768"/>
      <c r="AA47" s="3813"/>
      <c r="AB47" s="3729"/>
      <c r="AC47" s="3729"/>
      <c r="AD47" s="3729"/>
      <c r="AE47" s="3729"/>
      <c r="AF47" s="3622"/>
      <c r="AG47" s="3010"/>
      <c r="AH47" s="3010"/>
    </row>
    <row r="48" spans="8:8" ht="14.25" customHeight="1">
      <c r="B48" s="3785" t="s">
        <v>5243</v>
      </c>
      <c r="C48" s="3786">
        <v>4.0</v>
      </c>
      <c r="D48" s="3787">
        <v>1.0</v>
      </c>
      <c r="E48" s="3787" t="s">
        <v>5238</v>
      </c>
      <c r="F48" s="3787" t="s">
        <v>5040</v>
      </c>
      <c r="G48" s="3786" t="s">
        <v>496</v>
      </c>
      <c r="H48" s="3787" t="s">
        <v>5196</v>
      </c>
      <c r="I48" s="3788" t="s">
        <v>4729</v>
      </c>
      <c r="J48" s="3789"/>
      <c r="K48" s="3750"/>
      <c r="L48" s="3807"/>
      <c r="M48" s="3807"/>
      <c r="N48" s="3807"/>
      <c r="O48" s="3807"/>
      <c r="P48" s="3629"/>
      <c r="Q48" s="3763" t="s">
        <v>5244</v>
      </c>
      <c r="R48" s="3764" t="s">
        <v>5205</v>
      </c>
      <c r="S48" s="3764">
        <v>12.0</v>
      </c>
      <c r="T48" s="3764">
        <v>3.0</v>
      </c>
      <c r="U48" s="3764">
        <v>0.0</v>
      </c>
      <c r="V48" s="3764" t="s">
        <v>5242</v>
      </c>
      <c r="W48" s="3765" t="s">
        <v>5046</v>
      </c>
      <c r="X48" s="3766" t="s">
        <v>5206</v>
      </c>
      <c r="Y48" s="3767" t="s">
        <v>4502</v>
      </c>
      <c r="Z48" s="3768"/>
      <c r="AA48" s="3813"/>
      <c r="AB48" s="3729"/>
      <c r="AC48" s="3729"/>
      <c r="AD48" s="3729"/>
      <c r="AE48" s="3729"/>
      <c r="AF48" s="3622"/>
      <c r="AG48" s="3010"/>
      <c r="AH48" s="3010"/>
    </row>
    <row r="49" spans="8:8" ht="14.25" customHeight="1">
      <c r="B49" s="3698" t="s">
        <v>5245</v>
      </c>
      <c r="C49" s="3684">
        <v>5.0</v>
      </c>
      <c r="D49" s="3674">
        <v>1.0</v>
      </c>
      <c r="E49" s="3674" t="s">
        <v>5246</v>
      </c>
      <c r="F49" s="3674" t="s">
        <v>5040</v>
      </c>
      <c r="G49" s="3684" t="s">
        <v>496</v>
      </c>
      <c r="H49" s="3674" t="s">
        <v>5196</v>
      </c>
      <c r="I49" s="3699" t="s">
        <v>4729</v>
      </c>
      <c r="J49" s="3789"/>
      <c r="K49" s="3750"/>
      <c r="L49" s="3807"/>
      <c r="M49" s="3807"/>
      <c r="N49" s="3807"/>
      <c r="O49" s="3807"/>
      <c r="P49" s="3629"/>
      <c r="Q49" s="3814" t="s">
        <v>5247</v>
      </c>
      <c r="R49" s="3815" t="s">
        <v>5113</v>
      </c>
      <c r="S49" s="3815">
        <v>9.0</v>
      </c>
      <c r="T49" s="3815">
        <v>3.0</v>
      </c>
      <c r="U49" s="3815">
        <v>0.0</v>
      </c>
      <c r="V49" s="3815" t="s">
        <v>5242</v>
      </c>
      <c r="W49" s="3816" t="s">
        <v>5046</v>
      </c>
      <c r="X49" s="3817" t="s">
        <v>5046</v>
      </c>
      <c r="Y49" s="3818" t="s">
        <v>5196</v>
      </c>
      <c r="Z49" s="3819" t="s">
        <v>5248</v>
      </c>
      <c r="AA49" s="3820"/>
      <c r="AB49" s="3735"/>
      <c r="AC49" s="3735"/>
      <c r="AD49" s="3735"/>
      <c r="AE49" s="3735"/>
      <c r="AF49" s="3622"/>
      <c r="AG49" s="3010"/>
      <c r="AH49" s="3010"/>
    </row>
    <row r="50" spans="8:8" ht="14.25" customHeight="1">
      <c r="B50" s="3785" t="s">
        <v>5249</v>
      </c>
      <c r="C50" s="3786">
        <v>4.0</v>
      </c>
      <c r="D50" s="3787">
        <v>0.0</v>
      </c>
      <c r="E50" s="3787" t="s">
        <v>5238</v>
      </c>
      <c r="F50" s="3787" t="s">
        <v>5040</v>
      </c>
      <c r="G50" s="3786" t="s">
        <v>496</v>
      </c>
      <c r="H50" s="3787" t="s">
        <v>5196</v>
      </c>
      <c r="I50" s="3788" t="s">
        <v>4729</v>
      </c>
      <c r="J50" s="3789"/>
      <c r="K50" s="3750"/>
      <c r="L50" s="3807"/>
      <c r="M50" s="3807"/>
      <c r="N50" s="3807"/>
      <c r="O50" s="3807"/>
      <c r="P50" s="3629"/>
      <c r="Q50" s="3723" t="s">
        <v>5250</v>
      </c>
      <c r="R50" s="3724" t="s">
        <v>5113</v>
      </c>
      <c r="S50" s="3724">
        <v>9.0</v>
      </c>
      <c r="T50" s="3724">
        <v>3.0</v>
      </c>
      <c r="U50" s="3724">
        <v>0.0</v>
      </c>
      <c r="V50" s="3724" t="s">
        <v>5251</v>
      </c>
      <c r="W50" s="3725" t="s">
        <v>5119</v>
      </c>
      <c r="X50" s="3726" t="s">
        <v>5096</v>
      </c>
      <c r="Y50" s="3727" t="s">
        <v>5196</v>
      </c>
      <c r="Z50" s="3819"/>
      <c r="AA50" s="3735"/>
      <c r="AB50" s="3735"/>
      <c r="AC50" s="3735"/>
      <c r="AD50" s="3735"/>
      <c r="AE50" s="3735"/>
      <c r="AF50" s="3622"/>
      <c r="AG50" s="3010"/>
      <c r="AH50" s="3010"/>
    </row>
    <row r="51" spans="8:8" ht="14.25" customHeight="1">
      <c r="B51" s="3698" t="s">
        <v>5252</v>
      </c>
      <c r="C51" s="3684">
        <v>5.0</v>
      </c>
      <c r="D51" s="3674">
        <v>1.0</v>
      </c>
      <c r="E51" s="3674" t="s">
        <v>5246</v>
      </c>
      <c r="F51" s="3674" t="s">
        <v>5040</v>
      </c>
      <c r="G51" s="3684" t="s">
        <v>496</v>
      </c>
      <c r="H51" s="3674" t="s">
        <v>5196</v>
      </c>
      <c r="I51" s="3699" t="s">
        <v>4729</v>
      </c>
      <c r="J51" s="3789"/>
      <c r="K51" s="3750"/>
      <c r="L51" s="3807"/>
      <c r="M51" s="3807"/>
      <c r="N51" s="3807"/>
      <c r="O51" s="3807"/>
      <c r="P51" s="3629"/>
      <c r="Q51" s="3814" t="s">
        <v>5253</v>
      </c>
      <c r="R51" s="3815" t="s">
        <v>5254</v>
      </c>
      <c r="S51" s="3815">
        <v>12.0</v>
      </c>
      <c r="T51" s="3815">
        <v>4.0</v>
      </c>
      <c r="U51" s="3815">
        <v>0.0</v>
      </c>
      <c r="V51" s="3815">
        <v>13.0</v>
      </c>
      <c r="W51" s="3816" t="s">
        <v>5119</v>
      </c>
      <c r="X51" s="3821" t="s">
        <v>5096</v>
      </c>
      <c r="Y51" s="3818" t="s">
        <v>4502</v>
      </c>
      <c r="Z51" s="3819"/>
      <c r="AA51" s="3735"/>
      <c r="AB51" s="3735"/>
      <c r="AC51" s="3735"/>
      <c r="AD51" s="3735"/>
      <c r="AE51" s="3735"/>
      <c r="AF51" s="3622"/>
      <c r="AG51" s="3010"/>
      <c r="AH51" s="3010"/>
    </row>
    <row r="52" spans="8:8" ht="14.25" customHeight="1">
      <c r="B52" s="3785" t="s">
        <v>5255</v>
      </c>
      <c r="C52" s="3786">
        <v>4.0</v>
      </c>
      <c r="D52" s="3787">
        <v>1.0</v>
      </c>
      <c r="E52" s="3787" t="s">
        <v>5246</v>
      </c>
      <c r="F52" s="3787" t="s">
        <v>5040</v>
      </c>
      <c r="G52" s="3786" t="s">
        <v>496</v>
      </c>
      <c r="H52" s="3787" t="s">
        <v>5196</v>
      </c>
      <c r="I52" s="3788" t="s">
        <v>4729</v>
      </c>
      <c r="J52" s="3789"/>
      <c r="K52" s="3750"/>
      <c r="L52" s="3807"/>
      <c r="M52" s="3807"/>
      <c r="N52" s="3807"/>
      <c r="O52" s="3807"/>
      <c r="P52" s="3629"/>
      <c r="Q52" s="3723" t="s">
        <v>5256</v>
      </c>
      <c r="R52" s="3724" t="s">
        <v>5254</v>
      </c>
      <c r="S52" s="3822" t="s">
        <v>5257</v>
      </c>
      <c r="T52" s="3724">
        <v>3.0</v>
      </c>
      <c r="U52" s="3724">
        <v>0.0</v>
      </c>
      <c r="V52" s="3724">
        <v>1.0</v>
      </c>
      <c r="W52" s="3725" t="s">
        <v>5052</v>
      </c>
      <c r="X52" s="3726" t="s">
        <v>88</v>
      </c>
      <c r="Y52" s="3727" t="s">
        <v>4502</v>
      </c>
      <c r="Z52" s="3819"/>
      <c r="AA52" s="3735"/>
      <c r="AB52" s="3735"/>
      <c r="AC52" s="3735"/>
      <c r="AD52" s="3735"/>
      <c r="AE52" s="3735"/>
      <c r="AF52" s="3622"/>
      <c r="AG52" s="3010"/>
      <c r="AH52" s="3010"/>
    </row>
    <row r="53" spans="8:8" ht="14.25" customHeight="1">
      <c r="B53" s="3698" t="s">
        <v>5258</v>
      </c>
      <c r="C53" s="3684">
        <v>3.0</v>
      </c>
      <c r="D53" s="3674">
        <v>0.0</v>
      </c>
      <c r="E53" s="3674" t="s">
        <v>5238</v>
      </c>
      <c r="F53" s="3674" t="s">
        <v>5040</v>
      </c>
      <c r="G53" s="3684" t="s">
        <v>496</v>
      </c>
      <c r="H53" s="3674" t="s">
        <v>5196</v>
      </c>
      <c r="I53" s="3699" t="s">
        <v>4729</v>
      </c>
      <c r="J53" s="3789"/>
      <c r="K53" s="3750"/>
      <c r="L53" s="3807"/>
      <c r="M53" s="3807"/>
      <c r="N53" s="3807"/>
      <c r="O53" s="3807"/>
      <c r="P53" s="3629"/>
      <c r="Q53" s="3814" t="s">
        <v>5259</v>
      </c>
      <c r="R53" s="3815" t="s">
        <v>5113</v>
      </c>
      <c r="S53" s="3815">
        <v>8.0</v>
      </c>
      <c r="T53" s="3815">
        <v>5.0</v>
      </c>
      <c r="U53" s="3815">
        <v>0.0</v>
      </c>
      <c r="V53" s="3815">
        <v>12.0</v>
      </c>
      <c r="W53" s="3816" t="s">
        <v>5052</v>
      </c>
      <c r="X53" s="3821" t="s">
        <v>5047</v>
      </c>
      <c r="Y53" s="3818" t="s">
        <v>5260</v>
      </c>
      <c r="Z53" s="3819"/>
      <c r="AA53" s="3735"/>
      <c r="AB53" s="3735"/>
      <c r="AC53" s="3735"/>
      <c r="AD53" s="3735"/>
      <c r="AE53" s="3735"/>
      <c r="AF53" s="3622"/>
      <c r="AG53" s="3010"/>
      <c r="AH53" s="3010"/>
    </row>
    <row r="54" spans="8:8" ht="14.25" customHeight="1">
      <c r="B54" s="3785" t="s">
        <v>5261</v>
      </c>
      <c r="C54" s="3786">
        <v>4.0</v>
      </c>
      <c r="D54" s="3787">
        <v>0.0</v>
      </c>
      <c r="E54" s="3787" t="s">
        <v>5039</v>
      </c>
      <c r="F54" s="3787" t="s">
        <v>5040</v>
      </c>
      <c r="G54" s="3786" t="s">
        <v>496</v>
      </c>
      <c r="H54" s="3787" t="s">
        <v>3212</v>
      </c>
      <c r="I54" s="3788">
        <v>40.0</v>
      </c>
      <c r="J54" s="3789"/>
      <c r="K54" s="3750"/>
      <c r="L54" s="3807"/>
      <c r="M54" s="3807"/>
      <c r="N54" s="3807"/>
      <c r="O54" s="3807"/>
      <c r="P54" s="3629"/>
      <c r="Q54" s="3723" t="s">
        <v>5262</v>
      </c>
      <c r="R54" s="3724" t="s">
        <v>5123</v>
      </c>
      <c r="S54" s="3724">
        <v>13.0</v>
      </c>
      <c r="T54" s="3724">
        <v>5.0</v>
      </c>
      <c r="U54" s="3724">
        <v>0.0</v>
      </c>
      <c r="V54" s="3724">
        <v>9.0</v>
      </c>
      <c r="W54" s="3725" t="s">
        <v>5114</v>
      </c>
      <c r="X54" s="3726" t="s">
        <v>5047</v>
      </c>
      <c r="Y54" s="3727" t="s">
        <v>4502</v>
      </c>
      <c r="Z54" s="3819"/>
      <c r="AA54" s="3735"/>
      <c r="AB54" s="3735"/>
      <c r="AC54" s="3735"/>
      <c r="AD54" s="3735"/>
      <c r="AE54" s="3735"/>
      <c r="AF54" s="3622"/>
      <c r="AG54" s="3010"/>
      <c r="AH54" s="3010"/>
    </row>
    <row r="55" spans="8:8" ht="14.25" customHeight="1">
      <c r="B55" s="3698" t="s">
        <v>5263</v>
      </c>
      <c r="C55" s="3684">
        <v>6.0</v>
      </c>
      <c r="D55" s="3674">
        <v>0.0</v>
      </c>
      <c r="E55" s="3674" t="s">
        <v>5039</v>
      </c>
      <c r="F55" s="3674" t="s">
        <v>5040</v>
      </c>
      <c r="G55" s="3684" t="s">
        <v>496</v>
      </c>
      <c r="H55" s="3674" t="s">
        <v>4502</v>
      </c>
      <c r="I55" s="3699" t="s">
        <v>4729</v>
      </c>
      <c r="J55" s="3789"/>
      <c r="K55" s="3750"/>
      <c r="L55" s="3807"/>
      <c r="M55" s="3807"/>
      <c r="N55" s="3807"/>
      <c r="O55" s="3807"/>
      <c r="P55" s="3629"/>
      <c r="Q55" s="3814" t="s">
        <v>5264</v>
      </c>
      <c r="R55" s="3815" t="s">
        <v>5135</v>
      </c>
      <c r="S55" s="3815">
        <v>10.0</v>
      </c>
      <c r="T55" s="3815">
        <v>12.0</v>
      </c>
      <c r="U55" s="3815" t="s">
        <v>5128</v>
      </c>
      <c r="V55" s="3815" t="s">
        <v>5265</v>
      </c>
      <c r="W55" s="3816" t="s">
        <v>5052</v>
      </c>
      <c r="X55" s="3821" t="s">
        <v>5142</v>
      </c>
      <c r="Y55" s="3818" t="s">
        <v>4502</v>
      </c>
      <c r="Z55" s="3819"/>
      <c r="AA55" s="3720"/>
      <c r="AB55" s="3729"/>
      <c r="AC55" s="3729"/>
      <c r="AD55" s="3735"/>
      <c r="AE55" s="3735"/>
      <c r="AF55" s="3622"/>
      <c r="AG55" s="3010"/>
      <c r="AH55" s="3010"/>
    </row>
    <row r="56" spans="8:8" ht="14.25" customHeight="1">
      <c r="B56" s="3785" t="s">
        <v>5266</v>
      </c>
      <c r="C56" s="3786">
        <v>5.0</v>
      </c>
      <c r="D56" s="3787">
        <v>1.0</v>
      </c>
      <c r="E56" s="3787" t="s">
        <v>5267</v>
      </c>
      <c r="F56" s="3787" t="s">
        <v>5040</v>
      </c>
      <c r="G56" s="3786" t="s">
        <v>496</v>
      </c>
      <c r="H56" s="3787" t="s">
        <v>3212</v>
      </c>
      <c r="I56" s="3788">
        <v>120.0</v>
      </c>
      <c r="J56" s="3789"/>
      <c r="K56" s="3750"/>
      <c r="L56" s="3807"/>
      <c r="M56" s="3807"/>
      <c r="N56" s="3807"/>
      <c r="O56" s="3807"/>
      <c r="P56" s="3629"/>
      <c r="Q56" s="3723" t="s">
        <v>5268</v>
      </c>
      <c r="R56" s="3724" t="s">
        <v>5135</v>
      </c>
      <c r="S56" s="3724">
        <v>10.0</v>
      </c>
      <c r="T56" s="3724">
        <v>11.0</v>
      </c>
      <c r="U56" s="3724" t="s">
        <v>5128</v>
      </c>
      <c r="V56" s="3724" t="s">
        <v>3958</v>
      </c>
      <c r="W56" s="3725" t="s">
        <v>5052</v>
      </c>
      <c r="X56" s="3726" t="s">
        <v>5096</v>
      </c>
      <c r="Y56" s="3727" t="s">
        <v>4502</v>
      </c>
      <c r="Z56" s="3819"/>
      <c r="AA56" s="3720"/>
      <c r="AB56" s="3729"/>
      <c r="AC56" s="3729"/>
      <c r="AD56" s="3735"/>
      <c r="AE56" s="3735"/>
      <c r="AF56" s="3622"/>
      <c r="AG56" s="3010"/>
      <c r="AH56" s="3010"/>
    </row>
    <row r="57" spans="8:8" ht="14.25" customHeight="1">
      <c r="B57" s="3823" t="s">
        <v>5269</v>
      </c>
      <c r="C57" s="3824">
        <v>12.0</v>
      </c>
      <c r="D57" s="3824">
        <v>1.0</v>
      </c>
      <c r="E57" s="3824" t="s">
        <v>5075</v>
      </c>
      <c r="F57" s="3824" t="s">
        <v>5040</v>
      </c>
      <c r="G57" s="3824" t="s">
        <v>496</v>
      </c>
      <c r="H57" s="3824" t="s">
        <v>3212</v>
      </c>
      <c r="I57" s="3825" t="s">
        <v>4729</v>
      </c>
      <c r="J57" s="3789"/>
      <c r="K57" s="3750"/>
      <c r="L57" s="3807"/>
      <c r="M57" s="3807"/>
      <c r="N57" s="3807"/>
      <c r="O57" s="3807"/>
      <c r="P57" s="3629"/>
      <c r="Q57" s="3814" t="s">
        <v>5270</v>
      </c>
      <c r="R57" s="3815" t="s">
        <v>5271</v>
      </c>
      <c r="S57" s="3815">
        <v>7.0</v>
      </c>
      <c r="T57" s="3815">
        <v>90.0</v>
      </c>
      <c r="U57" s="3815" t="s">
        <v>5128</v>
      </c>
      <c r="V57" s="3815" t="s">
        <v>5272</v>
      </c>
      <c r="W57" s="3816" t="s">
        <v>5087</v>
      </c>
      <c r="X57" s="3821" t="s">
        <v>5273</v>
      </c>
      <c r="Y57" s="3818" t="s">
        <v>4502</v>
      </c>
      <c r="Z57" s="3826"/>
      <c r="AA57" s="3729"/>
      <c r="AB57" s="3729"/>
      <c r="AC57" s="3729"/>
      <c r="AD57" s="3735"/>
      <c r="AE57" s="3735"/>
      <c r="AF57" s="3622"/>
      <c r="AG57" s="3010"/>
      <c r="AH57" s="3010"/>
    </row>
    <row r="58" spans="8:8" ht="14.25" customHeight="1">
      <c r="B58" s="3785" t="s">
        <v>5274</v>
      </c>
      <c r="C58" s="3786" t="s">
        <v>5275</v>
      </c>
      <c r="D58" s="3787">
        <v>1.0</v>
      </c>
      <c r="E58" s="3787" t="s">
        <v>5075</v>
      </c>
      <c r="F58" s="3787" t="s">
        <v>5040</v>
      </c>
      <c r="G58" s="3786" t="s">
        <v>171</v>
      </c>
      <c r="H58" s="3787" t="s">
        <v>4502</v>
      </c>
      <c r="I58" s="3788" t="s">
        <v>4729</v>
      </c>
      <c r="J58" s="3789"/>
      <c r="K58" s="3750"/>
      <c r="L58" s="3807"/>
      <c r="M58" s="3807"/>
      <c r="N58" s="3807"/>
      <c r="O58" s="3807"/>
      <c r="P58" s="3629"/>
      <c r="Q58" s="3827" t="s">
        <v>5276</v>
      </c>
      <c r="R58" s="3828" t="s">
        <v>5193</v>
      </c>
      <c r="S58" s="3828">
        <v>13.0</v>
      </c>
      <c r="T58" s="3828">
        <v>16.0</v>
      </c>
      <c r="U58" s="3828">
        <v>6.0</v>
      </c>
      <c r="V58" s="3828" t="s">
        <v>4185</v>
      </c>
      <c r="W58" s="3829" t="s">
        <v>5052</v>
      </c>
      <c r="X58" s="3830" t="s">
        <v>5096</v>
      </c>
      <c r="Y58" s="3831" t="s">
        <v>3212</v>
      </c>
      <c r="Z58" s="3832" t="s">
        <v>5277</v>
      </c>
      <c r="AA58" s="3813"/>
      <c r="AB58" s="3729"/>
      <c r="AC58" s="3729"/>
      <c r="AD58" s="3735"/>
      <c r="AE58" s="3735"/>
      <c r="AF58" s="3622"/>
      <c r="AG58" s="3010"/>
      <c r="AH58" s="3010"/>
    </row>
    <row r="59" spans="8:8" ht="14.25" customHeight="1">
      <c r="B59" s="3833" t="s">
        <v>5278</v>
      </c>
      <c r="C59" s="3834">
        <v>1.0</v>
      </c>
      <c r="D59" s="3835">
        <v>0.0</v>
      </c>
      <c r="E59" s="3835" t="s">
        <v>1597</v>
      </c>
      <c r="F59" s="3835" t="s">
        <v>5279</v>
      </c>
      <c r="G59" s="3834" t="s">
        <v>171</v>
      </c>
      <c r="H59" s="3835" t="s">
        <v>4502</v>
      </c>
      <c r="I59" s="3836" t="s">
        <v>5280</v>
      </c>
      <c r="J59" s="3837" t="s">
        <v>5281</v>
      </c>
      <c r="K59" s="3750"/>
      <c r="L59" s="3750"/>
      <c r="M59" s="3838"/>
      <c r="N59" s="3838"/>
      <c r="O59" s="3838"/>
      <c r="P59" s="3629"/>
      <c r="Q59" s="3723" t="s">
        <v>5282</v>
      </c>
      <c r="R59" s="3724" t="s">
        <v>5193</v>
      </c>
      <c r="S59" s="3839">
        <v>11.0</v>
      </c>
      <c r="T59" s="3724">
        <v>8.0</v>
      </c>
      <c r="U59" s="3724">
        <v>4.0</v>
      </c>
      <c r="V59" s="3724" t="s">
        <v>3875</v>
      </c>
      <c r="W59" s="3725" t="s">
        <v>5052</v>
      </c>
      <c r="X59" s="3769" t="s">
        <v>5096</v>
      </c>
      <c r="Y59" s="3727" t="s">
        <v>4502</v>
      </c>
      <c r="Z59" s="3832"/>
      <c r="AA59" s="3813"/>
      <c r="AB59" s="3729"/>
      <c r="AC59" s="3729"/>
      <c r="AD59" s="3735"/>
      <c r="AE59" s="3735"/>
      <c r="AF59" s="3622"/>
      <c r="AG59" s="3010"/>
      <c r="AH59" s="3010"/>
    </row>
    <row r="60" spans="8:8" ht="14.25" customHeight="1">
      <c r="B60" s="3698" t="s">
        <v>5283</v>
      </c>
      <c r="C60" s="3840">
        <v>2.0</v>
      </c>
      <c r="D60" s="3674">
        <v>0.0</v>
      </c>
      <c r="E60" s="3674" t="s">
        <v>1597</v>
      </c>
      <c r="F60" s="3674" t="s">
        <v>5279</v>
      </c>
      <c r="G60" s="3840" t="s">
        <v>496</v>
      </c>
      <c r="H60" s="3674" t="s">
        <v>3212</v>
      </c>
      <c r="I60" s="3699">
        <v>20.0</v>
      </c>
      <c r="J60" s="3837"/>
      <c r="K60" s="3750"/>
      <c r="L60" s="3750"/>
      <c r="M60" s="3838"/>
      <c r="N60" s="3838"/>
      <c r="O60" s="3838"/>
      <c r="P60" s="3629"/>
      <c r="Q60" s="3827" t="s">
        <v>5284</v>
      </c>
      <c r="R60" s="3828" t="s">
        <v>5193</v>
      </c>
      <c r="S60" s="3841" t="s">
        <v>4746</v>
      </c>
      <c r="T60" s="3828">
        <v>6.0</v>
      </c>
      <c r="U60" s="3828">
        <v>2.0</v>
      </c>
      <c r="V60" s="3828" t="s">
        <v>3932</v>
      </c>
      <c r="W60" s="3829" t="s">
        <v>5052</v>
      </c>
      <c r="X60" s="3830" t="s">
        <v>5096</v>
      </c>
      <c r="Y60" s="3831" t="s">
        <v>3212</v>
      </c>
      <c r="Z60" s="3832"/>
      <c r="AA60" s="3842" t="s">
        <v>5285</v>
      </c>
      <c r="AB60" s="3843"/>
      <c r="AC60" s="3843"/>
      <c r="AD60" s="3843"/>
      <c r="AE60" s="3844"/>
      <c r="AF60" s="3622"/>
      <c r="AG60" s="3010"/>
      <c r="AH60" s="3010"/>
    </row>
    <row r="61" spans="8:8" ht="14.25" customHeight="1">
      <c r="B61" s="3845" t="s">
        <v>5286</v>
      </c>
      <c r="C61" s="3834">
        <v>1.0</v>
      </c>
      <c r="D61" s="3846">
        <v>0.0</v>
      </c>
      <c r="E61" s="3846" t="s">
        <v>1597</v>
      </c>
      <c r="F61" s="3846" t="s">
        <v>5279</v>
      </c>
      <c r="G61" s="3834" t="s">
        <v>171</v>
      </c>
      <c r="H61" s="3846" t="s">
        <v>4502</v>
      </c>
      <c r="I61" s="3847" t="s">
        <v>5232</v>
      </c>
      <c r="J61" s="3837"/>
      <c r="K61" s="3750"/>
      <c r="L61" s="3750"/>
      <c r="M61" s="3838"/>
      <c r="N61" s="3838"/>
      <c r="O61" s="3838"/>
      <c r="P61" s="3629"/>
      <c r="Q61" s="3723" t="s">
        <v>5287</v>
      </c>
      <c r="R61" s="3724" t="s">
        <v>2455</v>
      </c>
      <c r="S61" s="3839" t="s">
        <v>4623</v>
      </c>
      <c r="T61" s="3724">
        <v>4.0</v>
      </c>
      <c r="U61" s="3724">
        <v>2.0</v>
      </c>
      <c r="V61" s="3839" t="s">
        <v>5288</v>
      </c>
      <c r="W61" s="3724" t="s">
        <v>88</v>
      </c>
      <c r="X61" s="3769" t="s">
        <v>5047</v>
      </c>
      <c r="Y61" s="3727" t="s">
        <v>4502</v>
      </c>
      <c r="Z61" s="3832"/>
      <c r="AA61" s="3848" t="s">
        <v>318</v>
      </c>
      <c r="AB61" s="3849">
        <v>5.0</v>
      </c>
      <c r="AC61" s="3849">
        <v>6.0</v>
      </c>
      <c r="AD61" s="3849">
        <v>7.0</v>
      </c>
      <c r="AE61" s="3850">
        <v>8.0</v>
      </c>
      <c r="AF61" s="3622"/>
      <c r="AG61" s="3010"/>
      <c r="AH61" s="3010"/>
    </row>
    <row r="62" spans="8:8" ht="14.25" customHeight="1">
      <c r="B62" s="3698" t="s">
        <v>5289</v>
      </c>
      <c r="C62" s="3684">
        <v>1.0</v>
      </c>
      <c r="D62" s="3674">
        <v>0.0</v>
      </c>
      <c r="E62" s="3674" t="s">
        <v>1597</v>
      </c>
      <c r="F62" s="3674" t="s">
        <v>5279</v>
      </c>
      <c r="G62" s="3684" t="s">
        <v>496</v>
      </c>
      <c r="H62" s="3674" t="s">
        <v>3212</v>
      </c>
      <c r="I62" s="3699" t="s">
        <v>4729</v>
      </c>
      <c r="J62" s="3837"/>
      <c r="K62" s="3750"/>
      <c r="L62" s="3750"/>
      <c r="M62" s="3838"/>
      <c r="N62" s="3838"/>
      <c r="O62" s="3838"/>
      <c r="P62" s="3629"/>
      <c r="Q62" s="3827" t="s">
        <v>5290</v>
      </c>
      <c r="R62" s="3828" t="s">
        <v>5193</v>
      </c>
      <c r="S62" s="3841" t="s">
        <v>4619</v>
      </c>
      <c r="T62" s="3828">
        <v>35.0</v>
      </c>
      <c r="U62" s="3828">
        <v>3.0</v>
      </c>
      <c r="V62" s="3828" t="s">
        <v>3958</v>
      </c>
      <c r="W62" s="3829" t="s">
        <v>5052</v>
      </c>
      <c r="X62" s="3830" t="s">
        <v>5096</v>
      </c>
      <c r="Y62" s="3831" t="s">
        <v>3212</v>
      </c>
      <c r="Z62" s="3832"/>
      <c r="AA62" s="3851" t="s">
        <v>5291</v>
      </c>
      <c r="AB62" s="3852">
        <v>3.0</v>
      </c>
      <c r="AC62" s="3853">
        <v>4.0</v>
      </c>
      <c r="AD62" s="3853">
        <v>6.0</v>
      </c>
      <c r="AE62" s="3854">
        <v>8.0</v>
      </c>
      <c r="AF62" s="3622"/>
      <c r="AG62" s="3010"/>
      <c r="AH62" s="3010"/>
    </row>
    <row r="63" spans="8:8" ht="14.25" customHeight="1">
      <c r="B63" s="3833" t="s">
        <v>5292</v>
      </c>
      <c r="C63" s="3834">
        <v>2.0</v>
      </c>
      <c r="D63" s="3835">
        <v>0.0</v>
      </c>
      <c r="E63" s="3835" t="s">
        <v>1597</v>
      </c>
      <c r="F63" s="3835" t="s">
        <v>5279</v>
      </c>
      <c r="G63" s="3834" t="s">
        <v>496</v>
      </c>
      <c r="H63" s="3835" t="s">
        <v>4502</v>
      </c>
      <c r="I63" s="3847" t="s">
        <v>5232</v>
      </c>
      <c r="J63" s="3837"/>
      <c r="K63" s="3750"/>
      <c r="L63" s="3750"/>
      <c r="M63" s="3838"/>
      <c r="N63" s="3838"/>
      <c r="O63" s="3838"/>
      <c r="P63" s="3629"/>
      <c r="Q63" s="3723" t="s">
        <v>5293</v>
      </c>
      <c r="R63" s="3724" t="s">
        <v>5193</v>
      </c>
      <c r="S63" s="3839" t="s">
        <v>5294</v>
      </c>
      <c r="T63" s="3724">
        <v>30.0</v>
      </c>
      <c r="U63" s="3724">
        <v>3.0</v>
      </c>
      <c r="V63" s="3839" t="s">
        <v>3938</v>
      </c>
      <c r="W63" s="3725" t="s">
        <v>5052</v>
      </c>
      <c r="X63" s="3769" t="s">
        <v>5096</v>
      </c>
      <c r="Y63" s="3727" t="s">
        <v>3212</v>
      </c>
      <c r="Z63" s="3832"/>
      <c r="AA63" s="3848" t="s">
        <v>318</v>
      </c>
      <c r="AB63" s="3849">
        <v>9.0</v>
      </c>
      <c r="AC63" s="3849">
        <v>10.0</v>
      </c>
      <c r="AD63" s="3849">
        <v>11.0</v>
      </c>
      <c r="AE63" s="3850">
        <v>12.0</v>
      </c>
      <c r="AF63" s="3622"/>
      <c r="AG63" s="3010"/>
      <c r="AH63" s="3010"/>
    </row>
    <row r="64" spans="8:8" ht="14.25" customHeight="1">
      <c r="B64" s="3698" t="s">
        <v>5295</v>
      </c>
      <c r="C64" s="3840">
        <v>2.0</v>
      </c>
      <c r="D64" s="3674">
        <v>0.0</v>
      </c>
      <c r="E64" s="3674" t="s">
        <v>1597</v>
      </c>
      <c r="F64" s="3674" t="s">
        <v>5279</v>
      </c>
      <c r="G64" s="3840" t="s">
        <v>496</v>
      </c>
      <c r="H64" s="3674" t="s">
        <v>5196</v>
      </c>
      <c r="I64" s="3699" t="s">
        <v>4729</v>
      </c>
      <c r="J64" s="3837"/>
      <c r="K64" s="3750"/>
      <c r="L64" s="3750"/>
      <c r="M64" s="3838"/>
      <c r="N64" s="3838"/>
      <c r="O64" s="3838"/>
      <c r="P64" s="3629"/>
      <c r="Q64" s="3827" t="s">
        <v>5296</v>
      </c>
      <c r="R64" s="3828" t="s">
        <v>5193</v>
      </c>
      <c r="S64" s="3841" t="s">
        <v>5297</v>
      </c>
      <c r="T64" s="3828">
        <v>16.0</v>
      </c>
      <c r="U64" s="3828">
        <v>2.0</v>
      </c>
      <c r="V64" s="3828" t="s">
        <v>3598</v>
      </c>
      <c r="W64" s="3829" t="s">
        <v>5052</v>
      </c>
      <c r="X64" s="3830" t="s">
        <v>5047</v>
      </c>
      <c r="Y64" s="3831" t="s">
        <v>3212</v>
      </c>
      <c r="Z64" s="3855"/>
      <c r="AA64" s="3851" t="s">
        <v>5291</v>
      </c>
      <c r="AB64" s="3852">
        <v>12.0</v>
      </c>
      <c r="AC64" s="3853">
        <v>18.0</v>
      </c>
      <c r="AD64" s="3853">
        <v>27.0</v>
      </c>
      <c r="AE64" s="3854">
        <v>40.0</v>
      </c>
      <c r="AF64" s="3622"/>
      <c r="AG64" s="3010"/>
      <c r="AH64" s="3010"/>
    </row>
    <row r="65" spans="8:8" ht="14.25" customHeight="1">
      <c r="B65" s="3845" t="s">
        <v>5298</v>
      </c>
      <c r="C65" s="3834">
        <v>1.0</v>
      </c>
      <c r="D65" s="3846">
        <v>0.0</v>
      </c>
      <c r="E65" s="3846" t="s">
        <v>1717</v>
      </c>
      <c r="F65" s="3846" t="s">
        <v>5299</v>
      </c>
      <c r="G65" s="3834" t="s">
        <v>171</v>
      </c>
      <c r="H65" s="3846" t="s">
        <v>4502</v>
      </c>
      <c r="I65" s="3856" t="s">
        <v>5300</v>
      </c>
      <c r="J65" s="3837"/>
      <c r="K65" s="3750"/>
      <c r="L65" s="3750"/>
      <c r="M65" s="3838"/>
      <c r="N65" s="3838"/>
      <c r="O65" s="3838"/>
      <c r="P65" s="3629"/>
      <c r="Q65" s="3857"/>
      <c r="R65" s="3858"/>
      <c r="S65" s="3858"/>
      <c r="T65" s="3858"/>
      <c r="U65" s="3858"/>
      <c r="V65" s="3858"/>
      <c r="W65" s="3858"/>
      <c r="X65" s="3859"/>
      <c r="Y65" s="3860"/>
      <c r="Z65" s="3720"/>
      <c r="AA65" s="3848" t="s">
        <v>318</v>
      </c>
      <c r="AB65" s="3849">
        <v>13.0</v>
      </c>
      <c r="AC65" s="3849">
        <v>14.0</v>
      </c>
      <c r="AD65" s="3849">
        <v>15.0</v>
      </c>
      <c r="AE65" s="3850">
        <v>16.0</v>
      </c>
      <c r="AF65" s="3622"/>
      <c r="AG65" s="2984"/>
      <c r="AH65" s="2984"/>
    </row>
    <row r="66" spans="8:8" ht="14.25" customHeight="1">
      <c r="B66" s="3698" t="s">
        <v>5301</v>
      </c>
      <c r="C66" s="3684">
        <v>2.0</v>
      </c>
      <c r="D66" s="3674">
        <v>1.0</v>
      </c>
      <c r="E66" s="3674" t="s">
        <v>1717</v>
      </c>
      <c r="F66" s="3674" t="s">
        <v>5299</v>
      </c>
      <c r="G66" s="3684" t="s">
        <v>496</v>
      </c>
      <c r="H66" s="3674" t="s">
        <v>5196</v>
      </c>
      <c r="I66" s="3699" t="s">
        <v>4729</v>
      </c>
      <c r="J66" s="3837"/>
      <c r="K66" s="3750"/>
      <c r="L66" s="3750"/>
      <c r="M66" s="3838"/>
      <c r="N66" s="3838"/>
      <c r="O66" s="3838"/>
      <c r="P66" s="3629"/>
      <c r="Q66" s="3861"/>
      <c r="R66" s="3862"/>
      <c r="S66" s="3862"/>
      <c r="T66" s="3862"/>
      <c r="U66" s="3862"/>
      <c r="V66" s="3862"/>
      <c r="W66" s="3862"/>
      <c r="X66" s="3863"/>
      <c r="Y66" s="2566"/>
      <c r="Z66" s="3720"/>
      <c r="AA66" s="3851" t="s">
        <v>5291</v>
      </c>
      <c r="AB66" s="3852">
        <v>60.0</v>
      </c>
      <c r="AC66" s="3853">
        <v>90.0</v>
      </c>
      <c r="AD66" s="3853">
        <v>135.0</v>
      </c>
      <c r="AE66" s="3854">
        <v>200.0</v>
      </c>
      <c r="AF66" s="3622"/>
      <c r="AG66" s="2984"/>
      <c r="AH66" s="2984"/>
    </row>
    <row r="67" spans="8:8" ht="14.25" customHeight="1">
      <c r="B67" s="3833" t="s">
        <v>5302</v>
      </c>
      <c r="C67" s="3834">
        <v>2.0</v>
      </c>
      <c r="D67" s="3835">
        <v>1.0</v>
      </c>
      <c r="E67" s="3835" t="s">
        <v>1717</v>
      </c>
      <c r="F67" s="3835" t="s">
        <v>5299</v>
      </c>
      <c r="G67" s="3834" t="s">
        <v>171</v>
      </c>
      <c r="H67" s="3835" t="s">
        <v>4502</v>
      </c>
      <c r="I67" s="3864" t="s">
        <v>5303</v>
      </c>
      <c r="J67" s="3837"/>
      <c r="P67" s="3629"/>
      <c r="Q67" s="3857"/>
      <c r="R67" s="3858"/>
      <c r="S67" s="3858"/>
      <c r="T67" s="3858"/>
      <c r="U67" s="3858"/>
      <c r="V67" s="3858"/>
      <c r="W67" s="3859"/>
      <c r="X67" s="3858"/>
      <c r="Y67" s="3865"/>
      <c r="Z67" s="3720"/>
      <c r="AA67" s="3848" t="s">
        <v>318</v>
      </c>
      <c r="AB67" s="3849">
        <v>17.0</v>
      </c>
      <c r="AC67" s="3849">
        <v>18.0</v>
      </c>
      <c r="AD67" s="3849">
        <v>19.0</v>
      </c>
      <c r="AE67" s="3850">
        <v>20.0</v>
      </c>
      <c r="AF67" s="3622"/>
      <c r="AG67" s="2984"/>
      <c r="AH67" s="2984"/>
    </row>
    <row r="68" spans="8:8" ht="14.25" customHeight="1">
      <c r="B68" s="3866" t="s">
        <v>5304</v>
      </c>
      <c r="C68" s="3867">
        <v>9.0</v>
      </c>
      <c r="D68" s="3868">
        <v>1.0</v>
      </c>
      <c r="E68" s="3868" t="s">
        <v>88</v>
      </c>
      <c r="F68" s="3868" t="s">
        <v>5305</v>
      </c>
      <c r="G68" s="3867" t="s">
        <v>496</v>
      </c>
      <c r="H68" s="3868" t="s">
        <v>3212</v>
      </c>
      <c r="I68" s="3869">
        <v>40.0</v>
      </c>
      <c r="J68" s="3870" t="s">
        <v>5306</v>
      </c>
      <c r="K68" s="3871" t="s">
        <v>5307</v>
      </c>
      <c r="L68" s="3872" t="s">
        <v>5308</v>
      </c>
      <c r="M68" s="3872"/>
      <c r="N68" s="3872"/>
      <c r="O68" s="3872"/>
      <c r="P68" s="3629"/>
      <c r="Q68" s="3873"/>
      <c r="R68" s="3874"/>
      <c r="S68" s="3874"/>
      <c r="T68" s="3874"/>
      <c r="U68" s="3874"/>
      <c r="V68" s="3874"/>
      <c r="W68" s="3875"/>
      <c r="X68" s="3874"/>
      <c r="Y68" s="3876"/>
      <c r="Z68" s="3720"/>
      <c r="AA68" s="3877" t="s">
        <v>5291</v>
      </c>
      <c r="AB68" s="3878">
        <v>300.0</v>
      </c>
      <c r="AC68" s="3878">
        <v>450.0</v>
      </c>
      <c r="AD68" s="3878">
        <v>675.0</v>
      </c>
      <c r="AE68" s="3879">
        <v>1000.0</v>
      </c>
      <c r="AF68" s="3622"/>
      <c r="AG68" s="3010"/>
      <c r="AH68" s="3010"/>
    </row>
    <row r="69" spans="8:8" ht="14.25" customHeight="1">
      <c r="B69" s="3880" t="s">
        <v>5309</v>
      </c>
      <c r="C69" s="3840">
        <v>25.0</v>
      </c>
      <c r="D69" s="3881">
        <v>1.0</v>
      </c>
      <c r="E69" s="3881" t="s">
        <v>88</v>
      </c>
      <c r="F69" s="3881" t="s">
        <v>5305</v>
      </c>
      <c r="G69" s="3840" t="s">
        <v>496</v>
      </c>
      <c r="H69" s="3881" t="s">
        <v>3212</v>
      </c>
      <c r="I69" s="3882" t="s">
        <v>4729</v>
      </c>
      <c r="J69" s="3870"/>
      <c r="K69" s="3871"/>
      <c r="L69" s="3872"/>
      <c r="M69" s="3872"/>
      <c r="N69" s="3872"/>
      <c r="O69" s="3872"/>
      <c r="P69" s="3629"/>
      <c r="Q69" s="3883"/>
      <c r="R69" s="3884"/>
      <c r="S69" s="3884"/>
      <c r="T69" s="3884"/>
      <c r="U69" s="3884"/>
      <c r="V69" s="3884"/>
      <c r="W69" s="3884"/>
      <c r="X69" s="3885"/>
      <c r="Y69" s="3729"/>
      <c r="Z69" s="3729"/>
      <c r="AA69" s="3886" t="s">
        <v>5310</v>
      </c>
      <c r="AB69" s="3886"/>
      <c r="AC69" s="3886"/>
      <c r="AD69" s="3886"/>
      <c r="AE69" s="3886"/>
      <c r="AF69" s="3622"/>
      <c r="AG69" s="3010"/>
      <c r="AH69" s="3010"/>
    </row>
    <row r="70" spans="8:8" ht="14.25" customHeight="1">
      <c r="B70" s="3866" t="s">
        <v>5311</v>
      </c>
      <c r="C70" s="3867">
        <v>30.0</v>
      </c>
      <c r="D70" s="3868">
        <v>2.0</v>
      </c>
      <c r="E70" s="3868" t="s">
        <v>88</v>
      </c>
      <c r="F70" s="3868" t="s">
        <v>5305</v>
      </c>
      <c r="G70" s="3867" t="s">
        <v>496</v>
      </c>
      <c r="H70" s="3868" t="s">
        <v>3212</v>
      </c>
      <c r="I70" s="3869" t="s">
        <v>4729</v>
      </c>
      <c r="J70" s="3870"/>
      <c r="K70" s="3871"/>
      <c r="L70" s="3872"/>
      <c r="M70" s="3872"/>
      <c r="N70" s="3872"/>
      <c r="O70" s="3872"/>
      <c r="P70" s="3629"/>
      <c r="Q70" s="3196" t="s">
        <v>5312</v>
      </c>
      <c r="R70" s="3197"/>
      <c r="S70" s="3197"/>
      <c r="T70" s="3197"/>
      <c r="U70" s="3197"/>
      <c r="V70" s="3197"/>
      <c r="W70" s="3197"/>
      <c r="X70" s="3197"/>
      <c r="Y70" s="3197"/>
      <c r="Z70" s="3198"/>
      <c r="AA70" s="3735"/>
      <c r="AB70" s="3887"/>
      <c r="AC70" s="3729"/>
      <c r="AD70" s="3735"/>
      <c r="AE70" s="3735"/>
      <c r="AF70" s="3622"/>
      <c r="AG70" s="3010"/>
      <c r="AH70" s="3010"/>
    </row>
    <row r="71" spans="8:8" ht="14.25" customHeight="1">
      <c r="B71" s="3888" t="s">
        <v>5313</v>
      </c>
      <c r="C71" s="3889">
        <v>15.0</v>
      </c>
      <c r="D71" s="3890">
        <v>0.0</v>
      </c>
      <c r="E71" s="3890" t="s">
        <v>5314</v>
      </c>
      <c r="F71" s="3890" t="s">
        <v>5315</v>
      </c>
      <c r="G71" s="3889" t="s">
        <v>496</v>
      </c>
      <c r="H71" s="3890" t="s">
        <v>5196</v>
      </c>
      <c r="I71" s="3891" t="s">
        <v>4729</v>
      </c>
      <c r="J71" s="3870"/>
      <c r="K71" s="3871"/>
      <c r="L71" s="3872"/>
      <c r="M71" s="3872"/>
      <c r="N71" s="3872"/>
      <c r="O71" s="3872"/>
      <c r="P71" s="3629"/>
      <c r="Q71" s="3892" t="s">
        <v>5316</v>
      </c>
      <c r="R71" s="3893"/>
      <c r="S71" s="3893"/>
      <c r="T71" s="3893"/>
      <c r="U71" s="3893"/>
      <c r="V71" s="3893"/>
      <c r="W71" s="3893"/>
      <c r="X71" s="3893"/>
      <c r="Y71" s="3893"/>
      <c r="Z71" s="3894"/>
      <c r="AA71" s="3735"/>
      <c r="AB71" s="3887"/>
      <c r="AC71" s="3729"/>
      <c r="AD71" s="3735"/>
      <c r="AE71" s="3735"/>
      <c r="AF71" s="3622"/>
      <c r="AG71" s="3010"/>
      <c r="AH71" s="3010"/>
    </row>
    <row r="72" spans="8:8" ht="14.25" customHeight="1">
      <c r="B72" s="3866" t="s">
        <v>5317</v>
      </c>
      <c r="C72" s="3867">
        <v>10.0</v>
      </c>
      <c r="D72" s="3868">
        <v>1.0</v>
      </c>
      <c r="E72" s="3868" t="s">
        <v>88</v>
      </c>
      <c r="F72" s="3868" t="s">
        <v>5305</v>
      </c>
      <c r="G72" s="3867" t="s">
        <v>496</v>
      </c>
      <c r="H72" s="3868" t="s">
        <v>5196</v>
      </c>
      <c r="I72" s="3869" t="s">
        <v>4729</v>
      </c>
      <c r="J72" s="3870"/>
      <c r="K72" s="3871"/>
      <c r="L72" s="3895" t="s">
        <v>5318</v>
      </c>
      <c r="M72" s="3895"/>
      <c r="N72" s="3895"/>
      <c r="O72" s="3895"/>
      <c r="P72" s="3629"/>
      <c r="Q72" s="3896"/>
      <c r="R72" s="3897"/>
      <c r="S72" s="3897"/>
      <c r="T72" s="3897"/>
      <c r="U72" s="3897"/>
      <c r="V72" s="3897"/>
      <c r="W72" s="3897"/>
      <c r="X72" s="3897"/>
      <c r="Y72" s="3897"/>
      <c r="Z72" s="3898"/>
      <c r="AA72" s="3735"/>
      <c r="AB72" s="3887"/>
      <c r="AC72" s="3729"/>
      <c r="AD72" s="3735"/>
      <c r="AE72" s="3735"/>
      <c r="AF72" s="3622"/>
      <c r="AG72" s="3010"/>
      <c r="AH72" s="3010"/>
    </row>
    <row r="73" spans="8:8" ht="14.25" customHeight="1">
      <c r="B73" s="3880" t="s">
        <v>5319</v>
      </c>
      <c r="C73" s="3840">
        <v>15.0</v>
      </c>
      <c r="D73" s="3881">
        <v>1.0</v>
      </c>
      <c r="E73" s="3881" t="s">
        <v>88</v>
      </c>
      <c r="F73" s="3881" t="s">
        <v>5305</v>
      </c>
      <c r="G73" s="3840" t="s">
        <v>496</v>
      </c>
      <c r="H73" s="3881" t="s">
        <v>5196</v>
      </c>
      <c r="I73" s="3882" t="s">
        <v>4729</v>
      </c>
      <c r="J73" s="3870"/>
      <c r="K73" s="3871"/>
      <c r="L73" s="3895"/>
      <c r="M73" s="3895"/>
      <c r="N73" s="3895"/>
      <c r="O73" s="3895"/>
      <c r="P73" s="3629"/>
      <c r="Q73" s="3899"/>
      <c r="R73" s="3900"/>
      <c r="S73" s="3900"/>
      <c r="T73" s="3900"/>
      <c r="U73" s="3900"/>
      <c r="V73" s="3900"/>
      <c r="W73" s="3900"/>
      <c r="X73" s="3900"/>
      <c r="Y73" s="3900"/>
      <c r="Z73" s="3901"/>
      <c r="AA73" s="3735"/>
      <c r="AB73" s="3887"/>
      <c r="AC73" s="3729"/>
      <c r="AD73" s="3735"/>
      <c r="AE73" s="3735"/>
      <c r="AF73" s="3622"/>
      <c r="AG73" s="3010"/>
      <c r="AH73" s="3010"/>
    </row>
    <row r="74" spans="8:8" ht="14.25" customHeight="1">
      <c r="B74" s="3866" t="s">
        <v>5320</v>
      </c>
      <c r="C74" s="3867">
        <v>20.0</v>
      </c>
      <c r="D74" s="3868">
        <v>2.0</v>
      </c>
      <c r="E74" s="3868" t="s">
        <v>88</v>
      </c>
      <c r="F74" s="3868" t="s">
        <v>5305</v>
      </c>
      <c r="G74" s="3867" t="s">
        <v>496</v>
      </c>
      <c r="H74" s="3868" t="s">
        <v>5196</v>
      </c>
      <c r="I74" s="3869" t="s">
        <v>4729</v>
      </c>
      <c r="J74" s="3870"/>
      <c r="K74" s="3871"/>
      <c r="L74" s="3895"/>
      <c r="M74" s="3895"/>
      <c r="N74" s="3895"/>
      <c r="O74" s="3895"/>
      <c r="P74" s="3629"/>
      <c r="Q74" s="3892" t="s">
        <v>5321</v>
      </c>
      <c r="R74" s="3902"/>
      <c r="S74" s="3902"/>
      <c r="T74" s="3902"/>
      <c r="U74" s="3902"/>
      <c r="V74" s="3902"/>
      <c r="W74" s="3902"/>
      <c r="X74" s="3902"/>
      <c r="Y74" s="3902"/>
      <c r="Z74" s="3903"/>
      <c r="AA74" s="3735"/>
      <c r="AB74" s="3887"/>
      <c r="AC74" s="3729"/>
      <c r="AD74" s="3735"/>
      <c r="AE74" s="3735"/>
      <c r="AF74" s="3622"/>
      <c r="AG74" s="3010"/>
      <c r="AH74" s="3010"/>
    </row>
    <row r="75" spans="8:8" ht="14.25" customHeight="1">
      <c r="B75" s="3904" t="s">
        <v>5322</v>
      </c>
      <c r="C75" s="3905">
        <v>2.0</v>
      </c>
      <c r="D75" s="3905" t="s">
        <v>88</v>
      </c>
      <c r="E75" s="3905" t="s">
        <v>88</v>
      </c>
      <c r="F75" s="3905" t="s">
        <v>1360</v>
      </c>
      <c r="G75" s="3905" t="s">
        <v>496</v>
      </c>
      <c r="H75" s="3905" t="s">
        <v>5196</v>
      </c>
      <c r="I75" s="3906" t="s">
        <v>4729</v>
      </c>
      <c r="J75" s="3870"/>
      <c r="K75" s="3871"/>
      <c r="L75" s="3895"/>
      <c r="M75" s="3895"/>
      <c r="N75" s="3895"/>
      <c r="O75" s="3895"/>
      <c r="P75" s="3629"/>
      <c r="Q75" s="3907"/>
      <c r="R75" s="3908"/>
      <c r="S75" s="3908"/>
      <c r="T75" s="3908"/>
      <c r="U75" s="3908"/>
      <c r="V75" s="3908"/>
      <c r="W75" s="3908"/>
      <c r="X75" s="3908"/>
      <c r="Y75" s="3908"/>
      <c r="Z75" s="3909"/>
      <c r="AA75" s="3735"/>
      <c r="AB75" s="3887"/>
      <c r="AC75" s="3729"/>
      <c r="AD75" s="3735"/>
      <c r="AE75" s="3735"/>
      <c r="AF75" s="3622"/>
      <c r="AG75" s="2984"/>
      <c r="AH75" s="2984"/>
    </row>
    <row r="76" spans="8:8" ht="14.25" customHeight="1">
      <c r="B76" s="3910" t="s">
        <v>47</v>
      </c>
      <c r="C76" s="3911" t="s">
        <v>168</v>
      </c>
      <c r="D76" s="3912"/>
      <c r="E76" s="3912" t="s">
        <v>88</v>
      </c>
      <c r="F76" s="3912"/>
      <c r="G76" s="3911"/>
      <c r="H76" s="3912"/>
      <c r="I76" s="3912"/>
      <c r="J76" s="3913" t="s">
        <v>1452</v>
      </c>
      <c r="K76" s="3914"/>
      <c r="L76" s="3914"/>
      <c r="M76" s="3838"/>
      <c r="N76" s="3915"/>
      <c r="O76" s="3838"/>
      <c r="P76" s="3629"/>
      <c r="Q76" s="3907"/>
      <c r="R76" s="3908"/>
      <c r="S76" s="3908"/>
      <c r="T76" s="3908"/>
      <c r="U76" s="3908"/>
      <c r="V76" s="3908"/>
      <c r="W76" s="3908"/>
      <c r="X76" s="3908"/>
      <c r="Y76" s="3908"/>
      <c r="Z76" s="3909"/>
      <c r="AA76" s="3735"/>
      <c r="AB76" s="3887"/>
      <c r="AC76" s="3729"/>
      <c r="AD76" s="3735"/>
      <c r="AE76" s="3735"/>
      <c r="AF76" s="3622"/>
      <c r="AG76" s="2984"/>
      <c r="AH76" s="2984"/>
    </row>
    <row r="77" spans="8:8" ht="14.25" customHeight="1">
      <c r="B77" s="3910"/>
      <c r="C77" s="3912"/>
      <c r="D77" s="3912"/>
      <c r="E77" s="3912"/>
      <c r="F77" s="3912"/>
      <c r="G77" s="3912"/>
      <c r="H77" s="3912"/>
      <c r="I77" s="3912"/>
      <c r="J77" s="3913"/>
      <c r="K77" s="3914"/>
      <c r="L77" s="3914"/>
      <c r="M77" s="3838"/>
      <c r="N77" s="3915"/>
      <c r="O77" s="3838"/>
      <c r="P77" s="3629"/>
      <c r="Q77" s="3916" t="s">
        <v>5323</v>
      </c>
      <c r="R77" s="3917"/>
      <c r="S77" s="3917"/>
      <c r="T77" s="3917"/>
      <c r="U77" s="3917"/>
      <c r="V77" s="3917"/>
      <c r="W77" s="3917"/>
      <c r="X77" s="3917"/>
      <c r="Y77" s="3917"/>
      <c r="Z77" s="3918"/>
      <c r="AA77" s="3735"/>
      <c r="AB77" s="3887"/>
      <c r="AC77" s="3729"/>
      <c r="AD77" s="3735"/>
      <c r="AE77" s="3735"/>
      <c r="AF77" s="3622"/>
      <c r="AG77" s="2984"/>
      <c r="AH77" s="2984"/>
    </row>
    <row r="78" spans="8:8" ht="14.25" customHeight="1">
      <c r="B78" s="3910"/>
      <c r="C78" s="3912"/>
      <c r="D78" s="3912"/>
      <c r="E78" s="3912"/>
      <c r="F78" s="3912"/>
      <c r="G78" s="3912"/>
      <c r="H78" s="3912"/>
      <c r="I78" s="3912"/>
      <c r="J78" s="3913"/>
      <c r="K78" s="3914"/>
      <c r="L78" s="3914"/>
      <c r="M78" s="3838"/>
      <c r="N78" s="3915"/>
      <c r="O78" s="3838"/>
      <c r="P78" s="3629"/>
      <c r="Q78" s="3919" t="s">
        <v>5324</v>
      </c>
      <c r="R78" s="3920"/>
      <c r="S78" s="3920"/>
      <c r="T78" s="3920"/>
      <c r="U78" s="3920"/>
      <c r="V78" s="3920"/>
      <c r="W78" s="3920"/>
      <c r="X78" s="3920"/>
      <c r="Y78" s="3920"/>
      <c r="Z78" s="3921"/>
      <c r="AA78" s="3729"/>
      <c r="AB78" s="3887"/>
      <c r="AC78" s="3729"/>
      <c r="AD78" s="3735"/>
      <c r="AE78" s="3735"/>
      <c r="AF78" s="3622"/>
      <c r="AG78" s="2984"/>
      <c r="AH78" s="2984"/>
    </row>
    <row r="79" spans="8:8" ht="14.25" customHeight="1">
      <c r="B79" s="3910"/>
      <c r="C79" s="3912"/>
      <c r="D79" s="3912"/>
      <c r="E79" s="3912"/>
      <c r="F79" s="3912"/>
      <c r="G79" s="3912"/>
      <c r="H79" s="3912"/>
      <c r="I79" s="3912"/>
      <c r="J79" s="3913"/>
      <c r="K79" s="3750"/>
      <c r="L79" s="3914"/>
      <c r="M79" s="3914"/>
      <c r="N79" s="3914"/>
      <c r="O79" s="3914"/>
      <c r="P79" s="3629"/>
      <c r="Q79" s="3919"/>
      <c r="R79" s="3920"/>
      <c r="S79" s="3920"/>
      <c r="T79" s="3920"/>
      <c r="U79" s="3920"/>
      <c r="V79" s="3920"/>
      <c r="W79" s="3920"/>
      <c r="X79" s="3920"/>
      <c r="Y79" s="3920"/>
      <c r="Z79" s="3921"/>
      <c r="AA79" s="3729"/>
      <c r="AB79" s="3887"/>
      <c r="AC79" s="3729"/>
      <c r="AD79" s="3735"/>
      <c r="AE79" s="3735"/>
      <c r="AF79" s="3622"/>
      <c r="AG79" s="2984"/>
      <c r="AH79" s="2984"/>
    </row>
    <row r="80" spans="8:8" ht="14.25" customHeight="1">
      <c r="B80" s="3910"/>
      <c r="C80" s="3912"/>
      <c r="D80" s="3912"/>
      <c r="E80" s="3912"/>
      <c r="F80" s="3912"/>
      <c r="G80" s="3912"/>
      <c r="H80" s="3912"/>
      <c r="I80" s="3912"/>
      <c r="J80" s="3913"/>
      <c r="K80" s="3750"/>
      <c r="L80" s="3914"/>
      <c r="M80" s="3914"/>
      <c r="N80" s="3914"/>
      <c r="O80" s="3914"/>
      <c r="P80" s="3629"/>
      <c r="Q80" s="3919"/>
      <c r="R80" s="3920"/>
      <c r="S80" s="3920"/>
      <c r="T80" s="3920"/>
      <c r="U80" s="3920"/>
      <c r="V80" s="3920"/>
      <c r="W80" s="3920"/>
      <c r="X80" s="3920"/>
      <c r="Y80" s="3920"/>
      <c r="Z80" s="3921"/>
      <c r="AA80" s="3729"/>
      <c r="AB80" s="3887"/>
      <c r="AC80" s="3729"/>
      <c r="AD80" s="3735"/>
      <c r="AE80" s="3735"/>
      <c r="AF80" s="3622"/>
      <c r="AG80" s="2984"/>
      <c r="AH80" s="2984"/>
    </row>
    <row r="81" spans="8:8" ht="14.25" customHeight="1">
      <c r="B81" s="3910"/>
      <c r="C81" s="3912"/>
      <c r="D81" s="3912"/>
      <c r="E81" s="3912"/>
      <c r="F81" s="3912"/>
      <c r="G81" s="3912"/>
      <c r="H81" s="3912"/>
      <c r="I81" s="3912"/>
      <c r="J81" s="3913"/>
      <c r="K81" s="3750"/>
      <c r="L81" s="3914"/>
      <c r="M81" s="3914"/>
      <c r="N81" s="3914"/>
      <c r="O81" s="3914"/>
      <c r="P81" s="3629"/>
      <c r="Q81" s="3922" t="s">
        <v>5325</v>
      </c>
      <c r="R81" s="3923"/>
      <c r="S81" s="3923"/>
      <c r="T81" s="3923"/>
      <c r="U81" s="3923"/>
      <c r="V81" s="3923"/>
      <c r="W81" s="3923"/>
      <c r="X81" s="3923"/>
      <c r="Y81" s="3923"/>
      <c r="Z81" s="3924"/>
      <c r="AA81" s="3720"/>
      <c r="AB81" s="2966"/>
      <c r="AC81" s="3914"/>
      <c r="AD81" s="3914"/>
      <c r="AE81" s="3914"/>
    </row>
    <row r="82" spans="8:8" ht="14.25" customHeight="1">
      <c r="B82" s="3910"/>
      <c r="C82" s="3912"/>
      <c r="D82" s="3912"/>
      <c r="E82" s="3912"/>
      <c r="F82" s="3912"/>
      <c r="G82" s="3912"/>
      <c r="H82" s="3912"/>
      <c r="I82" s="3912"/>
      <c r="J82" s="3913"/>
      <c r="K82" s="3750"/>
      <c r="L82" s="3914"/>
      <c r="M82" s="3914"/>
      <c r="N82" s="3914"/>
      <c r="O82" s="3914"/>
      <c r="P82" s="3629"/>
      <c r="Q82" s="3919"/>
      <c r="R82" s="3920"/>
      <c r="S82" s="3920"/>
      <c r="T82" s="3920"/>
      <c r="U82" s="3920"/>
      <c r="V82" s="3920"/>
      <c r="W82" s="3920"/>
      <c r="X82" s="3920"/>
      <c r="Y82" s="3920"/>
      <c r="Z82" s="3921"/>
      <c r="AA82" s="3720"/>
      <c r="AB82" s="2966"/>
      <c r="AC82" s="3914"/>
      <c r="AD82" s="3914"/>
      <c r="AE82" s="3914"/>
    </row>
    <row r="83" spans="8:8" ht="14.25" customHeight="1">
      <c r="B83" s="2685"/>
      <c r="C83" s="2685"/>
      <c r="D83" s="2685"/>
      <c r="E83" s="2685"/>
      <c r="F83" s="2685"/>
      <c r="G83" s="2685"/>
      <c r="H83" s="2685"/>
      <c r="I83" s="2966"/>
      <c r="J83" s="3412"/>
      <c r="K83" s="3750"/>
      <c r="L83" s="2966"/>
      <c r="M83" s="3750"/>
      <c r="N83" s="3915"/>
      <c r="O83" s="3838"/>
      <c r="P83" s="3629"/>
      <c r="Q83" s="3925"/>
      <c r="R83" s="3926"/>
      <c r="S83" s="3926"/>
      <c r="T83" s="3926"/>
      <c r="U83" s="3926"/>
      <c r="V83" s="3926"/>
      <c r="W83" s="3926"/>
      <c r="X83" s="3926"/>
      <c r="Y83" s="3926"/>
      <c r="Z83" s="3927"/>
      <c r="AA83" s="3720"/>
      <c r="AB83" s="2966"/>
      <c r="AC83" s="3914"/>
      <c r="AD83" s="3914"/>
      <c r="AE83" s="3914"/>
    </row>
    <row r="84" spans="8:8" ht="14.25" customHeight="1">
      <c r="B84" s="3928" t="s">
        <v>4879</v>
      </c>
      <c r="C84" s="3929"/>
      <c r="D84" s="3929"/>
      <c r="E84" s="3929"/>
      <c r="F84" s="3929"/>
      <c r="G84" s="3929"/>
      <c r="H84" s="3929"/>
      <c r="I84" s="3929"/>
      <c r="J84" s="3930"/>
      <c r="K84" s="3750"/>
      <c r="L84" s="3750"/>
      <c r="M84" s="3750"/>
      <c r="N84" s="3915"/>
      <c r="O84" s="3838"/>
      <c r="P84" s="3629"/>
      <c r="Q84" s="3919" t="s">
        <v>5326</v>
      </c>
      <c r="R84" s="3931"/>
      <c r="S84" s="3931"/>
      <c r="T84" s="3931"/>
      <c r="U84" s="3931"/>
      <c r="V84" s="3931"/>
      <c r="W84" s="3931"/>
      <c r="X84" s="3931"/>
      <c r="Y84" s="3931"/>
      <c r="Z84" s="3932"/>
      <c r="AA84" s="3720"/>
      <c r="AB84" s="3887"/>
      <c r="AC84" s="3729"/>
      <c r="AD84" s="3735"/>
      <c r="AE84" s="3735"/>
      <c r="AF84" s="3622"/>
      <c r="AG84" s="2984"/>
      <c r="AH84" s="2984"/>
    </row>
    <row r="85" spans="8:8" ht="14.25" customHeight="1">
      <c r="B85" s="3933" t="s">
        <v>5327</v>
      </c>
      <c r="C85" s="3934"/>
      <c r="D85" s="3934"/>
      <c r="E85" s="3934"/>
      <c r="F85" s="3934"/>
      <c r="G85" s="3934"/>
      <c r="H85" s="3934"/>
      <c r="I85" s="3934"/>
      <c r="J85" s="3935"/>
      <c r="K85" s="3750"/>
      <c r="L85" s="3750"/>
      <c r="M85" s="3750"/>
      <c r="N85" s="3915"/>
      <c r="O85" s="3838"/>
      <c r="P85" s="3629"/>
      <c r="Q85" s="3936"/>
      <c r="R85" s="3937"/>
      <c r="S85" s="3937"/>
      <c r="T85" s="3937"/>
      <c r="U85" s="3937"/>
      <c r="V85" s="3937"/>
      <c r="W85" s="3937"/>
      <c r="X85" s="3937"/>
      <c r="Y85" s="3937"/>
      <c r="Z85" s="3938"/>
      <c r="AA85" s="3720"/>
      <c r="AB85" s="3887"/>
      <c r="AC85" s="3729"/>
      <c r="AD85" s="3735"/>
      <c r="AE85" s="3735"/>
      <c r="AF85" s="3622"/>
      <c r="AG85" s="2984"/>
      <c r="AH85" s="2984"/>
    </row>
    <row r="86" spans="8:8" ht="14.25" customHeight="1">
      <c r="B86" s="3933" t="s">
        <v>5328</v>
      </c>
      <c r="C86" s="3934"/>
      <c r="D86" s="3934"/>
      <c r="E86" s="3934"/>
      <c r="F86" s="3934"/>
      <c r="G86" s="3934"/>
      <c r="H86" s="3934"/>
      <c r="I86" s="3934"/>
      <c r="J86" s="3935"/>
      <c r="K86" s="3750"/>
      <c r="L86" s="3750"/>
      <c r="M86" s="3750"/>
      <c r="N86" s="3915"/>
      <c r="O86" s="3838"/>
      <c r="P86" s="3629"/>
      <c r="Q86" s="3919" t="s">
        <v>5329</v>
      </c>
      <c r="R86" s="3931"/>
      <c r="S86" s="3931"/>
      <c r="T86" s="3931"/>
      <c r="U86" s="3931"/>
      <c r="V86" s="3931"/>
      <c r="W86" s="3931"/>
      <c r="X86" s="3931"/>
      <c r="Y86" s="3931"/>
      <c r="Z86" s="3932"/>
      <c r="AA86" s="3720"/>
      <c r="AB86" s="3887"/>
      <c r="AC86" s="3729"/>
      <c r="AD86" s="3735"/>
      <c r="AE86" s="3735"/>
      <c r="AF86" s="3622"/>
      <c r="AG86" s="2984"/>
      <c r="AH86" s="2984"/>
    </row>
    <row r="87" spans="8:8" ht="14.25" customHeight="1">
      <c r="B87" s="3933" t="s">
        <v>5330</v>
      </c>
      <c r="C87" s="3934"/>
      <c r="D87" s="3934"/>
      <c r="E87" s="3934"/>
      <c r="F87" s="3934"/>
      <c r="G87" s="3934"/>
      <c r="H87" s="3934"/>
      <c r="I87" s="3934"/>
      <c r="J87" s="3935"/>
      <c r="K87" s="3750"/>
      <c r="L87" s="3750"/>
      <c r="M87" s="3750"/>
      <c r="N87" s="3915"/>
      <c r="O87" s="3838"/>
      <c r="P87" s="3629"/>
      <c r="Q87" s="3939"/>
      <c r="R87" s="3940"/>
      <c r="S87" s="3940"/>
      <c r="T87" s="3940"/>
      <c r="U87" s="3940"/>
      <c r="V87" s="3940"/>
      <c r="W87" s="3940"/>
      <c r="X87" s="3940"/>
      <c r="Y87" s="3940"/>
      <c r="Z87" s="3941"/>
      <c r="AA87" s="2966"/>
      <c r="AB87" s="2966"/>
      <c r="AC87" s="3914"/>
      <c r="AD87" s="3914"/>
      <c r="AE87" s="3914"/>
      <c r="AF87" s="3622"/>
      <c r="AG87" s="2984"/>
      <c r="AH87" s="2984"/>
    </row>
    <row r="88" spans="8:8" ht="14.25" customHeight="1">
      <c r="B88" s="3933" t="s">
        <v>5331</v>
      </c>
      <c r="C88" s="3934"/>
      <c r="D88" s="3934"/>
      <c r="E88" s="3934"/>
      <c r="F88" s="3934"/>
      <c r="G88" s="3934"/>
      <c r="H88" s="3934"/>
      <c r="I88" s="3934"/>
      <c r="J88" s="3935"/>
      <c r="K88" s="3750"/>
      <c r="L88" s="3750"/>
      <c r="M88" s="3750"/>
      <c r="N88" s="3915"/>
      <c r="O88" s="3838"/>
      <c r="P88" s="3629"/>
      <c r="Q88" s="2966"/>
      <c r="R88" s="2966"/>
      <c r="S88" s="2966"/>
      <c r="T88" s="2966"/>
      <c r="U88" s="2966"/>
      <c r="V88" s="2966"/>
      <c r="W88" s="2966"/>
      <c r="X88" s="2966"/>
      <c r="Y88" s="2966"/>
      <c r="Z88" s="2966"/>
      <c r="AA88" s="2966"/>
      <c r="AB88" s="2966"/>
      <c r="AC88" s="3914"/>
      <c r="AD88" s="3914"/>
      <c r="AE88" s="3914"/>
      <c r="AF88" s="3622"/>
      <c r="AG88" s="2984"/>
      <c r="AH88" s="2984"/>
    </row>
    <row r="89" spans="8:8" ht="14.25" customHeight="1">
      <c r="B89" s="3942" t="s">
        <v>5332</v>
      </c>
      <c r="C89" s="3943"/>
      <c r="D89" s="3943"/>
      <c r="E89" s="3943"/>
      <c r="F89" s="3943"/>
      <c r="G89" s="3943"/>
      <c r="H89" s="3943"/>
      <c r="I89" s="3943"/>
      <c r="J89" s="3944"/>
      <c r="K89" s="3750"/>
      <c r="L89" s="3750"/>
      <c r="M89" s="3750"/>
      <c r="N89" s="3915"/>
      <c r="O89" s="3838"/>
      <c r="P89" s="3629"/>
      <c r="Q89" s="2966"/>
      <c r="R89" s="2966"/>
      <c r="S89" s="2966"/>
      <c r="T89" s="2966"/>
      <c r="U89" s="2966"/>
      <c r="V89" s="2966"/>
      <c r="W89" s="2966"/>
      <c r="X89" s="2966"/>
      <c r="Y89" s="2966"/>
      <c r="Z89" s="2966"/>
      <c r="AA89" s="2966"/>
      <c r="AB89" s="2966"/>
      <c r="AC89" s="3914"/>
      <c r="AD89" s="3914"/>
      <c r="AE89" s="3914"/>
      <c r="AF89" s="3622"/>
      <c r="AG89" s="2984"/>
      <c r="AH89" s="2984"/>
    </row>
    <row r="90" spans="8:8" ht="14.25" customHeight="1">
      <c r="B90" s="3945"/>
      <c r="C90" s="3945"/>
      <c r="D90" s="3945"/>
      <c r="E90" s="3945"/>
      <c r="F90" s="3945"/>
      <c r="G90" s="3945"/>
      <c r="H90" s="3945"/>
      <c r="I90" s="3945"/>
      <c r="J90" s="3945"/>
      <c r="K90" s="3750"/>
      <c r="L90" s="3750"/>
      <c r="M90" s="3750"/>
      <c r="N90" s="3915"/>
      <c r="O90" s="3838"/>
      <c r="P90" s="3629"/>
      <c r="Q90" s="2302" t="s">
        <v>5333</v>
      </c>
      <c r="R90" s="2303"/>
      <c r="S90" s="2303"/>
      <c r="T90" s="2303"/>
      <c r="U90" s="2303"/>
      <c r="V90" s="2303"/>
      <c r="W90" s="2303"/>
      <c r="X90" s="2303"/>
      <c r="Y90" s="2303"/>
      <c r="Z90" s="2303"/>
      <c r="AA90" s="2303"/>
      <c r="AB90" s="2303"/>
      <c r="AC90" s="2303"/>
      <c r="AD90" s="2303"/>
      <c r="AE90" s="2304"/>
      <c r="AF90" s="3622"/>
      <c r="AG90" s="3010"/>
      <c r="AH90" s="3010"/>
    </row>
    <row r="91" spans="8:8" ht="14.25" customHeight="1">
      <c r="B91" s="2685"/>
      <c r="C91" s="2685"/>
      <c r="D91" s="2685"/>
      <c r="E91" s="2685"/>
      <c r="F91" s="2685"/>
      <c r="G91" s="2685"/>
      <c r="H91" s="2685"/>
      <c r="I91" s="2966"/>
      <c r="J91" s="2966"/>
      <c r="K91" s="3750"/>
      <c r="L91" s="3750"/>
      <c r="M91" s="3838"/>
      <c r="N91" s="3838"/>
      <c r="O91" s="3838"/>
      <c r="P91" s="3629"/>
      <c r="Q91" s="2305"/>
      <c r="R91" s="2306"/>
      <c r="S91" s="2306"/>
      <c r="T91" s="2306"/>
      <c r="U91" s="2306"/>
      <c r="V91" s="2306"/>
      <c r="W91" s="2306"/>
      <c r="X91" s="2306"/>
      <c r="Y91" s="2306"/>
      <c r="Z91" s="2306"/>
      <c r="AA91" s="2306"/>
      <c r="AB91" s="2306"/>
      <c r="AC91" s="2306"/>
      <c r="AD91" s="2306"/>
      <c r="AE91" s="2307"/>
      <c r="AF91" s="3622"/>
      <c r="AG91" s="3010"/>
      <c r="AH91" s="3010"/>
    </row>
    <row r="92" spans="8:8" ht="14.25" customHeight="1">
      <c r="B92" s="2685"/>
      <c r="C92" s="2685"/>
      <c r="D92" s="2685"/>
      <c r="E92" s="2685"/>
      <c r="F92" s="2685"/>
      <c r="G92" s="2685"/>
      <c r="H92" s="2685"/>
      <c r="I92" s="2966"/>
      <c r="J92" s="2966"/>
      <c r="K92" s="3750"/>
      <c r="L92" s="3750"/>
      <c r="M92" s="3838"/>
      <c r="N92" s="3838"/>
      <c r="O92" s="3838"/>
      <c r="P92" s="3629"/>
      <c r="Q92" s="2308"/>
      <c r="R92" s="2309"/>
      <c r="S92" s="2309"/>
      <c r="T92" s="2309"/>
      <c r="U92" s="2309"/>
      <c r="V92" s="2309"/>
      <c r="W92" s="2309"/>
      <c r="X92" s="2309"/>
      <c r="Y92" s="2309"/>
      <c r="Z92" s="2309"/>
      <c r="AA92" s="2309"/>
      <c r="AB92" s="2309"/>
      <c r="AC92" s="2309"/>
      <c r="AD92" s="2309"/>
      <c r="AE92" s="2310"/>
      <c r="AF92" s="3622"/>
      <c r="AG92" s="3010"/>
      <c r="AH92" s="3010"/>
    </row>
    <row r="93" spans="8:8" ht="14.25" customHeight="1">
      <c r="B93" s="2685"/>
      <c r="C93" s="2685"/>
      <c r="D93" s="2685"/>
      <c r="E93" s="2685"/>
      <c r="F93" s="2685"/>
      <c r="G93" s="2685"/>
      <c r="H93" s="2685"/>
      <c r="I93" s="2966"/>
      <c r="J93" s="2966"/>
      <c r="K93" s="3750"/>
      <c r="L93" s="3750"/>
      <c r="M93" s="3838"/>
      <c r="N93" s="3838"/>
      <c r="O93" s="3838"/>
      <c r="P93" s="3629"/>
      <c r="Q93" s="2596"/>
      <c r="R93" s="2596"/>
      <c r="S93" s="2596"/>
      <c r="T93" s="2596"/>
      <c r="U93" s="2596"/>
      <c r="V93" s="2596"/>
      <c r="W93" s="2596"/>
      <c r="X93" s="2596"/>
      <c r="Y93" s="2596"/>
      <c r="Z93" s="2596"/>
      <c r="AA93" s="2596"/>
      <c r="AB93" s="2596"/>
      <c r="AC93" s="2596"/>
      <c r="AD93" s="2596"/>
      <c r="AE93" s="2596"/>
      <c r="AF93" s="3622"/>
      <c r="AG93" s="3010"/>
      <c r="AH93" s="3010"/>
    </row>
    <row r="94" spans="8:8" ht="14.25" customHeight="1">
      <c r="B94" s="2685"/>
      <c r="C94" s="2685"/>
      <c r="D94" s="2685"/>
      <c r="E94" s="2685"/>
      <c r="F94" s="2685"/>
      <c r="G94" s="2685"/>
      <c r="H94" s="2685"/>
      <c r="I94" s="2966"/>
      <c r="J94" s="2966"/>
      <c r="K94" s="3750"/>
      <c r="L94" s="3750"/>
      <c r="M94" s="3838"/>
      <c r="N94" s="3838"/>
      <c r="O94" s="3838"/>
      <c r="P94" s="3629"/>
      <c r="Q94" s="2597" t="s">
        <v>5334</v>
      </c>
      <c r="R94" s="2598"/>
      <c r="S94" s="2598"/>
      <c r="T94" s="2598"/>
      <c r="U94" s="2598"/>
      <c r="V94" s="2599"/>
      <c r="W94" s="2629"/>
      <c r="X94" s="3946" t="s">
        <v>5335</v>
      </c>
      <c r="Y94" s="3947"/>
      <c r="Z94" s="3947"/>
      <c r="AA94" s="3947"/>
      <c r="AB94" s="3947"/>
      <c r="AC94" s="3947"/>
      <c r="AD94" s="3947"/>
      <c r="AE94" s="3948"/>
      <c r="AF94" s="3622"/>
    </row>
    <row r="95" spans="8:8" ht="14.25" customHeight="1">
      <c r="B95" s="2685"/>
      <c r="C95" s="2685"/>
      <c r="D95" s="2685"/>
      <c r="E95" s="2685"/>
      <c r="F95" s="2685"/>
      <c r="G95" s="2685"/>
      <c r="H95" s="2685"/>
      <c r="I95" s="2966"/>
      <c r="J95" s="2966"/>
      <c r="K95" s="3750"/>
      <c r="L95" s="3750"/>
      <c r="M95" s="3838"/>
      <c r="N95" s="3838"/>
      <c r="O95" s="3838"/>
      <c r="P95" s="3629"/>
      <c r="Q95" s="2600"/>
      <c r="R95" s="2601"/>
      <c r="S95" s="2601"/>
      <c r="T95" s="2601"/>
      <c r="U95" s="2601"/>
      <c r="V95" s="2603"/>
      <c r="W95" s="2629"/>
      <c r="X95" s="3949"/>
      <c r="Y95" s="3950"/>
      <c r="Z95" s="3950"/>
      <c r="AA95" s="3950"/>
      <c r="AB95" s="3950"/>
      <c r="AC95" s="3950"/>
      <c r="AD95" s="3950"/>
      <c r="AE95" s="3951"/>
      <c r="AF95" s="3622"/>
    </row>
    <row r="96" spans="8:8" ht="14.25" customHeight="1">
      <c r="B96" s="2685"/>
      <c r="C96" s="2685"/>
      <c r="D96" s="2685"/>
      <c r="E96" s="2685"/>
      <c r="F96" s="2685"/>
      <c r="G96" s="2685"/>
      <c r="H96" s="2685"/>
      <c r="I96" s="2966"/>
      <c r="J96" s="2966"/>
      <c r="K96" s="3750"/>
      <c r="L96" s="3750"/>
      <c r="M96" s="3838"/>
      <c r="N96" s="3838"/>
      <c r="O96" s="3838"/>
      <c r="P96" s="3629"/>
      <c r="Q96" s="2368" t="s">
        <v>5336</v>
      </c>
      <c r="R96" s="2369"/>
      <c r="S96" s="2369"/>
      <c r="T96" s="2369"/>
      <c r="U96" s="2369"/>
      <c r="V96" s="2370"/>
      <c r="W96" s="2632"/>
      <c r="X96" s="3952" t="s">
        <v>5337</v>
      </c>
      <c r="Y96" s="3953"/>
      <c r="Z96" s="3953"/>
      <c r="AA96" s="3953"/>
      <c r="AB96" s="3954"/>
      <c r="AC96" s="3955" t="s">
        <v>5338</v>
      </c>
      <c r="AD96" s="3953"/>
      <c r="AE96" s="3956"/>
      <c r="AF96" s="3622"/>
    </row>
    <row r="97" spans="8:8" ht="14.25" customHeight="1">
      <c r="B97" s="2685"/>
      <c r="C97" s="2685"/>
      <c r="D97" s="2685"/>
      <c r="E97" s="2685"/>
      <c r="F97" s="2685"/>
      <c r="G97" s="2685"/>
      <c r="H97" s="2685"/>
      <c r="I97" s="2966"/>
      <c r="J97" s="2966"/>
      <c r="K97" s="3750"/>
      <c r="L97" s="3750"/>
      <c r="M97" s="3838"/>
      <c r="N97" s="3838"/>
      <c r="O97" s="3838"/>
      <c r="P97" s="3629"/>
      <c r="Q97" s="2371"/>
      <c r="R97" s="2372"/>
      <c r="S97" s="2372"/>
      <c r="T97" s="2372"/>
      <c r="U97" s="2372"/>
      <c r="V97" s="2373"/>
      <c r="W97" s="2632"/>
      <c r="X97" s="2380"/>
      <c r="Y97" s="2381"/>
      <c r="Z97" s="2381"/>
      <c r="AA97" s="2381"/>
      <c r="AB97" s="3957"/>
      <c r="AC97" s="3958" t="s">
        <v>5339</v>
      </c>
      <c r="AD97" s="3955" t="s">
        <v>5340</v>
      </c>
      <c r="AE97" s="3956"/>
      <c r="AF97" s="3622"/>
    </row>
    <row r="98" spans="8:8" ht="14.25" customHeight="1">
      <c r="B98" s="2685"/>
      <c r="C98" s="2685"/>
      <c r="D98" s="2685"/>
      <c r="E98" s="2685"/>
      <c r="F98" s="2685"/>
      <c r="G98" s="2685"/>
      <c r="H98" s="2685"/>
      <c r="I98" s="2966"/>
      <c r="J98" s="2966"/>
      <c r="K98" s="3959"/>
      <c r="L98" s="3959"/>
      <c r="M98" s="3838"/>
      <c r="N98" s="3959"/>
      <c r="O98" s="3959"/>
      <c r="P98" s="3629"/>
      <c r="Q98" s="2371"/>
      <c r="R98" s="2372"/>
      <c r="S98" s="2372"/>
      <c r="T98" s="2372"/>
      <c r="U98" s="2372"/>
      <c r="V98" s="2373"/>
      <c r="W98" s="2632"/>
      <c r="X98" s="2380"/>
      <c r="Y98" s="2381"/>
      <c r="Z98" s="2381"/>
      <c r="AA98" s="2381"/>
      <c r="AB98" s="3960"/>
      <c r="AC98" s="3961" t="s">
        <v>5341</v>
      </c>
      <c r="AD98" s="3962" t="s">
        <v>5342</v>
      </c>
      <c r="AE98" s="3963"/>
      <c r="AF98" s="3622"/>
    </row>
    <row r="99" spans="8:8" ht="14.25" customHeight="1">
      <c r="B99" s="2685"/>
      <c r="C99" s="2685"/>
      <c r="D99" s="2685"/>
      <c r="E99" s="2685"/>
      <c r="F99" s="2685"/>
      <c r="G99" s="2685"/>
      <c r="H99" s="2685"/>
      <c r="I99" s="2966"/>
      <c r="J99" s="2966"/>
      <c r="K99" s="3959"/>
      <c r="L99" s="3959"/>
      <c r="M99" s="3838"/>
      <c r="N99" s="3959"/>
      <c r="O99" s="3959"/>
      <c r="P99" s="3629"/>
      <c r="Q99" s="2371"/>
      <c r="R99" s="2372"/>
      <c r="S99" s="2372"/>
      <c r="T99" s="2372"/>
      <c r="U99" s="2372"/>
      <c r="V99" s="2373"/>
      <c r="W99" s="2632"/>
      <c r="X99" s="2380"/>
      <c r="Y99" s="2381"/>
      <c r="Z99" s="2381"/>
      <c r="AA99" s="2381"/>
      <c r="AB99" s="3960"/>
      <c r="AC99" s="3964" t="s">
        <v>5343</v>
      </c>
      <c r="AD99" s="3965" t="s">
        <v>5344</v>
      </c>
      <c r="AE99" s="3966"/>
      <c r="AF99" s="3622"/>
    </row>
    <row r="100" spans="8:8" ht="14.25" customHeight="1">
      <c r="B100" s="2685"/>
      <c r="C100" s="2685"/>
      <c r="D100" s="2685"/>
      <c r="E100" s="2685"/>
      <c r="F100" s="2685"/>
      <c r="G100" s="2685"/>
      <c r="H100" s="2685"/>
      <c r="I100" s="2966"/>
      <c r="J100" s="2966"/>
      <c r="K100" s="3959"/>
      <c r="L100" s="3959"/>
      <c r="M100" s="3838"/>
      <c r="N100" s="3959"/>
      <c r="O100" s="3959"/>
      <c r="P100" s="3629"/>
      <c r="Q100" s="2374"/>
      <c r="R100" s="2375"/>
      <c r="S100" s="2375"/>
      <c r="T100" s="2375"/>
      <c r="U100" s="2375"/>
      <c r="V100" s="2376"/>
      <c r="W100" s="2632"/>
      <c r="X100" s="3967"/>
      <c r="Y100" s="3968"/>
      <c r="Z100" s="3968"/>
      <c r="AA100" s="3968"/>
      <c r="AB100" s="3957"/>
      <c r="AC100" s="3964" t="s">
        <v>5345</v>
      </c>
      <c r="AD100" s="3965" t="s">
        <v>5346</v>
      </c>
      <c r="AE100" s="3966"/>
      <c r="AF100" s="3622"/>
    </row>
    <row r="101" spans="8:8" ht="14.25" customHeight="1">
      <c r="B101" s="2685"/>
      <c r="C101" s="2685"/>
      <c r="D101" s="2685"/>
      <c r="E101" s="2685"/>
      <c r="F101" s="2685"/>
      <c r="G101" s="2685"/>
      <c r="H101" s="2685"/>
      <c r="I101" s="2966"/>
      <c r="J101" s="2966"/>
      <c r="K101" s="3959"/>
      <c r="L101" s="3959"/>
      <c r="M101" s="3838"/>
      <c r="N101" s="3959"/>
      <c r="O101" s="3959"/>
      <c r="P101" s="3629"/>
      <c r="Q101" s="2367"/>
      <c r="R101" s="2367"/>
      <c r="S101" s="2367"/>
      <c r="T101" s="2367"/>
      <c r="U101" s="2367"/>
      <c r="V101" s="2367"/>
      <c r="W101" s="2632"/>
      <c r="X101" s="3969" t="s">
        <v>5347</v>
      </c>
      <c r="Y101" s="3970"/>
      <c r="Z101" s="3970"/>
      <c r="AA101" s="3970"/>
      <c r="AB101" s="3971"/>
      <c r="AC101" s="3970"/>
      <c r="AD101" s="3970"/>
      <c r="AE101" s="3972"/>
      <c r="AF101" s="3622"/>
    </row>
    <row r="102" spans="8:8" ht="14.25" customHeight="1">
      <c r="B102" s="2685"/>
      <c r="C102" s="2685"/>
      <c r="D102" s="2685"/>
      <c r="E102" s="2685"/>
      <c r="F102" s="2685"/>
      <c r="G102" s="2685"/>
      <c r="H102" s="2685"/>
      <c r="I102" s="2966"/>
      <c r="J102" s="2966"/>
      <c r="K102" s="3959"/>
      <c r="L102" s="3959"/>
      <c r="M102" s="3838"/>
      <c r="N102" s="3959"/>
      <c r="O102" s="3959"/>
      <c r="P102" s="3629"/>
      <c r="Q102" s="3973" t="s">
        <v>5348</v>
      </c>
      <c r="R102" s="3974"/>
      <c r="S102" s="3974"/>
      <c r="T102" s="3974"/>
      <c r="U102" s="3974"/>
      <c r="V102" s="3975"/>
      <c r="W102" s="3976"/>
      <c r="X102" s="3977"/>
      <c r="Y102" s="3978"/>
      <c r="Z102" s="3978"/>
      <c r="AA102" s="3978"/>
      <c r="AB102" s="3979"/>
      <c r="AC102" s="3978"/>
      <c r="AD102" s="3978"/>
      <c r="AE102" s="3980"/>
      <c r="AF102" s="3622"/>
    </row>
    <row r="103" spans="8:8" ht="27.1" customHeight="1">
      <c r="B103" s="2685"/>
      <c r="C103" s="2685"/>
      <c r="D103" s="2685"/>
      <c r="E103" s="2685"/>
      <c r="F103" s="2685"/>
      <c r="G103" s="2685"/>
      <c r="H103" s="2685"/>
      <c r="I103" s="2966"/>
      <c r="J103" s="2966"/>
      <c r="K103" s="3959"/>
      <c r="L103" s="3959"/>
      <c r="M103" s="3838"/>
      <c r="N103" s="3959"/>
      <c r="O103" s="3959"/>
      <c r="P103" s="3629"/>
      <c r="Q103" s="3981"/>
      <c r="R103" s="3982"/>
      <c r="S103" s="3982"/>
      <c r="T103" s="3982"/>
      <c r="U103" s="3982"/>
      <c r="V103" s="3983"/>
      <c r="W103" s="3976"/>
      <c r="X103" s="3976"/>
      <c r="Y103" s="3976"/>
      <c r="Z103" s="3976"/>
      <c r="AA103" s="3976"/>
      <c r="AB103" s="3976"/>
      <c r="AC103" s="3976"/>
      <c r="AD103" s="2383"/>
      <c r="AE103" s="2383"/>
      <c r="AF103" s="3622"/>
    </row>
    <row r="104" spans="8:8" ht="27.1" customHeight="1">
      <c r="B104" s="2685"/>
      <c r="C104" s="2685"/>
      <c r="D104" s="2685"/>
      <c r="E104" s="2685"/>
      <c r="F104" s="2685"/>
      <c r="G104" s="2685"/>
      <c r="H104" s="2685"/>
      <c r="I104" s="2966"/>
      <c r="J104" s="2966"/>
      <c r="K104" s="3959"/>
      <c r="L104" s="3959"/>
      <c r="M104" s="3838"/>
      <c r="N104" s="3959"/>
      <c r="O104" s="3959"/>
      <c r="P104" s="3629"/>
      <c r="Q104" s="1244" t="s">
        <v>5349</v>
      </c>
      <c r="R104" s="1254"/>
      <c r="S104" s="1254"/>
      <c r="T104" s="1254"/>
      <c r="U104" s="1254"/>
      <c r="V104" s="2616"/>
      <c r="W104" s="2635"/>
      <c r="X104" s="3946" t="s">
        <v>5350</v>
      </c>
      <c r="Y104" s="3947"/>
      <c r="Z104" s="3947"/>
      <c r="AA104" s="3947"/>
      <c r="AB104" s="3947"/>
      <c r="AC104" s="3947"/>
      <c r="AD104" s="3947"/>
      <c r="AE104" s="3948"/>
      <c r="AF104" s="3622"/>
    </row>
    <row r="105" spans="8:8" ht="27.1" customHeight="1">
      <c r="A105" s="3187"/>
      <c r="B105" s="2685"/>
      <c r="C105" s="2685"/>
      <c r="D105" s="2685"/>
      <c r="E105" s="2685"/>
      <c r="F105" s="2685"/>
      <c r="G105" s="2685"/>
      <c r="H105" s="2685"/>
      <c r="I105" s="2966"/>
      <c r="J105" s="2966"/>
      <c r="K105" s="3959"/>
      <c r="L105" s="3959"/>
      <c r="M105" s="3838"/>
      <c r="N105" s="3959"/>
      <c r="O105" s="3959"/>
      <c r="P105" s="3629"/>
      <c r="Q105" s="3984"/>
      <c r="R105" s="2613"/>
      <c r="S105" s="2613"/>
      <c r="T105" s="2613"/>
      <c r="U105" s="2613"/>
      <c r="V105" s="2614"/>
      <c r="W105" s="2635"/>
      <c r="X105" s="3949"/>
      <c r="Y105" s="3950"/>
      <c r="Z105" s="3950"/>
      <c r="AA105" s="3950"/>
      <c r="AB105" s="3950"/>
      <c r="AC105" s="3985"/>
      <c r="AD105" s="3985"/>
      <c r="AE105" s="3986"/>
      <c r="AF105" s="3622"/>
    </row>
    <row r="106" spans="8:8" ht="27.1" customHeight="1">
      <c r="A106" s="3187"/>
      <c r="B106" s="2685"/>
      <c r="C106" s="2685"/>
      <c r="D106" s="2685"/>
      <c r="E106" s="2685"/>
      <c r="F106" s="2685"/>
      <c r="G106" s="2685"/>
      <c r="H106" s="2685"/>
      <c r="I106" s="2966"/>
      <c r="J106" s="2966"/>
      <c r="K106" s="3987"/>
      <c r="L106" s="3987"/>
      <c r="M106" s="3987"/>
      <c r="N106" s="3987"/>
      <c r="O106" s="3987"/>
      <c r="P106" s="3629"/>
      <c r="Q106" s="2640" t="s">
        <v>5351</v>
      </c>
      <c r="R106" s="3988"/>
      <c r="S106" s="3989" t="s">
        <v>5352</v>
      </c>
      <c r="T106" s="2641"/>
      <c r="U106" s="2641"/>
      <c r="V106" s="3990"/>
      <c r="W106" s="2632"/>
      <c r="X106" s="3952" t="s">
        <v>5353</v>
      </c>
      <c r="Y106" s="3953"/>
      <c r="Z106" s="3953"/>
      <c r="AA106" s="3954"/>
      <c r="AB106" s="3955" t="s">
        <v>5354</v>
      </c>
      <c r="AC106" s="2381" t="s">
        <v>5355</v>
      </c>
      <c r="AD106" s="2381"/>
      <c r="AE106" s="2382"/>
      <c r="AF106" s="3622"/>
    </row>
    <row r="107" spans="8:8" ht="27.1" customHeight="1">
      <c r="A107" s="3187"/>
      <c r="B107" s="2685"/>
      <c r="C107" s="2685"/>
      <c r="D107" s="2685"/>
      <c r="E107" s="2685"/>
      <c r="F107" s="2685"/>
      <c r="G107" s="2685"/>
      <c r="H107" s="2685"/>
      <c r="I107" s="2966"/>
      <c r="J107" s="2966"/>
      <c r="K107" s="3838"/>
      <c r="L107" s="3838"/>
      <c r="M107" s="3838"/>
      <c r="N107" s="3838"/>
      <c r="O107" s="3838"/>
      <c r="P107" s="3838"/>
      <c r="Q107" s="2640"/>
      <c r="R107" s="3988"/>
      <c r="S107" s="3989"/>
      <c r="T107" s="2641"/>
      <c r="U107" s="2641"/>
      <c r="V107" s="3990"/>
      <c r="W107" s="2632"/>
      <c r="X107" s="2380"/>
      <c r="Y107" s="2381"/>
      <c r="Z107" s="2381"/>
      <c r="AA107" s="3960"/>
      <c r="AB107" s="3965"/>
      <c r="AC107" s="2381"/>
      <c r="AD107" s="2381"/>
      <c r="AE107" s="2382"/>
      <c r="AF107" s="3622"/>
    </row>
    <row r="108" spans="8:8" ht="15.0" customHeight="1">
      <c r="A108" s="3187"/>
      <c r="B108" s="2685"/>
      <c r="C108" s="2685"/>
      <c r="D108" s="2685"/>
      <c r="E108" s="2685"/>
      <c r="F108" s="2685"/>
      <c r="G108" s="2685"/>
      <c r="H108" s="2685"/>
      <c r="I108" s="2966"/>
      <c r="J108" s="2966"/>
      <c r="K108" s="3987"/>
      <c r="L108" s="3987"/>
      <c r="M108" s="3987"/>
      <c r="N108" s="3987"/>
      <c r="O108" s="3987"/>
      <c r="P108" s="3838"/>
      <c r="Q108" s="2640"/>
      <c r="R108" s="3988"/>
      <c r="S108" s="3991"/>
      <c r="T108" s="3992"/>
      <c r="U108" s="3992"/>
      <c r="V108" s="3993"/>
      <c r="W108" s="2632"/>
      <c r="X108" s="2380"/>
      <c r="Y108" s="2381"/>
      <c r="Z108" s="2381"/>
      <c r="AA108" s="3994"/>
      <c r="AB108" s="3995" t="s">
        <v>5356</v>
      </c>
      <c r="AC108" s="3996" t="s">
        <v>5357</v>
      </c>
      <c r="AD108" s="3953"/>
      <c r="AE108" s="3956"/>
      <c r="AF108" s="3622"/>
    </row>
    <row r="109" spans="8:8" ht="17.55">
      <c r="A109" s="3187"/>
      <c r="B109" s="2685"/>
      <c r="C109" s="2685"/>
      <c r="D109" s="2685"/>
      <c r="E109" s="2685"/>
      <c r="F109" s="2685"/>
      <c r="G109" s="2685"/>
      <c r="H109" s="2685"/>
      <c r="I109" s="2966"/>
      <c r="J109" s="2966"/>
      <c r="K109" s="3987"/>
      <c r="L109" s="3987"/>
      <c r="M109" s="3838"/>
      <c r="N109" s="3987"/>
      <c r="O109" s="3987"/>
      <c r="P109" s="3838"/>
      <c r="Q109" s="2640"/>
      <c r="R109" s="3988"/>
      <c r="S109" s="3997" t="s">
        <v>5358</v>
      </c>
      <c r="T109" s="2372"/>
      <c r="U109" s="2372" t="s">
        <v>5359</v>
      </c>
      <c r="V109" s="2373" t="s">
        <v>5360</v>
      </c>
      <c r="W109" s="2632"/>
      <c r="X109" s="2380"/>
      <c r="Y109" s="2381"/>
      <c r="Z109" s="2381"/>
      <c r="AA109" s="3994"/>
      <c r="AB109" s="3995"/>
      <c r="AC109" s="3998"/>
      <c r="AD109" s="3968"/>
      <c r="AE109" s="3966"/>
      <c r="AF109" s="3622"/>
    </row>
    <row r="110" spans="8:8" ht="17.55">
      <c r="A110" s="3187"/>
      <c r="B110" s="2685"/>
      <c r="C110" s="2685"/>
      <c r="D110" s="2685"/>
      <c r="E110" s="2685"/>
      <c r="F110" s="2685"/>
      <c r="G110" s="2685"/>
      <c r="H110" s="2685"/>
      <c r="I110" s="2966"/>
      <c r="J110" s="2966"/>
      <c r="K110" s="3987"/>
      <c r="L110" s="3987"/>
      <c r="M110" s="3999"/>
      <c r="N110" s="3987"/>
      <c r="O110" s="3987"/>
      <c r="P110" s="3838"/>
      <c r="Q110" s="2640"/>
      <c r="R110" s="3988"/>
      <c r="S110" s="3997"/>
      <c r="T110" s="2372"/>
      <c r="U110" s="2372"/>
      <c r="V110" s="2373"/>
      <c r="W110" s="2632"/>
      <c r="X110" s="4000" t="s">
        <v>5361</v>
      </c>
      <c r="Y110" s="4001"/>
      <c r="Z110" s="4001"/>
      <c r="AA110" s="4002"/>
      <c r="AB110" s="4003" t="s">
        <v>5362</v>
      </c>
      <c r="AC110" s="3995" t="s">
        <v>5363</v>
      </c>
      <c r="AD110" s="2381"/>
      <c r="AE110" s="2382"/>
      <c r="AF110" s="3622"/>
    </row>
    <row r="111" spans="8:8" ht="16.05" customHeight="1">
      <c r="A111" s="3187"/>
      <c r="B111" s="2685"/>
      <c r="C111" s="2685"/>
      <c r="D111" s="2685"/>
      <c r="E111" s="2685"/>
      <c r="F111" s="2685"/>
      <c r="G111" s="2685"/>
      <c r="H111" s="2685"/>
      <c r="I111" s="2966"/>
      <c r="J111" s="2966"/>
      <c r="K111" s="3987"/>
      <c r="L111" s="3987"/>
      <c r="M111" s="3999"/>
      <c r="N111" s="3987"/>
      <c r="O111" s="3987"/>
      <c r="P111" s="3838"/>
      <c r="Q111" s="2640"/>
      <c r="R111" s="3988"/>
      <c r="S111" s="3997"/>
      <c r="T111" s="2372"/>
      <c r="U111" s="2372"/>
      <c r="V111" s="2373"/>
      <c r="W111" s="2632"/>
      <c r="X111" s="4000"/>
      <c r="Y111" s="4001"/>
      <c r="Z111" s="4001"/>
      <c r="AA111" s="4002"/>
      <c r="AB111" s="3429"/>
      <c r="AC111" s="3995"/>
      <c r="AD111" s="2381"/>
      <c r="AE111" s="2382"/>
      <c r="AF111" s="3622"/>
    </row>
    <row r="112" spans="8:8" ht="17.55">
      <c r="A112" s="3187"/>
      <c r="B112" s="2685"/>
      <c r="C112" s="2685"/>
      <c r="D112" s="2685"/>
      <c r="E112" s="2685"/>
      <c r="F112" s="2685"/>
      <c r="G112" s="2685"/>
      <c r="H112" s="2685"/>
      <c r="I112" s="2966"/>
      <c r="J112" s="2966"/>
      <c r="K112" s="3987"/>
      <c r="L112" s="3987"/>
      <c r="M112" s="3999"/>
      <c r="N112" s="3987"/>
      <c r="O112" s="3987"/>
      <c r="P112" s="3838"/>
      <c r="Q112" s="4004"/>
      <c r="R112" s="4005"/>
      <c r="S112" s="4006"/>
      <c r="T112" s="4007"/>
      <c r="U112" s="4007"/>
      <c r="V112" s="4008"/>
      <c r="W112" s="2632"/>
      <c r="X112" s="4000"/>
      <c r="Y112" s="4001"/>
      <c r="Z112" s="4001"/>
      <c r="AA112" s="4002"/>
      <c r="AB112" s="4009"/>
      <c r="AC112" s="4010"/>
      <c r="AD112" s="4011"/>
      <c r="AE112" s="3963"/>
      <c r="AF112" s="3622"/>
    </row>
    <row r="113" spans="8:8" ht="17.55">
      <c r="A113" s="3187"/>
      <c r="B113" s="2685"/>
      <c r="C113" s="2685"/>
      <c r="D113" s="2685"/>
      <c r="E113" s="2685"/>
      <c r="F113" s="2685"/>
      <c r="G113" s="2685"/>
      <c r="H113" s="2685"/>
      <c r="I113" s="2966"/>
      <c r="J113" s="2966"/>
      <c r="K113" s="3987"/>
      <c r="L113" s="3987"/>
      <c r="M113" s="3999"/>
      <c r="N113" s="3987"/>
      <c r="O113" s="3987"/>
      <c r="P113" s="3838"/>
      <c r="Q113" s="2371" t="s">
        <v>5364</v>
      </c>
      <c r="R113" s="2372"/>
      <c r="S113" s="2372"/>
      <c r="T113" s="2372"/>
      <c r="U113" s="2372"/>
      <c r="V113" s="2373"/>
      <c r="W113" s="2632"/>
      <c r="X113" s="4000"/>
      <c r="Y113" s="4001"/>
      <c r="Z113" s="4001"/>
      <c r="AA113" s="4002"/>
      <c r="AB113" s="4012" t="s">
        <v>5365</v>
      </c>
      <c r="AC113" s="3429"/>
      <c r="AD113" s="3429"/>
      <c r="AE113" s="4013"/>
      <c r="AF113" s="3622"/>
    </row>
    <row r="114" spans="8:8" ht="17.55">
      <c r="A114" s="3187"/>
      <c r="B114" s="2685"/>
      <c r="C114" s="2685"/>
      <c r="D114" s="2685"/>
      <c r="E114" s="2685"/>
      <c r="F114" s="2685"/>
      <c r="G114" s="2685"/>
      <c r="H114" s="2685"/>
      <c r="I114" s="2966"/>
      <c r="J114" s="2966"/>
      <c r="K114" s="4014"/>
      <c r="L114" s="4014"/>
      <c r="M114" s="4015"/>
      <c r="N114" s="4014"/>
      <c r="O114" s="4014"/>
      <c r="P114" s="4016"/>
      <c r="Q114" s="2371"/>
      <c r="R114" s="2372"/>
      <c r="S114" s="2372"/>
      <c r="T114" s="2372"/>
      <c r="U114" s="2372"/>
      <c r="V114" s="2373"/>
      <c r="W114" s="2632"/>
      <c r="X114" s="4017" t="s">
        <v>5366</v>
      </c>
      <c r="Y114" s="4018"/>
      <c r="Z114" s="4018"/>
      <c r="AA114" s="4019"/>
      <c r="AB114" s="4020"/>
      <c r="AC114" s="4009"/>
      <c r="AD114" s="4009"/>
      <c r="AE114" s="4021"/>
      <c r="AF114" s="3622"/>
    </row>
    <row r="115" spans="8:8" ht="17.55">
      <c r="A115" s="3187"/>
      <c r="B115" s="2685"/>
      <c r="C115" s="2685"/>
      <c r="D115" s="2685"/>
      <c r="E115" s="2685"/>
      <c r="F115" s="2685"/>
      <c r="G115" s="2685"/>
      <c r="H115" s="2685"/>
      <c r="I115" s="2966"/>
      <c r="J115" s="2966"/>
      <c r="K115" s="4014"/>
      <c r="L115" s="4014"/>
      <c r="M115" s="4015"/>
      <c r="N115" s="4014"/>
      <c r="O115" s="4014"/>
      <c r="P115" s="4016"/>
      <c r="Q115" s="2374"/>
      <c r="R115" s="2375"/>
      <c r="S115" s="2375"/>
      <c r="T115" s="2375"/>
      <c r="U115" s="2375"/>
      <c r="V115" s="2376"/>
      <c r="W115" s="2632"/>
      <c r="X115" s="3952" t="s">
        <v>5367</v>
      </c>
      <c r="Y115" s="3953" t="s">
        <v>5368</v>
      </c>
      <c r="Z115" s="3953" t="s">
        <v>5369</v>
      </c>
      <c r="AA115" s="3953"/>
      <c r="AB115" s="3953"/>
      <c r="AC115" s="3954"/>
      <c r="AD115" s="3996" t="s">
        <v>5370</v>
      </c>
      <c r="AE115" s="3956"/>
      <c r="AF115" s="3622"/>
    </row>
    <row r="116" spans="8:8" ht="17.55">
      <c r="A116" s="3187"/>
      <c r="B116" s="2685"/>
      <c r="C116" s="2685"/>
      <c r="D116" s="2685"/>
      <c r="E116" s="2685"/>
      <c r="F116" s="2685"/>
      <c r="G116" s="2685"/>
      <c r="H116" s="2685"/>
      <c r="I116" s="2966"/>
      <c r="J116" s="2966"/>
      <c r="K116" s="4014"/>
      <c r="L116" s="4014"/>
      <c r="M116" s="4015"/>
      <c r="N116" s="4014"/>
      <c r="O116" s="4014"/>
      <c r="P116" s="4016"/>
      <c r="Q116" s="2596"/>
      <c r="R116" s="2596"/>
      <c r="S116" s="2596"/>
      <c r="T116" s="2596"/>
      <c r="U116" s="2596"/>
      <c r="V116" s="2596"/>
      <c r="W116" s="4022"/>
      <c r="X116" s="3967"/>
      <c r="Y116" s="3968"/>
      <c r="Z116" s="3968"/>
      <c r="AA116" s="3968"/>
      <c r="AB116" s="3968"/>
      <c r="AC116" s="3957"/>
      <c r="AD116" s="3995"/>
      <c r="AE116" s="2382"/>
      <c r="AF116" s="3622"/>
    </row>
    <row r="117" spans="8:8" ht="17.55">
      <c r="A117" s="3187"/>
      <c r="B117" s="2685"/>
      <c r="C117" s="2685"/>
      <c r="D117" s="2685"/>
      <c r="E117" s="2685"/>
      <c r="F117" s="2685"/>
      <c r="G117" s="2685"/>
      <c r="H117" s="2685"/>
      <c r="I117" s="2966"/>
      <c r="J117" s="2966"/>
      <c r="K117" s="4014"/>
      <c r="L117" s="4014"/>
      <c r="M117" s="4015"/>
      <c r="N117" s="4014"/>
      <c r="O117" s="4014"/>
      <c r="P117" s="4016"/>
      <c r="Q117" s="2596"/>
      <c r="R117" s="2596"/>
      <c r="S117" s="2596"/>
      <c r="T117" s="2596"/>
      <c r="U117" s="2596"/>
      <c r="V117" s="2596"/>
      <c r="W117" s="4022"/>
      <c r="X117" s="3952" t="s">
        <v>5371</v>
      </c>
      <c r="Y117" s="3953" t="s">
        <v>5372</v>
      </c>
      <c r="Z117" s="3953" t="s">
        <v>5373</v>
      </c>
      <c r="AA117" s="3953"/>
      <c r="AB117" s="3953"/>
      <c r="AC117" s="3954"/>
      <c r="AD117" s="3995"/>
      <c r="AE117" s="2382"/>
      <c r="AF117" s="3622"/>
    </row>
    <row r="118" spans="8:8" ht="17.55">
      <c r="A118" s="3187"/>
      <c r="B118" s="2685"/>
      <c r="C118" s="2685"/>
      <c r="D118" s="2685"/>
      <c r="E118" s="2685"/>
      <c r="F118" s="2685"/>
      <c r="G118" s="2685"/>
      <c r="H118" s="2685"/>
      <c r="I118" s="2966"/>
      <c r="J118" s="2966"/>
      <c r="K118" s="4016"/>
      <c r="L118" s="4016"/>
      <c r="M118" s="4016"/>
      <c r="N118" s="4016"/>
      <c r="O118" s="4016"/>
      <c r="P118" s="4016"/>
      <c r="Q118" s="2596"/>
      <c r="R118" s="2596"/>
      <c r="S118" s="2596"/>
      <c r="T118" s="2596"/>
      <c r="U118" s="2596"/>
      <c r="V118" s="2596"/>
      <c r="W118" s="4022"/>
      <c r="X118" s="3967"/>
      <c r="Y118" s="3968"/>
      <c r="Z118" s="3968"/>
      <c r="AA118" s="3968"/>
      <c r="AB118" s="3968"/>
      <c r="AC118" s="3957"/>
      <c r="AD118" s="3995"/>
      <c r="AE118" s="2382"/>
      <c r="AF118" s="3622"/>
    </row>
    <row r="119" spans="8:8" ht="17.55">
      <c r="A119" s="3187"/>
      <c r="B119" s="2685"/>
      <c r="C119" s="2685"/>
      <c r="D119" s="2685"/>
      <c r="E119" s="2685"/>
      <c r="F119" s="2685"/>
      <c r="G119" s="2685"/>
      <c r="H119" s="2685"/>
      <c r="I119" s="2966"/>
      <c r="J119" s="2966"/>
      <c r="K119" s="4016"/>
      <c r="L119" s="4016"/>
      <c r="M119" s="4016"/>
      <c r="N119" s="4016"/>
      <c r="O119" s="4016"/>
      <c r="P119" s="4016"/>
      <c r="Q119" s="2596"/>
      <c r="R119" s="2596"/>
      <c r="S119" s="2596"/>
      <c r="T119" s="2596"/>
      <c r="U119" s="2596"/>
      <c r="V119" s="2596"/>
      <c r="W119" s="4022"/>
      <c r="X119" s="3952" t="s">
        <v>5374</v>
      </c>
      <c r="Y119" s="3953" t="s">
        <v>1460</v>
      </c>
      <c r="Z119" s="3953" t="s">
        <v>5375</v>
      </c>
      <c r="AA119" s="3953"/>
      <c r="AB119" s="3953"/>
      <c r="AC119" s="3954"/>
      <c r="AD119" s="3995"/>
      <c r="AE119" s="2382"/>
    </row>
    <row r="120" spans="8:8" ht="17.55">
      <c r="A120" s="3187"/>
      <c r="B120" s="4023"/>
      <c r="C120" s="4023"/>
      <c r="D120" s="4023"/>
      <c r="E120" s="4023"/>
      <c r="F120" s="4023"/>
      <c r="G120" s="4023"/>
      <c r="H120" s="4023"/>
      <c r="I120" s="4016"/>
      <c r="J120" s="4016"/>
      <c r="K120" s="4016"/>
      <c r="L120" s="4016"/>
      <c r="M120" s="4016"/>
      <c r="N120" s="4016"/>
      <c r="O120" s="4016"/>
      <c r="P120" s="4016"/>
      <c r="Q120" s="2596"/>
      <c r="R120" s="2596"/>
      <c r="S120" s="2596"/>
      <c r="T120" s="2596"/>
      <c r="U120" s="2596"/>
      <c r="V120" s="2596"/>
      <c r="W120" s="4022"/>
      <c r="X120" s="2387"/>
      <c r="Y120" s="2388"/>
      <c r="Z120" s="2388"/>
      <c r="AA120" s="2388"/>
      <c r="AB120" s="2388"/>
      <c r="AC120" s="4024"/>
      <c r="AD120" s="4025"/>
      <c r="AE120" s="2389"/>
    </row>
    <row r="121" spans="8:8" ht="15.75">
      <c r="A121" s="3187"/>
      <c r="B121" s="4023"/>
      <c r="C121" s="4023"/>
      <c r="D121" s="4023"/>
      <c r="E121" s="4023"/>
      <c r="F121" s="4023"/>
      <c r="G121" s="4023"/>
      <c r="H121" s="4023"/>
      <c r="I121" s="4023"/>
      <c r="J121" s="4016"/>
      <c r="K121" s="4016"/>
      <c r="L121" s="4016"/>
      <c r="M121" s="4016"/>
      <c r="N121" s="4016"/>
      <c r="O121" s="4016"/>
      <c r="P121" s="4016"/>
      <c r="Q121" s="3735"/>
      <c r="R121" s="3735"/>
      <c r="S121" s="3735"/>
      <c r="T121" s="3735"/>
      <c r="U121" s="3735"/>
      <c r="V121" s="3735"/>
      <c r="W121" s="3735"/>
      <c r="X121" s="3735"/>
      <c r="Y121" s="3735"/>
      <c r="Z121" s="3735"/>
      <c r="AA121" s="3729"/>
      <c r="AB121" s="3729"/>
      <c r="AC121" s="3729"/>
      <c r="AD121" s="3729"/>
      <c r="AE121" s="3729"/>
    </row>
    <row r="122" spans="8:8" ht="15.75">
      <c r="A122" s="3187"/>
      <c r="B122" s="4023"/>
      <c r="C122" s="4023"/>
      <c r="D122" s="4023"/>
      <c r="E122" s="4023"/>
      <c r="F122" s="4023"/>
      <c r="G122" s="4023"/>
      <c r="H122" s="4023"/>
      <c r="I122" s="4023"/>
      <c r="J122" s="4016"/>
      <c r="K122" s="4016"/>
      <c r="L122" s="4016"/>
      <c r="M122" s="4016"/>
      <c r="N122" s="4016"/>
      <c r="O122" s="4016"/>
      <c r="P122" s="4016"/>
      <c r="Q122" s="4026" t="s">
        <v>5376</v>
      </c>
      <c r="R122" s="4027"/>
      <c r="S122" s="4027"/>
      <c r="T122" s="4027"/>
      <c r="U122" s="4027"/>
      <c r="V122" s="4027"/>
      <c r="W122" s="4027"/>
      <c r="X122" s="4027"/>
      <c r="Y122" s="4027"/>
      <c r="Z122" s="4027"/>
      <c r="AA122" s="4027"/>
      <c r="AB122" s="4027"/>
      <c r="AC122" s="4027"/>
      <c r="AD122" s="4027"/>
      <c r="AE122" s="4028"/>
    </row>
    <row r="123" spans="8:8" ht="15.75">
      <c r="A123" s="3187"/>
      <c r="B123" s="4029"/>
      <c r="C123" s="4023"/>
      <c r="D123" s="4023"/>
      <c r="E123" s="4030"/>
      <c r="F123" s="4030"/>
      <c r="G123" s="4030"/>
      <c r="H123" s="4030"/>
      <c r="I123" s="4030"/>
      <c r="J123" s="4016"/>
      <c r="K123" s="4016"/>
      <c r="L123" s="4016"/>
      <c r="M123" s="4016"/>
      <c r="N123" s="4016"/>
      <c r="O123" s="4016"/>
      <c r="P123" s="4016"/>
      <c r="Q123" s="4031"/>
      <c r="R123" s="4032"/>
      <c r="S123" s="4032"/>
      <c r="T123" s="4032"/>
      <c r="U123" s="4032"/>
      <c r="V123" s="4032"/>
      <c r="W123" s="4032"/>
      <c r="X123" s="4032"/>
      <c r="Y123" s="4032"/>
      <c r="Z123" s="4032"/>
      <c r="AA123" s="4032"/>
      <c r="AB123" s="4032"/>
      <c r="AC123" s="4032"/>
      <c r="AD123" s="4032"/>
      <c r="AE123" s="4033"/>
    </row>
    <row r="124" spans="8:8" ht="15.75">
      <c r="A124" s="3187"/>
      <c r="B124" s="4029"/>
      <c r="C124" s="4023"/>
      <c r="D124" s="4023"/>
      <c r="E124" s="4030"/>
      <c r="F124" s="4030"/>
      <c r="G124" s="4030"/>
      <c r="H124" s="4030"/>
      <c r="I124" s="4030"/>
      <c r="J124" s="4016"/>
      <c r="K124" s="4016"/>
      <c r="L124" s="4030"/>
      <c r="M124" s="4030"/>
      <c r="N124" s="4030"/>
      <c r="O124" s="4030"/>
      <c r="P124" s="4030"/>
      <c r="Q124" s="4031"/>
      <c r="R124" s="4032"/>
      <c r="S124" s="4032"/>
      <c r="T124" s="4032"/>
      <c r="U124" s="4032"/>
      <c r="V124" s="4032"/>
      <c r="W124" s="4032"/>
      <c r="X124" s="4032"/>
      <c r="Y124" s="4032"/>
      <c r="Z124" s="4032"/>
      <c r="AA124" s="4032"/>
      <c r="AB124" s="4032"/>
      <c r="AC124" s="4032"/>
      <c r="AD124" s="4032"/>
      <c r="AE124" s="4033"/>
    </row>
    <row r="125" spans="8:8" ht="17.55">
      <c r="A125" s="3187"/>
      <c r="B125" s="4029"/>
      <c r="C125" s="4023"/>
      <c r="D125" s="4023"/>
      <c r="E125" s="4030"/>
      <c r="F125" s="4030"/>
      <c r="G125" s="4030"/>
      <c r="H125" s="4030"/>
      <c r="I125" s="4030"/>
      <c r="J125" s="4016"/>
      <c r="K125" s="4016"/>
      <c r="L125" s="4030"/>
      <c r="M125" s="4030"/>
      <c r="N125" s="4030"/>
      <c r="O125" s="4030"/>
      <c r="P125" s="4030"/>
      <c r="Q125" s="4034" t="s">
        <v>5377</v>
      </c>
      <c r="R125" s="4035"/>
      <c r="S125" s="4035"/>
      <c r="T125" s="4035"/>
      <c r="U125" s="4035"/>
      <c r="V125" s="4036" t="s">
        <v>161</v>
      </c>
      <c r="W125" s="4036"/>
      <c r="X125" s="4036" t="s">
        <v>5378</v>
      </c>
      <c r="Y125" s="4036"/>
      <c r="Z125" s="4036"/>
      <c r="AA125" s="4036"/>
      <c r="AB125" s="4036"/>
      <c r="AC125" s="4036"/>
      <c r="AD125" s="4036"/>
      <c r="AE125" s="4037"/>
    </row>
    <row r="126" spans="8:8" ht="15.75">
      <c r="A126" s="3187"/>
      <c r="B126" s="4029"/>
      <c r="C126" s="4023"/>
      <c r="D126" s="4023"/>
      <c r="E126" s="4030"/>
      <c r="F126" s="4030"/>
      <c r="G126" s="4030"/>
      <c r="H126" s="4030"/>
      <c r="I126" s="4030"/>
      <c r="J126" s="4016"/>
      <c r="K126" s="4016"/>
      <c r="L126" s="4030"/>
      <c r="M126" s="4030"/>
      <c r="N126" s="4030"/>
      <c r="O126" s="4030"/>
      <c r="P126" s="4030"/>
      <c r="Q126" s="4038" t="s">
        <v>5379</v>
      </c>
      <c r="R126" s="4039"/>
      <c r="S126" s="4039"/>
      <c r="T126" s="4039"/>
      <c r="U126" s="4039"/>
      <c r="V126" s="3258" t="s">
        <v>5380</v>
      </c>
      <c r="W126" s="3238"/>
      <c r="X126" s="3238" t="s">
        <v>5381</v>
      </c>
      <c r="Y126" s="3238"/>
      <c r="Z126" s="3238"/>
      <c r="AA126" s="3238"/>
      <c r="AB126" s="3238"/>
      <c r="AC126" s="3238"/>
      <c r="AD126" s="3238"/>
      <c r="AE126" s="4040"/>
    </row>
    <row r="127" spans="8:8" ht="15.75">
      <c r="A127" s="3187"/>
      <c r="B127" s="4029"/>
      <c r="C127" s="4023"/>
      <c r="D127" s="4023"/>
      <c r="E127" s="4030"/>
      <c r="F127" s="4030"/>
      <c r="G127" s="4030"/>
      <c r="H127" s="4030"/>
      <c r="I127" s="4030"/>
      <c r="J127" s="4016"/>
      <c r="K127" s="4016"/>
      <c r="L127" s="4030"/>
      <c r="M127" s="4030"/>
      <c r="N127" s="4030"/>
      <c r="O127" s="4030"/>
      <c r="P127" s="4030"/>
      <c r="Q127" s="4038"/>
      <c r="R127" s="4039"/>
      <c r="S127" s="4039"/>
      <c r="T127" s="4039"/>
      <c r="U127" s="4039"/>
      <c r="V127" s="3238"/>
      <c r="W127" s="3238"/>
      <c r="X127" s="3238"/>
      <c r="Y127" s="3238"/>
      <c r="Z127" s="3238"/>
      <c r="AA127" s="3238"/>
      <c r="AB127" s="3238"/>
      <c r="AC127" s="3238"/>
      <c r="AD127" s="3238"/>
      <c r="AE127" s="4040"/>
    </row>
    <row r="128" spans="8:8" ht="15.75">
      <c r="A128" s="3187"/>
      <c r="B128" s="4029"/>
      <c r="C128" s="4023"/>
      <c r="D128" s="4023"/>
      <c r="E128" s="4030"/>
      <c r="F128" s="4030"/>
      <c r="G128" s="4030"/>
      <c r="H128" s="4030"/>
      <c r="I128" s="4030"/>
      <c r="J128" s="4016"/>
      <c r="K128" s="4016"/>
      <c r="L128" s="4030"/>
      <c r="M128" s="4030"/>
      <c r="N128" s="4030"/>
      <c r="O128" s="4030"/>
      <c r="P128" s="4030"/>
      <c r="Q128" s="4038"/>
      <c r="R128" s="4039"/>
      <c r="S128" s="4039"/>
      <c r="T128" s="4039"/>
      <c r="U128" s="4039"/>
      <c r="V128" s="3238"/>
      <c r="W128" s="3238"/>
      <c r="X128" s="3238"/>
      <c r="Y128" s="3238"/>
      <c r="Z128" s="3238"/>
      <c r="AA128" s="3238"/>
      <c r="AB128" s="3238"/>
      <c r="AC128" s="3238"/>
      <c r="AD128" s="3238"/>
      <c r="AE128" s="4040"/>
    </row>
    <row r="129" spans="8:8" ht="15.75">
      <c r="A129" s="3187"/>
      <c r="B129" s="4029"/>
      <c r="C129" s="4023"/>
      <c r="D129" s="4023"/>
      <c r="E129" s="4030"/>
      <c r="F129" s="4030"/>
      <c r="G129" s="4030"/>
      <c r="H129" s="4030"/>
      <c r="I129" s="4030"/>
      <c r="J129" s="4016"/>
      <c r="K129" s="4016"/>
      <c r="L129" s="4030"/>
      <c r="M129" s="4030"/>
      <c r="N129" s="4030"/>
      <c r="O129" s="4030"/>
      <c r="P129" s="4030"/>
      <c r="Q129" s="4041" t="s">
        <v>5382</v>
      </c>
      <c r="R129" s="4042"/>
      <c r="S129" s="4042"/>
      <c r="T129" s="4042"/>
      <c r="U129" s="4042"/>
      <c r="V129" s="4043" t="s">
        <v>5383</v>
      </c>
      <c r="W129" s="4044"/>
      <c r="X129" s="4044" t="s">
        <v>5384</v>
      </c>
      <c r="Y129" s="4044"/>
      <c r="Z129" s="4044"/>
      <c r="AA129" s="4044"/>
      <c r="AB129" s="4044"/>
      <c r="AC129" s="4044"/>
      <c r="AD129" s="4044"/>
      <c r="AE129" s="4045"/>
    </row>
    <row r="130" spans="8:8" ht="15.75">
      <c r="A130" s="3187"/>
      <c r="B130" s="4029"/>
      <c r="C130" s="4023"/>
      <c r="D130" s="4023"/>
      <c r="E130" s="4030"/>
      <c r="F130" s="4030"/>
      <c r="G130" s="4030"/>
      <c r="H130" s="4030"/>
      <c r="I130" s="4030"/>
      <c r="J130" s="4016"/>
      <c r="K130" s="4016"/>
      <c r="L130" s="4030"/>
      <c r="M130" s="4030"/>
      <c r="N130" s="4030"/>
      <c r="O130" s="4030"/>
      <c r="P130" s="4030"/>
      <c r="Q130" s="4041"/>
      <c r="R130" s="4042"/>
      <c r="S130" s="4042"/>
      <c r="T130" s="4042"/>
      <c r="U130" s="4042"/>
      <c r="V130" s="4044"/>
      <c r="W130" s="4044"/>
      <c r="X130" s="4044"/>
      <c r="Y130" s="4044"/>
      <c r="Z130" s="4044"/>
      <c r="AA130" s="4044"/>
      <c r="AB130" s="4044"/>
      <c r="AC130" s="4044"/>
      <c r="AD130" s="4044"/>
      <c r="AE130" s="4045"/>
    </row>
    <row r="131" spans="8:8" ht="15.75">
      <c r="A131" s="3187"/>
      <c r="B131" s="4029"/>
      <c r="C131" s="4023"/>
      <c r="D131" s="4023"/>
      <c r="E131" s="4030"/>
      <c r="F131" s="4030"/>
      <c r="G131" s="4030"/>
      <c r="H131" s="4030"/>
      <c r="I131" s="4030"/>
      <c r="J131" s="4016"/>
      <c r="K131" s="4016"/>
      <c r="L131" s="4030"/>
      <c r="M131" s="4030"/>
      <c r="N131" s="4030"/>
      <c r="O131" s="4030"/>
      <c r="P131" s="4030"/>
      <c r="Q131" s="4041"/>
      <c r="R131" s="4042"/>
      <c r="S131" s="4042"/>
      <c r="T131" s="4042"/>
      <c r="U131" s="4042"/>
      <c r="V131" s="4044"/>
      <c r="W131" s="4044"/>
      <c r="X131" s="4044"/>
      <c r="Y131" s="4044"/>
      <c r="Z131" s="4044"/>
      <c r="AA131" s="4044"/>
      <c r="AB131" s="4044"/>
      <c r="AC131" s="4044"/>
      <c r="AD131" s="4044"/>
      <c r="AE131" s="4045"/>
    </row>
    <row r="132" spans="8:8" ht="15.75">
      <c r="A132" s="3187"/>
      <c r="B132" s="4023"/>
      <c r="C132" s="4023"/>
      <c r="D132" s="4023"/>
      <c r="E132" s="4016"/>
      <c r="F132" s="4016"/>
      <c r="G132" s="4016"/>
      <c r="H132" s="4016"/>
      <c r="I132" s="4016"/>
      <c r="J132" s="4016"/>
      <c r="K132" s="4016"/>
      <c r="L132" s="4030"/>
      <c r="M132" s="4030"/>
      <c r="N132" s="4030"/>
      <c r="O132" s="4030"/>
      <c r="P132" s="4030"/>
      <c r="Q132" s="4038" t="s">
        <v>5385</v>
      </c>
      <c r="R132" s="4039"/>
      <c r="S132" s="4039"/>
      <c r="T132" s="4039"/>
      <c r="U132" s="4039"/>
      <c r="V132" s="3258" t="s">
        <v>5386</v>
      </c>
      <c r="W132" s="3238"/>
      <c r="X132" s="3238" t="s">
        <v>5387</v>
      </c>
      <c r="Y132" s="3238"/>
      <c r="Z132" s="3238"/>
      <c r="AA132" s="3238"/>
      <c r="AB132" s="3238"/>
      <c r="AC132" s="3238"/>
      <c r="AD132" s="3238"/>
      <c r="AE132" s="4040"/>
    </row>
    <row r="133" spans="8:8" ht="15.75">
      <c r="A133" s="3187"/>
      <c r="B133" s="4023"/>
      <c r="C133" s="4023"/>
      <c r="D133" s="4023"/>
      <c r="E133" s="4016"/>
      <c r="F133" s="4016"/>
      <c r="G133" s="4016"/>
      <c r="H133" s="4016"/>
      <c r="I133" s="4016"/>
      <c r="J133" s="4016"/>
      <c r="K133" s="4016"/>
      <c r="L133" s="4030"/>
      <c r="M133" s="4030"/>
      <c r="N133" s="4030"/>
      <c r="O133" s="4030"/>
      <c r="P133" s="4030"/>
      <c r="Q133" s="4038"/>
      <c r="R133" s="4039"/>
      <c r="S133" s="4039"/>
      <c r="T133" s="4039"/>
      <c r="U133" s="4039"/>
      <c r="V133" s="3238"/>
      <c r="W133" s="3238"/>
      <c r="X133" s="3238"/>
      <c r="Y133" s="3238"/>
      <c r="Z133" s="3238"/>
      <c r="AA133" s="3238"/>
      <c r="AB133" s="3238"/>
      <c r="AC133" s="3238"/>
      <c r="AD133" s="3238"/>
      <c r="AE133" s="4040"/>
    </row>
    <row r="134" spans="8:8" ht="15.75">
      <c r="A134" s="3187"/>
      <c r="B134" s="4023"/>
      <c r="C134" s="4023"/>
      <c r="D134" s="4023"/>
      <c r="E134" s="4016"/>
      <c r="F134" s="4016"/>
      <c r="G134" s="4016"/>
      <c r="H134" s="4016"/>
      <c r="I134" s="4016"/>
      <c r="J134" s="4016"/>
      <c r="K134" s="4016"/>
      <c r="L134" s="4030"/>
      <c r="M134" s="4030"/>
      <c r="N134" s="4030"/>
      <c r="O134" s="4030"/>
      <c r="P134" s="4030"/>
      <c r="Q134" s="4038"/>
      <c r="R134" s="4039"/>
      <c r="S134" s="4039"/>
      <c r="T134" s="4039"/>
      <c r="U134" s="4039"/>
      <c r="V134" s="3238"/>
      <c r="W134" s="3238"/>
      <c r="X134" s="3238"/>
      <c r="Y134" s="3238"/>
      <c r="Z134" s="3238"/>
      <c r="AA134" s="3238"/>
      <c r="AB134" s="3238"/>
      <c r="AC134" s="3238"/>
      <c r="AD134" s="3238"/>
      <c r="AE134" s="4040"/>
    </row>
    <row r="135" spans="8:8" ht="15.75">
      <c r="A135" s="3187"/>
      <c r="B135" s="4023"/>
      <c r="C135" s="4023"/>
      <c r="D135" s="4023"/>
      <c r="E135" s="4016"/>
      <c r="F135" s="4016"/>
      <c r="G135" s="4016"/>
      <c r="H135" s="4016"/>
      <c r="I135" s="4016"/>
      <c r="J135" s="4016"/>
      <c r="K135" s="4016"/>
      <c r="L135" s="4030"/>
      <c r="M135" s="4030"/>
      <c r="N135" s="4030"/>
      <c r="O135" s="4030"/>
      <c r="P135" s="4030"/>
      <c r="Q135" s="4041" t="s">
        <v>5860</v>
      </c>
      <c r="R135" s="4042"/>
      <c r="S135" s="4042"/>
      <c r="T135" s="4042"/>
      <c r="U135" s="4042"/>
      <c r="V135" s="4043" t="s">
        <v>5388</v>
      </c>
      <c r="W135" s="4044"/>
      <c r="X135" s="4044" t="s">
        <v>5389</v>
      </c>
      <c r="Y135" s="4044"/>
      <c r="Z135" s="4044"/>
      <c r="AA135" s="4044"/>
      <c r="AB135" s="4044"/>
      <c r="AC135" s="4044"/>
      <c r="AD135" s="4044"/>
      <c r="AE135" s="4045"/>
    </row>
    <row r="136" spans="8:8" ht="15.75">
      <c r="A136" s="3187"/>
      <c r="B136" s="4023"/>
      <c r="C136" s="4023"/>
      <c r="D136" s="4023"/>
      <c r="E136" s="4016"/>
      <c r="F136" s="4016"/>
      <c r="G136" s="4016"/>
      <c r="H136" s="4016"/>
      <c r="I136" s="4016"/>
      <c r="J136" s="4016"/>
      <c r="K136" s="4016"/>
      <c r="L136" s="4030"/>
      <c r="M136" s="4030"/>
      <c r="N136" s="4030"/>
      <c r="O136" s="4030"/>
      <c r="P136" s="4030"/>
      <c r="Q136" s="4041"/>
      <c r="R136" s="4042"/>
      <c r="S136" s="4042"/>
      <c r="T136" s="4042"/>
      <c r="U136" s="4042"/>
      <c r="V136" s="4044"/>
      <c r="W136" s="4044"/>
      <c r="X136" s="4044"/>
      <c r="Y136" s="4044"/>
      <c r="Z136" s="4044"/>
      <c r="AA136" s="4044"/>
      <c r="AB136" s="4044"/>
      <c r="AC136" s="4044"/>
      <c r="AD136" s="4044"/>
      <c r="AE136" s="4045"/>
    </row>
    <row r="137" spans="8:8" ht="15.75">
      <c r="A137" s="3187"/>
      <c r="B137" s="4023"/>
      <c r="C137" s="4023"/>
      <c r="D137" s="4023"/>
      <c r="E137" s="4016"/>
      <c r="F137" s="4016"/>
      <c r="G137" s="4016"/>
      <c r="H137" s="4016"/>
      <c r="I137" s="4016"/>
      <c r="J137" s="4016"/>
      <c r="K137" s="4016"/>
      <c r="L137" s="4030"/>
      <c r="M137" s="4030"/>
      <c r="N137" s="4030"/>
      <c r="O137" s="4030"/>
      <c r="P137" s="4030"/>
      <c r="Q137" s="4041"/>
      <c r="R137" s="4042"/>
      <c r="S137" s="4042"/>
      <c r="T137" s="4042"/>
      <c r="U137" s="4042"/>
      <c r="V137" s="4044"/>
      <c r="W137" s="4044"/>
      <c r="X137" s="4044"/>
      <c r="Y137" s="4044"/>
      <c r="Z137" s="4044"/>
      <c r="AA137" s="4044"/>
      <c r="AB137" s="4044"/>
      <c r="AC137" s="4044"/>
      <c r="AD137" s="4044"/>
      <c r="AE137" s="4045"/>
    </row>
    <row r="138" spans="8:8" ht="15.75">
      <c r="A138" s="3187"/>
      <c r="B138" s="4023"/>
      <c r="C138" s="4023"/>
      <c r="D138" s="4023"/>
      <c r="E138" s="4016"/>
      <c r="F138" s="4016"/>
      <c r="G138" s="4016"/>
      <c r="H138" s="4016"/>
      <c r="I138" s="4016"/>
      <c r="J138" s="4016"/>
      <c r="K138" s="4016"/>
      <c r="L138" s="4030"/>
      <c r="M138" s="4030"/>
      <c r="N138" s="4030"/>
      <c r="O138" s="4030"/>
      <c r="P138" s="4030"/>
      <c r="Q138" s="4038" t="s">
        <v>5390</v>
      </c>
      <c r="R138" s="4039"/>
      <c r="S138" s="4039"/>
      <c r="T138" s="4039"/>
      <c r="U138" s="4039"/>
      <c r="V138" s="3258" t="s">
        <v>5391</v>
      </c>
      <c r="W138" s="3238"/>
      <c r="X138" s="3238" t="s">
        <v>5392</v>
      </c>
      <c r="Y138" s="3238"/>
      <c r="Z138" s="3238"/>
      <c r="AA138" s="3238"/>
      <c r="AB138" s="3238"/>
      <c r="AC138" s="3238"/>
      <c r="AD138" s="3238"/>
      <c r="AE138" s="4040"/>
    </row>
    <row r="139" spans="8:8" ht="15.75">
      <c r="A139" s="3187"/>
      <c r="B139" s="4023"/>
      <c r="C139" s="4023"/>
      <c r="D139" s="4023"/>
      <c r="E139" s="4016"/>
      <c r="F139" s="4016"/>
      <c r="G139" s="4016"/>
      <c r="H139" s="4016"/>
      <c r="I139" s="4016"/>
      <c r="J139" s="4016"/>
      <c r="K139" s="4016"/>
      <c r="L139" s="4030"/>
      <c r="M139" s="4030"/>
      <c r="N139" s="4030"/>
      <c r="O139" s="4030"/>
      <c r="P139" s="4030"/>
      <c r="Q139" s="4038"/>
      <c r="R139" s="4039"/>
      <c r="S139" s="4039"/>
      <c r="T139" s="4039"/>
      <c r="U139" s="4039"/>
      <c r="V139" s="3238"/>
      <c r="W139" s="3238"/>
      <c r="X139" s="3238"/>
      <c r="Y139" s="3238"/>
      <c r="Z139" s="3238"/>
      <c r="AA139" s="3238"/>
      <c r="AB139" s="3238"/>
      <c r="AC139" s="3238"/>
      <c r="AD139" s="3238"/>
      <c r="AE139" s="4040"/>
    </row>
    <row r="140" spans="8:8" ht="15.75">
      <c r="A140" s="3187"/>
      <c r="B140" s="4023"/>
      <c r="C140" s="4023"/>
      <c r="D140" s="4023"/>
      <c r="E140" s="4016"/>
      <c r="F140" s="4016"/>
      <c r="G140" s="4016"/>
      <c r="H140" s="4016"/>
      <c r="I140" s="4016"/>
      <c r="J140" s="4016"/>
      <c r="K140" s="4016"/>
      <c r="L140" s="4030"/>
      <c r="M140" s="4030"/>
      <c r="N140" s="4030"/>
      <c r="O140" s="4030"/>
      <c r="P140" s="4030"/>
      <c r="Q140" s="4046"/>
      <c r="R140" s="4047"/>
      <c r="S140" s="4047"/>
      <c r="T140" s="4047"/>
      <c r="U140" s="4047"/>
      <c r="V140" s="4048"/>
      <c r="W140" s="4048"/>
      <c r="X140" s="4048"/>
      <c r="Y140" s="4048"/>
      <c r="Z140" s="4048"/>
      <c r="AA140" s="4048"/>
      <c r="AB140" s="4048"/>
      <c r="AC140" s="4048"/>
      <c r="AD140" s="4048"/>
      <c r="AE140" s="4049"/>
    </row>
    <row r="141" spans="8:8">
      <c r="A141" s="3187"/>
      <c r="B141" s="3010"/>
      <c r="C141" s="3010"/>
      <c r="D141" s="3010"/>
      <c r="E141" s="3010"/>
      <c r="F141" s="3010"/>
      <c r="G141" s="3010"/>
      <c r="H141" s="3010"/>
      <c r="I141" s="3010"/>
      <c r="J141" s="3010"/>
      <c r="K141" s="3010"/>
      <c r="L141" s="3010"/>
      <c r="M141" s="3010"/>
      <c r="N141" s="3010"/>
      <c r="O141" s="3010"/>
      <c r="P141" s="3010"/>
      <c r="Q141" s="3010"/>
    </row>
    <row r="142" spans="8:8" ht="36.95">
      <c r="A142" s="3187"/>
      <c r="B142" s="4050"/>
      <c r="C142" s="4050"/>
      <c r="D142" s="4050"/>
      <c r="E142" s="4050"/>
      <c r="F142" s="4050"/>
      <c r="G142" s="4050"/>
      <c r="H142" s="4050"/>
      <c r="I142" s="4050"/>
      <c r="J142" s="4050"/>
      <c r="K142" s="4050"/>
      <c r="L142" s="4050"/>
      <c r="M142" s="4050"/>
      <c r="N142" s="4050"/>
      <c r="O142" s="4050"/>
      <c r="P142" s="4050"/>
      <c r="Q142" s="4050"/>
    </row>
    <row r="143" spans="8:8" ht="36.95">
      <c r="A143" s="3187"/>
      <c r="B143" s="4050"/>
      <c r="C143" s="4050"/>
      <c r="D143" s="4050"/>
      <c r="E143" s="4050"/>
      <c r="F143" s="4050"/>
      <c r="G143" s="4050"/>
      <c r="H143" s="4050"/>
      <c r="I143" s="4050"/>
      <c r="J143" s="4050"/>
      <c r="K143" s="4050"/>
      <c r="L143" s="4050"/>
      <c r="M143" s="4050"/>
      <c r="N143" s="4050"/>
      <c r="O143" s="4050"/>
      <c r="P143" s="4050"/>
      <c r="Q143" s="4050"/>
    </row>
    <row r="144" spans="8:8" ht="36.95">
      <c r="A144" s="3187"/>
      <c r="B144" s="4050"/>
      <c r="C144" s="4050"/>
      <c r="D144" s="4050"/>
      <c r="E144" s="4050"/>
      <c r="F144" s="4050"/>
      <c r="G144" s="4050"/>
      <c r="H144" s="4050"/>
      <c r="I144" s="4050"/>
      <c r="J144" s="4050"/>
      <c r="K144" s="4050"/>
      <c r="L144" s="4050"/>
      <c r="M144" s="4050"/>
      <c r="N144" s="4050"/>
      <c r="O144" s="4050"/>
      <c r="P144" s="4050"/>
      <c r="Q144" s="4050"/>
    </row>
    <row r="145" spans="8:8" ht="15.75">
      <c r="A145" s="3187"/>
      <c r="B145" s="4051"/>
      <c r="C145" s="4051"/>
      <c r="D145" s="4051"/>
      <c r="E145" s="4051"/>
      <c r="F145" s="4051"/>
      <c r="G145" s="4052"/>
      <c r="H145" s="4052"/>
      <c r="I145" s="4053"/>
      <c r="J145" s="4053"/>
      <c r="K145" s="4053"/>
      <c r="L145" s="4053"/>
      <c r="M145" s="4053"/>
      <c r="N145" s="4053"/>
      <c r="O145" s="4053"/>
      <c r="P145" s="4053"/>
      <c r="Q145" s="4053"/>
    </row>
    <row r="146" spans="8:8" ht="23.0" customHeight="1">
      <c r="A146" s="3187"/>
      <c r="B146" s="4054"/>
      <c r="C146" s="4051"/>
      <c r="D146" s="4055"/>
      <c r="E146" s="4055"/>
      <c r="F146" s="4055"/>
      <c r="G146" s="4055"/>
      <c r="H146" s="4052"/>
      <c r="I146" s="4056"/>
      <c r="J146" s="4056"/>
      <c r="K146" s="4053"/>
      <c r="L146" s="4056"/>
      <c r="M146" s="4056"/>
      <c r="N146" s="4053"/>
      <c r="O146" s="4056"/>
      <c r="P146" s="4056"/>
      <c r="Q146" s="4056"/>
    </row>
    <row r="147" spans="8:8" ht="15.75">
      <c r="A147" s="3187"/>
      <c r="B147" s="4057"/>
      <c r="C147" s="4051"/>
      <c r="D147" s="4057"/>
      <c r="E147" s="4058"/>
      <c r="F147" s="4057"/>
      <c r="G147" s="4057"/>
      <c r="H147" s="4051"/>
      <c r="I147" s="4059"/>
      <c r="J147" s="4059"/>
      <c r="K147" s="4053"/>
      <c r="L147" s="4059"/>
      <c r="M147" s="4059"/>
      <c r="N147" s="4053"/>
      <c r="O147" s="4059"/>
      <c r="P147" s="4060"/>
      <c r="Q147" s="4060"/>
    </row>
    <row r="148" spans="8:8" ht="15.75">
      <c r="A148" s="3187"/>
      <c r="B148" s="4061"/>
      <c r="C148" s="4051"/>
      <c r="D148" s="4058"/>
      <c r="E148" s="4058"/>
      <c r="F148" s="4057"/>
      <c r="G148" s="4057"/>
      <c r="H148" s="4051"/>
      <c r="I148" s="4059"/>
      <c r="J148" s="4059"/>
      <c r="K148" s="4053"/>
      <c r="L148" s="4059"/>
      <c r="M148" s="4059"/>
      <c r="N148" s="4053"/>
      <c r="O148" s="4060"/>
      <c r="P148" s="4060"/>
      <c r="Q148" s="4060"/>
    </row>
    <row r="149" spans="8:8" ht="15.75">
      <c r="A149" s="3187"/>
      <c r="B149" s="4061"/>
      <c r="C149" s="4051"/>
      <c r="D149" s="4058"/>
      <c r="E149" s="4058"/>
      <c r="F149" s="4057"/>
      <c r="G149" s="4057"/>
      <c r="H149" s="4051"/>
      <c r="I149" s="4059"/>
      <c r="J149" s="4059"/>
      <c r="K149" s="4053"/>
      <c r="L149" s="4059"/>
      <c r="M149" s="4059"/>
      <c r="N149" s="4053"/>
      <c r="O149" s="4060"/>
      <c r="P149" s="4060"/>
      <c r="Q149" s="4060"/>
    </row>
    <row r="150" spans="8:8" ht="15.75">
      <c r="A150" s="3187"/>
      <c r="B150" s="4061"/>
      <c r="C150" s="4051"/>
      <c r="D150" s="4058"/>
      <c r="E150" s="4058"/>
      <c r="F150" s="4057"/>
      <c r="G150" s="4057"/>
      <c r="H150" s="4051"/>
      <c r="I150" s="4059"/>
      <c r="J150" s="4059"/>
      <c r="K150" s="4053"/>
      <c r="L150" s="4059"/>
      <c r="M150" s="4059"/>
      <c r="N150" s="4053"/>
      <c r="O150" s="4060"/>
      <c r="P150" s="4060"/>
      <c r="Q150" s="4060"/>
    </row>
    <row r="151" spans="8:8" ht="15.75">
      <c r="A151" s="3187"/>
      <c r="B151" s="4061"/>
      <c r="C151" s="4051"/>
      <c r="D151" s="4058"/>
      <c r="E151" s="4058"/>
      <c r="F151" s="4057"/>
      <c r="G151" s="4057"/>
      <c r="H151" s="4051"/>
      <c r="I151" s="4059"/>
      <c r="J151" s="4059"/>
      <c r="K151" s="4053"/>
      <c r="L151" s="4059"/>
      <c r="M151" s="4059"/>
      <c r="N151" s="4053"/>
      <c r="O151" s="4060"/>
      <c r="P151" s="4060"/>
      <c r="Q151" s="4060"/>
    </row>
    <row r="152" spans="8:8" ht="15.75">
      <c r="A152" s="3187"/>
      <c r="B152" s="4061"/>
      <c r="C152" s="4051"/>
      <c r="D152" s="4058"/>
      <c r="E152" s="4058"/>
      <c r="F152" s="4057"/>
      <c r="G152" s="4057"/>
      <c r="H152" s="4051"/>
      <c r="I152" s="4059"/>
      <c r="J152" s="4059"/>
      <c r="K152" s="4053"/>
      <c r="L152" s="4059"/>
      <c r="M152" s="4059"/>
      <c r="N152" s="4053"/>
      <c r="O152" s="4060"/>
      <c r="P152" s="4060"/>
      <c r="Q152" s="4060"/>
    </row>
    <row r="153" spans="8:8" ht="15.75">
      <c r="A153" s="3187"/>
      <c r="B153" s="4061"/>
      <c r="C153" s="4051"/>
      <c r="D153" s="4058"/>
      <c r="E153" s="4058"/>
      <c r="F153" s="4057"/>
      <c r="G153" s="4057"/>
      <c r="H153" s="4051"/>
      <c r="I153" s="4059"/>
      <c r="J153" s="4059"/>
      <c r="K153" s="4053"/>
      <c r="L153" s="4059"/>
      <c r="M153" s="4059"/>
      <c r="N153" s="4053"/>
      <c r="O153" s="4060"/>
      <c r="P153" s="4060"/>
      <c r="Q153" s="4060"/>
    </row>
    <row r="154" spans="8:8" ht="15.75">
      <c r="A154" s="3187"/>
      <c r="B154" s="4061"/>
      <c r="C154" s="4051"/>
      <c r="D154" s="4058"/>
      <c r="E154" s="4058"/>
      <c r="F154" s="4057"/>
      <c r="G154" s="4057"/>
      <c r="H154" s="4051"/>
      <c r="I154" s="4059"/>
      <c r="J154" s="4059"/>
      <c r="K154" s="4053"/>
      <c r="L154" s="4059"/>
      <c r="M154" s="4059"/>
      <c r="N154" s="4053"/>
      <c r="O154" s="4060"/>
      <c r="P154" s="4060"/>
      <c r="Q154" s="4060"/>
    </row>
    <row r="155" spans="8:8" ht="15.75">
      <c r="A155" s="3187"/>
      <c r="B155" s="4051"/>
      <c r="C155" s="4051"/>
      <c r="D155" s="4051"/>
      <c r="E155" s="4051"/>
      <c r="F155" s="4051"/>
      <c r="G155" s="4051"/>
      <c r="H155" s="4051"/>
      <c r="I155" s="4053"/>
      <c r="J155" s="4053"/>
      <c r="K155" s="4053"/>
      <c r="L155" s="4053"/>
      <c r="M155" s="4053"/>
      <c r="N155" s="4053"/>
      <c r="O155" s="4053"/>
      <c r="P155" s="4053"/>
      <c r="Q155" s="4053"/>
    </row>
    <row r="156" spans="8:8" ht="15.75">
      <c r="A156" s="3187"/>
      <c r="B156" s="4051"/>
      <c r="C156" s="4051"/>
      <c r="D156" s="4051"/>
      <c r="E156" s="4051"/>
      <c r="F156" s="4051"/>
      <c r="G156" s="4051"/>
      <c r="H156" s="4051"/>
      <c r="I156" s="4053"/>
      <c r="J156" s="4053"/>
      <c r="K156" s="4053"/>
      <c r="L156" s="4053"/>
      <c r="M156" s="4053"/>
      <c r="N156" s="4053"/>
      <c r="O156" s="4053"/>
      <c r="P156" s="4053"/>
      <c r="Q156" s="4053"/>
    </row>
    <row r="157" spans="8:8" ht="15.75">
      <c r="A157" s="3187"/>
      <c r="B157" s="4055"/>
      <c r="C157" s="4055"/>
      <c r="D157" s="4055"/>
      <c r="E157" s="4051"/>
      <c r="F157" s="4055"/>
      <c r="G157" s="4055"/>
      <c r="H157" s="4055"/>
      <c r="I157" s="4055"/>
      <c r="J157" s="4053"/>
      <c r="K157" s="4056"/>
      <c r="L157" s="4056"/>
      <c r="M157" s="4056"/>
      <c r="N157" s="4056"/>
      <c r="O157" s="4056"/>
      <c r="P157" s="4056"/>
      <c r="Q157" s="4056"/>
      <c r="S157" s="4062"/>
    </row>
    <row r="158" spans="8:8" ht="15.75">
      <c r="A158" s="3187"/>
      <c r="B158" s="4055"/>
      <c r="C158" s="4055"/>
      <c r="D158" s="4055"/>
      <c r="E158" s="4051"/>
      <c r="F158" s="4055"/>
      <c r="G158" s="4055"/>
      <c r="H158" s="4055"/>
      <c r="I158" s="4055"/>
      <c r="J158" s="4053"/>
      <c r="K158" s="4056"/>
      <c r="L158" s="4056"/>
      <c r="M158" s="4056"/>
      <c r="N158" s="4056"/>
      <c r="O158" s="4056"/>
      <c r="P158" s="4056"/>
      <c r="Q158" s="4056"/>
      <c r="S158" s="4062"/>
    </row>
    <row r="159" spans="8:8" ht="15.75">
      <c r="A159" s="3187"/>
      <c r="B159" s="4063"/>
      <c r="C159" s="4057"/>
      <c r="D159" s="4057"/>
      <c r="E159" s="4051"/>
      <c r="F159" s="4057"/>
      <c r="G159" s="4057"/>
      <c r="H159" s="4063"/>
      <c r="I159" s="4063"/>
      <c r="J159" s="4053"/>
      <c r="K159" s="4059"/>
      <c r="L159" s="4059"/>
      <c r="M159" s="4059"/>
      <c r="N159" s="4059"/>
      <c r="O159" s="4064"/>
      <c r="P159" s="4064"/>
      <c r="Q159" s="4064"/>
      <c r="R159" s="4065"/>
      <c r="S159" s="4062"/>
    </row>
    <row r="160" spans="8:8" ht="15.75">
      <c r="A160" s="3187"/>
      <c r="B160" s="4063"/>
      <c r="C160" s="4057"/>
      <c r="D160" s="4057"/>
      <c r="E160" s="4051"/>
      <c r="F160" s="4057"/>
      <c r="G160" s="4057"/>
      <c r="H160" s="4063"/>
      <c r="I160" s="4063"/>
      <c r="J160" s="4053"/>
      <c r="K160" s="4059"/>
      <c r="L160" s="4059"/>
      <c r="M160" s="4059"/>
      <c r="N160" s="4059"/>
      <c r="O160" s="4064"/>
      <c r="P160" s="4064"/>
      <c r="Q160" s="4064"/>
      <c r="R160" s="4065"/>
      <c r="S160" s="4062"/>
    </row>
    <row r="161" spans="8:8" ht="15.75">
      <c r="B161" s="4063"/>
      <c r="C161" s="4066"/>
      <c r="D161" s="4066"/>
      <c r="E161" s="4052"/>
      <c r="F161" s="4057"/>
      <c r="G161" s="4057"/>
      <c r="H161" s="4063"/>
      <c r="I161" s="4063"/>
      <c r="J161" s="4053"/>
      <c r="K161" s="4067"/>
      <c r="L161" s="4067"/>
      <c r="M161" s="4067"/>
      <c r="N161" s="4067"/>
      <c r="O161" s="4067"/>
      <c r="P161" s="4067"/>
      <c r="Q161" s="4067"/>
      <c r="S161" s="4062"/>
    </row>
    <row r="162" spans="8:8" ht="15.75">
      <c r="B162" s="4063"/>
      <c r="C162" s="4066"/>
      <c r="D162" s="4066"/>
      <c r="E162" s="4052"/>
      <c r="F162" s="4057"/>
      <c r="G162" s="4057"/>
      <c r="H162" s="4063"/>
      <c r="I162" s="4063"/>
      <c r="J162" s="4053"/>
      <c r="K162" s="4067"/>
      <c r="L162" s="4067"/>
      <c r="M162" s="4067"/>
      <c r="N162" s="4067"/>
      <c r="O162" s="4067"/>
      <c r="P162" s="4067"/>
      <c r="Q162" s="4067"/>
      <c r="S162" s="4062"/>
    </row>
    <row r="163" spans="8:8" ht="15.75">
      <c r="B163" s="4063"/>
      <c r="C163" s="4066"/>
      <c r="D163" s="4066"/>
      <c r="E163" s="4052"/>
      <c r="F163" s="4057"/>
      <c r="G163" s="4057"/>
      <c r="H163" s="4063"/>
      <c r="I163" s="4063"/>
      <c r="J163" s="4053"/>
      <c r="K163" s="4059"/>
      <c r="L163" s="4059"/>
      <c r="M163" s="4059"/>
      <c r="N163" s="4059"/>
      <c r="O163" s="4059"/>
      <c r="P163" s="4059"/>
      <c r="Q163" s="4059"/>
    </row>
    <row r="164" spans="8:8" ht="15.75">
      <c r="B164" s="4063"/>
      <c r="C164" s="4066"/>
      <c r="D164" s="4066"/>
      <c r="E164" s="4052"/>
      <c r="F164" s="4057"/>
      <c r="G164" s="4057"/>
      <c r="H164" s="4063"/>
      <c r="I164" s="4063"/>
      <c r="J164" s="4053"/>
      <c r="K164" s="4059"/>
      <c r="L164" s="4059"/>
      <c r="M164" s="4059"/>
      <c r="N164" s="4059"/>
      <c r="O164" s="4059"/>
      <c r="P164" s="4059"/>
      <c r="Q164" s="4059"/>
    </row>
    <row r="165" spans="8:8" ht="15.75">
      <c r="B165" s="4063"/>
      <c r="C165" s="4066"/>
      <c r="D165" s="4066"/>
      <c r="E165" s="4052"/>
      <c r="F165" s="4057"/>
      <c r="G165" s="4057"/>
      <c r="H165" s="4063"/>
      <c r="I165" s="4063"/>
      <c r="J165" s="4053"/>
      <c r="K165" s="4059"/>
      <c r="L165" s="4059"/>
      <c r="M165" s="4059"/>
      <c r="N165" s="4059"/>
      <c r="O165" s="4059"/>
      <c r="P165" s="4059"/>
      <c r="Q165" s="4059"/>
    </row>
    <row r="166" spans="8:8" ht="15.75">
      <c r="B166" s="4063"/>
      <c r="C166" s="4066"/>
      <c r="D166" s="4066"/>
      <c r="E166" s="4052"/>
      <c r="F166" s="4057"/>
      <c r="G166" s="4057"/>
      <c r="H166" s="4063"/>
      <c r="I166" s="4063"/>
      <c r="J166" s="4053"/>
      <c r="K166" s="4059"/>
      <c r="L166" s="4059"/>
      <c r="M166" s="4059"/>
      <c r="N166" s="4059"/>
      <c r="O166" s="4059"/>
      <c r="P166" s="4059"/>
      <c r="Q166" s="4059"/>
    </row>
    <row r="167" spans="8:8" ht="15.75">
      <c r="B167" s="4063"/>
      <c r="C167" s="4068"/>
      <c r="D167" s="4066"/>
      <c r="E167" s="4052"/>
      <c r="F167" s="4057"/>
      <c r="G167" s="4057"/>
      <c r="H167" s="4063"/>
      <c r="I167" s="4063"/>
      <c r="J167" s="4053"/>
      <c r="K167" s="4059"/>
      <c r="L167" s="4059"/>
      <c r="M167" s="4059"/>
      <c r="N167" s="4059"/>
      <c r="O167" s="4059"/>
      <c r="P167" s="4059"/>
      <c r="Q167" s="4059"/>
      <c r="R167" s="3356"/>
    </row>
    <row r="168" spans="8:8" ht="15.75">
      <c r="B168" s="4052"/>
      <c r="C168" s="4069"/>
      <c r="D168" s="4052"/>
      <c r="E168" s="4052"/>
      <c r="F168" s="4052"/>
      <c r="G168" s="4052"/>
      <c r="H168" s="4052"/>
      <c r="I168" s="4053"/>
      <c r="J168" s="4053"/>
      <c r="K168" s="4070"/>
      <c r="L168" s="4070"/>
      <c r="M168" s="4070"/>
      <c r="N168" s="4070"/>
      <c r="O168" s="4071"/>
      <c r="P168" s="4071"/>
      <c r="Q168" s="4071"/>
      <c r="R168" s="3356"/>
    </row>
    <row r="169" spans="8:8" ht="15.75">
      <c r="B169" s="4052"/>
      <c r="C169" s="4052"/>
      <c r="D169" s="4052"/>
      <c r="E169" s="4052"/>
      <c r="F169" s="4052"/>
      <c r="G169" s="4052"/>
      <c r="H169" s="4052"/>
      <c r="I169" s="4053"/>
      <c r="J169" s="4053"/>
      <c r="K169" s="4070"/>
      <c r="L169" s="4070"/>
      <c r="M169" s="4070"/>
      <c r="N169" s="4070"/>
      <c r="O169" s="4071"/>
      <c r="P169" s="4071"/>
      <c r="Q169" s="4071"/>
      <c r="R169" s="3356"/>
    </row>
    <row r="170" spans="8:8" ht="15.75">
      <c r="B170" s="4056"/>
      <c r="C170" s="4056"/>
      <c r="D170" s="4056"/>
      <c r="E170" s="4052"/>
      <c r="F170" s="4072"/>
      <c r="G170" s="4072"/>
      <c r="H170" s="4052"/>
      <c r="I170" s="4056"/>
      <c r="J170" s="4056"/>
      <c r="K170" s="4056"/>
      <c r="L170" s="4056"/>
      <c r="M170" s="4056"/>
      <c r="N170" s="4056"/>
      <c r="O170" s="4056"/>
      <c r="P170" s="4056"/>
      <c r="Q170" s="4056"/>
      <c r="R170" s="3356"/>
    </row>
    <row r="171" spans="8:8" ht="15.75">
      <c r="B171" s="4056"/>
      <c r="C171" s="4056"/>
      <c r="D171" s="4056"/>
      <c r="E171" s="4052"/>
      <c r="F171" s="4072"/>
      <c r="G171" s="4072"/>
      <c r="H171" s="4052"/>
      <c r="I171" s="4056"/>
      <c r="J171" s="4056"/>
      <c r="K171" s="4056"/>
      <c r="L171" s="4056"/>
      <c r="M171" s="4056"/>
      <c r="N171" s="4056"/>
      <c r="O171" s="4056"/>
      <c r="P171" s="4056"/>
      <c r="Q171" s="4056"/>
      <c r="R171" s="3356"/>
    </row>
    <row r="172" spans="8:8" ht="15.75">
      <c r="B172" s="4073"/>
      <c r="C172" s="4059"/>
      <c r="D172" s="4059"/>
      <c r="E172" s="4052"/>
      <c r="F172" s="4059"/>
      <c r="G172" s="4059"/>
      <c r="H172" s="4052"/>
      <c r="I172" s="4059"/>
      <c r="J172" s="4059"/>
      <c r="K172" s="4059"/>
      <c r="L172" s="4059"/>
      <c r="M172" s="4059"/>
      <c r="N172" s="4059"/>
      <c r="O172" s="4059"/>
      <c r="P172" s="4059"/>
      <c r="Q172" s="4059"/>
      <c r="R172" s="3356"/>
    </row>
    <row r="173" spans="8:8" ht="15.75">
      <c r="B173" s="4073"/>
      <c r="C173" s="4059"/>
      <c r="D173" s="4059"/>
      <c r="E173" s="4052"/>
      <c r="F173" s="4059"/>
      <c r="G173" s="4059"/>
      <c r="H173" s="4069"/>
      <c r="I173" s="4059"/>
      <c r="J173" s="4059"/>
      <c r="K173" s="4059"/>
      <c r="L173" s="4059"/>
      <c r="M173" s="4059"/>
      <c r="N173" s="4059"/>
      <c r="O173" s="4059"/>
      <c r="P173" s="4059"/>
      <c r="Q173" s="4059"/>
      <c r="R173" s="3356"/>
    </row>
    <row r="174" spans="8:8" ht="15.75">
      <c r="B174" s="4073"/>
      <c r="C174" s="4059"/>
      <c r="D174" s="4059"/>
      <c r="E174" s="4052"/>
      <c r="F174" s="4059"/>
      <c r="G174" s="4059"/>
      <c r="H174" s="4069"/>
      <c r="I174" s="4060"/>
      <c r="J174" s="4059"/>
      <c r="K174" s="4059"/>
      <c r="L174" s="4059"/>
      <c r="M174" s="4059"/>
      <c r="N174" s="4059"/>
      <c r="O174" s="4059"/>
      <c r="P174" s="4059"/>
      <c r="Q174" s="4059"/>
      <c r="R174" s="3356"/>
    </row>
    <row r="175" spans="8:8" ht="15.15">
      <c r="B175" s="4073"/>
      <c r="C175" s="4059"/>
      <c r="D175" s="4059"/>
      <c r="E175" s="4052"/>
      <c r="F175" s="4059"/>
      <c r="G175" s="4059"/>
      <c r="H175" s="4052"/>
      <c r="I175" s="4060"/>
      <c r="J175" s="4059"/>
      <c r="K175" s="4059"/>
      <c r="L175" s="4059"/>
      <c r="M175" s="4059"/>
      <c r="N175" s="4059"/>
      <c r="O175" s="4059"/>
      <c r="P175" s="4059"/>
      <c r="Q175" s="4059"/>
    </row>
    <row r="176" spans="8:8" ht="15.15">
      <c r="B176" s="4073"/>
      <c r="C176" s="4059"/>
      <c r="D176" s="4059"/>
      <c r="E176" s="4052"/>
      <c r="F176" s="4059"/>
      <c r="G176" s="4059"/>
      <c r="H176" s="4052"/>
      <c r="I176" s="4060"/>
      <c r="J176" s="4059"/>
      <c r="K176" s="4059"/>
      <c r="L176" s="4059"/>
      <c r="M176" s="4059"/>
      <c r="N176" s="4059"/>
      <c r="O176" s="4059"/>
      <c r="P176" s="4059"/>
      <c r="Q176" s="4059"/>
    </row>
    <row r="177" spans="8:8" ht="15.75">
      <c r="B177" s="4073"/>
      <c r="C177" s="4059"/>
      <c r="D177" s="4059"/>
      <c r="E177" s="4052"/>
      <c r="F177" s="4059"/>
      <c r="G177" s="4059"/>
      <c r="H177" s="4052"/>
      <c r="I177" s="4068"/>
      <c r="J177" s="4060"/>
      <c r="K177" s="4060"/>
      <c r="L177" s="4060"/>
      <c r="M177" s="4059"/>
      <c r="N177" s="4059"/>
      <c r="O177" s="4059"/>
      <c r="P177" s="4059"/>
      <c r="Q177" s="4059"/>
    </row>
    <row r="178" spans="8:8" ht="15.75">
      <c r="B178" s="4073"/>
      <c r="C178" s="4059"/>
      <c r="D178" s="4059"/>
      <c r="E178" s="4052"/>
      <c r="F178" s="4059"/>
      <c r="G178" s="4059"/>
      <c r="H178" s="4052"/>
      <c r="I178" s="4068"/>
      <c r="J178" s="4060"/>
      <c r="K178" s="4060"/>
      <c r="L178" s="4060"/>
      <c r="M178" s="4059"/>
      <c r="N178" s="4059"/>
      <c r="O178" s="4059"/>
      <c r="P178" s="4059"/>
      <c r="Q178" s="4059"/>
    </row>
    <row r="179" spans="8:8" ht="15.75">
      <c r="B179" s="4073"/>
      <c r="C179" s="4059"/>
      <c r="D179" s="4059"/>
      <c r="E179" s="4052"/>
      <c r="F179" s="4059"/>
      <c r="G179" s="4059"/>
      <c r="H179" s="4052"/>
      <c r="I179" s="4068"/>
      <c r="J179" s="4060"/>
      <c r="K179" s="4060"/>
      <c r="L179" s="4060"/>
      <c r="M179" s="4059"/>
      <c r="N179" s="4059"/>
      <c r="O179" s="4059"/>
      <c r="P179" s="4059"/>
      <c r="Q179" s="4059"/>
    </row>
    <row r="180" spans="8:8" ht="15.75">
      <c r="B180" s="4073"/>
      <c r="C180" s="4059"/>
      <c r="D180" s="4059"/>
      <c r="E180" s="4052"/>
      <c r="F180" s="4059"/>
      <c r="G180" s="4059"/>
      <c r="H180" s="4052"/>
      <c r="I180" s="4060"/>
      <c r="J180" s="4060"/>
      <c r="K180" s="4060"/>
      <c r="L180" s="4060"/>
      <c r="M180" s="4059"/>
      <c r="N180" s="4059"/>
      <c r="O180" s="4059"/>
      <c r="P180" s="4059"/>
      <c r="Q180" s="4059"/>
    </row>
    <row r="181" spans="8:8" ht="15.15">
      <c r="B181" s="4052"/>
      <c r="C181" s="4052"/>
      <c r="D181" s="4052"/>
      <c r="E181" s="4052"/>
      <c r="F181" s="4052"/>
      <c r="G181" s="4052"/>
      <c r="H181" s="4052"/>
      <c r="I181" s="4059"/>
      <c r="J181" s="4059"/>
      <c r="K181" s="4059"/>
      <c r="L181" s="4059"/>
      <c r="M181" s="4059"/>
      <c r="N181" s="4059"/>
      <c r="O181" s="4059"/>
      <c r="P181" s="4059"/>
      <c r="Q181" s="4059"/>
    </row>
    <row r="182" spans="8:8" ht="15.15">
      <c r="B182" s="4052"/>
      <c r="C182" s="4052"/>
      <c r="D182" s="4052"/>
      <c r="E182" s="4052"/>
      <c r="F182" s="4052"/>
      <c r="G182" s="4052"/>
      <c r="H182" s="4052"/>
      <c r="I182" s="4059"/>
      <c r="J182" s="4059"/>
      <c r="K182" s="4059"/>
      <c r="L182" s="4059"/>
      <c r="M182" s="4059"/>
      <c r="N182" s="4059"/>
      <c r="O182" s="4059"/>
      <c r="P182" s="4059"/>
      <c r="Q182" s="4059"/>
    </row>
    <row r="183" spans="8:8" ht="15.15">
      <c r="B183" s="4052"/>
      <c r="C183" s="4052"/>
      <c r="D183" s="4052"/>
      <c r="E183" s="4052"/>
      <c r="F183" s="4052"/>
      <c r="G183" s="4052"/>
      <c r="H183" s="4052"/>
      <c r="I183" s="4059"/>
      <c r="J183" s="4059"/>
      <c r="K183" s="4059"/>
      <c r="L183" s="4059"/>
      <c r="M183" s="4059"/>
      <c r="N183" s="4059"/>
      <c r="O183" s="4059"/>
      <c r="P183" s="4059"/>
      <c r="Q183" s="4059"/>
    </row>
    <row r="184" spans="8:8" ht="15.75">
      <c r="B184" s="4052"/>
      <c r="C184" s="4052"/>
      <c r="D184" s="4052"/>
      <c r="E184" s="4052"/>
      <c r="F184" s="4052"/>
      <c r="G184" s="4052"/>
      <c r="H184" s="4052"/>
      <c r="I184" s="4053"/>
      <c r="J184" s="4053"/>
      <c r="K184" s="4053"/>
      <c r="L184" s="4053"/>
      <c r="M184" s="4053"/>
      <c r="N184" s="4053"/>
      <c r="O184" s="4053"/>
      <c r="P184" s="4053"/>
      <c r="Q184" s="4053"/>
    </row>
    <row r="185" spans="8:8" ht="15.0" customHeight="1">
      <c r="B185" s="4074"/>
      <c r="C185" s="4074"/>
      <c r="D185" s="4074"/>
      <c r="E185" s="4074"/>
      <c r="F185" s="4074"/>
      <c r="G185" s="4074"/>
      <c r="H185" s="4074"/>
      <c r="I185" s="4074"/>
      <c r="J185" s="4074"/>
      <c r="K185" s="4074"/>
      <c r="L185" s="4074"/>
      <c r="M185" s="4074"/>
      <c r="N185" s="4074"/>
      <c r="O185" s="4074"/>
      <c r="P185" s="4074"/>
      <c r="Q185" s="4074"/>
    </row>
    <row r="186" spans="8:8" ht="15.0" customHeight="1">
      <c r="B186" s="4074"/>
      <c r="C186" s="4074"/>
      <c r="D186" s="4074"/>
      <c r="E186" s="4074"/>
      <c r="F186" s="4074"/>
      <c r="G186" s="4074"/>
      <c r="H186" s="4074"/>
      <c r="I186" s="4074"/>
      <c r="J186" s="4074"/>
      <c r="K186" s="4074"/>
      <c r="L186" s="4074"/>
      <c r="M186" s="4074"/>
      <c r="N186" s="4074"/>
      <c r="O186" s="4074"/>
      <c r="P186" s="4074"/>
      <c r="Q186" s="4074"/>
    </row>
    <row r="187" spans="8:8" ht="16.95" customHeight="1">
      <c r="B187" s="4075"/>
      <c r="C187" s="4075"/>
      <c r="D187" s="4075"/>
      <c r="E187" s="4075"/>
      <c r="F187" s="4075"/>
      <c r="G187" s="4075"/>
      <c r="H187" s="4075"/>
      <c r="I187" s="4075"/>
      <c r="J187" s="4075"/>
      <c r="K187" s="4075"/>
      <c r="L187" s="4075"/>
      <c r="M187" s="4075"/>
      <c r="N187" s="4075"/>
      <c r="O187" s="4075"/>
      <c r="P187" s="4075"/>
      <c r="Q187" s="4075"/>
    </row>
    <row r="188" spans="8:8" ht="16.95" customHeight="1">
      <c r="B188" s="4075"/>
      <c r="C188" s="4075"/>
      <c r="D188" s="4076"/>
      <c r="E188" s="4077"/>
      <c r="F188" s="4077"/>
      <c r="G188" s="4077"/>
      <c r="H188" s="4077"/>
      <c r="I188" s="4077"/>
      <c r="J188" s="4077"/>
      <c r="K188" s="4077"/>
      <c r="L188" s="4077"/>
      <c r="M188" s="4077"/>
      <c r="N188" s="4077"/>
      <c r="O188" s="4077"/>
      <c r="P188" s="4077"/>
      <c r="Q188" s="4077"/>
    </row>
    <row r="189" spans="8:8" ht="16.95" customHeight="1">
      <c r="B189" s="4075"/>
      <c r="C189" s="4075"/>
      <c r="D189" s="4077"/>
      <c r="E189" s="4077"/>
      <c r="F189" s="4077"/>
      <c r="G189" s="4077"/>
      <c r="H189" s="4077"/>
      <c r="I189" s="4077"/>
      <c r="J189" s="4077"/>
      <c r="K189" s="4077"/>
      <c r="L189" s="4077"/>
      <c r="M189" s="4077"/>
      <c r="N189" s="4077"/>
      <c r="O189" s="4077"/>
      <c r="P189" s="4077"/>
      <c r="Q189" s="4077"/>
    </row>
    <row r="190" spans="8:8" ht="16.95" customHeight="1">
      <c r="B190" s="4075"/>
      <c r="C190" s="4075"/>
      <c r="D190" s="4077"/>
      <c r="E190" s="4077"/>
      <c r="F190" s="4077"/>
      <c r="G190" s="4077"/>
      <c r="H190" s="4077"/>
      <c r="I190" s="4077"/>
      <c r="J190" s="4077"/>
      <c r="K190" s="4077"/>
      <c r="L190" s="4077"/>
      <c r="M190" s="4077"/>
      <c r="N190" s="4077"/>
      <c r="O190" s="4077"/>
      <c r="P190" s="4077"/>
      <c r="Q190" s="4077"/>
    </row>
    <row r="191" spans="8:8" ht="16.95" customHeight="1">
      <c r="B191" s="4075"/>
      <c r="C191" s="4075"/>
      <c r="D191" s="4077"/>
      <c r="E191" s="4077"/>
      <c r="F191" s="4077"/>
      <c r="G191" s="4077"/>
      <c r="H191" s="4077"/>
      <c r="I191" s="4077"/>
      <c r="J191" s="4077"/>
      <c r="K191" s="4077"/>
      <c r="L191" s="4077"/>
      <c r="M191" s="4077"/>
      <c r="N191" s="4077"/>
      <c r="O191" s="4077"/>
      <c r="P191" s="4077"/>
      <c r="Q191" s="4077"/>
    </row>
    <row r="192" spans="8:8" ht="16.95" customHeight="1">
      <c r="B192" s="4075"/>
      <c r="C192" s="4075"/>
      <c r="D192" s="4076"/>
      <c r="E192" s="4077"/>
      <c r="F192" s="4077"/>
      <c r="G192" s="4077"/>
      <c r="H192" s="4077"/>
      <c r="I192" s="4077"/>
      <c r="J192" s="4077"/>
      <c r="K192" s="4077"/>
      <c r="L192" s="4077"/>
      <c r="M192" s="4077"/>
      <c r="N192" s="4077"/>
      <c r="O192" s="4077"/>
      <c r="P192" s="4077"/>
      <c r="Q192" s="4077"/>
    </row>
    <row r="193" spans="8:8" ht="16.95" customHeight="1">
      <c r="B193" s="4075"/>
      <c r="C193" s="4075"/>
      <c r="D193" s="4077"/>
      <c r="E193" s="4077"/>
      <c r="F193" s="4077"/>
      <c r="G193" s="4077"/>
      <c r="H193" s="4077"/>
      <c r="I193" s="4077"/>
      <c r="J193" s="4077"/>
      <c r="K193" s="4077"/>
      <c r="L193" s="4077"/>
      <c r="M193" s="4077"/>
      <c r="N193" s="4077"/>
      <c r="O193" s="4077"/>
      <c r="P193" s="4077"/>
      <c r="Q193" s="4077"/>
    </row>
    <row r="194" spans="8:8" ht="16.95" customHeight="1">
      <c r="B194" s="4075"/>
      <c r="C194" s="4075"/>
      <c r="D194" s="4077"/>
      <c r="E194" s="4077"/>
      <c r="F194" s="4077"/>
      <c r="G194" s="4077"/>
      <c r="H194" s="4077"/>
      <c r="I194" s="4077"/>
      <c r="J194" s="4077"/>
      <c r="K194" s="4077"/>
      <c r="L194" s="4077"/>
      <c r="M194" s="4077"/>
      <c r="N194" s="4077"/>
      <c r="O194" s="4077"/>
      <c r="P194" s="4077"/>
      <c r="Q194" s="4077"/>
    </row>
    <row r="195" spans="8:8" ht="16.95" customHeight="1">
      <c r="B195" s="4075"/>
      <c r="C195" s="4075"/>
      <c r="D195" s="4077"/>
      <c r="E195" s="4077"/>
      <c r="F195" s="4077"/>
      <c r="G195" s="4077"/>
      <c r="H195" s="4077"/>
      <c r="I195" s="4077"/>
      <c r="J195" s="4077"/>
      <c r="K195" s="4077"/>
      <c r="L195" s="4077"/>
      <c r="M195" s="4077"/>
      <c r="N195" s="4077"/>
      <c r="O195" s="4077"/>
      <c r="P195" s="4077"/>
      <c r="Q195" s="4077"/>
    </row>
    <row r="196" spans="8:8" ht="16.95" customHeight="1">
      <c r="B196" s="4075"/>
      <c r="C196" s="4075"/>
      <c r="D196" s="4076"/>
      <c r="E196" s="4077"/>
      <c r="F196" s="4077"/>
      <c r="G196" s="4077"/>
      <c r="H196" s="4077"/>
      <c r="I196" s="4077"/>
      <c r="J196" s="4077"/>
      <c r="K196" s="4077"/>
      <c r="L196" s="4077"/>
      <c r="M196" s="4077"/>
      <c r="N196" s="4077"/>
      <c r="O196" s="4077"/>
      <c r="P196" s="4077"/>
      <c r="Q196" s="4077"/>
    </row>
    <row r="197" spans="8:8" ht="16.95" customHeight="1">
      <c r="B197" s="4075"/>
      <c r="C197" s="4075"/>
      <c r="D197" s="4077"/>
      <c r="E197" s="4077"/>
      <c r="F197" s="4077"/>
      <c r="G197" s="4077"/>
      <c r="H197" s="4077"/>
      <c r="I197" s="4077"/>
      <c r="J197" s="4077"/>
      <c r="K197" s="4077"/>
      <c r="L197" s="4077"/>
      <c r="M197" s="4077"/>
      <c r="N197" s="4077"/>
      <c r="O197" s="4077"/>
      <c r="P197" s="4077"/>
      <c r="Q197" s="4077"/>
    </row>
    <row r="198" spans="8:8" ht="16.95" customHeight="1">
      <c r="B198" s="4075"/>
      <c r="C198" s="4075"/>
      <c r="D198" s="4077"/>
      <c r="E198" s="4077"/>
      <c r="F198" s="4077"/>
      <c r="G198" s="4077"/>
      <c r="H198" s="4077"/>
      <c r="I198" s="4077"/>
      <c r="J198" s="4077"/>
      <c r="K198" s="4077"/>
      <c r="L198" s="4077"/>
      <c r="M198" s="4077"/>
      <c r="N198" s="4077"/>
      <c r="O198" s="4077"/>
      <c r="P198" s="4077"/>
      <c r="Q198" s="4077"/>
    </row>
    <row r="199" spans="8:8" ht="16.95" customHeight="1">
      <c r="B199" s="4075"/>
      <c r="C199" s="4075"/>
      <c r="D199" s="4077"/>
      <c r="E199" s="4077"/>
      <c r="F199" s="4077"/>
      <c r="G199" s="4077"/>
      <c r="H199" s="4077"/>
      <c r="I199" s="4077"/>
      <c r="J199" s="4077"/>
      <c r="K199" s="4077"/>
      <c r="L199" s="4077"/>
      <c r="M199" s="4077"/>
      <c r="N199" s="4077"/>
      <c r="O199" s="4077"/>
      <c r="P199" s="4077"/>
      <c r="Q199" s="4077"/>
    </row>
    <row r="200" spans="8:8" ht="16.95" customHeight="1">
      <c r="B200" s="4075"/>
      <c r="C200" s="4075"/>
      <c r="D200" s="4076"/>
      <c r="E200" s="4077"/>
      <c r="F200" s="4077"/>
      <c r="G200" s="4077"/>
      <c r="H200" s="4077"/>
      <c r="I200" s="4077"/>
      <c r="J200" s="4077"/>
      <c r="K200" s="4077"/>
      <c r="L200" s="4077"/>
      <c r="M200" s="4077"/>
      <c r="N200" s="4077"/>
      <c r="O200" s="4077"/>
      <c r="P200" s="4077"/>
      <c r="Q200" s="4077"/>
    </row>
    <row r="201" spans="8:8" ht="16.95" customHeight="1">
      <c r="B201" s="4075"/>
      <c r="C201" s="4075"/>
      <c r="D201" s="4077"/>
      <c r="E201" s="4077"/>
      <c r="F201" s="4077"/>
      <c r="G201" s="4077"/>
      <c r="H201" s="4077"/>
      <c r="I201" s="4077"/>
      <c r="J201" s="4077"/>
      <c r="K201" s="4077"/>
      <c r="L201" s="4077"/>
      <c r="M201" s="4077"/>
      <c r="N201" s="4077"/>
      <c r="O201" s="4077"/>
      <c r="P201" s="4077"/>
      <c r="Q201" s="4077"/>
    </row>
    <row r="202" spans="8:8" ht="16.95" customHeight="1">
      <c r="B202" s="4075"/>
      <c r="C202" s="4075"/>
      <c r="D202" s="4077"/>
      <c r="E202" s="4077"/>
      <c r="F202" s="4077"/>
      <c r="G202" s="4077"/>
      <c r="H202" s="4077"/>
      <c r="I202" s="4077"/>
      <c r="J202" s="4077"/>
      <c r="K202" s="4077"/>
      <c r="L202" s="4077"/>
      <c r="M202" s="4077"/>
      <c r="N202" s="4077"/>
      <c r="O202" s="4077"/>
      <c r="P202" s="4077"/>
      <c r="Q202" s="4077"/>
    </row>
    <row r="203" spans="8:8" ht="16.95" customHeight="1">
      <c r="B203" s="4075"/>
      <c r="C203" s="4075"/>
      <c r="D203" s="4077"/>
      <c r="E203" s="4077"/>
      <c r="F203" s="4077"/>
      <c r="G203" s="4077"/>
      <c r="H203" s="4077"/>
      <c r="I203" s="4077"/>
      <c r="J203" s="4077"/>
      <c r="K203" s="4077"/>
      <c r="L203" s="4077"/>
      <c r="M203" s="4077"/>
      <c r="N203" s="4077"/>
      <c r="O203" s="4077"/>
      <c r="P203" s="4077"/>
      <c r="Q203" s="4077"/>
    </row>
    <row r="204" spans="8:8" ht="16.95" customHeight="1">
      <c r="B204" s="4075"/>
      <c r="C204" s="4075"/>
      <c r="D204" s="4076"/>
      <c r="E204" s="4077"/>
      <c r="F204" s="4077"/>
      <c r="G204" s="4077"/>
      <c r="H204" s="4077"/>
      <c r="I204" s="4077"/>
      <c r="J204" s="4077"/>
      <c r="K204" s="4077"/>
      <c r="L204" s="4077"/>
      <c r="M204" s="4077"/>
      <c r="N204" s="4077"/>
      <c r="O204" s="4077"/>
      <c r="P204" s="4077"/>
      <c r="Q204" s="4077"/>
    </row>
    <row r="205" spans="8:8" ht="16.95" customHeight="1">
      <c r="B205" s="4075"/>
      <c r="C205" s="4075"/>
      <c r="D205" s="4077"/>
      <c r="E205" s="4077"/>
      <c r="F205" s="4077"/>
      <c r="G205" s="4077"/>
      <c r="H205" s="4077"/>
      <c r="I205" s="4077"/>
      <c r="J205" s="4077"/>
      <c r="K205" s="4077"/>
      <c r="L205" s="4077"/>
      <c r="M205" s="4077"/>
      <c r="N205" s="4077"/>
      <c r="O205" s="4077"/>
      <c r="P205" s="4077"/>
      <c r="Q205" s="4077"/>
    </row>
    <row r="206" spans="8:8" ht="16.95" customHeight="1">
      <c r="B206" s="4075"/>
      <c r="C206" s="4075"/>
      <c r="D206" s="4077"/>
      <c r="E206" s="4077"/>
      <c r="F206" s="4077"/>
      <c r="G206" s="4077"/>
      <c r="H206" s="4077"/>
      <c r="I206" s="4077"/>
      <c r="J206" s="4077"/>
      <c r="K206" s="4077"/>
      <c r="L206" s="4077"/>
      <c r="M206" s="4077"/>
      <c r="N206" s="4077"/>
      <c r="O206" s="4077"/>
      <c r="P206" s="4077"/>
      <c r="Q206" s="4077"/>
    </row>
    <row r="207" spans="8:8" ht="16.95" customHeight="1">
      <c r="B207" s="4075"/>
      <c r="C207" s="4075"/>
      <c r="D207" s="4077"/>
      <c r="E207" s="4077"/>
      <c r="F207" s="4077"/>
      <c r="G207" s="4077"/>
      <c r="H207" s="4077"/>
      <c r="I207" s="4077"/>
      <c r="J207" s="4077"/>
      <c r="K207" s="4077"/>
      <c r="L207" s="4077"/>
      <c r="M207" s="4077"/>
      <c r="N207" s="4077"/>
      <c r="O207" s="4077"/>
      <c r="P207" s="4077"/>
      <c r="Q207" s="4077"/>
    </row>
    <row r="208" spans="8:8" ht="16.95" customHeight="1">
      <c r="B208" s="4075"/>
      <c r="C208" s="4075"/>
      <c r="D208" s="4076"/>
      <c r="E208" s="4077"/>
      <c r="F208" s="4077"/>
      <c r="G208" s="4077"/>
      <c r="H208" s="4077"/>
      <c r="I208" s="4077"/>
      <c r="J208" s="4077"/>
      <c r="K208" s="4077"/>
      <c r="L208" s="4077"/>
      <c r="M208" s="4077"/>
      <c r="N208" s="4077"/>
      <c r="O208" s="4077"/>
      <c r="P208" s="4077"/>
      <c r="Q208" s="4077"/>
    </row>
    <row r="209" spans="8:8" ht="16.95" customHeight="1">
      <c r="B209" s="4075"/>
      <c r="C209" s="4075"/>
      <c r="D209" s="4077"/>
      <c r="E209" s="4077"/>
      <c r="F209" s="4077"/>
      <c r="G209" s="4077"/>
      <c r="H209" s="4077"/>
      <c r="I209" s="4077"/>
      <c r="J209" s="4077"/>
      <c r="K209" s="4077"/>
      <c r="L209" s="4077"/>
      <c r="M209" s="4077"/>
      <c r="N209" s="4077"/>
      <c r="O209" s="4077"/>
      <c r="P209" s="4077"/>
      <c r="Q209" s="4077"/>
    </row>
    <row r="210" spans="8:8" ht="16.95" customHeight="1">
      <c r="B210" s="4078"/>
      <c r="C210" s="4078"/>
      <c r="D210" s="4078"/>
      <c r="E210" s="4078"/>
      <c r="F210" s="4078"/>
      <c r="G210" s="4078"/>
      <c r="H210" s="4078"/>
      <c r="I210" s="4078"/>
      <c r="J210" s="4078"/>
      <c r="K210" s="4078"/>
      <c r="L210" s="4078"/>
      <c r="M210" s="4078"/>
      <c r="N210" s="4078"/>
      <c r="O210" s="4078"/>
      <c r="P210" s="4078"/>
      <c r="Q210" s="4078"/>
    </row>
    <row r="211" spans="8:8" ht="16.95" customHeight="1">
      <c r="B211" s="4078"/>
      <c r="C211" s="4078"/>
      <c r="D211" s="4078"/>
      <c r="E211" s="4078"/>
      <c r="F211" s="4078"/>
      <c r="G211" s="4078"/>
      <c r="H211" s="4078"/>
      <c r="I211" s="4078"/>
      <c r="J211" s="4078"/>
      <c r="K211" s="4078"/>
      <c r="L211" s="4078"/>
      <c r="M211" s="4078"/>
      <c r="N211" s="4078"/>
      <c r="O211" s="4078"/>
      <c r="P211" s="4078"/>
      <c r="Q211" s="4078"/>
      <c r="R211" s="4062"/>
      <c r="S211" s="4062"/>
      <c r="T211" s="4062"/>
      <c r="U211" s="4062"/>
      <c r="V211" s="4062"/>
      <c r="W211" s="4062"/>
      <c r="X211" s="4062"/>
    </row>
    <row r="212" spans="8:8" ht="18.0" customHeight="1">
      <c r="B212" s="4079"/>
      <c r="C212" s="4079"/>
      <c r="D212" s="4079"/>
      <c r="E212" s="4079"/>
      <c r="F212" s="4079"/>
      <c r="G212" s="4079"/>
      <c r="H212" s="4079"/>
      <c r="I212" s="4079"/>
      <c r="J212" s="4079"/>
      <c r="K212" s="4079"/>
      <c r="L212" s="4079"/>
      <c r="M212" s="4079"/>
      <c r="N212" s="4079"/>
      <c r="O212" s="4079"/>
      <c r="P212" s="4079"/>
      <c r="Q212" s="4079"/>
      <c r="R212" s="4080"/>
      <c r="S212" s="4080"/>
      <c r="T212" s="4080"/>
      <c r="U212" s="4080"/>
      <c r="V212" s="4080"/>
      <c r="W212" s="4080"/>
      <c r="X212" s="4080"/>
    </row>
    <row r="213" spans="8:8" ht="18.0" customHeight="1">
      <c r="B213" s="4079"/>
      <c r="C213" s="4079"/>
      <c r="D213" s="4079"/>
      <c r="E213" s="4079"/>
      <c r="F213" s="4079"/>
      <c r="G213" s="4079"/>
      <c r="H213" s="4079"/>
      <c r="I213" s="4079"/>
      <c r="J213" s="4079"/>
      <c r="K213" s="4079"/>
      <c r="L213" s="4079"/>
      <c r="M213" s="4079"/>
      <c r="N213" s="4079"/>
      <c r="O213" s="4079"/>
      <c r="P213" s="4079"/>
      <c r="Q213" s="4079"/>
      <c r="R213" s="4080"/>
      <c r="S213" s="4080"/>
      <c r="T213" s="4080"/>
      <c r="U213" s="4080"/>
      <c r="V213" s="4080"/>
      <c r="W213" s="4080"/>
      <c r="X213" s="4080"/>
    </row>
    <row r="214" spans="8:8" ht="18.0" customHeight="1">
      <c r="B214" s="4079"/>
      <c r="C214" s="4079"/>
      <c r="D214" s="4079"/>
      <c r="E214" s="4079"/>
      <c r="F214" s="4079"/>
      <c r="G214" s="4079"/>
      <c r="H214" s="4079"/>
      <c r="I214" s="4079"/>
      <c r="J214" s="4079"/>
      <c r="K214" s="4079"/>
      <c r="L214" s="4079"/>
      <c r="M214" s="4079"/>
      <c r="N214" s="4079"/>
      <c r="O214" s="4079"/>
      <c r="P214" s="4079"/>
      <c r="Q214" s="4079"/>
      <c r="R214" s="4080"/>
      <c r="S214" s="4080"/>
      <c r="T214" s="4080"/>
      <c r="U214" s="4080"/>
      <c r="V214" s="4080"/>
      <c r="W214" s="4080"/>
      <c r="X214" s="4080"/>
    </row>
    <row r="215" spans="8:8" ht="18.0" customHeight="1">
      <c r="B215" s="4081"/>
      <c r="C215" s="4081"/>
      <c r="D215" s="4081"/>
      <c r="E215" s="4081"/>
      <c r="F215" s="4081"/>
      <c r="G215" s="4081"/>
      <c r="H215" s="4081"/>
      <c r="I215" s="4081"/>
      <c r="J215" s="4081"/>
      <c r="K215" s="4081"/>
      <c r="L215" s="4081"/>
      <c r="M215" s="4081"/>
      <c r="N215" s="4081"/>
      <c r="O215" s="4081"/>
      <c r="P215" s="4081"/>
      <c r="Q215" s="4081"/>
      <c r="R215" s="3562"/>
      <c r="S215" s="3562"/>
      <c r="T215" s="3562"/>
      <c r="U215" s="3562"/>
      <c r="V215" s="3562"/>
      <c r="W215" s="3562"/>
      <c r="X215" s="3562"/>
    </row>
    <row r="216" spans="8:8" ht="18.0" customHeight="1">
      <c r="B216" s="4082"/>
      <c r="C216" s="4082"/>
      <c r="D216" s="4082"/>
      <c r="E216" s="4082"/>
      <c r="F216" s="4082"/>
      <c r="G216" s="4082"/>
      <c r="H216" s="4069"/>
      <c r="I216" s="3010"/>
      <c r="J216" s="4082"/>
      <c r="K216" s="4082"/>
      <c r="L216" s="4082"/>
      <c r="M216" s="4082"/>
      <c r="N216" s="4082"/>
      <c r="O216" s="4082"/>
      <c r="P216" s="4082"/>
      <c r="Q216" s="4082"/>
    </row>
    <row r="217" spans="8:8" ht="18.0" customHeight="1">
      <c r="B217" s="4082"/>
      <c r="C217" s="4082"/>
      <c r="D217" s="4082"/>
      <c r="E217" s="4082"/>
      <c r="F217" s="4082"/>
      <c r="G217" s="4082"/>
      <c r="H217" s="4069"/>
      <c r="I217" s="3010"/>
      <c r="J217" s="4082"/>
      <c r="K217" s="4082"/>
      <c r="L217" s="4082"/>
      <c r="M217" s="4082"/>
      <c r="N217" s="4082"/>
      <c r="O217" s="4082"/>
      <c r="P217" s="4082"/>
      <c r="Q217" s="4082"/>
    </row>
    <row r="218" spans="8:8" ht="18.0" customHeight="1">
      <c r="B218" s="4083"/>
      <c r="C218" s="4083"/>
      <c r="D218" s="4083"/>
      <c r="E218" s="4083"/>
      <c r="F218" s="4083"/>
      <c r="G218" s="4084"/>
      <c r="H218" s="4069"/>
      <c r="I218" s="3010"/>
      <c r="J218" s="4084"/>
      <c r="K218" s="4084"/>
      <c r="L218" s="4084"/>
      <c r="M218" s="4084"/>
      <c r="N218" s="4085"/>
      <c r="O218" s="4085"/>
      <c r="P218" s="4085"/>
      <c r="Q218" s="4085"/>
    </row>
    <row r="219" spans="8:8" ht="18.0" customHeight="1">
      <c r="B219" s="4083"/>
      <c r="C219" s="4083"/>
      <c r="D219" s="4083"/>
      <c r="E219" s="4083"/>
      <c r="F219" s="4083"/>
      <c r="G219" s="4084"/>
      <c r="H219" s="4069"/>
      <c r="I219" s="3010"/>
      <c r="J219" s="4084"/>
      <c r="K219" s="4084"/>
      <c r="L219" s="4084"/>
      <c r="M219" s="4084"/>
      <c r="N219" s="4084"/>
      <c r="O219" s="4084"/>
      <c r="P219" s="4084"/>
      <c r="Q219" s="4084"/>
    </row>
    <row r="220" spans="8:8" ht="18.0" customHeight="1">
      <c r="B220" s="4083"/>
      <c r="C220" s="4083"/>
      <c r="D220" s="4083"/>
      <c r="E220" s="4083"/>
      <c r="F220" s="4083"/>
      <c r="G220" s="4084"/>
      <c r="H220" s="4069"/>
      <c r="I220" s="3010"/>
      <c r="J220" s="4084"/>
      <c r="K220" s="4084"/>
      <c r="L220" s="4084"/>
      <c r="M220" s="4084"/>
      <c r="N220" s="4084"/>
      <c r="O220" s="4084"/>
      <c r="P220" s="4084"/>
      <c r="Q220" s="4084"/>
    </row>
    <row r="221" spans="8:8" ht="18.0" customHeight="1">
      <c r="B221" s="4083"/>
      <c r="C221" s="4083"/>
      <c r="D221" s="4083"/>
      <c r="E221" s="4083"/>
      <c r="F221" s="4083"/>
      <c r="G221" s="4084"/>
      <c r="H221" s="4069"/>
      <c r="I221" s="3010"/>
      <c r="J221" s="4084"/>
      <c r="K221" s="4084"/>
      <c r="L221" s="4084"/>
      <c r="M221" s="4084"/>
      <c r="N221" s="4085"/>
      <c r="O221" s="4085"/>
      <c r="P221" s="4085"/>
      <c r="Q221" s="4085"/>
    </row>
    <row r="222" spans="8:8" ht="18.0" customHeight="1">
      <c r="B222" s="4083"/>
      <c r="C222" s="4083"/>
      <c r="D222" s="4083"/>
      <c r="E222" s="4083"/>
      <c r="F222" s="4083"/>
      <c r="G222" s="4084"/>
      <c r="H222" s="4069"/>
      <c r="I222" s="3010"/>
      <c r="J222" s="4084"/>
      <c r="K222" s="4084"/>
      <c r="L222" s="4084"/>
      <c r="M222" s="4084"/>
      <c r="N222" s="4084"/>
      <c r="O222" s="4084"/>
      <c r="P222" s="4084"/>
      <c r="Q222" s="4084"/>
    </row>
    <row r="223" spans="8:8" ht="18.0" customHeight="1">
      <c r="B223" s="4083"/>
      <c r="C223" s="4083"/>
      <c r="D223" s="4083"/>
      <c r="E223" s="4083"/>
      <c r="F223" s="4083"/>
      <c r="G223" s="4084"/>
      <c r="H223" s="4069"/>
      <c r="I223" s="3010"/>
      <c r="J223" s="4084"/>
      <c r="K223" s="4084"/>
      <c r="L223" s="4084"/>
      <c r="M223" s="4084"/>
      <c r="N223" s="4084"/>
      <c r="O223" s="4084"/>
      <c r="P223" s="4084"/>
      <c r="Q223" s="4084"/>
    </row>
    <row r="224" spans="8:8" ht="18.0" customHeight="1">
      <c r="B224" s="4083"/>
      <c r="C224" s="4083"/>
      <c r="D224" s="4083"/>
      <c r="E224" s="4083"/>
      <c r="F224" s="4083"/>
      <c r="G224" s="4084"/>
      <c r="H224" s="4069"/>
      <c r="I224" s="3010"/>
      <c r="J224" s="4086"/>
      <c r="K224" s="4086"/>
      <c r="L224" s="4086"/>
      <c r="M224" s="4086"/>
      <c r="N224" s="4086"/>
      <c r="O224" s="4086"/>
      <c r="P224" s="4086"/>
      <c r="Q224" s="4086"/>
    </row>
    <row r="225" spans="8:8" ht="18.0" customHeight="1">
      <c r="B225" s="4083"/>
      <c r="C225" s="4083"/>
      <c r="D225" s="4083"/>
      <c r="E225" s="4083"/>
      <c r="F225" s="4083"/>
      <c r="G225" s="4084"/>
      <c r="H225" s="4069"/>
      <c r="I225" s="3010"/>
      <c r="J225" s="4086"/>
      <c r="K225" s="4086"/>
      <c r="L225" s="4086"/>
      <c r="M225" s="4086"/>
      <c r="N225" s="4086"/>
      <c r="O225" s="4086"/>
      <c r="P225" s="4086"/>
      <c r="Q225" s="4086"/>
    </row>
    <row r="226" spans="8:8" ht="18.0" customHeight="1">
      <c r="B226" s="4083"/>
      <c r="C226" s="4083"/>
      <c r="D226" s="4083"/>
      <c r="E226" s="4083"/>
      <c r="F226" s="4083"/>
      <c r="G226" s="4084"/>
      <c r="H226" s="4069"/>
      <c r="I226" s="3010"/>
      <c r="J226" s="4086"/>
      <c r="K226" s="4086"/>
      <c r="L226" s="4086"/>
      <c r="M226" s="4086"/>
      <c r="N226" s="4086"/>
      <c r="O226" s="4086"/>
      <c r="P226" s="4086"/>
      <c r="Q226" s="4086"/>
    </row>
    <row r="227" spans="8:8" ht="18.0" customHeight="1">
      <c r="B227" s="4083"/>
      <c r="C227" s="4083"/>
      <c r="D227" s="4083"/>
      <c r="E227" s="4083"/>
      <c r="F227" s="4083"/>
      <c r="G227" s="4084"/>
      <c r="H227" s="4069"/>
      <c r="I227" s="3010"/>
      <c r="J227" s="4086"/>
      <c r="K227" s="4086"/>
      <c r="L227" s="4086"/>
      <c r="M227" s="4086"/>
      <c r="N227" s="4086"/>
      <c r="O227" s="4086"/>
      <c r="P227" s="4086"/>
      <c r="Q227" s="4086"/>
    </row>
    <row r="228" spans="8:8" ht="18.0" customHeight="1">
      <c r="B228" s="4087"/>
      <c r="C228" s="4087"/>
      <c r="D228" s="4087"/>
      <c r="E228" s="4087"/>
      <c r="F228" s="4087"/>
      <c r="G228" s="4081"/>
      <c r="H228" s="4069"/>
      <c r="I228" s="3010"/>
      <c r="J228" s="4086"/>
      <c r="K228" s="4086"/>
      <c r="L228" s="4086"/>
      <c r="M228" s="4086"/>
      <c r="N228" s="4086"/>
      <c r="O228" s="4086"/>
      <c r="P228" s="4086"/>
      <c r="Q228" s="4086"/>
    </row>
    <row r="229" spans="8:8" ht="18.0" customHeight="1">
      <c r="B229" s="4087"/>
      <c r="C229" s="4087"/>
      <c r="D229" s="4087"/>
      <c r="E229" s="4087"/>
      <c r="F229" s="4087"/>
      <c r="G229" s="4081"/>
      <c r="H229" s="4081"/>
      <c r="I229" s="4081"/>
      <c r="J229" s="4081"/>
      <c r="K229" s="4081"/>
      <c r="L229" s="4081"/>
      <c r="M229" s="4081"/>
      <c r="N229" s="4081"/>
      <c r="O229" s="4081"/>
      <c r="P229" s="4081"/>
      <c r="Q229" s="3010"/>
    </row>
    <row r="230" spans="8:8" ht="18.0" customHeight="1">
      <c r="B230" s="4069"/>
      <c r="C230" s="3010"/>
      <c r="D230" s="3010"/>
      <c r="E230" s="3010"/>
      <c r="F230" s="3010"/>
      <c r="G230" s="3010"/>
      <c r="H230" s="3010"/>
      <c r="I230" s="3010"/>
      <c r="J230" s="4082"/>
      <c r="K230" s="4082"/>
      <c r="L230" s="4082"/>
      <c r="M230" s="4082"/>
      <c r="N230" s="4082"/>
      <c r="O230" s="4082"/>
      <c r="P230" s="4082"/>
      <c r="Q230" s="4082"/>
    </row>
    <row r="231" spans="8:8" ht="18.0" customHeight="1">
      <c r="B231" s="4069"/>
      <c r="C231" s="3010"/>
      <c r="D231" s="3010"/>
      <c r="E231" s="3010"/>
      <c r="F231" s="3010"/>
      <c r="G231" s="3010"/>
      <c r="H231" s="3010"/>
      <c r="I231" s="3010"/>
      <c r="J231" s="4082"/>
      <c r="K231" s="4082"/>
      <c r="L231" s="4082"/>
      <c r="M231" s="4082"/>
      <c r="N231" s="4082"/>
      <c r="O231" s="4082"/>
      <c r="P231" s="4082"/>
      <c r="Q231" s="4082"/>
    </row>
    <row r="232" spans="8:8" ht="18.0" customHeight="1">
      <c r="B232" s="4069"/>
      <c r="C232" s="3010"/>
      <c r="D232" s="3010"/>
      <c r="E232" s="3010"/>
      <c r="F232" s="3010"/>
      <c r="G232" s="3010"/>
      <c r="H232" s="3010"/>
      <c r="I232" s="3010"/>
      <c r="J232" s="4084"/>
      <c r="K232" s="4084"/>
      <c r="L232" s="4084"/>
      <c r="M232" s="4084"/>
      <c r="N232" s="4084"/>
      <c r="O232" s="4084"/>
      <c r="P232" s="4084"/>
      <c r="Q232" s="4084"/>
    </row>
    <row r="233" spans="8:8" ht="18.0" customHeight="1">
      <c r="B233" s="4069"/>
      <c r="C233" s="3010"/>
      <c r="D233" s="3010"/>
      <c r="E233" s="3010"/>
      <c r="F233" s="3010"/>
      <c r="G233" s="3010"/>
      <c r="H233" s="3010"/>
      <c r="I233" s="3010"/>
      <c r="J233" s="4084"/>
      <c r="K233" s="4084"/>
      <c r="L233" s="4084"/>
      <c r="M233" s="4084"/>
      <c r="N233" s="4084"/>
      <c r="O233" s="4084"/>
      <c r="P233" s="4084"/>
      <c r="Q233" s="4084"/>
    </row>
    <row r="234" spans="8:8" ht="18.0" customHeight="1">
      <c r="B234" s="4069"/>
      <c r="C234" s="3010"/>
      <c r="D234" s="3010"/>
      <c r="E234" s="3010"/>
      <c r="F234" s="3010"/>
      <c r="G234" s="3010"/>
      <c r="H234" s="3010"/>
      <c r="I234" s="3010"/>
      <c r="J234" s="4086"/>
      <c r="K234" s="4086"/>
      <c r="L234" s="4086"/>
      <c r="M234" s="4086"/>
      <c r="N234" s="4086"/>
      <c r="O234" s="4086"/>
      <c r="P234" s="4086"/>
      <c r="Q234" s="4086"/>
    </row>
    <row r="235" spans="8:8" ht="18.0" customHeight="1">
      <c r="B235" s="4069"/>
      <c r="C235" s="3010"/>
      <c r="D235" s="3010"/>
      <c r="E235" s="3010"/>
      <c r="F235" s="3010"/>
      <c r="G235" s="3010"/>
      <c r="H235" s="3010"/>
      <c r="I235" s="3010"/>
      <c r="J235" s="4086"/>
      <c r="K235" s="4086"/>
      <c r="L235" s="4086"/>
      <c r="M235" s="4086"/>
      <c r="N235" s="4086"/>
      <c r="O235" s="4086"/>
      <c r="P235" s="4086"/>
      <c r="Q235" s="4086"/>
    </row>
    <row r="236" spans="8:8" ht="18.0" customHeight="1">
      <c r="B236" s="4069"/>
      <c r="C236" s="3010"/>
      <c r="D236" s="3010"/>
      <c r="E236" s="3010"/>
      <c r="F236" s="3010"/>
      <c r="G236" s="3010"/>
      <c r="H236" s="3010"/>
      <c r="I236" s="3010"/>
      <c r="J236" s="4086"/>
      <c r="K236" s="4086"/>
      <c r="L236" s="4086"/>
      <c r="M236" s="4086"/>
      <c r="N236" s="4086"/>
      <c r="O236" s="4086"/>
      <c r="P236" s="4086"/>
      <c r="Q236" s="4086"/>
    </row>
    <row r="237" spans="8:8" ht="18.0" customHeight="1">
      <c r="B237" s="4069"/>
      <c r="C237" s="3010"/>
      <c r="D237" s="3010"/>
      <c r="E237" s="3010"/>
      <c r="F237" s="3010"/>
      <c r="G237" s="3010"/>
      <c r="H237" s="3010"/>
      <c r="I237" s="3010"/>
      <c r="J237" s="4086"/>
      <c r="K237" s="4086"/>
      <c r="L237" s="4086"/>
      <c r="M237" s="4086"/>
      <c r="N237" s="4086"/>
      <c r="O237" s="4086"/>
      <c r="P237" s="4086"/>
      <c r="Q237" s="4086"/>
    </row>
    <row r="238" spans="8:8" ht="18.0" customHeight="1">
      <c r="B238" s="4069"/>
      <c r="C238" s="3010"/>
      <c r="D238" s="3010"/>
      <c r="E238" s="3010"/>
      <c r="F238" s="3010"/>
      <c r="G238" s="3010"/>
      <c r="H238" s="3010"/>
      <c r="I238" s="3010"/>
      <c r="J238" s="4086"/>
      <c r="K238" s="4086"/>
      <c r="L238" s="4086"/>
      <c r="M238" s="4086"/>
      <c r="N238" s="4086"/>
      <c r="O238" s="4086"/>
      <c r="P238" s="4086"/>
      <c r="Q238" s="4086"/>
    </row>
    <row r="239" spans="8:8" ht="18.0" customHeight="1">
      <c r="B239" s="4069"/>
      <c r="C239" s="3010"/>
      <c r="D239" s="3010"/>
      <c r="E239" s="3010"/>
      <c r="F239" s="3010"/>
      <c r="G239" s="3010"/>
      <c r="H239" s="3010"/>
      <c r="I239" s="3010"/>
      <c r="J239" s="4086"/>
      <c r="K239" s="4086"/>
      <c r="L239" s="4086"/>
      <c r="M239" s="4086"/>
      <c r="N239" s="4086"/>
      <c r="O239" s="4086"/>
      <c r="P239" s="4086"/>
      <c r="Q239" s="4086"/>
      <c r="R239" s="3562"/>
      <c r="S239" s="3562"/>
      <c r="T239" s="3562"/>
      <c r="U239" s="3562"/>
      <c r="V239" s="3562"/>
      <c r="W239" s="3562"/>
      <c r="X239" s="3562"/>
    </row>
    <row r="240" spans="8:8" ht="18.0" customHeight="1">
      <c r="B240" s="4052"/>
      <c r="C240" s="3010"/>
      <c r="D240" s="3010"/>
      <c r="E240" s="3010"/>
      <c r="F240" s="3010"/>
      <c r="G240" s="3010"/>
      <c r="H240" s="3010"/>
      <c r="I240" s="4053"/>
      <c r="J240" s="4053"/>
      <c r="K240" s="4053"/>
      <c r="L240" s="4053"/>
      <c r="M240" s="4053"/>
      <c r="N240" s="4053"/>
      <c r="O240" s="4053"/>
      <c r="P240" s="4053"/>
      <c r="Q240" s="4053"/>
    </row>
    <row r="241" spans="8:8" ht="18.0" customHeight="1">
      <c r="B241" s="4069"/>
      <c r="C241" s="3010"/>
      <c r="D241" s="3010"/>
      <c r="E241" s="3010"/>
      <c r="F241" s="3010"/>
      <c r="G241" s="3010"/>
      <c r="H241" s="3010"/>
      <c r="I241" s="3010"/>
      <c r="J241" s="4082"/>
      <c r="K241" s="4082"/>
      <c r="L241" s="4082"/>
      <c r="M241" s="4082"/>
      <c r="N241" s="4082"/>
      <c r="O241" s="4082"/>
      <c r="P241" s="4082"/>
      <c r="Q241" s="4082"/>
    </row>
    <row r="242" spans="8:8" ht="18.0" customHeight="1">
      <c r="B242" s="4069"/>
      <c r="C242" s="3010"/>
      <c r="D242" s="3010"/>
      <c r="E242" s="3010"/>
      <c r="F242" s="3010"/>
      <c r="G242" s="3010"/>
      <c r="H242" s="3010"/>
      <c r="I242" s="3010"/>
      <c r="J242" s="4082"/>
      <c r="K242" s="4082"/>
      <c r="L242" s="4082"/>
      <c r="M242" s="4082"/>
      <c r="N242" s="4082"/>
      <c r="O242" s="4082"/>
      <c r="P242" s="4082"/>
      <c r="Q242" s="4082"/>
    </row>
    <row r="243" spans="8:8" ht="18.0" customHeight="1">
      <c r="B243" s="4069"/>
      <c r="C243" s="3010"/>
      <c r="D243" s="3010"/>
      <c r="E243" s="3010"/>
      <c r="F243" s="3010"/>
      <c r="G243" s="3010"/>
      <c r="H243" s="3010"/>
      <c r="I243" s="3010"/>
      <c r="J243" s="4084"/>
      <c r="K243" s="4084"/>
      <c r="L243" s="4084"/>
      <c r="M243" s="4084"/>
      <c r="N243" s="4085"/>
      <c r="O243" s="4085"/>
      <c r="P243" s="4085"/>
      <c r="Q243" s="4085"/>
    </row>
    <row r="244" spans="8:8" ht="18.0" customHeight="1">
      <c r="B244" s="4069"/>
      <c r="C244" s="4069"/>
      <c r="D244" s="4069"/>
      <c r="E244" s="4069"/>
      <c r="F244" s="4069"/>
      <c r="G244" s="4069"/>
      <c r="H244" s="4069"/>
      <c r="I244" s="3010"/>
      <c r="J244" s="4084"/>
      <c r="K244" s="4084"/>
      <c r="L244" s="4084"/>
      <c r="M244" s="4084"/>
      <c r="N244" s="4084"/>
      <c r="O244" s="4084"/>
      <c r="P244" s="4084"/>
      <c r="Q244" s="4084"/>
    </row>
    <row r="245" spans="8:8" ht="18.0" customHeight="1">
      <c r="B245" s="4069"/>
      <c r="C245" s="4069"/>
      <c r="D245" s="4069"/>
      <c r="E245" s="4069"/>
      <c r="F245" s="4069"/>
      <c r="G245" s="4069"/>
      <c r="H245" s="4069"/>
      <c r="I245" s="3010"/>
      <c r="J245" s="4084"/>
      <c r="K245" s="4084"/>
      <c r="L245" s="4084"/>
      <c r="M245" s="4084"/>
      <c r="N245" s="4084"/>
      <c r="O245" s="4084"/>
      <c r="P245" s="4084"/>
      <c r="Q245" s="4084"/>
    </row>
    <row r="246" spans="8:8" ht="18.0" customHeight="1">
      <c r="B246" s="4069"/>
      <c r="C246" s="4069"/>
      <c r="D246" s="4069"/>
      <c r="E246" s="4069"/>
      <c r="F246" s="4069"/>
      <c r="G246" s="4069"/>
      <c r="H246" s="4069"/>
      <c r="I246" s="3010"/>
      <c r="J246" s="4084"/>
      <c r="K246" s="4084"/>
      <c r="L246" s="4084"/>
      <c r="M246" s="4084"/>
      <c r="N246" s="4085"/>
      <c r="O246" s="4085"/>
      <c r="P246" s="4085"/>
      <c r="Q246" s="4085"/>
    </row>
    <row r="247" spans="8:8" ht="18.0" customHeight="1">
      <c r="B247" s="4069"/>
      <c r="C247" s="4069"/>
      <c r="D247" s="4069"/>
      <c r="E247" s="4069"/>
      <c r="F247" s="4069"/>
      <c r="G247" s="4069"/>
      <c r="H247" s="4069"/>
      <c r="I247" s="3010"/>
      <c r="J247" s="4084"/>
      <c r="K247" s="4084"/>
      <c r="L247" s="4084"/>
      <c r="M247" s="4084"/>
      <c r="N247" s="4084"/>
      <c r="O247" s="4084"/>
      <c r="P247" s="4084"/>
      <c r="Q247" s="4084"/>
    </row>
    <row r="248" spans="8:8" ht="18.0" customHeight="1">
      <c r="B248" s="4069"/>
      <c r="C248" s="4069"/>
      <c r="D248" s="4069"/>
      <c r="E248" s="4069"/>
      <c r="F248" s="4069"/>
      <c r="G248" s="4069"/>
      <c r="H248" s="4069"/>
      <c r="I248" s="3010"/>
      <c r="J248" s="4084"/>
      <c r="K248" s="4084"/>
      <c r="L248" s="4084"/>
      <c r="M248" s="4084"/>
      <c r="N248" s="4084"/>
      <c r="O248" s="4084"/>
      <c r="P248" s="4084"/>
      <c r="Q248" s="4084"/>
    </row>
    <row r="249" spans="8:8">
      <c r="B249" s="4069"/>
      <c r="C249" s="4069"/>
      <c r="D249" s="4069"/>
      <c r="E249" s="4069"/>
      <c r="F249" s="4069"/>
      <c r="G249" s="4069"/>
      <c r="H249" s="4069"/>
      <c r="I249" s="3010"/>
      <c r="J249" s="4086"/>
      <c r="K249" s="4086"/>
      <c r="L249" s="4086"/>
      <c r="M249" s="4086"/>
      <c r="N249" s="4086"/>
      <c r="O249" s="4086"/>
      <c r="P249" s="4086"/>
      <c r="Q249" s="4086"/>
    </row>
    <row r="250" spans="8:8">
      <c r="B250" s="4069"/>
      <c r="C250" s="4069"/>
      <c r="D250" s="4069"/>
      <c r="E250" s="4069"/>
      <c r="F250" s="4069"/>
      <c r="G250" s="4069"/>
      <c r="H250" s="4069"/>
      <c r="I250" s="3010"/>
      <c r="J250" s="4086"/>
      <c r="K250" s="4086"/>
      <c r="L250" s="4086"/>
      <c r="M250" s="4086"/>
      <c r="N250" s="4086"/>
      <c r="O250" s="4086"/>
      <c r="P250" s="4086"/>
      <c r="Q250" s="4086"/>
    </row>
    <row r="251" spans="8:8">
      <c r="B251" s="4069"/>
      <c r="C251" s="4069"/>
      <c r="D251" s="4069"/>
      <c r="E251" s="4069"/>
      <c r="F251" s="4069"/>
      <c r="G251" s="4069"/>
      <c r="H251" s="4069"/>
      <c r="I251" s="3010"/>
      <c r="J251" s="4086"/>
      <c r="K251" s="4086"/>
      <c r="L251" s="4086"/>
      <c r="M251" s="4086"/>
      <c r="N251" s="4086"/>
      <c r="O251" s="4086"/>
      <c r="P251" s="4086"/>
      <c r="Q251" s="4086"/>
    </row>
    <row r="252" spans="8:8">
      <c r="B252" s="4069"/>
      <c r="C252" s="4069"/>
      <c r="D252" s="4069"/>
      <c r="E252" s="4069"/>
      <c r="F252" s="4069"/>
      <c r="G252" s="4069"/>
      <c r="H252" s="4069"/>
      <c r="I252" s="3010"/>
      <c r="J252" s="4086"/>
      <c r="K252" s="4086"/>
      <c r="L252" s="4086"/>
      <c r="M252" s="4086"/>
      <c r="N252" s="4086"/>
      <c r="O252" s="4086"/>
      <c r="P252" s="4086"/>
      <c r="Q252" s="4086"/>
    </row>
    <row r="253" spans="8:8">
      <c r="B253" s="4069"/>
      <c r="C253" s="4069"/>
      <c r="D253" s="4069"/>
      <c r="E253" s="4069"/>
      <c r="F253" s="4069"/>
      <c r="G253" s="4069"/>
      <c r="H253" s="4069"/>
      <c r="I253" s="3010"/>
      <c r="J253" s="4086"/>
      <c r="K253" s="4086"/>
      <c r="L253" s="4086"/>
      <c r="M253" s="4086"/>
      <c r="N253" s="4086"/>
      <c r="O253" s="4086"/>
      <c r="P253" s="4086"/>
      <c r="Q253" s="4086"/>
    </row>
    <row r="254" spans="8:8">
      <c r="B254" s="4069"/>
      <c r="C254" s="4069"/>
      <c r="D254" s="4069"/>
      <c r="E254" s="4069"/>
      <c r="F254" s="4069"/>
      <c r="G254" s="4069"/>
      <c r="H254" s="4069"/>
      <c r="I254" s="3010"/>
      <c r="J254" s="4086"/>
      <c r="K254" s="4086"/>
      <c r="L254" s="4086"/>
      <c r="M254" s="4086"/>
      <c r="N254" s="4086"/>
      <c r="O254" s="4086"/>
      <c r="P254" s="4086"/>
      <c r="Q254" s="4086"/>
    </row>
    <row r="255" spans="8:8" ht="15.75">
      <c r="B255" s="4052"/>
      <c r="C255" s="4052"/>
      <c r="D255" s="4052"/>
      <c r="E255" s="4052"/>
      <c r="F255" s="4052"/>
      <c r="G255" s="4052"/>
      <c r="H255" s="4052"/>
      <c r="I255" s="4053"/>
      <c r="J255" s="4053"/>
      <c r="K255" s="4053"/>
      <c r="L255" s="4053"/>
      <c r="M255" s="4053"/>
      <c r="N255" s="4053"/>
      <c r="O255" s="4053"/>
      <c r="P255" s="4053"/>
      <c r="Q255" s="4053"/>
    </row>
    <row r="256" spans="8:8" ht="15.75">
      <c r="B256" s="4052"/>
      <c r="C256" s="4052"/>
      <c r="D256" s="4052"/>
      <c r="E256" s="4052"/>
      <c r="F256" s="4052"/>
      <c r="G256" s="4052"/>
      <c r="H256" s="4052"/>
      <c r="I256" s="4053"/>
      <c r="J256" s="4053"/>
      <c r="K256" s="4053"/>
      <c r="L256" s="4053"/>
      <c r="M256" s="4053"/>
      <c r="N256" s="4053"/>
      <c r="O256" s="4053"/>
      <c r="P256" s="4053"/>
      <c r="Q256" s="4053"/>
    </row>
    <row r="257" spans="8:8" ht="15.75">
      <c r="B257" s="4052"/>
      <c r="C257" s="4052"/>
      <c r="D257" s="4052"/>
      <c r="E257" s="4052"/>
      <c r="F257" s="4052"/>
      <c r="G257" s="4052"/>
      <c r="H257" s="4052"/>
      <c r="I257" s="4053"/>
      <c r="J257" s="4053"/>
      <c r="K257" s="4053"/>
      <c r="L257" s="4053"/>
      <c r="M257" s="4053"/>
      <c r="N257" s="4053"/>
      <c r="O257" s="4053"/>
      <c r="P257" s="4053"/>
      <c r="Q257" s="4053"/>
    </row>
    <row r="258" spans="8:8" ht="15.75">
      <c r="B258" s="4052"/>
      <c r="C258" s="4052"/>
      <c r="D258" s="4052"/>
      <c r="E258" s="4052"/>
      <c r="F258" s="4052"/>
      <c r="G258" s="4052"/>
      <c r="H258" s="4052"/>
      <c r="I258" s="4053"/>
      <c r="J258" s="4053"/>
      <c r="K258" s="4053"/>
      <c r="L258" s="4053"/>
      <c r="M258" s="4053"/>
      <c r="N258" s="4053"/>
      <c r="O258" s="4053"/>
      <c r="P258" s="4053"/>
      <c r="Q258" s="4053"/>
    </row>
    <row r="259" spans="8:8" ht="15.75">
      <c r="B259" s="4088"/>
      <c r="C259" s="4089"/>
      <c r="D259" s="4090"/>
      <c r="E259" s="4090"/>
      <c r="F259" s="4090"/>
      <c r="G259" s="4090"/>
      <c r="H259" s="4090"/>
      <c r="I259" s="4090"/>
      <c r="J259" s="4053"/>
      <c r="K259" s="4053"/>
      <c r="L259" s="4053"/>
      <c r="M259" s="4053"/>
      <c r="N259" s="4053"/>
      <c r="O259" s="4053"/>
      <c r="P259" s="4053"/>
      <c r="Q259" s="4053"/>
    </row>
    <row r="260" spans="8:8" ht="15.75">
      <c r="B260" s="4052"/>
      <c r="C260" s="4052"/>
      <c r="D260" s="4052"/>
      <c r="E260" s="4052"/>
      <c r="F260" s="4052"/>
      <c r="G260" s="4052"/>
      <c r="H260" s="4052"/>
      <c r="I260" s="4053"/>
      <c r="J260" s="4053"/>
      <c r="K260" s="4053"/>
      <c r="L260" s="4053"/>
      <c r="M260" s="4053"/>
      <c r="N260" s="4053"/>
      <c r="O260" s="4053"/>
      <c r="P260" s="4053"/>
      <c r="Q260" s="4053"/>
    </row>
    <row r="261" spans="8:8" ht="15.75">
      <c r="B261" s="4052"/>
      <c r="C261" s="4052"/>
      <c r="D261" s="4052"/>
      <c r="E261" s="4052"/>
      <c r="F261" s="4052"/>
      <c r="G261" s="4052"/>
      <c r="H261" s="4052"/>
      <c r="I261" s="4053"/>
      <c r="J261" s="4053"/>
      <c r="K261" s="4053"/>
      <c r="L261" s="4053"/>
      <c r="M261" s="4053"/>
      <c r="N261" s="4053"/>
      <c r="O261" s="4053"/>
      <c r="P261" s="4053"/>
      <c r="Q261" s="4053"/>
    </row>
    <row r="262" spans="8:8" ht="15.75">
      <c r="B262" s="4052"/>
      <c r="C262" s="4052"/>
      <c r="D262" s="4052"/>
      <c r="E262" s="4052"/>
      <c r="F262" s="4052"/>
      <c r="G262" s="4052"/>
      <c r="H262" s="4052"/>
      <c r="I262" s="4053"/>
      <c r="J262" s="4053"/>
      <c r="K262" s="4053"/>
      <c r="L262" s="4053"/>
      <c r="M262" s="4053"/>
      <c r="N262" s="4053"/>
      <c r="O262" s="4053"/>
      <c r="P262" s="4053"/>
      <c r="Q262" s="4053"/>
    </row>
    <row r="263" spans="8:8" ht="15.75">
      <c r="B263" s="4052"/>
      <c r="C263" s="4052"/>
      <c r="D263" s="4052"/>
      <c r="E263" s="4052"/>
      <c r="F263" s="4052"/>
      <c r="G263" s="4052"/>
      <c r="H263" s="4052"/>
      <c r="I263" s="4053"/>
      <c r="J263" s="4053"/>
      <c r="K263" s="4053"/>
      <c r="L263" s="4053"/>
      <c r="M263" s="4053"/>
      <c r="N263" s="4053"/>
      <c r="O263" s="4053"/>
      <c r="P263" s="4053"/>
      <c r="Q263" s="4053"/>
    </row>
    <row r="264" spans="8:8" ht="15.75">
      <c r="B264" s="4052"/>
      <c r="C264" s="4052"/>
      <c r="D264" s="4052"/>
      <c r="E264" s="4052"/>
      <c r="F264" s="4052"/>
      <c r="G264" s="4052"/>
      <c r="H264" s="4052"/>
      <c r="I264" s="4053"/>
      <c r="J264" s="4053"/>
      <c r="K264" s="4053"/>
      <c r="L264" s="4053"/>
      <c r="M264" s="4053"/>
      <c r="N264" s="4053"/>
      <c r="O264" s="4053"/>
      <c r="P264" s="4053"/>
      <c r="Q264" s="4053"/>
    </row>
    <row r="265" spans="8:8" ht="15.75">
      <c r="B265" s="4052"/>
      <c r="C265" s="4052"/>
      <c r="D265" s="4052"/>
      <c r="E265" s="4052"/>
      <c r="F265" s="4052"/>
      <c r="G265" s="4052"/>
      <c r="H265" s="4052"/>
      <c r="I265" s="4053"/>
      <c r="J265" s="4053"/>
      <c r="K265" s="4053"/>
      <c r="L265" s="4053"/>
      <c r="M265" s="4053"/>
      <c r="N265" s="4053"/>
      <c r="O265" s="4053"/>
      <c r="P265" s="4053"/>
      <c r="Q265" s="4053"/>
    </row>
    <row r="266" spans="8:8" ht="15.75">
      <c r="B266" s="4052"/>
      <c r="C266" s="4052"/>
      <c r="D266" s="4052"/>
      <c r="E266" s="4052"/>
      <c r="F266" s="4052"/>
      <c r="G266" s="4052"/>
      <c r="H266" s="4052"/>
      <c r="I266" s="4053"/>
      <c r="J266" s="4053"/>
      <c r="K266" s="4053"/>
      <c r="L266" s="4053"/>
      <c r="M266" s="4053"/>
      <c r="N266" s="4053"/>
      <c r="O266" s="4053"/>
      <c r="P266" s="4053"/>
      <c r="Q266" s="4053"/>
    </row>
    <row r="267" spans="8:8" ht="15.75">
      <c r="B267" s="4052"/>
      <c r="C267" s="4052"/>
      <c r="D267" s="4052"/>
      <c r="E267" s="4052"/>
      <c r="F267" s="4052"/>
      <c r="G267" s="4052"/>
      <c r="H267" s="4052"/>
      <c r="I267" s="4053"/>
      <c r="J267" s="4053"/>
      <c r="K267" s="4053"/>
      <c r="L267" s="4053"/>
      <c r="M267" s="4053"/>
      <c r="N267" s="4053"/>
      <c r="O267" s="4053"/>
      <c r="P267" s="4053"/>
      <c r="Q267" s="4053"/>
    </row>
    <row r="268" spans="8:8" ht="15.75">
      <c r="B268" s="4052"/>
      <c r="C268" s="4052"/>
      <c r="D268" s="4052"/>
      <c r="E268" s="4052"/>
      <c r="F268" s="4052"/>
      <c r="G268" s="4052"/>
      <c r="H268" s="4052"/>
      <c r="I268" s="4053"/>
      <c r="J268" s="4053"/>
      <c r="K268" s="4053"/>
      <c r="L268" s="4053"/>
      <c r="M268" s="4053"/>
      <c r="N268" s="4053"/>
      <c r="O268" s="4053"/>
      <c r="P268" s="4053"/>
      <c r="Q268" s="4053"/>
    </row>
    <row r="269" spans="8:8" ht="15.75">
      <c r="B269" s="4052"/>
      <c r="C269" s="4052"/>
      <c r="D269" s="4052"/>
      <c r="E269" s="4052"/>
      <c r="F269" s="4052"/>
      <c r="G269" s="4052"/>
      <c r="H269" s="4052"/>
      <c r="I269" s="4053"/>
      <c r="J269" s="4053"/>
      <c r="K269" s="4053"/>
      <c r="L269" s="4053"/>
      <c r="M269" s="4053"/>
      <c r="N269" s="4053"/>
      <c r="O269" s="4053"/>
      <c r="P269" s="4053"/>
      <c r="Q269" s="4053"/>
    </row>
    <row r="270" spans="8:8" ht="15.75">
      <c r="B270" s="4052"/>
      <c r="C270" s="4052"/>
      <c r="D270" s="4052"/>
      <c r="E270" s="4052"/>
      <c r="F270" s="4052"/>
      <c r="G270" s="4052"/>
      <c r="H270" s="4052"/>
      <c r="I270" s="4053"/>
      <c r="J270" s="4053"/>
      <c r="K270" s="4053"/>
      <c r="L270" s="4053"/>
      <c r="M270" s="4053"/>
      <c r="N270" s="4053"/>
      <c r="O270" s="4053"/>
      <c r="P270" s="4053"/>
      <c r="Q270" s="4053"/>
    </row>
    <row r="271" spans="8:8" ht="15.75">
      <c r="B271" s="4052"/>
      <c r="C271" s="4052"/>
      <c r="D271" s="4052"/>
      <c r="E271" s="4052"/>
      <c r="F271" s="4052"/>
      <c r="G271" s="4052"/>
      <c r="H271" s="4052"/>
      <c r="I271" s="4053"/>
      <c r="J271" s="4053"/>
      <c r="K271" s="4053"/>
      <c r="L271" s="4053"/>
      <c r="M271" s="4053"/>
      <c r="N271" s="4053"/>
      <c r="O271" s="4053"/>
      <c r="P271" s="4053"/>
      <c r="Q271" s="4053"/>
    </row>
    <row r="272" spans="8:8" ht="15.75">
      <c r="B272" s="4052"/>
      <c r="C272" s="4052"/>
      <c r="D272" s="4052"/>
      <c r="E272" s="4052"/>
      <c r="F272" s="4052"/>
      <c r="G272" s="4052"/>
      <c r="H272" s="4052"/>
      <c r="I272" s="4053"/>
      <c r="J272" s="4053"/>
      <c r="K272" s="4053"/>
      <c r="L272" s="4053"/>
      <c r="M272" s="4053"/>
      <c r="N272" s="4053"/>
      <c r="O272" s="4053"/>
      <c r="P272" s="4053"/>
      <c r="Q272" s="4053"/>
    </row>
    <row r="273" spans="8:8" ht="15.75">
      <c r="B273" s="4052"/>
      <c r="C273" s="4052"/>
      <c r="D273" s="4052"/>
      <c r="E273" s="4052"/>
      <c r="F273" s="4052"/>
      <c r="G273" s="4052"/>
      <c r="H273" s="4052"/>
      <c r="I273" s="4053"/>
      <c r="J273" s="4053"/>
      <c r="K273" s="4053"/>
      <c r="L273" s="4053"/>
      <c r="M273" s="4053"/>
      <c r="N273" s="4053"/>
      <c r="O273" s="4053"/>
      <c r="P273" s="4053"/>
      <c r="Q273" s="4053"/>
    </row>
    <row r="274" spans="8:8" ht="15.75">
      <c r="B274" s="4052"/>
      <c r="C274" s="4052"/>
      <c r="D274" s="4052"/>
      <c r="E274" s="4052"/>
      <c r="F274" s="4052"/>
      <c r="G274" s="4052"/>
      <c r="H274" s="4052"/>
      <c r="I274" s="4053"/>
      <c r="J274" s="4053"/>
      <c r="K274" s="4053"/>
      <c r="L274" s="4053"/>
      <c r="M274" s="4053"/>
      <c r="N274" s="4053"/>
      <c r="O274" s="4053"/>
      <c r="P274" s="4053"/>
      <c r="Q274" s="4053"/>
    </row>
    <row r="275" spans="8:8" ht="15.75">
      <c r="B275" s="4052"/>
      <c r="C275" s="4052"/>
      <c r="D275" s="4052"/>
      <c r="E275" s="4052"/>
      <c r="F275" s="4052"/>
      <c r="G275" s="4052"/>
      <c r="H275" s="4052"/>
      <c r="I275" s="4053"/>
      <c r="J275" s="4053"/>
      <c r="K275" s="4053"/>
      <c r="L275" s="4053"/>
      <c r="M275" s="4053"/>
      <c r="N275" s="4053"/>
      <c r="O275" s="4053"/>
      <c r="P275" s="4053"/>
      <c r="Q275" s="4053"/>
    </row>
    <row r="276" spans="8:8" ht="15.75">
      <c r="B276" s="4052"/>
      <c r="C276" s="4052"/>
      <c r="D276" s="4052"/>
      <c r="E276" s="4052"/>
      <c r="F276" s="4052"/>
      <c r="G276" s="4052"/>
      <c r="H276" s="4052"/>
      <c r="I276" s="4053"/>
      <c r="J276" s="4053"/>
      <c r="K276" s="4053"/>
      <c r="L276" s="4053"/>
      <c r="M276" s="4053"/>
      <c r="N276" s="4053"/>
      <c r="O276" s="4053"/>
      <c r="P276" s="4053"/>
      <c r="Q276" s="4053"/>
    </row>
    <row r="277" spans="8:8" ht="15.75">
      <c r="B277" s="4052"/>
      <c r="C277" s="4052"/>
      <c r="D277" s="4052"/>
      <c r="E277" s="4052"/>
      <c r="F277" s="4052"/>
      <c r="G277" s="4052"/>
      <c r="H277" s="4052"/>
      <c r="I277" s="4053"/>
      <c r="J277" s="4053"/>
      <c r="K277" s="4053"/>
      <c r="L277" s="4053"/>
      <c r="M277" s="4053"/>
      <c r="N277" s="4053"/>
      <c r="O277" s="4053"/>
      <c r="P277" s="4053"/>
      <c r="Q277" s="4053"/>
    </row>
    <row r="278" spans="8:8" ht="15.75">
      <c r="B278" s="4052"/>
      <c r="C278" s="4052"/>
      <c r="D278" s="4052"/>
      <c r="E278" s="4052"/>
      <c r="F278" s="4052"/>
      <c r="G278" s="4052"/>
      <c r="H278" s="4052"/>
      <c r="I278" s="4053"/>
      <c r="J278" s="4053"/>
      <c r="K278" s="4053"/>
      <c r="L278" s="4053"/>
      <c r="M278" s="4053"/>
      <c r="N278" s="4053"/>
      <c r="O278" s="4053"/>
      <c r="P278" s="4053"/>
      <c r="Q278" s="4053"/>
    </row>
    <row r="279" spans="8:8" ht="15.75">
      <c r="B279" s="4052"/>
      <c r="C279" s="4052"/>
      <c r="D279" s="4052"/>
      <c r="E279" s="4052"/>
      <c r="F279" s="4052"/>
      <c r="G279" s="4052"/>
      <c r="H279" s="4052"/>
      <c r="I279" s="4053"/>
      <c r="J279" s="4053"/>
      <c r="K279" s="4053"/>
      <c r="L279" s="4053"/>
      <c r="M279" s="4053"/>
      <c r="N279" s="4053"/>
      <c r="O279" s="4053"/>
      <c r="P279" s="4053"/>
      <c r="Q279" s="4053"/>
    </row>
    <row r="280" spans="8:8" ht="15.75">
      <c r="B280" s="4052"/>
      <c r="C280" s="4052"/>
      <c r="D280" s="4052"/>
      <c r="E280" s="4052"/>
      <c r="F280" s="4052"/>
      <c r="G280" s="4052"/>
      <c r="H280" s="4052"/>
      <c r="I280" s="4053"/>
      <c r="J280" s="4053"/>
      <c r="K280" s="4053"/>
      <c r="L280" s="4053"/>
      <c r="M280" s="4053"/>
      <c r="N280" s="4053"/>
      <c r="O280" s="4053"/>
      <c r="P280" s="4053"/>
      <c r="Q280" s="4053"/>
    </row>
    <row r="281" spans="8:8" ht="15.75">
      <c r="B281" s="4052"/>
      <c r="C281" s="4052"/>
      <c r="D281" s="4052"/>
      <c r="E281" s="4052"/>
      <c r="F281" s="4052"/>
      <c r="G281" s="4052"/>
      <c r="H281" s="4052"/>
      <c r="I281" s="4053"/>
      <c r="J281" s="4053"/>
      <c r="K281" s="4053"/>
      <c r="L281" s="4053"/>
      <c r="M281" s="4053"/>
      <c r="N281" s="4053"/>
      <c r="O281" s="4053"/>
      <c r="P281" s="4053"/>
      <c r="Q281" s="4053"/>
    </row>
    <row r="282" spans="8:8" ht="15.75">
      <c r="B282" s="4052"/>
      <c r="C282" s="4052"/>
      <c r="D282" s="4052"/>
      <c r="E282" s="4052"/>
      <c r="F282" s="4052"/>
      <c r="G282" s="4052"/>
      <c r="H282" s="4052"/>
      <c r="I282" s="4053"/>
      <c r="J282" s="4053"/>
      <c r="K282" s="4053"/>
      <c r="L282" s="4053"/>
      <c r="M282" s="4053"/>
      <c r="N282" s="4053"/>
      <c r="O282" s="4053"/>
      <c r="P282" s="4053"/>
      <c r="Q282" s="4053"/>
    </row>
    <row r="283" spans="8:8" ht="15.75">
      <c r="B283" s="4052"/>
      <c r="C283" s="4052"/>
      <c r="D283" s="4052"/>
      <c r="E283" s="4052"/>
      <c r="F283" s="4052"/>
      <c r="G283" s="4052"/>
      <c r="H283" s="4052"/>
      <c r="I283" s="4053"/>
      <c r="J283" s="4053"/>
      <c r="K283" s="4053"/>
      <c r="L283" s="4053"/>
      <c r="M283" s="4053"/>
      <c r="N283" s="4053"/>
      <c r="O283" s="4053"/>
      <c r="P283" s="4053"/>
      <c r="Q283" s="4053"/>
    </row>
    <row r="284" spans="8:8" ht="15.75">
      <c r="B284" s="4052"/>
      <c r="C284" s="4052"/>
      <c r="D284" s="4052"/>
      <c r="E284" s="4052"/>
      <c r="F284" s="4052"/>
      <c r="G284" s="4052"/>
      <c r="H284" s="4052"/>
      <c r="I284" s="4053"/>
      <c r="J284" s="4053"/>
      <c r="K284" s="4053"/>
      <c r="L284" s="4053"/>
      <c r="M284" s="4053"/>
      <c r="N284" s="4053"/>
      <c r="O284" s="4053"/>
      <c r="P284" s="4053"/>
      <c r="Q284" s="4053"/>
    </row>
    <row r="285" spans="8:8" ht="15.75">
      <c r="B285" s="4052"/>
      <c r="C285" s="4052"/>
      <c r="D285" s="4052"/>
      <c r="E285" s="4052"/>
      <c r="F285" s="4052"/>
      <c r="G285" s="4052"/>
      <c r="H285" s="4052"/>
      <c r="I285" s="4053"/>
      <c r="J285" s="4053"/>
      <c r="K285" s="4053"/>
      <c r="L285" s="4053"/>
      <c r="M285" s="4053"/>
      <c r="N285" s="4053"/>
      <c r="O285" s="4053"/>
      <c r="P285" s="4053"/>
      <c r="Q285" s="4053"/>
    </row>
    <row r="286" spans="8:8" ht="15.75">
      <c r="B286" s="4052"/>
      <c r="C286" s="4052"/>
      <c r="D286" s="4052"/>
      <c r="E286" s="4052"/>
      <c r="F286" s="4052"/>
      <c r="G286" s="4052"/>
      <c r="H286" s="4052"/>
      <c r="I286" s="4053"/>
      <c r="J286" s="4053"/>
      <c r="K286" s="4053"/>
      <c r="L286" s="4053"/>
      <c r="M286" s="4053"/>
      <c r="N286" s="4053"/>
      <c r="O286" s="4053"/>
      <c r="P286" s="4053"/>
      <c r="Q286" s="4053"/>
    </row>
    <row r="287" spans="8:8" ht="15.75">
      <c r="B287" s="4052"/>
      <c r="C287" s="4052"/>
      <c r="D287" s="4052"/>
      <c r="E287" s="4052"/>
      <c r="F287" s="4052"/>
      <c r="G287" s="4052"/>
      <c r="H287" s="4052"/>
      <c r="I287" s="4053"/>
      <c r="J287" s="4053"/>
      <c r="K287" s="4053"/>
      <c r="L287" s="4053"/>
      <c r="M287" s="4053"/>
      <c r="N287" s="4053"/>
      <c r="O287" s="4053"/>
      <c r="P287" s="4053"/>
      <c r="Q287" s="4053"/>
    </row>
    <row r="288" spans="8:8" ht="15.75">
      <c r="B288" s="4052"/>
      <c r="C288" s="4052"/>
      <c r="D288" s="4052"/>
      <c r="E288" s="4052"/>
      <c r="F288" s="4052"/>
      <c r="G288" s="4052"/>
      <c r="H288" s="4052"/>
      <c r="I288" s="4053"/>
      <c r="J288" s="4053"/>
      <c r="K288" s="4053"/>
      <c r="L288" s="4053"/>
      <c r="M288" s="4053"/>
      <c r="N288" s="4053"/>
      <c r="O288" s="4053"/>
      <c r="P288" s="4053"/>
      <c r="Q288" s="4053"/>
    </row>
    <row r="289" spans="8:8" ht="15.75">
      <c r="B289" s="4052"/>
      <c r="C289" s="4052"/>
      <c r="D289" s="4052"/>
      <c r="E289" s="4052"/>
      <c r="F289" s="4052"/>
      <c r="G289" s="4052"/>
      <c r="H289" s="4052"/>
      <c r="I289" s="4053"/>
      <c r="J289" s="4053"/>
      <c r="K289" s="4053"/>
      <c r="L289" s="4053"/>
      <c r="M289" s="4053"/>
      <c r="N289" s="4053"/>
      <c r="O289" s="4053"/>
      <c r="P289" s="4053"/>
      <c r="Q289" s="4053"/>
    </row>
    <row r="290" spans="8:8" ht="15.75">
      <c r="B290" s="3480"/>
      <c r="C290" s="3480"/>
      <c r="D290" s="3480"/>
      <c r="E290" s="3480"/>
      <c r="F290" s="3480"/>
      <c r="G290" s="3480"/>
      <c r="H290" s="3480"/>
      <c r="I290" s="3481"/>
      <c r="J290" s="3481"/>
      <c r="K290" s="3481"/>
      <c r="L290" s="3481"/>
      <c r="M290" s="3481"/>
      <c r="N290" s="3481"/>
      <c r="O290" s="3481"/>
      <c r="P290" s="3481"/>
      <c r="Q290" s="3481"/>
    </row>
    <row r="291" spans="8:8" ht="15.75">
      <c r="B291" s="3480"/>
      <c r="C291" s="3480"/>
      <c r="D291" s="3480"/>
      <c r="E291" s="3480"/>
      <c r="F291" s="3480"/>
      <c r="G291" s="3480"/>
      <c r="H291" s="3480"/>
      <c r="I291" s="3481"/>
      <c r="J291" s="3481"/>
      <c r="K291" s="3481"/>
      <c r="L291" s="3481"/>
      <c r="M291" s="3481"/>
      <c r="N291" s="3481"/>
      <c r="O291" s="3481"/>
      <c r="P291" s="3481"/>
      <c r="Q291" s="3481"/>
    </row>
    <row r="292" spans="8:8" ht="15.75">
      <c r="B292" s="3480"/>
      <c r="C292" s="3480"/>
      <c r="D292" s="3480"/>
      <c r="E292" s="3480"/>
      <c r="F292" s="3480"/>
      <c r="G292" s="3480"/>
      <c r="H292" s="3480"/>
      <c r="I292" s="3481"/>
      <c r="J292" s="3481"/>
      <c r="K292" s="3481"/>
      <c r="L292" s="3481"/>
      <c r="M292" s="3481"/>
      <c r="N292" s="3481"/>
      <c r="O292" s="3481"/>
      <c r="P292" s="3481"/>
      <c r="Q292" s="3481"/>
    </row>
    <row r="293" spans="8:8" ht="15.75">
      <c r="B293" s="3480"/>
      <c r="C293" s="3480"/>
      <c r="D293" s="3480"/>
      <c r="E293" s="3480"/>
      <c r="F293" s="3480"/>
      <c r="G293" s="3480"/>
      <c r="H293" s="3480"/>
      <c r="I293" s="3481"/>
      <c r="J293" s="3481"/>
      <c r="K293" s="3481"/>
      <c r="L293" s="3481"/>
      <c r="M293" s="3481"/>
      <c r="N293" s="3481"/>
      <c r="O293" s="3481"/>
      <c r="P293" s="3481"/>
      <c r="Q293" s="3481"/>
    </row>
    <row r="294" spans="8:8" ht="15.75">
      <c r="B294" s="3480"/>
      <c r="C294" s="3480"/>
      <c r="D294" s="3480"/>
      <c r="E294" s="3480"/>
      <c r="F294" s="3480"/>
      <c r="G294" s="3480"/>
      <c r="H294" s="3480"/>
      <c r="I294" s="3481"/>
      <c r="J294" s="3481"/>
      <c r="K294" s="3481"/>
      <c r="L294" s="3481"/>
      <c r="M294" s="3481"/>
      <c r="N294" s="3481"/>
      <c r="O294" s="3481"/>
      <c r="P294" s="3481"/>
      <c r="Q294" s="3481"/>
    </row>
    <row r="295" spans="8:8" ht="15.75">
      <c r="B295" s="3480"/>
      <c r="C295" s="3480"/>
      <c r="D295" s="3480"/>
      <c r="E295" s="3480"/>
      <c r="F295" s="3480"/>
      <c r="G295" s="3480"/>
      <c r="H295" s="3480"/>
      <c r="I295" s="3481"/>
      <c r="J295" s="3481"/>
      <c r="K295" s="3481"/>
      <c r="L295" s="3481"/>
      <c r="M295" s="3481"/>
      <c r="N295" s="3481"/>
      <c r="O295" s="3481"/>
      <c r="P295" s="3481"/>
      <c r="Q295" s="3481"/>
    </row>
    <row r="296" spans="8:8" ht="15.75">
      <c r="B296" s="3480"/>
      <c r="C296" s="3480"/>
      <c r="D296" s="3480"/>
      <c r="E296" s="3480"/>
      <c r="F296" s="3480"/>
      <c r="G296" s="3480"/>
      <c r="H296" s="3480"/>
      <c r="I296" s="3481"/>
      <c r="J296" s="3481"/>
      <c r="K296" s="3481"/>
      <c r="L296" s="3481"/>
      <c r="M296" s="3481"/>
      <c r="N296" s="3481"/>
      <c r="O296" s="3481"/>
      <c r="P296" s="3481"/>
      <c r="Q296" s="3481"/>
    </row>
    <row r="297" spans="8:8" ht="15.75">
      <c r="B297" s="3480"/>
      <c r="C297" s="3480"/>
      <c r="D297" s="3480"/>
      <c r="E297" s="3480"/>
      <c r="F297" s="3480"/>
      <c r="G297" s="3480"/>
      <c r="H297" s="3480"/>
      <c r="I297" s="3481"/>
      <c r="J297" s="3481"/>
      <c r="K297" s="3481"/>
      <c r="L297" s="3481"/>
      <c r="M297" s="3481"/>
      <c r="N297" s="3481"/>
      <c r="O297" s="3481"/>
      <c r="P297" s="3481"/>
      <c r="Q297" s="3481"/>
    </row>
    <row r="298" spans="8:8" ht="15.75">
      <c r="B298" s="3480"/>
      <c r="C298" s="3480"/>
      <c r="D298" s="3480"/>
      <c r="E298" s="3480"/>
      <c r="F298" s="3480"/>
      <c r="G298" s="3480"/>
      <c r="H298" s="3480"/>
      <c r="I298" s="3481"/>
      <c r="J298" s="3481"/>
      <c r="K298" s="3481"/>
      <c r="L298" s="3481"/>
      <c r="M298" s="3481"/>
      <c r="N298" s="3481"/>
      <c r="O298" s="3481"/>
      <c r="P298" s="3481"/>
      <c r="Q298" s="3481"/>
    </row>
    <row r="299" spans="8:8" ht="15.75">
      <c r="B299" s="3480"/>
      <c r="C299" s="3480"/>
      <c r="D299" s="3480"/>
      <c r="E299" s="3480"/>
      <c r="F299" s="3480"/>
      <c r="G299" s="3480"/>
      <c r="H299" s="3480"/>
      <c r="I299" s="3481"/>
      <c r="J299" s="3481"/>
      <c r="K299" s="3481"/>
      <c r="L299" s="3481"/>
      <c r="M299" s="3481"/>
      <c r="N299" s="3481"/>
      <c r="O299" s="3481"/>
      <c r="P299" s="3481"/>
      <c r="Q299" s="3481"/>
    </row>
    <row r="300" spans="8:8" ht="15.75">
      <c r="B300" s="3480"/>
      <c r="C300" s="3480"/>
      <c r="D300" s="3480"/>
      <c r="E300" s="3480"/>
      <c r="F300" s="3480"/>
      <c r="G300" s="3480"/>
      <c r="H300" s="3480"/>
      <c r="I300" s="3481"/>
      <c r="J300" s="3481"/>
      <c r="K300" s="3481"/>
      <c r="L300" s="3481"/>
      <c r="M300" s="3481"/>
      <c r="N300" s="3481"/>
      <c r="O300" s="3481"/>
      <c r="P300" s="3481"/>
      <c r="Q300" s="3481"/>
    </row>
    <row r="301" spans="8:8" ht="15.75">
      <c r="B301" s="3480"/>
      <c r="C301" s="3480"/>
      <c r="D301" s="3480"/>
      <c r="E301" s="3480"/>
      <c r="F301" s="3480"/>
      <c r="G301" s="3480"/>
      <c r="H301" s="3480"/>
      <c r="I301" s="3481"/>
      <c r="J301" s="3481"/>
      <c r="K301" s="3481"/>
      <c r="L301" s="3481"/>
      <c r="M301" s="3481"/>
      <c r="N301" s="3481"/>
      <c r="O301" s="3481"/>
      <c r="P301" s="3481"/>
      <c r="Q301" s="3481"/>
    </row>
    <row r="302" spans="8:8" ht="15.75">
      <c r="B302" s="3480"/>
      <c r="C302" s="3480"/>
      <c r="D302" s="3480"/>
      <c r="E302" s="3480"/>
      <c r="F302" s="3480"/>
      <c r="G302" s="3480"/>
      <c r="H302" s="3480"/>
      <c r="I302" s="3481"/>
      <c r="J302" s="3481"/>
      <c r="K302" s="3481"/>
      <c r="L302" s="3481"/>
      <c r="M302" s="3481"/>
      <c r="N302" s="3481"/>
      <c r="O302" s="3481"/>
      <c r="P302" s="3481"/>
      <c r="Q302" s="3481"/>
    </row>
    <row r="303" spans="8:8" ht="15.75">
      <c r="B303" s="3480"/>
      <c r="C303" s="3480"/>
      <c r="D303" s="3480"/>
      <c r="E303" s="3480"/>
      <c r="F303" s="3480"/>
      <c r="G303" s="3480"/>
      <c r="H303" s="3480"/>
      <c r="I303" s="3481"/>
      <c r="J303" s="3481"/>
      <c r="K303" s="3481"/>
      <c r="L303" s="3481"/>
      <c r="M303" s="3481"/>
      <c r="N303" s="3481"/>
      <c r="O303" s="3481"/>
      <c r="P303" s="3481"/>
      <c r="Q303" s="3481"/>
    </row>
    <row r="304" spans="8:8" ht="15.75">
      <c r="B304" s="3480"/>
      <c r="C304" s="3480"/>
      <c r="D304" s="3480"/>
      <c r="E304" s="3480"/>
      <c r="F304" s="3480"/>
      <c r="G304" s="3480"/>
      <c r="H304" s="3480"/>
      <c r="I304" s="3481"/>
      <c r="J304" s="3481"/>
      <c r="K304" s="3481"/>
      <c r="L304" s="3481"/>
      <c r="M304" s="3481"/>
      <c r="N304" s="3481"/>
      <c r="O304" s="3481"/>
      <c r="P304" s="3481"/>
      <c r="Q304" s="3481"/>
    </row>
    <row r="305" spans="8:8" ht="15.75">
      <c r="B305" s="3480"/>
      <c r="C305" s="3480"/>
      <c r="D305" s="3480"/>
      <c r="E305" s="3480"/>
      <c r="F305" s="3480"/>
      <c r="G305" s="3480"/>
      <c r="H305" s="3480"/>
      <c r="I305" s="3481"/>
      <c r="J305" s="3481"/>
      <c r="K305" s="3481"/>
      <c r="L305" s="3481"/>
      <c r="M305" s="3481"/>
      <c r="N305" s="3481"/>
      <c r="O305" s="3481"/>
      <c r="P305" s="3481"/>
      <c r="Q305" s="3481"/>
    </row>
    <row r="306" spans="8:8" ht="15.75">
      <c r="B306" s="3480"/>
      <c r="C306" s="3480"/>
      <c r="D306" s="3480"/>
      <c r="E306" s="3480"/>
      <c r="F306" s="3480"/>
      <c r="G306" s="3480"/>
      <c r="H306" s="3480"/>
      <c r="I306" s="3481"/>
      <c r="J306" s="3481"/>
      <c r="K306" s="3481"/>
      <c r="L306" s="3481"/>
      <c r="M306" s="3481"/>
      <c r="N306" s="3481"/>
      <c r="O306" s="3481"/>
      <c r="P306" s="3481"/>
      <c r="Q306" s="3481"/>
    </row>
    <row r="307" spans="8:8" ht="15.75">
      <c r="B307" s="3480"/>
      <c r="C307" s="3480"/>
      <c r="D307" s="3480"/>
      <c r="E307" s="3480"/>
      <c r="F307" s="3480"/>
      <c r="G307" s="3480"/>
      <c r="H307" s="3480"/>
      <c r="I307" s="3481"/>
      <c r="J307" s="3481"/>
      <c r="K307" s="3481"/>
      <c r="L307" s="3481"/>
      <c r="M307" s="3481"/>
      <c r="N307" s="3481"/>
      <c r="O307" s="3481"/>
      <c r="P307" s="3481"/>
      <c r="Q307" s="3481"/>
    </row>
    <row r="308" spans="8:8" ht="15.75">
      <c r="B308" s="3480"/>
      <c r="C308" s="3480"/>
      <c r="D308" s="3480"/>
      <c r="E308" s="3480"/>
      <c r="F308" s="3480"/>
      <c r="G308" s="3480"/>
      <c r="H308" s="3480"/>
      <c r="I308" s="3481"/>
      <c r="J308" s="3481"/>
      <c r="K308" s="3481"/>
      <c r="L308" s="3481"/>
      <c r="M308" s="3481"/>
      <c r="N308" s="3481"/>
      <c r="O308" s="3481"/>
      <c r="P308" s="3481"/>
      <c r="Q308" s="3481"/>
    </row>
    <row r="309" spans="8:8" ht="15.75">
      <c r="B309" s="3480"/>
      <c r="C309" s="3480"/>
      <c r="D309" s="3480"/>
      <c r="E309" s="3480"/>
      <c r="F309" s="3480"/>
      <c r="G309" s="3480"/>
      <c r="H309" s="3480"/>
      <c r="I309" s="3481"/>
      <c r="J309" s="3481"/>
      <c r="K309" s="3481"/>
      <c r="L309" s="3481"/>
      <c r="M309" s="3481"/>
      <c r="N309" s="3481"/>
      <c r="O309" s="3481"/>
      <c r="P309" s="3481"/>
      <c r="Q309" s="3481"/>
    </row>
    <row r="310" spans="8:8" ht="15.75">
      <c r="B310" s="3480"/>
      <c r="C310" s="3480"/>
      <c r="D310" s="3480"/>
      <c r="E310" s="3480"/>
      <c r="F310" s="3480"/>
      <c r="G310" s="3480"/>
      <c r="H310" s="3480"/>
      <c r="I310" s="3481"/>
      <c r="J310" s="3481"/>
      <c r="K310" s="3481"/>
      <c r="L310" s="3481"/>
      <c r="M310" s="3481"/>
      <c r="N310" s="3481"/>
      <c r="O310" s="3481"/>
      <c r="P310" s="3481"/>
      <c r="Q310" s="3481"/>
    </row>
    <row r="311" spans="8:8" ht="15.75">
      <c r="B311" s="3480"/>
      <c r="C311" s="3480"/>
      <c r="D311" s="3480"/>
      <c r="E311" s="3480"/>
      <c r="F311" s="3480"/>
      <c r="G311" s="3480"/>
      <c r="H311" s="3480"/>
      <c r="I311" s="3481"/>
      <c r="J311" s="3481"/>
      <c r="K311" s="3481"/>
      <c r="L311" s="3481"/>
      <c r="M311" s="3481"/>
      <c r="N311" s="3481"/>
      <c r="O311" s="3481"/>
      <c r="P311" s="3481"/>
      <c r="Q311" s="3481"/>
    </row>
    <row r="312" spans="8:8" ht="15.75">
      <c r="B312" s="3480"/>
      <c r="C312" s="3480"/>
      <c r="D312" s="3480"/>
      <c r="E312" s="3480"/>
      <c r="F312" s="3480"/>
      <c r="G312" s="3480"/>
      <c r="H312" s="3480"/>
      <c r="I312" s="3481"/>
      <c r="J312" s="3481"/>
      <c r="K312" s="3481"/>
      <c r="L312" s="3481"/>
      <c r="M312" s="3481"/>
      <c r="N312" s="3481"/>
      <c r="O312" s="3481"/>
      <c r="P312" s="3481"/>
      <c r="Q312" s="3481"/>
    </row>
    <row r="313" spans="8:8" ht="15.75">
      <c r="B313" s="3480"/>
      <c r="C313" s="3480"/>
      <c r="D313" s="3480"/>
      <c r="E313" s="3480"/>
      <c r="F313" s="3480"/>
      <c r="G313" s="3480"/>
      <c r="H313" s="3480"/>
      <c r="I313" s="3481"/>
      <c r="J313" s="3481"/>
      <c r="K313" s="3481"/>
      <c r="L313" s="3481"/>
      <c r="M313" s="3481"/>
      <c r="N313" s="3481"/>
      <c r="O313" s="3481"/>
      <c r="P313" s="3481"/>
      <c r="Q313" s="3481"/>
    </row>
    <row r="314" spans="8:8" ht="15.75">
      <c r="B314" s="3480"/>
      <c r="C314" s="3480"/>
      <c r="D314" s="3480"/>
      <c r="E314" s="3480"/>
      <c r="F314" s="3480"/>
      <c r="G314" s="3480"/>
      <c r="H314" s="3480"/>
      <c r="I314" s="3481"/>
      <c r="J314" s="3481"/>
      <c r="K314" s="3481"/>
      <c r="L314" s="3481"/>
      <c r="M314" s="3481"/>
      <c r="N314" s="3481"/>
      <c r="O314" s="3481"/>
      <c r="P314" s="3481"/>
      <c r="Q314" s="3481"/>
    </row>
    <row r="315" spans="8:8" ht="15.75">
      <c r="B315" s="3480"/>
      <c r="C315" s="3480"/>
      <c r="D315" s="3480"/>
      <c r="E315" s="3480"/>
      <c r="F315" s="3480"/>
      <c r="G315" s="3480"/>
      <c r="H315" s="3480"/>
      <c r="I315" s="3481"/>
      <c r="J315" s="3481"/>
      <c r="K315" s="3481"/>
      <c r="L315" s="3481"/>
      <c r="M315" s="3481"/>
      <c r="N315" s="3481"/>
      <c r="O315" s="3481"/>
      <c r="P315" s="3481"/>
      <c r="Q315" s="3481"/>
    </row>
    <row r="316" spans="8:8" ht="15.75">
      <c r="B316" s="3480"/>
      <c r="C316" s="3480"/>
      <c r="D316" s="3480"/>
      <c r="E316" s="3480"/>
      <c r="F316" s="3480"/>
      <c r="G316" s="3480"/>
      <c r="H316" s="3480"/>
      <c r="I316" s="3481"/>
      <c r="J316" s="3481"/>
      <c r="K316" s="3481"/>
      <c r="L316" s="3481"/>
      <c r="M316" s="3481"/>
      <c r="N316" s="3481"/>
      <c r="O316" s="3481"/>
      <c r="P316" s="3481"/>
      <c r="Q316" s="3481"/>
    </row>
    <row r="317" spans="8:8" ht="15.75">
      <c r="B317" s="3480"/>
      <c r="C317" s="3480"/>
      <c r="D317" s="3480"/>
      <c r="E317" s="3480"/>
      <c r="F317" s="3480"/>
      <c r="G317" s="3480"/>
      <c r="H317" s="3480"/>
      <c r="I317" s="3481"/>
      <c r="J317" s="3481"/>
      <c r="K317" s="3481"/>
      <c r="L317" s="3481"/>
      <c r="M317" s="3481"/>
      <c r="N317" s="3481"/>
      <c r="O317" s="3481"/>
      <c r="P317" s="3481"/>
      <c r="Q317" s="3481"/>
    </row>
    <row r="318" spans="8:8" ht="15.75">
      <c r="B318" s="3480"/>
      <c r="C318" s="3480"/>
      <c r="D318" s="3480"/>
      <c r="E318" s="3480"/>
      <c r="F318" s="3480"/>
      <c r="G318" s="3480"/>
      <c r="H318" s="3480"/>
      <c r="I318" s="3481"/>
      <c r="J318" s="3481"/>
      <c r="K318" s="3481"/>
      <c r="L318" s="3481"/>
      <c r="M318" s="3481"/>
      <c r="N318" s="3481"/>
      <c r="O318" s="3481"/>
      <c r="P318" s="3481"/>
      <c r="Q318" s="3481"/>
    </row>
    <row r="319" spans="8:8" ht="15.75">
      <c r="B319" s="3480"/>
      <c r="C319" s="3480"/>
      <c r="D319" s="3480"/>
      <c r="E319" s="3480"/>
      <c r="F319" s="3480"/>
      <c r="G319" s="3480"/>
      <c r="H319" s="3480"/>
      <c r="I319" s="3481"/>
      <c r="J319" s="3481"/>
      <c r="K319" s="3481"/>
      <c r="L319" s="3481"/>
      <c r="M319" s="3481"/>
      <c r="N319" s="3481"/>
      <c r="O319" s="3481"/>
      <c r="P319" s="3481"/>
      <c r="Q319" s="3481"/>
    </row>
    <row r="320" spans="8:8" ht="15.75">
      <c r="B320" s="3480"/>
      <c r="C320" s="3480"/>
      <c r="D320" s="3480"/>
      <c r="E320" s="3480"/>
      <c r="F320" s="3480"/>
      <c r="G320" s="3480"/>
      <c r="H320" s="3480"/>
      <c r="I320" s="3481"/>
      <c r="J320" s="3481"/>
      <c r="K320" s="3481"/>
      <c r="L320" s="3481"/>
      <c r="M320" s="3481"/>
      <c r="N320" s="3481"/>
      <c r="O320" s="3481"/>
      <c r="P320" s="3481"/>
      <c r="Q320" s="3481"/>
    </row>
    <row r="321" spans="8:8" ht="15.75">
      <c r="B321" s="3480"/>
      <c r="C321" s="3480"/>
      <c r="D321" s="3480"/>
      <c r="E321" s="3480"/>
      <c r="F321" s="3480"/>
      <c r="G321" s="3480"/>
      <c r="H321" s="3480"/>
      <c r="I321" s="3481"/>
      <c r="J321" s="3481"/>
      <c r="K321" s="3481"/>
      <c r="L321" s="3481"/>
      <c r="M321" s="3481"/>
      <c r="N321" s="3481"/>
      <c r="O321" s="3481"/>
      <c r="P321" s="3481"/>
      <c r="Q321" s="3481"/>
    </row>
    <row r="322" spans="8:8" ht="15.75">
      <c r="B322" s="3480"/>
      <c r="C322" s="3480"/>
      <c r="D322" s="3480"/>
      <c r="E322" s="3480"/>
      <c r="F322" s="3480"/>
      <c r="G322" s="3480"/>
      <c r="H322" s="3480"/>
      <c r="I322" s="3481"/>
      <c r="J322" s="3481"/>
      <c r="K322" s="3481"/>
      <c r="L322" s="3481"/>
      <c r="M322" s="3481"/>
      <c r="N322" s="3481"/>
      <c r="O322" s="3481"/>
      <c r="P322" s="3481"/>
      <c r="Q322" s="3481"/>
    </row>
    <row r="323" spans="8:8" ht="15.75">
      <c r="B323" s="3480"/>
      <c r="C323" s="3480"/>
      <c r="D323" s="3480"/>
      <c r="E323" s="3480"/>
      <c r="F323" s="3480"/>
      <c r="G323" s="3480"/>
      <c r="H323" s="3480"/>
      <c r="I323" s="3481"/>
      <c r="J323" s="3481"/>
      <c r="K323" s="3481"/>
      <c r="L323" s="3481"/>
      <c r="M323" s="3481"/>
      <c r="N323" s="3481"/>
      <c r="O323" s="3481"/>
      <c r="P323" s="3481"/>
      <c r="Q323" s="3481"/>
    </row>
    <row r="324" spans="8:8" ht="15.75">
      <c r="B324" s="3480"/>
      <c r="C324" s="3480"/>
      <c r="D324" s="3480"/>
      <c r="E324" s="3480"/>
      <c r="F324" s="3480"/>
      <c r="G324" s="3480"/>
      <c r="H324" s="3480"/>
      <c r="I324" s="3481"/>
      <c r="J324" s="3481"/>
      <c r="K324" s="3481"/>
      <c r="L324" s="3481"/>
      <c r="M324" s="3481"/>
      <c r="N324" s="3481"/>
      <c r="O324" s="3481"/>
      <c r="P324" s="3481"/>
      <c r="Q324" s="3481"/>
    </row>
    <row r="325" spans="8:8" ht="15.75">
      <c r="B325" s="3480"/>
      <c r="C325" s="3480"/>
      <c r="D325" s="3480"/>
      <c r="E325" s="3480"/>
      <c r="F325" s="3480"/>
      <c r="G325" s="3480"/>
      <c r="H325" s="3480"/>
      <c r="I325" s="3481"/>
      <c r="J325" s="3481"/>
      <c r="K325" s="3481"/>
      <c r="L325" s="3481"/>
      <c r="M325" s="3481"/>
      <c r="N325" s="3481"/>
      <c r="O325" s="3481"/>
      <c r="P325" s="3481"/>
      <c r="Q325" s="3481"/>
    </row>
    <row r="326" spans="8:8" ht="15.75">
      <c r="B326" s="3480"/>
      <c r="C326" s="3480"/>
      <c r="D326" s="3480"/>
      <c r="E326" s="3480"/>
      <c r="F326" s="3480"/>
      <c r="G326" s="3480"/>
      <c r="H326" s="3480"/>
      <c r="I326" s="3481"/>
      <c r="J326" s="3481"/>
      <c r="K326" s="3481"/>
      <c r="L326" s="3481"/>
      <c r="M326" s="3481"/>
      <c r="N326" s="3481"/>
      <c r="O326" s="3481"/>
      <c r="P326" s="3481"/>
      <c r="Q326" s="3481"/>
    </row>
    <row r="327" spans="8:8" ht="15.75">
      <c r="B327" s="3480"/>
      <c r="C327" s="3480"/>
      <c r="D327" s="3480"/>
      <c r="E327" s="3480"/>
      <c r="F327" s="3480"/>
      <c r="G327" s="3480"/>
      <c r="H327" s="3480"/>
      <c r="I327" s="3481"/>
      <c r="J327" s="3481"/>
      <c r="K327" s="3481"/>
      <c r="L327" s="3481"/>
      <c r="M327" s="3481"/>
      <c r="N327" s="3481"/>
      <c r="O327" s="3481"/>
      <c r="P327" s="3481"/>
      <c r="Q327" s="3481"/>
    </row>
    <row r="328" spans="8:8" ht="15.75">
      <c r="B328" s="3480"/>
      <c r="C328" s="3480"/>
      <c r="D328" s="3480"/>
      <c r="E328" s="3480"/>
      <c r="F328" s="3480"/>
      <c r="G328" s="3480"/>
      <c r="H328" s="3480"/>
      <c r="I328" s="3481"/>
      <c r="J328" s="3481"/>
      <c r="K328" s="3481"/>
      <c r="L328" s="3481"/>
      <c r="M328" s="3481"/>
      <c r="N328" s="3481"/>
      <c r="O328" s="3481"/>
      <c r="P328" s="3481"/>
      <c r="Q328" s="3481"/>
    </row>
    <row r="329" spans="8:8" ht="15.75">
      <c r="B329" s="3480"/>
      <c r="C329" s="3480"/>
      <c r="D329" s="3480"/>
      <c r="E329" s="3480"/>
      <c r="F329" s="3480"/>
      <c r="G329" s="3480"/>
      <c r="H329" s="3480"/>
      <c r="I329" s="3481"/>
      <c r="J329" s="3481"/>
      <c r="K329" s="3481"/>
      <c r="L329" s="3481"/>
      <c r="M329" s="3481"/>
      <c r="N329" s="3481"/>
      <c r="O329" s="3481"/>
      <c r="P329" s="3481"/>
      <c r="Q329" s="3481"/>
    </row>
    <row r="330" spans="8:8" ht="15.75">
      <c r="B330" s="3480"/>
      <c r="C330" s="3480"/>
      <c r="D330" s="3480"/>
      <c r="E330" s="3480"/>
      <c r="F330" s="3480"/>
      <c r="G330" s="3480"/>
      <c r="H330" s="3480"/>
      <c r="I330" s="3481"/>
      <c r="J330" s="3481"/>
      <c r="K330" s="3481"/>
      <c r="L330" s="3481"/>
      <c r="M330" s="3481"/>
      <c r="N330" s="3481"/>
      <c r="O330" s="3481"/>
      <c r="P330" s="3481"/>
      <c r="Q330" s="3481"/>
    </row>
    <row r="331" spans="8:8" ht="15.75">
      <c r="B331" s="3480"/>
      <c r="C331" s="3480"/>
      <c r="D331" s="3480"/>
      <c r="E331" s="3480"/>
      <c r="F331" s="3480"/>
      <c r="G331" s="3480"/>
      <c r="H331" s="3480"/>
      <c r="I331" s="3481"/>
      <c r="J331" s="3481"/>
      <c r="K331" s="3481"/>
      <c r="L331" s="3481"/>
      <c r="M331" s="3481"/>
      <c r="N331" s="3481"/>
      <c r="O331" s="3481"/>
      <c r="P331" s="3481"/>
      <c r="Q331" s="3481"/>
    </row>
    <row r="332" spans="8:8" ht="15.75">
      <c r="B332" s="3480"/>
      <c r="C332" s="3480"/>
      <c r="D332" s="3480"/>
      <c r="E332" s="3480"/>
      <c r="F332" s="3480"/>
      <c r="G332" s="3480"/>
      <c r="H332" s="3480"/>
      <c r="I332" s="3481"/>
      <c r="J332" s="3481"/>
      <c r="K332" s="3481"/>
      <c r="L332" s="3481"/>
      <c r="M332" s="3481"/>
      <c r="N332" s="3481"/>
      <c r="O332" s="3481"/>
      <c r="P332" s="3481"/>
      <c r="Q332" s="3481"/>
    </row>
    <row r="333" spans="8:8" ht="15.75">
      <c r="B333" s="3480"/>
      <c r="C333" s="3480"/>
      <c r="D333" s="3480"/>
      <c r="E333" s="3480"/>
      <c r="F333" s="3480"/>
      <c r="G333" s="3480"/>
      <c r="H333" s="3480"/>
      <c r="I333" s="3481"/>
      <c r="J333" s="3481"/>
      <c r="K333" s="3481"/>
      <c r="L333" s="3481"/>
      <c r="M333" s="3481"/>
      <c r="N333" s="3481"/>
      <c r="O333" s="3481"/>
      <c r="P333" s="3481"/>
      <c r="Q333" s="3481"/>
    </row>
    <row r="334" spans="8:8" ht="15.75">
      <c r="B334" s="3480"/>
      <c r="C334" s="3480"/>
      <c r="D334" s="3480"/>
      <c r="E334" s="3480"/>
      <c r="F334" s="3480"/>
      <c r="G334" s="3480"/>
      <c r="H334" s="3480"/>
      <c r="I334" s="3481"/>
      <c r="J334" s="3481"/>
      <c r="K334" s="3481"/>
      <c r="L334" s="3481"/>
      <c r="M334" s="3481"/>
      <c r="N334" s="3481"/>
      <c r="O334" s="3481"/>
      <c r="P334" s="3481"/>
      <c r="Q334" s="3481"/>
    </row>
    <row r="335" spans="8:8" ht="15.75">
      <c r="B335" s="3480"/>
      <c r="C335" s="3480"/>
      <c r="D335" s="3480"/>
      <c r="E335" s="3480"/>
      <c r="F335" s="3480"/>
      <c r="G335" s="3480"/>
      <c r="H335" s="3480"/>
      <c r="I335" s="3481"/>
      <c r="J335" s="3481"/>
      <c r="K335" s="3481"/>
      <c r="L335" s="3481"/>
      <c r="M335" s="3481"/>
      <c r="N335" s="3481"/>
      <c r="O335" s="3481"/>
      <c r="P335" s="3481"/>
      <c r="Q335" s="3481"/>
    </row>
    <row r="336" spans="8:8" ht="15.75">
      <c r="B336" s="3480"/>
      <c r="C336" s="3480"/>
      <c r="D336" s="3480"/>
      <c r="E336" s="3480"/>
      <c r="F336" s="3480"/>
      <c r="G336" s="3480"/>
      <c r="H336" s="3480"/>
      <c r="I336" s="3481"/>
      <c r="J336" s="3481"/>
      <c r="K336" s="3481"/>
      <c r="L336" s="3481"/>
      <c r="M336" s="3481"/>
      <c r="N336" s="3481"/>
      <c r="O336" s="3481"/>
      <c r="P336" s="3481"/>
      <c r="Q336" s="3481"/>
    </row>
    <row r="337" spans="8:8" ht="15.75">
      <c r="B337" s="3480"/>
      <c r="C337" s="3480"/>
      <c r="D337" s="3480"/>
      <c r="E337" s="3480"/>
      <c r="F337" s="3480"/>
      <c r="G337" s="3480"/>
      <c r="H337" s="3480"/>
      <c r="I337" s="3481"/>
      <c r="J337" s="3481"/>
      <c r="K337" s="3481"/>
      <c r="L337" s="3481"/>
      <c r="M337" s="3481"/>
      <c r="N337" s="3481"/>
      <c r="O337" s="3481"/>
      <c r="P337" s="3481"/>
      <c r="Q337" s="3481"/>
    </row>
    <row r="338" spans="8:8" ht="15.75">
      <c r="B338" s="3480"/>
      <c r="C338" s="3480"/>
      <c r="D338" s="3480"/>
      <c r="E338" s="3480"/>
      <c r="F338" s="3480"/>
      <c r="G338" s="3480"/>
      <c r="H338" s="3480"/>
      <c r="I338" s="3481"/>
      <c r="J338" s="3481"/>
      <c r="K338" s="3481"/>
      <c r="L338" s="3481"/>
      <c r="M338" s="3481"/>
      <c r="N338" s="3481"/>
      <c r="O338" s="3481"/>
      <c r="P338" s="3481"/>
      <c r="Q338" s="3481"/>
    </row>
    <row r="339" spans="8:8" ht="15.75">
      <c r="B339" s="3480"/>
      <c r="C339" s="3480"/>
      <c r="D339" s="3480"/>
      <c r="E339" s="3480"/>
      <c r="F339" s="3480"/>
      <c r="G339" s="3480"/>
      <c r="H339" s="3480"/>
      <c r="I339" s="3481"/>
      <c r="J339" s="3481"/>
      <c r="K339" s="3481"/>
      <c r="L339" s="3481"/>
      <c r="M339" s="3481"/>
      <c r="N339" s="3481"/>
      <c r="O339" s="3481"/>
      <c r="P339" s="3481"/>
      <c r="Q339" s="3481"/>
    </row>
    <row r="340" spans="8:8" ht="15.75">
      <c r="B340" s="3480"/>
      <c r="C340" s="3480"/>
      <c r="D340" s="3480"/>
      <c r="E340" s="3480"/>
      <c r="F340" s="3480"/>
      <c r="G340" s="3480"/>
      <c r="H340" s="3480"/>
      <c r="I340" s="3481"/>
      <c r="J340" s="3481"/>
      <c r="K340" s="3481"/>
      <c r="L340" s="3481"/>
      <c r="M340" s="3481"/>
      <c r="N340" s="3481"/>
      <c r="O340" s="3481"/>
      <c r="P340" s="3481"/>
      <c r="Q340" s="3481"/>
    </row>
    <row r="341" spans="8:8" ht="15.75">
      <c r="B341" s="3480"/>
      <c r="C341" s="3480"/>
      <c r="D341" s="3480"/>
      <c r="E341" s="3480"/>
      <c r="F341" s="3480"/>
      <c r="G341" s="3480"/>
      <c r="H341" s="3480"/>
      <c r="I341" s="3481"/>
      <c r="J341" s="3481"/>
      <c r="K341" s="3481"/>
      <c r="L341" s="3481"/>
      <c r="M341" s="3481"/>
      <c r="N341" s="3481"/>
      <c r="O341" s="3481"/>
      <c r="P341" s="3481"/>
      <c r="Q341" s="3481"/>
    </row>
    <row r="342" spans="8:8" ht="15.75">
      <c r="B342" s="3480"/>
      <c r="C342" s="3480"/>
      <c r="D342" s="3480"/>
      <c r="E342" s="3480"/>
      <c r="F342" s="3480"/>
      <c r="G342" s="3480"/>
      <c r="H342" s="3480"/>
      <c r="I342" s="3481"/>
      <c r="J342" s="3481"/>
      <c r="K342" s="3481"/>
      <c r="L342" s="3481"/>
      <c r="M342" s="3481"/>
      <c r="N342" s="3481"/>
      <c r="O342" s="3481"/>
      <c r="P342" s="3481"/>
      <c r="Q342" s="3481"/>
    </row>
    <row r="343" spans="8:8" ht="15.75">
      <c r="B343" s="3480"/>
      <c r="C343" s="3480"/>
      <c r="D343" s="3480"/>
      <c r="E343" s="3480"/>
      <c r="F343" s="3480"/>
      <c r="G343" s="3480"/>
      <c r="H343" s="3480"/>
      <c r="I343" s="3481"/>
      <c r="J343" s="3481"/>
      <c r="K343" s="3481"/>
      <c r="L343" s="3481"/>
      <c r="M343" s="3481"/>
      <c r="N343" s="3481"/>
      <c r="O343" s="3481"/>
      <c r="P343" s="3481"/>
      <c r="Q343" s="3481"/>
    </row>
    <row r="344" spans="8:8" ht="15.75">
      <c r="B344" s="3480"/>
      <c r="C344" s="3480"/>
      <c r="D344" s="3480"/>
      <c r="E344" s="3480"/>
      <c r="F344" s="3480"/>
      <c r="G344" s="3480"/>
      <c r="H344" s="3480"/>
      <c r="I344" s="3481"/>
      <c r="J344" s="3481"/>
      <c r="K344" s="3481"/>
      <c r="L344" s="3481"/>
      <c r="M344" s="3481"/>
      <c r="N344" s="3481"/>
      <c r="O344" s="3481"/>
      <c r="P344" s="3481"/>
      <c r="Q344" s="3481"/>
    </row>
    <row r="345" spans="8:8" ht="15.75">
      <c r="B345" s="3480"/>
      <c r="C345" s="3480"/>
      <c r="D345" s="3480"/>
      <c r="E345" s="3480"/>
      <c r="F345" s="3480"/>
      <c r="G345" s="3480"/>
      <c r="H345" s="3480"/>
      <c r="I345" s="3481"/>
      <c r="J345" s="3481"/>
      <c r="K345" s="3481"/>
      <c r="L345" s="3481"/>
      <c r="M345" s="3481"/>
      <c r="N345" s="3481"/>
      <c r="O345" s="3481"/>
      <c r="P345" s="3481"/>
      <c r="Q345" s="3481"/>
    </row>
    <row r="346" spans="8:8" ht="15.75">
      <c r="B346" s="3480"/>
      <c r="C346" s="3480"/>
      <c r="D346" s="3480"/>
      <c r="E346" s="3480"/>
      <c r="F346" s="3480"/>
      <c r="G346" s="3480"/>
      <c r="H346" s="3480"/>
      <c r="I346" s="3481"/>
      <c r="J346" s="3481"/>
      <c r="K346" s="3481"/>
      <c r="L346" s="3481"/>
      <c r="M346" s="3481"/>
      <c r="N346" s="3481"/>
      <c r="O346" s="3481"/>
      <c r="P346" s="3481"/>
      <c r="Q346" s="3481"/>
    </row>
    <row r="347" spans="8:8" ht="15.75">
      <c r="B347" s="3480"/>
      <c r="C347" s="3480"/>
      <c r="D347" s="3480"/>
      <c r="E347" s="3480"/>
      <c r="F347" s="3480"/>
      <c r="G347" s="3480"/>
      <c r="H347" s="3480"/>
      <c r="I347" s="3481"/>
      <c r="J347" s="3481"/>
      <c r="K347" s="3481"/>
      <c r="L347" s="3481"/>
      <c r="M347" s="3481"/>
      <c r="N347" s="3481"/>
      <c r="O347" s="3481"/>
      <c r="P347" s="3481"/>
      <c r="Q347" s="3481"/>
    </row>
    <row r="348" spans="8:8" ht="15.75">
      <c r="B348" s="3480"/>
      <c r="C348" s="3480"/>
      <c r="D348" s="3480"/>
      <c r="E348" s="3480"/>
      <c r="F348" s="3480"/>
      <c r="G348" s="3480"/>
      <c r="H348" s="3480"/>
      <c r="I348" s="3481"/>
      <c r="J348" s="3481"/>
      <c r="K348" s="3481"/>
      <c r="L348" s="3481"/>
      <c r="M348" s="3481"/>
      <c r="N348" s="3481"/>
      <c r="O348" s="3481"/>
      <c r="P348" s="3481"/>
      <c r="Q348" s="3481"/>
    </row>
    <row r="349" spans="8:8" ht="15.75">
      <c r="B349" s="3480"/>
      <c r="C349" s="3480"/>
      <c r="D349" s="3480"/>
      <c r="E349" s="3480"/>
      <c r="F349" s="3480"/>
      <c r="G349" s="3480"/>
      <c r="H349" s="3480"/>
      <c r="I349" s="3481"/>
      <c r="J349" s="3481"/>
      <c r="K349" s="3481"/>
      <c r="L349" s="3481"/>
      <c r="M349" s="3481"/>
      <c r="N349" s="3481"/>
      <c r="O349" s="3481"/>
      <c r="P349" s="3481"/>
      <c r="Q349" s="3481"/>
    </row>
    <row r="350" spans="8:8" ht="15.75">
      <c r="B350" s="3480"/>
      <c r="C350" s="3480"/>
      <c r="D350" s="3480"/>
      <c r="E350" s="3480"/>
      <c r="F350" s="3480"/>
      <c r="G350" s="3480"/>
      <c r="H350" s="3480"/>
      <c r="I350" s="3481"/>
      <c r="J350" s="3481"/>
      <c r="K350" s="3481"/>
      <c r="L350" s="3481"/>
      <c r="M350" s="3481"/>
      <c r="N350" s="3481"/>
      <c r="O350" s="3481"/>
      <c r="P350" s="3481"/>
      <c r="Q350" s="3481"/>
    </row>
    <row r="351" spans="8:8" ht="15.75">
      <c r="B351" s="3480"/>
      <c r="C351" s="3480"/>
      <c r="D351" s="3480"/>
      <c r="E351" s="3480"/>
      <c r="F351" s="3480"/>
      <c r="G351" s="3480"/>
      <c r="H351" s="3480"/>
      <c r="I351" s="3481"/>
      <c r="J351" s="3481"/>
      <c r="K351" s="3481"/>
      <c r="L351" s="3481"/>
      <c r="M351" s="3481"/>
      <c r="N351" s="3481"/>
      <c r="O351" s="3481"/>
      <c r="P351" s="3481"/>
      <c r="Q351" s="3481"/>
    </row>
    <row r="352" spans="8:8" ht="15.75">
      <c r="B352" s="3480"/>
      <c r="C352" s="3480"/>
      <c r="D352" s="3480"/>
      <c r="E352" s="3480"/>
      <c r="F352" s="3480"/>
      <c r="G352" s="3480"/>
      <c r="H352" s="3480"/>
      <c r="I352" s="3481"/>
      <c r="J352" s="3481"/>
      <c r="K352" s="3481"/>
      <c r="L352" s="3481"/>
      <c r="M352" s="3481"/>
      <c r="N352" s="3481"/>
      <c r="O352" s="3481"/>
      <c r="P352" s="3481"/>
      <c r="Q352" s="3481"/>
    </row>
    <row r="353" spans="8:8" ht="15.75">
      <c r="B353" s="3480"/>
      <c r="C353" s="3480"/>
      <c r="D353" s="3480"/>
      <c r="E353" s="3480"/>
      <c r="F353" s="3480"/>
      <c r="G353" s="3480"/>
      <c r="H353" s="3480"/>
      <c r="I353" s="3481"/>
      <c r="J353" s="3481"/>
      <c r="K353" s="3481"/>
      <c r="L353" s="3481"/>
      <c r="M353" s="3481"/>
      <c r="N353" s="3481"/>
      <c r="O353" s="3481"/>
      <c r="P353" s="3481"/>
      <c r="Q353" s="3481"/>
    </row>
    <row r="354" spans="8:8" ht="15.75">
      <c r="B354" s="3480"/>
      <c r="C354" s="3480"/>
      <c r="D354" s="3480"/>
      <c r="E354" s="3480"/>
      <c r="F354" s="3480"/>
      <c r="G354" s="3480"/>
      <c r="H354" s="3480"/>
      <c r="I354" s="3481"/>
      <c r="J354" s="3481"/>
      <c r="K354" s="3481"/>
      <c r="L354" s="3481"/>
      <c r="M354" s="3481"/>
      <c r="N354" s="3481"/>
      <c r="O354" s="3481"/>
      <c r="P354" s="3481"/>
      <c r="Q354" s="3481"/>
    </row>
    <row r="355" spans="8:8" ht="15.75">
      <c r="B355" s="3480"/>
      <c r="C355" s="3480"/>
      <c r="D355" s="3480"/>
      <c r="E355" s="3480"/>
      <c r="F355" s="3480"/>
      <c r="G355" s="3480"/>
      <c r="H355" s="3480"/>
      <c r="I355" s="3481"/>
      <c r="J355" s="3481"/>
      <c r="K355" s="3481"/>
      <c r="L355" s="3481"/>
      <c r="M355" s="3481"/>
      <c r="N355" s="3481"/>
      <c r="O355" s="3481"/>
      <c r="P355" s="3481"/>
      <c r="Q355" s="3481"/>
    </row>
  </sheetData>
  <sheetProtection sheet="1" objects="1"/>
  <mergeCells count="240">
    <mergeCell ref="I147:J154"/>
    <mergeCell ref="AD98:AE98"/>
    <mergeCell ref="F147:G154"/>
    <mergeCell ref="B170:B171"/>
    <mergeCell ref="B223:F227"/>
    <mergeCell ref="V132:W134"/>
    <mergeCell ref="J218:M223"/>
    <mergeCell ref="B210:C211"/>
    <mergeCell ref="N247:Q248"/>
    <mergeCell ref="N246:Q246"/>
    <mergeCell ref="J249:Q254"/>
    <mergeCell ref="J68:J75"/>
    <mergeCell ref="H208:Q209"/>
    <mergeCell ref="B218:F222"/>
    <mergeCell ref="B185:Q186"/>
    <mergeCell ref="X132:AE134"/>
    <mergeCell ref="S106:V108"/>
    <mergeCell ref="X94:AE95"/>
    <mergeCell ref="AB110:AB112"/>
    <mergeCell ref="AD100:AE100"/>
    <mergeCell ref="Z119:AC120"/>
    <mergeCell ref="AC110:AE112"/>
    <mergeCell ref="N221:Q221"/>
    <mergeCell ref="L72:O75"/>
    <mergeCell ref="AD115:AE120"/>
    <mergeCell ref="I170:Q171"/>
    <mergeCell ref="J76:J82"/>
    <mergeCell ref="F208:G209"/>
    <mergeCell ref="F188:G189"/>
    <mergeCell ref="F204:G205"/>
    <mergeCell ref="F157:G158"/>
    <mergeCell ref="Z2:Z10"/>
    <mergeCell ref="B172:B180"/>
    <mergeCell ref="AB106:AB107"/>
    <mergeCell ref="Q122:AE124"/>
    <mergeCell ref="U109:U112"/>
    <mergeCell ref="Y117:Y118"/>
    <mergeCell ref="K109:L109"/>
    <mergeCell ref="AA42:AE45"/>
    <mergeCell ref="I174:I176"/>
    <mergeCell ref="F146:G146"/>
    <mergeCell ref="AB21:AE23"/>
    <mergeCell ref="Z24:Z36"/>
    <mergeCell ref="J2:J12"/>
    <mergeCell ref="K163:Q163"/>
    <mergeCell ref="D210:E211"/>
    <mergeCell ref="K13:O16"/>
    <mergeCell ref="AA69:AE69"/>
    <mergeCell ref="Q94:V95"/>
    <mergeCell ref="Q81:Z83"/>
    <mergeCell ref="Q74:Z76"/>
    <mergeCell ref="V109:V112"/>
    <mergeCell ref="X115:X116"/>
    <mergeCell ref="V126:W128"/>
    <mergeCell ref="D196:E197"/>
    <mergeCell ref="N219:Q220"/>
    <mergeCell ref="B159:B167"/>
    <mergeCell ref="V135:W137"/>
    <mergeCell ref="B216:G217"/>
    <mergeCell ref="B200:C201"/>
    <mergeCell ref="K164:N167"/>
    <mergeCell ref="B147:B154"/>
    <mergeCell ref="N218:Q218"/>
    <mergeCell ref="H157:I158"/>
    <mergeCell ref="D190:E191"/>
    <mergeCell ref="K2:O12"/>
    <mergeCell ref="Q70:Z70"/>
    <mergeCell ref="K27:O29"/>
    <mergeCell ref="K17:O26"/>
    <mergeCell ref="Z14:Z16"/>
    <mergeCell ref="AD99:AE99"/>
    <mergeCell ref="J177:L177"/>
    <mergeCell ref="F159:G167"/>
    <mergeCell ref="X126:AE128"/>
    <mergeCell ref="AC106:AE107"/>
    <mergeCell ref="AC108:AE109"/>
    <mergeCell ref="C172:D180"/>
    <mergeCell ref="V138:W140"/>
    <mergeCell ref="N116:O117"/>
    <mergeCell ref="O147:Q154"/>
    <mergeCell ref="L147:M154"/>
    <mergeCell ref="K116:L117"/>
    <mergeCell ref="J224:Q228"/>
    <mergeCell ref="J232:Q233"/>
    <mergeCell ref="B212:Q214"/>
    <mergeCell ref="D188:E189"/>
    <mergeCell ref="F194:G195"/>
    <mergeCell ref="B192:C193"/>
    <mergeCell ref="F202:G203"/>
    <mergeCell ref="B188:C189"/>
    <mergeCell ref="N112:O113"/>
    <mergeCell ref="S109:T112"/>
    <mergeCell ref="Z49:Z57"/>
    <mergeCell ref="K108:O108"/>
    <mergeCell ref="X119:X120"/>
    <mergeCell ref="X114:AA114"/>
    <mergeCell ref="K103:L105"/>
    <mergeCell ref="J59:J67"/>
    <mergeCell ref="H194:Q195"/>
    <mergeCell ref="Q96:V100"/>
    <mergeCell ref="K106:O106"/>
    <mergeCell ref="O146:Q146"/>
    <mergeCell ref="K114:L115"/>
    <mergeCell ref="K110:L111"/>
    <mergeCell ref="J174:L176"/>
    <mergeCell ref="J241:Q242"/>
    <mergeCell ref="V129:W131"/>
    <mergeCell ref="B202:C203"/>
    <mergeCell ref="F210:G211"/>
    <mergeCell ref="Q135:U137"/>
    <mergeCell ref="B198:C199"/>
    <mergeCell ref="J230:Q231"/>
    <mergeCell ref="G218:G227"/>
    <mergeCell ref="Q84:Z85"/>
    <mergeCell ref="H190:Q191"/>
    <mergeCell ref="F187:G187"/>
    <mergeCell ref="B208:C209"/>
    <mergeCell ref="Q126:U128"/>
    <mergeCell ref="K159:N160"/>
    <mergeCell ref="I181:Q183"/>
    <mergeCell ref="H196:Q197"/>
    <mergeCell ref="I172:L173"/>
    <mergeCell ref="K161:Q162"/>
    <mergeCell ref="Q78:Z80"/>
    <mergeCell ref="L36:O45"/>
    <mergeCell ref="AB108:AB109"/>
    <mergeCell ref="Z58:Z64"/>
    <mergeCell ref="N110:O111"/>
    <mergeCell ref="K98:L102"/>
    <mergeCell ref="X117:X118"/>
    <mergeCell ref="N102:O105"/>
    <mergeCell ref="K30:O32"/>
    <mergeCell ref="K1:O1"/>
    <mergeCell ref="H206:Q207"/>
    <mergeCell ref="Z117:AC118"/>
    <mergeCell ref="Y115:Y116"/>
    <mergeCell ref="D202:E203"/>
    <mergeCell ref="B84:J84"/>
    <mergeCell ref="Q125:U125"/>
    <mergeCell ref="AC96:AE96"/>
    <mergeCell ref="X125:AE125"/>
    <mergeCell ref="H13:H15"/>
    <mergeCell ref="AA2:AA23"/>
    <mergeCell ref="J42:J58"/>
    <mergeCell ref="J27:J41"/>
    <mergeCell ref="AA39:AE41"/>
    <mergeCell ref="N244:Q245"/>
    <mergeCell ref="Y119:Y120"/>
    <mergeCell ref="I146:J146"/>
    <mergeCell ref="Q104:V105"/>
    <mergeCell ref="J243:M248"/>
    <mergeCell ref="J13:J26"/>
    <mergeCell ref="H187:Q187"/>
    <mergeCell ref="B88:J88"/>
    <mergeCell ref="F200:G201"/>
    <mergeCell ref="B85:J85"/>
    <mergeCell ref="X129:AE131"/>
    <mergeCell ref="O159:Q160"/>
    <mergeCell ref="F206:G207"/>
    <mergeCell ref="C157:D158"/>
    <mergeCell ref="J216:Q217"/>
    <mergeCell ref="D146:E146"/>
    <mergeCell ref="O164:Q167"/>
    <mergeCell ref="F190:G191"/>
    <mergeCell ref="D198:E199"/>
    <mergeCell ref="Q71:Z73"/>
    <mergeCell ref="K157:Q158"/>
    <mergeCell ref="AB113:AE114"/>
    <mergeCell ref="L146:M146"/>
    <mergeCell ref="K68:K75"/>
    <mergeCell ref="B196:C197"/>
    <mergeCell ref="X110:AA113"/>
    <mergeCell ref="N109:O109"/>
    <mergeCell ref="D147:E154"/>
    <mergeCell ref="X96:AB100"/>
    <mergeCell ref="J178:L178"/>
    <mergeCell ref="X138:AE140"/>
    <mergeCell ref="D206:E207"/>
    <mergeCell ref="B157:B158"/>
    <mergeCell ref="B194:C195"/>
    <mergeCell ref="H159:I167"/>
    <mergeCell ref="I180:L180"/>
    <mergeCell ref="C159:D160"/>
    <mergeCell ref="F170:G171"/>
    <mergeCell ref="D187:E187"/>
    <mergeCell ref="Q129:U131"/>
    <mergeCell ref="X135:AE137"/>
    <mergeCell ref="Q90:AE92"/>
    <mergeCell ref="K112:L113"/>
    <mergeCell ref="Z115:AC116"/>
    <mergeCell ref="N114:O115"/>
    <mergeCell ref="X104:AE105"/>
    <mergeCell ref="Q113:V115"/>
    <mergeCell ref="X106:AA109"/>
    <mergeCell ref="AD97:AE97"/>
    <mergeCell ref="Z17:Z23"/>
    <mergeCell ref="Q77:Z77"/>
    <mergeCell ref="Z11:Z13"/>
    <mergeCell ref="AA60:AE60"/>
    <mergeCell ref="Z37:Z48"/>
    <mergeCell ref="Q132:U134"/>
    <mergeCell ref="B190:C191"/>
    <mergeCell ref="H210:Q211"/>
    <mergeCell ref="B206:C207"/>
    <mergeCell ref="M172:Q180"/>
    <mergeCell ref="H198:Q199"/>
    <mergeCell ref="H202:Q203"/>
    <mergeCell ref="D200:E201"/>
    <mergeCell ref="F192:G193"/>
    <mergeCell ref="N98:O101"/>
    <mergeCell ref="J234:Q239"/>
    <mergeCell ref="Q86:Z87"/>
    <mergeCell ref="I13:I15"/>
    <mergeCell ref="AA1:AE1"/>
    <mergeCell ref="B87:J87"/>
    <mergeCell ref="J179:L179"/>
    <mergeCell ref="Q138:U140"/>
    <mergeCell ref="F196:G197"/>
    <mergeCell ref="D204:E205"/>
    <mergeCell ref="N243:Q243"/>
    <mergeCell ref="C170:D171"/>
    <mergeCell ref="Q102:V103"/>
    <mergeCell ref="B204:C205"/>
    <mergeCell ref="H188:Q189"/>
    <mergeCell ref="F172:G180"/>
    <mergeCell ref="H204:Q205"/>
    <mergeCell ref="F198:G199"/>
    <mergeCell ref="D194:E195"/>
    <mergeCell ref="V125:W125"/>
    <mergeCell ref="B86:J86"/>
    <mergeCell ref="X101:AE102"/>
    <mergeCell ref="L68:O71"/>
    <mergeCell ref="Q106:R112"/>
    <mergeCell ref="D192:E193"/>
    <mergeCell ref="B89:J89"/>
    <mergeCell ref="H200:Q201"/>
    <mergeCell ref="B187:C187"/>
    <mergeCell ref="D208:E209"/>
    <mergeCell ref="H192:Q193"/>
    <mergeCell ref="N222:Q223"/>
  </mergeCells>
  <pageMargins left="0.75" right="0.75" top="1.0" bottom="1.0" header="0.509027777777778" footer="0.509027777777778"/>
</worksheet>
</file>

<file path=xl/worksheets/sheet14.xml><?xml version="1.0" encoding="utf-8"?>
<worksheet xmlns:r="http://schemas.openxmlformats.org/officeDocument/2006/relationships" xmlns="http://schemas.openxmlformats.org/spreadsheetml/2006/main">
  <dimension ref="C1:BV145"/>
  <sheetViews>
    <sheetView workbookViewId="0" showGridLines="0" showRowColHeaders="0" zoomScale="75">
      <selection activeCell="C17" sqref="C17:C18"/>
    </sheetView>
  </sheetViews>
  <sheetFormatPr defaultRowHeight="15.75" defaultColWidth="9"/>
  <cols>
    <col min="1" max="3" customWidth="1" width="9.0" style="4091"/>
    <col min="4" max="4" customWidth="1" width="80.66406" style="4091"/>
    <col min="5" max="6" customWidth="1" width="9.0" style="4091"/>
    <col min="7" max="7" customWidth="1" width="80.66406" style="4091"/>
    <col min="8" max="8" customWidth="1" width="9.0" style="4091"/>
    <col min="9" max="16384" customWidth="0" width="9.0" style="4091"/>
  </cols>
  <sheetData>
    <row r="1" spans="8:8" ht="11.95" customHeight="1"/>
    <row r="2" spans="8:8" ht="19.1" customHeight="1">
      <c r="C2" s="4092" t="s">
        <v>5393</v>
      </c>
      <c r="D2" s="4093"/>
      <c r="F2" s="4094" t="s">
        <v>5394</v>
      </c>
      <c r="G2" s="4095"/>
    </row>
    <row r="3" spans="8:8">
      <c r="C3" s="4096" t="s">
        <v>392</v>
      </c>
      <c r="D3" s="4097" t="s">
        <v>5395</v>
      </c>
      <c r="F3" s="4096" t="s">
        <v>392</v>
      </c>
      <c r="G3" s="4097" t="s">
        <v>5395</v>
      </c>
    </row>
    <row r="4" spans="8:8" ht="55.1" customHeight="1">
      <c r="C4" s="4098">
        <v>1.0</v>
      </c>
      <c r="D4" s="4099" t="s">
        <v>5396</v>
      </c>
      <c r="F4" s="4098">
        <v>1.0</v>
      </c>
      <c r="G4" s="4099" t="s">
        <v>5397</v>
      </c>
    </row>
    <row r="5" spans="8:8" ht="55.1" customHeight="1">
      <c r="C5" s="4100">
        <v>2.0</v>
      </c>
      <c r="D5" s="4101" t="s">
        <v>5398</v>
      </c>
      <c r="F5" s="4100">
        <v>2.0</v>
      </c>
      <c r="G5" s="4101" t="s">
        <v>5399</v>
      </c>
    </row>
    <row r="6" spans="8:8" ht="55.1" customHeight="1">
      <c r="C6" s="4098">
        <v>3.0</v>
      </c>
      <c r="D6" s="4099" t="s">
        <v>5400</v>
      </c>
      <c r="F6" s="4098">
        <v>3.0</v>
      </c>
      <c r="G6" s="4099" t="s">
        <v>5401</v>
      </c>
    </row>
    <row r="7" spans="8:8" ht="55.1" customHeight="1">
      <c r="C7" s="4100">
        <v>4.0</v>
      </c>
      <c r="D7" s="4101" t="s">
        <v>5402</v>
      </c>
      <c r="F7" s="4100">
        <v>4.0</v>
      </c>
      <c r="G7" s="4101" t="s">
        <v>5403</v>
      </c>
    </row>
    <row r="8" spans="8:8" ht="55.1" customHeight="1">
      <c r="C8" s="4098">
        <v>5.0</v>
      </c>
      <c r="D8" s="4099" t="s">
        <v>5404</v>
      </c>
      <c r="F8" s="4098">
        <v>5.0</v>
      </c>
      <c r="G8" s="4099" t="s">
        <v>5405</v>
      </c>
    </row>
    <row r="9" spans="8:8" ht="55.1" customHeight="1">
      <c r="C9" s="4100">
        <v>6.0</v>
      </c>
      <c r="D9" s="4101" t="s">
        <v>5406</v>
      </c>
      <c r="F9" s="4100">
        <v>6.0</v>
      </c>
      <c r="G9" s="4101" t="s">
        <v>5407</v>
      </c>
    </row>
    <row r="10" spans="8:8" ht="55.1" customHeight="1">
      <c r="C10" s="4098">
        <v>7.0</v>
      </c>
      <c r="D10" s="4099" t="s">
        <v>5408</v>
      </c>
      <c r="F10" s="4098">
        <v>7.0</v>
      </c>
      <c r="G10" s="4099" t="s">
        <v>5409</v>
      </c>
    </row>
    <row r="11" spans="8:8" ht="55.1" customHeight="1">
      <c r="C11" s="4100">
        <v>8.0</v>
      </c>
      <c r="D11" s="4101" t="s">
        <v>5410</v>
      </c>
      <c r="F11" s="4100">
        <v>8.0</v>
      </c>
      <c r="G11" s="4101" t="s">
        <v>5411</v>
      </c>
    </row>
    <row r="12" spans="8:8" ht="55.1" customHeight="1">
      <c r="C12" s="4098">
        <v>9.0</v>
      </c>
      <c r="D12" s="4099" t="s">
        <v>5412</v>
      </c>
      <c r="F12" s="4098">
        <v>9.0</v>
      </c>
      <c r="G12" s="4099" t="s">
        <v>5413</v>
      </c>
    </row>
    <row r="13" spans="8:8" ht="55.1" customHeight="1">
      <c r="C13" s="4102">
        <v>10.0</v>
      </c>
      <c r="D13" s="4103" t="s">
        <v>5414</v>
      </c>
      <c r="F13" s="4102">
        <v>10.0</v>
      </c>
      <c r="G13" s="4104" t="s">
        <v>5415</v>
      </c>
    </row>
    <row r="15" spans="8:8">
      <c r="C15" s="4105" t="s">
        <v>2258</v>
      </c>
      <c r="D15" s="4106"/>
      <c r="F15" s="4105" t="s">
        <v>2259</v>
      </c>
      <c r="G15" s="4106"/>
    </row>
    <row r="16" spans="8:8">
      <c r="C16" s="4107" t="s">
        <v>392</v>
      </c>
      <c r="D16" s="4108" t="s">
        <v>5416</v>
      </c>
      <c r="E16" s="4109"/>
      <c r="F16" s="4107" t="s">
        <v>392</v>
      </c>
      <c r="G16" s="4108" t="s">
        <v>5416</v>
      </c>
    </row>
    <row r="17" spans="8:8">
      <c r="C17" s="4110">
        <v>0.0</v>
      </c>
      <c r="D17" s="4111" t="str">
        <f>IF(C17=0,"请在左侧输入数字",VLOOKUP(C17,附表!M114:N213,2,FALSE))</f>
        <v>请在左侧输入数字</v>
      </c>
      <c r="E17" s="4109"/>
      <c r="F17" s="4110">
        <v>0.0</v>
      </c>
      <c r="G17" s="4111" t="str">
        <f>IF(F17=0,"请在左侧输入数字",VLOOKUP(F17,附表!S114:T213,2,FALSE))</f>
        <v>请在左侧输入数字</v>
      </c>
    </row>
    <row r="18" spans="8:8">
      <c r="C18" s="4112"/>
      <c r="D18" s="4113"/>
      <c r="E18" s="4109"/>
      <c r="F18" s="4112"/>
      <c r="G18" s="4113"/>
    </row>
    <row r="19" spans="8:8" ht="19.4">
      <c r="C19" s="4114"/>
      <c r="D19" s="4114"/>
      <c r="E19" s="4109"/>
      <c r="F19" s="4114"/>
      <c r="G19" s="4114"/>
    </row>
    <row r="23" spans="8:8">
      <c r="C23" s="4115" t="s">
        <v>5417</v>
      </c>
      <c r="D23" s="4116"/>
      <c r="E23" s="4116"/>
      <c r="F23" s="4116"/>
      <c r="G23" s="4117"/>
    </row>
    <row r="24" spans="8:8" ht="16.95" customHeight="1">
      <c r="C24" s="4118"/>
      <c r="D24" s="4119"/>
      <c r="E24" s="4119"/>
      <c r="F24" s="4119"/>
      <c r="G24" s="4120"/>
    </row>
    <row r="25" spans="8:8" ht="20.0" customHeight="1">
      <c r="C25" s="4121"/>
      <c r="D25" s="4122"/>
      <c r="E25" s="4122"/>
      <c r="F25" s="4122"/>
      <c r="G25" s="4123"/>
    </row>
    <row r="26" spans="8:8" ht="19.4">
      <c r="C26" s="4114"/>
      <c r="D26" s="4114"/>
      <c r="E26" s="4109"/>
      <c r="F26" s="4114"/>
      <c r="G26" s="4114"/>
    </row>
    <row r="27" spans="8:8">
      <c r="C27" s="4124" t="s">
        <v>5418</v>
      </c>
      <c r="D27" s="4125"/>
      <c r="E27" s="4109"/>
      <c r="F27" s="4124" t="s">
        <v>5419</v>
      </c>
      <c r="G27" s="4125"/>
    </row>
    <row r="28" spans="8:8">
      <c r="C28" s="4126"/>
      <c r="D28" s="4127"/>
      <c r="E28" s="4109"/>
      <c r="F28" s="4126"/>
      <c r="G28" s="4127"/>
    </row>
    <row r="29" spans="8:8">
      <c r="C29" s="4128" t="s">
        <v>5420</v>
      </c>
      <c r="D29" s="4129"/>
      <c r="E29" s="4109"/>
      <c r="F29" s="4128" t="s">
        <v>5421</v>
      </c>
      <c r="G29" s="4129"/>
    </row>
    <row r="30" spans="8:8">
      <c r="C30" s="4130"/>
      <c r="D30" s="4131"/>
      <c r="E30" s="4109"/>
      <c r="F30" s="4130"/>
      <c r="G30" s="4131"/>
    </row>
    <row r="31" spans="8:8" ht="15.0" customHeight="1">
      <c r="C31" s="4130"/>
      <c r="D31" s="4131"/>
      <c r="E31" s="4109"/>
      <c r="F31" s="4130"/>
      <c r="G31" s="4131"/>
    </row>
    <row r="32" spans="8:8" ht="15.0" customHeight="1">
      <c r="C32" s="4132"/>
      <c r="D32" s="4133"/>
      <c r="E32" s="4109"/>
      <c r="F32" s="4130"/>
      <c r="G32" s="4131"/>
    </row>
    <row r="33" spans="8:8" ht="15.0" customHeight="1">
      <c r="C33" s="4114"/>
      <c r="D33" s="4114"/>
      <c r="E33" s="4109"/>
      <c r="F33" s="4130"/>
      <c r="G33" s="4131"/>
    </row>
    <row r="34" spans="8:8" ht="15.0" customHeight="1">
      <c r="C34" s="4124" t="s">
        <v>5422</v>
      </c>
      <c r="D34" s="4134" t="s">
        <v>5423</v>
      </c>
      <c r="E34" s="4109"/>
      <c r="F34" s="4130"/>
      <c r="G34" s="4131"/>
    </row>
    <row r="35" spans="8:8" ht="15.0" customHeight="1">
      <c r="C35" s="4126"/>
      <c r="D35" s="4135"/>
      <c r="E35" s="4109"/>
      <c r="F35" s="4130"/>
      <c r="G35" s="4131"/>
    </row>
    <row r="36" spans="8:8" ht="15.0" customHeight="1">
      <c r="C36" s="4126"/>
      <c r="D36" s="4135"/>
      <c r="E36" s="4109"/>
      <c r="F36" s="4130"/>
      <c r="G36" s="4131"/>
    </row>
    <row r="37" spans="8:8" ht="15.0" customHeight="1">
      <c r="C37" s="4126"/>
      <c r="D37" s="4135"/>
      <c r="E37" s="4109"/>
      <c r="F37" s="4130"/>
      <c r="G37" s="4131"/>
    </row>
    <row r="38" spans="8:8" ht="15.0" customHeight="1">
      <c r="C38" s="4126"/>
      <c r="D38" s="4135"/>
      <c r="E38" s="4109"/>
      <c r="F38" s="4130"/>
      <c r="G38" s="4131"/>
    </row>
    <row r="39" spans="8:8" ht="15.0" customHeight="1">
      <c r="C39" s="4126"/>
      <c r="D39" s="4135"/>
      <c r="E39" s="4109"/>
      <c r="F39" s="4130"/>
      <c r="G39" s="4131"/>
      <c r="H39" s="4136" t="s">
        <v>5424</v>
      </c>
    </row>
    <row r="40" spans="8:8">
      <c r="C40" s="4126"/>
      <c r="D40" s="4135" t="s">
        <v>5425</v>
      </c>
      <c r="E40" s="4109"/>
      <c r="F40" s="4130"/>
      <c r="G40" s="4131"/>
    </row>
    <row r="41" spans="8:8">
      <c r="C41" s="4126"/>
      <c r="D41" s="4135"/>
      <c r="E41" s="4109"/>
      <c r="F41" s="4130"/>
      <c r="G41" s="4131"/>
    </row>
    <row r="42" spans="8:8">
      <c r="C42" s="4137"/>
      <c r="D42" s="4138"/>
      <c r="E42" s="4109"/>
      <c r="F42" s="4132"/>
      <c r="G42" s="4133"/>
    </row>
    <row r="43" spans="8:8" ht="19.4">
      <c r="C43" s="4114"/>
      <c r="D43" s="4114"/>
      <c r="E43" s="4109"/>
      <c r="F43" s="4114"/>
      <c r="G43" s="4114"/>
    </row>
    <row r="44" spans="8:8">
      <c r="C44" s="4115" t="s">
        <v>5426</v>
      </c>
      <c r="D44" s="4116"/>
      <c r="E44" s="4116"/>
      <c r="F44" s="4116"/>
      <c r="G44" s="4117"/>
    </row>
    <row r="45" spans="8:8">
      <c r="C45" s="4118"/>
      <c r="D45" s="4119"/>
      <c r="E45" s="4119"/>
      <c r="F45" s="4119"/>
      <c r="G45" s="4120"/>
    </row>
    <row r="46" spans="8:8">
      <c r="C46" s="4121"/>
      <c r="D46" s="4122"/>
      <c r="E46" s="4122"/>
      <c r="F46" s="4122"/>
      <c r="G46" s="4123"/>
    </row>
    <row r="47" spans="8:8" ht="19.4">
      <c r="C47" s="4114"/>
      <c r="D47" s="4114"/>
      <c r="E47" s="4109"/>
      <c r="F47" s="4114"/>
      <c r="G47" s="4114"/>
    </row>
    <row r="48" spans="8:8">
      <c r="C48" s="4139" t="s">
        <v>5427</v>
      </c>
      <c r="D48" s="4140" t="s">
        <v>5428</v>
      </c>
      <c r="E48" s="4109"/>
      <c r="F48" s="4139" t="s">
        <v>5429</v>
      </c>
      <c r="G48" s="4140" t="s">
        <v>5430</v>
      </c>
    </row>
    <row r="49" spans="8:8">
      <c r="C49" s="4141"/>
      <c r="D49" s="4142"/>
      <c r="E49" s="4109"/>
      <c r="F49" s="4141"/>
      <c r="G49" s="4142"/>
    </row>
    <row r="50" spans="8:8">
      <c r="C50" s="4143"/>
      <c r="D50" s="4144"/>
      <c r="E50" s="4109"/>
      <c r="F50" s="4143"/>
      <c r="G50" s="4144"/>
    </row>
    <row r="51" spans="8:8">
      <c r="D51" s="4109"/>
      <c r="E51" s="4109"/>
      <c r="F51" s="4145"/>
      <c r="G51" s="4145"/>
    </row>
    <row r="52" spans="8:8">
      <c r="C52" s="4139" t="s">
        <v>5431</v>
      </c>
      <c r="D52" s="4140" t="s">
        <v>5432</v>
      </c>
      <c r="E52" s="4109"/>
      <c r="F52" s="4139" t="s">
        <v>5433</v>
      </c>
      <c r="G52" s="4146" t="s">
        <v>5434</v>
      </c>
    </row>
    <row r="53" spans="8:8">
      <c r="C53" s="4141"/>
      <c r="D53" s="4142"/>
      <c r="E53" s="4109"/>
      <c r="F53" s="4141"/>
      <c r="G53" s="4147"/>
    </row>
    <row r="54" spans="8:8">
      <c r="C54" s="4141"/>
      <c r="D54" s="4142"/>
      <c r="E54" s="4109"/>
      <c r="F54" s="4141"/>
      <c r="G54" s="4148" t="s">
        <v>5435</v>
      </c>
    </row>
    <row r="55" spans="8:8">
      <c r="C55" s="4141" t="s">
        <v>5436</v>
      </c>
      <c r="D55" s="4149" t="s">
        <v>5437</v>
      </c>
      <c r="E55" s="4109"/>
      <c r="F55" s="4141"/>
      <c r="G55" s="4148"/>
    </row>
    <row r="56" spans="8:8">
      <c r="C56" s="4141"/>
      <c r="D56" s="4150"/>
      <c r="E56" s="4109"/>
      <c r="F56" s="4141"/>
      <c r="G56" s="4147"/>
    </row>
    <row r="57" spans="8:8">
      <c r="C57" s="4141"/>
      <c r="D57" s="4142" t="s">
        <v>5438</v>
      </c>
      <c r="E57" s="4109"/>
      <c r="F57" s="4141"/>
      <c r="G57" s="4148" t="s">
        <v>5439</v>
      </c>
    </row>
    <row r="58" spans="8:8">
      <c r="C58" s="4141"/>
      <c r="D58" s="4142"/>
      <c r="E58" s="4109"/>
      <c r="F58" s="4141"/>
      <c r="G58" s="4151"/>
    </row>
    <row r="59" spans="8:8">
      <c r="C59" s="4141" t="s">
        <v>5440</v>
      </c>
      <c r="D59" s="4149" t="s">
        <v>5441</v>
      </c>
      <c r="E59" s="4109"/>
      <c r="F59" s="4141"/>
      <c r="G59" s="4151"/>
    </row>
    <row r="60" spans="8:8">
      <c r="C60" s="4141"/>
      <c r="D60" s="4142"/>
      <c r="E60" s="4109"/>
      <c r="F60" s="4141"/>
      <c r="G60" s="4152" t="s">
        <v>5442</v>
      </c>
    </row>
    <row r="61" spans="8:8">
      <c r="C61" s="4141"/>
      <c r="D61" s="4142"/>
      <c r="E61" s="4109"/>
      <c r="F61" s="4141"/>
      <c r="G61" s="4151"/>
    </row>
    <row r="62" spans="8:8">
      <c r="C62" s="4143"/>
      <c r="D62" s="4144"/>
      <c r="E62" s="4109"/>
      <c r="F62" s="4141"/>
      <c r="G62" s="4151"/>
    </row>
    <row r="63" spans="8:8">
      <c r="C63" s="2633"/>
      <c r="D63" s="2633"/>
      <c r="E63" s="4109"/>
      <c r="F63" s="4143"/>
      <c r="G63" s="4153"/>
    </row>
    <row r="64" spans="8:8">
      <c r="C64" s="4145"/>
      <c r="D64" s="4145"/>
      <c r="E64" s="4109"/>
      <c r="F64" s="4145"/>
      <c r="G64" s="4145"/>
    </row>
    <row r="65" spans="8:8">
      <c r="C65" s="4145"/>
      <c r="D65" s="4145"/>
      <c r="E65" s="4109"/>
      <c r="F65" s="4145"/>
      <c r="G65" s="4145"/>
    </row>
    <row r="66" spans="8:8">
      <c r="C66" s="4145"/>
      <c r="D66" s="4145"/>
      <c r="E66" s="4109"/>
      <c r="F66" s="4145"/>
      <c r="G66" s="4145"/>
    </row>
    <row r="67" spans="8:8">
      <c r="C67" s="4145"/>
      <c r="D67" s="4145"/>
      <c r="E67" s="4109"/>
      <c r="F67" s="4145"/>
      <c r="G67" s="4145"/>
    </row>
    <row r="68" spans="8:8">
      <c r="C68" s="4145"/>
      <c r="D68" s="4145"/>
      <c r="E68" s="4109"/>
      <c r="F68" s="4145"/>
      <c r="G68" s="4145"/>
    </row>
    <row r="69" spans="8:8">
      <c r="C69" s="4145"/>
      <c r="D69" s="4145"/>
      <c r="E69" s="4109"/>
      <c r="F69" s="4145"/>
      <c r="G69" s="4145"/>
    </row>
    <row r="70" spans="8:8">
      <c r="C70" s="4145"/>
      <c r="D70" s="4145"/>
      <c r="E70" s="4109"/>
      <c r="F70" s="4145"/>
      <c r="G70" s="4145"/>
    </row>
    <row r="71" spans="8:8">
      <c r="C71" s="4145"/>
      <c r="D71" s="4145"/>
      <c r="E71" s="4109"/>
      <c r="F71" s="4145"/>
      <c r="G71" s="4145"/>
    </row>
    <row r="72" spans="8:8">
      <c r="C72" s="4145"/>
      <c r="D72" s="4145"/>
      <c r="E72" s="4109"/>
      <c r="F72" s="4145"/>
      <c r="G72" s="4145"/>
    </row>
    <row r="73" spans="8:8">
      <c r="C73" s="4145"/>
      <c r="D73" s="4145"/>
      <c r="E73" s="4109"/>
      <c r="F73" s="4145"/>
      <c r="G73" s="4145"/>
    </row>
    <row r="74" spans="8:8">
      <c r="C74" s="4145"/>
      <c r="D74" s="4145"/>
      <c r="E74" s="4109"/>
      <c r="F74" s="4145"/>
      <c r="G74" s="4145"/>
    </row>
    <row r="75" spans="8:8">
      <c r="C75" s="4145"/>
      <c r="D75" s="4145"/>
      <c r="E75" s="4109"/>
      <c r="F75" s="4145"/>
      <c r="G75" s="4145"/>
    </row>
    <row r="76" spans="8:8">
      <c r="C76" s="4145"/>
      <c r="D76" s="4145"/>
      <c r="E76" s="4109"/>
      <c r="F76" s="4145"/>
      <c r="G76" s="4145"/>
    </row>
    <row r="77" spans="8:8">
      <c r="C77" s="4145"/>
      <c r="D77" s="4145"/>
      <c r="E77" s="4109"/>
      <c r="F77" s="4145"/>
      <c r="G77" s="4145"/>
    </row>
    <row r="78" spans="8:8">
      <c r="C78" s="4145"/>
      <c r="D78" s="4145"/>
      <c r="E78" s="4109"/>
      <c r="F78" s="4145"/>
      <c r="G78" s="4145"/>
    </row>
    <row r="79" spans="8:8">
      <c r="C79" s="4145"/>
      <c r="D79" s="4145"/>
      <c r="E79" s="4109"/>
      <c r="F79" s="4145"/>
      <c r="G79" s="4145"/>
    </row>
    <row r="80" spans="8:8">
      <c r="C80" s="4145"/>
      <c r="D80" s="4145"/>
      <c r="E80" s="4109"/>
      <c r="F80" s="4145"/>
      <c r="G80" s="4145"/>
    </row>
    <row r="81" spans="8:8">
      <c r="C81" s="4145"/>
      <c r="D81" s="4145"/>
      <c r="E81" s="4109"/>
      <c r="F81" s="4145"/>
      <c r="G81" s="4145"/>
    </row>
    <row r="82" spans="8:8">
      <c r="C82" s="4145"/>
      <c r="D82" s="4145"/>
      <c r="E82" s="4109"/>
      <c r="F82" s="4145"/>
      <c r="G82" s="4145"/>
    </row>
    <row r="83" spans="8:8">
      <c r="C83" s="4145"/>
      <c r="D83" s="4145"/>
      <c r="E83" s="4109"/>
      <c r="F83" s="4145"/>
      <c r="G83" s="4145"/>
    </row>
    <row r="84" spans="8:8">
      <c r="C84" s="4145"/>
      <c r="D84" s="4145"/>
      <c r="E84" s="4109"/>
      <c r="F84" s="4145"/>
      <c r="G84" s="4145"/>
    </row>
    <row r="85" spans="8:8">
      <c r="C85" s="4145"/>
      <c r="D85" s="4145"/>
      <c r="E85" s="4109"/>
      <c r="F85" s="4145"/>
      <c r="G85" s="4145"/>
    </row>
    <row r="86" spans="8:8">
      <c r="C86" s="4145"/>
      <c r="D86" s="4145"/>
      <c r="E86" s="4109"/>
      <c r="F86" s="4145"/>
      <c r="G86" s="4145"/>
    </row>
    <row r="87" spans="8:8">
      <c r="C87" s="4145"/>
      <c r="D87" s="4145"/>
      <c r="E87" s="4109"/>
      <c r="F87" s="4145"/>
      <c r="G87" s="4145"/>
    </row>
    <row r="88" spans="8:8">
      <c r="C88" s="4145"/>
      <c r="D88" s="4145"/>
      <c r="E88" s="4109"/>
      <c r="F88" s="4145"/>
      <c r="G88" s="4145"/>
    </row>
    <row r="89" spans="8:8">
      <c r="C89" s="4145"/>
      <c r="D89" s="4145"/>
      <c r="E89" s="4109"/>
      <c r="F89" s="4145"/>
      <c r="G89" s="4145"/>
    </row>
    <row r="90" spans="8:8">
      <c r="C90" s="4145"/>
      <c r="D90" s="4145"/>
      <c r="E90" s="4109"/>
      <c r="F90" s="4145"/>
      <c r="G90" s="4145"/>
    </row>
    <row r="91" spans="8:8">
      <c r="C91" s="4145"/>
      <c r="D91" s="4145"/>
      <c r="E91" s="4109"/>
      <c r="F91" s="4145"/>
      <c r="G91" s="4145"/>
    </row>
    <row r="92" spans="8:8">
      <c r="C92" s="4145"/>
      <c r="D92" s="4145"/>
      <c r="E92" s="4109"/>
      <c r="F92" s="4145"/>
      <c r="G92" s="4145"/>
    </row>
    <row r="93" spans="8:8">
      <c r="C93" s="4145"/>
      <c r="D93" s="4145"/>
      <c r="E93" s="4109"/>
      <c r="F93" s="4145"/>
      <c r="G93" s="4145"/>
    </row>
    <row r="94" spans="8:8" ht="19.4">
      <c r="C94" s="4114"/>
      <c r="D94" s="4114"/>
      <c r="E94" s="4109"/>
      <c r="F94" s="4114"/>
      <c r="G94" s="4114"/>
    </row>
    <row r="95" spans="8:8" ht="19.4">
      <c r="C95" s="4114"/>
      <c r="D95" s="4114"/>
      <c r="E95" s="4109"/>
      <c r="F95" s="4114"/>
      <c r="G95" s="4114"/>
    </row>
    <row r="96" spans="8:8" ht="19.4">
      <c r="C96" s="4114"/>
      <c r="D96" s="4114"/>
      <c r="E96" s="4109"/>
      <c r="F96" s="4114"/>
      <c r="G96" s="4114"/>
    </row>
    <row r="97" spans="8:8" ht="19.4">
      <c r="C97" s="4114"/>
      <c r="D97" s="4114"/>
      <c r="E97" s="4109"/>
      <c r="F97" s="4114"/>
      <c r="G97" s="4114"/>
    </row>
    <row r="98" spans="8:8" ht="19.4">
      <c r="C98" s="4114"/>
      <c r="D98" s="4114"/>
      <c r="E98" s="4109"/>
      <c r="F98" s="4114"/>
      <c r="G98" s="4114"/>
    </row>
    <row r="99" spans="8:8" ht="19.4">
      <c r="C99" s="4114"/>
      <c r="D99" s="4114"/>
      <c r="E99" s="4109"/>
      <c r="F99" s="4114"/>
      <c r="G99" s="4114"/>
    </row>
    <row r="100" spans="8:8" ht="19.4">
      <c r="C100" s="4114"/>
      <c r="D100" s="4114"/>
      <c r="E100" s="4109"/>
      <c r="F100" s="4114"/>
      <c r="G100" s="4114"/>
    </row>
    <row r="101" spans="8:8" ht="19.4">
      <c r="C101" s="4114"/>
      <c r="D101" s="4114"/>
      <c r="E101" s="4109"/>
      <c r="F101" s="4114"/>
      <c r="G101" s="4114"/>
    </row>
    <row r="102" spans="8:8" ht="19.4">
      <c r="C102" s="4114"/>
      <c r="D102" s="4114"/>
      <c r="E102" s="4109"/>
      <c r="F102" s="4114"/>
      <c r="G102" s="4114"/>
    </row>
    <row r="103" spans="8:8" ht="19.4">
      <c r="C103" s="4114"/>
      <c r="D103" s="4114"/>
      <c r="E103" s="4109"/>
      <c r="F103" s="4114"/>
      <c r="G103" s="4114"/>
    </row>
    <row r="104" spans="8:8" ht="19.4">
      <c r="C104" s="4114"/>
      <c r="D104" s="4114"/>
      <c r="E104" s="4109"/>
      <c r="F104" s="4114"/>
      <c r="G104" s="4114"/>
    </row>
    <row r="105" spans="8:8" ht="19.4">
      <c r="C105" s="4114"/>
      <c r="D105" s="4114"/>
      <c r="E105" s="4109"/>
      <c r="F105" s="4114"/>
      <c r="G105" s="4114"/>
    </row>
    <row r="106" spans="8:8" ht="19.4">
      <c r="C106" s="4114"/>
      <c r="D106" s="4114"/>
      <c r="E106" s="4109"/>
      <c r="F106" s="4114"/>
      <c r="G106" s="4114"/>
    </row>
    <row r="107" spans="8:8" ht="19.4">
      <c r="C107" s="4114"/>
      <c r="D107" s="4114"/>
      <c r="E107" s="4109"/>
      <c r="F107" s="4114"/>
      <c r="G107" s="4114"/>
    </row>
    <row r="108" spans="8:8" ht="19.4">
      <c r="C108" s="4114"/>
      <c r="D108" s="4114"/>
      <c r="E108" s="4109"/>
      <c r="F108" s="4114"/>
      <c r="G108" s="4114"/>
    </row>
    <row r="109" spans="8:8" ht="19.4">
      <c r="C109" s="4114"/>
      <c r="D109" s="4114"/>
      <c r="E109" s="4109"/>
      <c r="F109" s="4114"/>
      <c r="G109" s="4114"/>
    </row>
    <row r="110" spans="8:8" ht="19.4">
      <c r="C110" s="4114"/>
      <c r="D110" s="4114"/>
      <c r="E110" s="4109"/>
      <c r="F110" s="4114"/>
      <c r="G110" s="4114"/>
    </row>
    <row r="111" spans="8:8" ht="19.4">
      <c r="C111" s="4114"/>
      <c r="D111" s="4114"/>
      <c r="E111" s="4109"/>
      <c r="F111" s="4114"/>
      <c r="G111" s="4114"/>
    </row>
    <row r="112" spans="8:8" ht="19.4">
      <c r="C112" s="4114"/>
      <c r="D112" s="4114"/>
      <c r="E112" s="4109"/>
      <c r="F112" s="4114"/>
      <c r="G112" s="4114"/>
    </row>
    <row r="113" spans="8:8" ht="19.4">
      <c r="C113" s="4114"/>
      <c r="D113" s="4114"/>
      <c r="E113" s="4109"/>
      <c r="F113" s="4114"/>
      <c r="G113" s="4114"/>
    </row>
    <row r="114" spans="8:8" ht="19.4">
      <c r="C114" s="4114"/>
      <c r="D114" s="4114"/>
      <c r="E114" s="4109"/>
      <c r="F114" s="4114"/>
      <c r="G114" s="4114"/>
    </row>
    <row r="115" spans="8:8" ht="19.4">
      <c r="C115" s="4114"/>
      <c r="D115" s="4114"/>
      <c r="E115" s="4109"/>
      <c r="F115" s="4114"/>
      <c r="G115" s="4114"/>
    </row>
    <row r="116" spans="8:8" ht="19.4">
      <c r="C116" s="4114"/>
      <c r="D116" s="4114"/>
      <c r="E116" s="4109"/>
      <c r="F116" s="4114"/>
      <c r="G116" s="4114"/>
    </row>
    <row r="117" spans="8:8" ht="19.4">
      <c r="C117" s="4114"/>
      <c r="D117" s="4114"/>
      <c r="E117" s="4109"/>
      <c r="F117" s="4114"/>
      <c r="G117" s="4114"/>
    </row>
    <row r="118" spans="8:8" ht="19.4">
      <c r="C118" s="4114"/>
      <c r="D118" s="4114"/>
      <c r="E118" s="4109"/>
      <c r="F118" s="4114"/>
      <c r="G118" s="4114"/>
    </row>
    <row r="119" spans="8:8" ht="19.4">
      <c r="C119" s="4114"/>
      <c r="D119" s="4114"/>
      <c r="E119" s="4109"/>
      <c r="F119" s="4114"/>
      <c r="G119" s="4114"/>
    </row>
    <row r="120" spans="8:8" ht="19.4">
      <c r="C120" s="4114"/>
      <c r="D120" s="4114"/>
      <c r="E120" s="4109"/>
      <c r="F120" s="4114"/>
      <c r="G120" s="4114"/>
    </row>
    <row r="121" spans="8:8" ht="19.4">
      <c r="C121" s="4114"/>
      <c r="D121" s="4114"/>
      <c r="E121" s="4109"/>
      <c r="F121" s="4114"/>
      <c r="G121" s="4114"/>
    </row>
    <row r="122" spans="8:8" ht="19.4">
      <c r="C122" s="4114"/>
      <c r="D122" s="4114"/>
      <c r="E122" s="4109"/>
      <c r="F122" s="4114"/>
      <c r="G122" s="4114"/>
    </row>
    <row r="123" spans="8:8" ht="19.4">
      <c r="C123" s="4114"/>
      <c r="D123" s="4114"/>
      <c r="E123" s="4109"/>
      <c r="F123" s="4114"/>
      <c r="G123" s="4114"/>
    </row>
    <row r="124" spans="8:8" ht="19.4">
      <c r="C124" s="4114"/>
      <c r="D124" s="4114"/>
      <c r="E124" s="4109"/>
      <c r="F124" s="4114"/>
      <c r="G124" s="4114"/>
    </row>
    <row r="125" spans="8:8" ht="19.4">
      <c r="C125" s="4114"/>
      <c r="D125" s="4114"/>
      <c r="E125" s="4109"/>
      <c r="F125" s="4114"/>
      <c r="G125" s="4114"/>
    </row>
    <row r="126" spans="8:8" ht="19.4">
      <c r="C126" s="4114"/>
      <c r="D126" s="4114"/>
      <c r="E126" s="4109"/>
      <c r="F126" s="4114"/>
      <c r="G126" s="4114"/>
    </row>
    <row r="127" spans="8:8" ht="19.4">
      <c r="C127" s="4114"/>
      <c r="D127" s="4114"/>
      <c r="E127" s="4109"/>
      <c r="F127" s="4114"/>
      <c r="G127" s="4114"/>
    </row>
    <row r="128" spans="8:8" ht="19.4">
      <c r="C128" s="4114"/>
      <c r="D128" s="4114"/>
      <c r="E128" s="4109"/>
      <c r="F128" s="4114"/>
      <c r="G128" s="4114"/>
    </row>
    <row r="129" spans="8:8" ht="19.4">
      <c r="C129" s="4114"/>
      <c r="D129" s="4114"/>
      <c r="E129" s="4109"/>
      <c r="F129" s="4114"/>
      <c r="G129" s="4114"/>
    </row>
    <row r="130" spans="8:8" ht="19.4">
      <c r="C130" s="4114"/>
      <c r="D130" s="4114"/>
      <c r="E130" s="4109"/>
      <c r="F130" s="4114"/>
      <c r="G130" s="4114"/>
    </row>
    <row r="131" spans="8:8" ht="19.4">
      <c r="C131" s="4114"/>
      <c r="D131" s="4114"/>
      <c r="E131" s="4109"/>
      <c r="F131" s="4114"/>
      <c r="G131" s="4114"/>
    </row>
    <row r="132" spans="8:8" ht="19.4">
      <c r="C132" s="4114"/>
      <c r="D132" s="4114"/>
      <c r="E132" s="4109"/>
      <c r="F132" s="4114"/>
      <c r="G132" s="4114"/>
    </row>
    <row r="133" spans="8:8" ht="19.4">
      <c r="C133" s="4114"/>
      <c r="D133" s="4114"/>
      <c r="E133" s="4109"/>
      <c r="F133" s="4114"/>
      <c r="G133" s="4114"/>
    </row>
    <row r="134" spans="8:8" ht="19.4">
      <c r="C134" s="4114"/>
      <c r="D134" s="4114"/>
      <c r="E134" s="4109"/>
      <c r="F134" s="4114"/>
      <c r="G134" s="4114"/>
    </row>
    <row r="135" spans="8:8" ht="19.4">
      <c r="C135" s="4114"/>
      <c r="D135" s="4114"/>
      <c r="E135" s="4109"/>
      <c r="F135" s="4114"/>
      <c r="G135" s="4114"/>
    </row>
    <row r="136" spans="8:8" ht="19.4">
      <c r="C136" s="4114"/>
      <c r="D136" s="4114"/>
      <c r="E136" s="4109"/>
      <c r="F136" s="4114"/>
      <c r="G136" s="4114"/>
    </row>
    <row r="137" spans="8:8" ht="19.4">
      <c r="C137" s="4114"/>
      <c r="D137" s="4114"/>
      <c r="E137" s="4109"/>
      <c r="F137" s="4114"/>
      <c r="G137" s="4114"/>
    </row>
    <row r="138" spans="8:8" ht="19.4">
      <c r="C138" s="4114"/>
      <c r="D138" s="4114"/>
      <c r="E138" s="4109"/>
      <c r="F138" s="4114"/>
      <c r="G138" s="4114"/>
    </row>
    <row r="139" spans="8:8" ht="19.4">
      <c r="C139" s="4109"/>
      <c r="D139" s="4109"/>
      <c r="E139" s="4109"/>
      <c r="F139" s="4114"/>
      <c r="G139" s="4114"/>
    </row>
    <row r="140" spans="8:8" ht="19.4">
      <c r="C140" s="4109"/>
      <c r="D140" s="4109"/>
      <c r="E140" s="4109"/>
      <c r="F140" s="4114"/>
      <c r="G140" s="4114"/>
    </row>
    <row r="141" spans="8:8" ht="19.4">
      <c r="C141" s="4109"/>
      <c r="D141" s="4109"/>
      <c r="E141" s="4109"/>
      <c r="F141" s="4114"/>
      <c r="G141" s="4114"/>
    </row>
    <row r="142" spans="8:8" ht="19.4">
      <c r="C142" s="4109"/>
      <c r="D142" s="4109"/>
      <c r="E142" s="4109"/>
      <c r="F142" s="4114"/>
      <c r="G142" s="4114"/>
    </row>
    <row r="143" spans="8:8" ht="19.4">
      <c r="C143" s="4109"/>
      <c r="D143" s="4109"/>
      <c r="E143" s="4109"/>
      <c r="F143" s="4114"/>
      <c r="G143" s="4114"/>
    </row>
    <row r="144" spans="8:8" ht="19.4">
      <c r="C144" s="4109"/>
      <c r="D144" s="4109"/>
      <c r="E144" s="4109"/>
      <c r="F144" s="4114"/>
      <c r="G144" s="4114"/>
    </row>
    <row r="145" spans="8:8" ht="19.4">
      <c r="C145" s="4109"/>
      <c r="D145" s="4109"/>
      <c r="E145" s="4109"/>
      <c r="F145" s="4114"/>
      <c r="G145" s="4114"/>
    </row>
  </sheetData>
  <sheetProtection password="d857" sheet="1" objects="1"/>
  <mergeCells count="33">
    <mergeCell ref="F2:G2"/>
    <mergeCell ref="D57:D58"/>
    <mergeCell ref="G60:G63"/>
    <mergeCell ref="D59:D62"/>
    <mergeCell ref="F29:G42"/>
    <mergeCell ref="G57:G59"/>
    <mergeCell ref="F15:G15"/>
    <mergeCell ref="D52:D54"/>
    <mergeCell ref="C34:C42"/>
    <mergeCell ref="F52:F63"/>
    <mergeCell ref="C55:C58"/>
    <mergeCell ref="F17:F18"/>
    <mergeCell ref="C23:G25"/>
    <mergeCell ref="D48:D50"/>
    <mergeCell ref="D17:D18"/>
    <mergeCell ref="C2:D2"/>
    <mergeCell ref="C59:C62"/>
    <mergeCell ref="F27:G28"/>
    <mergeCell ref="C17:C18"/>
    <mergeCell ref="C15:D15"/>
    <mergeCell ref="G48:G50"/>
    <mergeCell ref="D55:D56"/>
    <mergeCell ref="G17:G18"/>
    <mergeCell ref="C44:G46"/>
    <mergeCell ref="F48:F50"/>
    <mergeCell ref="C48:C50"/>
    <mergeCell ref="C27:D28"/>
    <mergeCell ref="G54:G56"/>
    <mergeCell ref="D40:D42"/>
    <mergeCell ref="D34:D39"/>
    <mergeCell ref="C29:D32"/>
    <mergeCell ref="G52:G53"/>
    <mergeCell ref="C52:C54"/>
  </mergeCells>
  <dataValidations count="1">
    <dataValidation allowBlank="1" type="any" operator="between" errorStyle="stop" showInputMessage="1" promptTitle="具体内容" prompt="如果疯狂发作是在远离其他调查员同伴的情况下发作，或是所有人同时进入疯狂发作的话，守秘人可以有选择的进行简单的描述来决定接下来调查员的动作与当前场景最后的结果。。在这种情况下，调查员往往会在疯狂中迷失自身并不为玩家所控数个小时甚至更久。（通常是 1D10 个小时或者由守秘人自行决定）。" showErrorMessage="1" sqref="F2:G2"/>
  </dataValidations>
  <pageMargins left="0.75" right="0.75" top="1.0" bottom="1.0" header="0.509027777777778" footer="0.509027777777778"/>
  <extLst>
    <ext xmlns:x14="http://schemas.microsoft.com/office/spreadsheetml/2009/9/main" uri="{CCE6A557-97BC-4b89-ADB6-D9C93CAAB3DF}">
      <x14:dataValidations xmlns:xm="http://schemas.microsoft.com/office/excel/2006/main" count="2">
        <x14:dataValidation allowBlank="1" type="list" errorStyle="stop" showInputMessage="1" showErrorMessage="1">
          <x14:formula1>
            <xm:f>附表!$M$113:$M$213</xm:f>
          </x14:formula1>
          <xm:sqref>C17:C18</xm:sqref>
        </x14:dataValidation>
        <x14:dataValidation allowBlank="1" type="list" errorStyle="stop" showInputMessage="1" showErrorMessage="1">
          <x14:formula1>
            <xm:f>附表!$M$113:$M$213</xm:f>
          </x14:formula1>
          <xm:sqref>F17:F18</xm:sqref>
        </x14:dataValidation>
      </x14:dataValidations>
    </ext>
  </extLst>
</worksheet>
</file>

<file path=xl/worksheets/sheet15.xml><?xml version="1.0" encoding="utf-8"?>
<worksheet xmlns:r="http://schemas.openxmlformats.org/officeDocument/2006/relationships" xmlns="http://schemas.openxmlformats.org/spreadsheetml/2006/main">
  <dimension ref="D1:DL551"/>
  <sheetViews>
    <sheetView workbookViewId="0" showGridLines="0" showRowColHeaders="0" zoomScale="60">
      <selection activeCell="D1" sqref="D1:N2"/>
    </sheetView>
  </sheetViews>
  <sheetFormatPr defaultRowHeight="21.95" customHeight="1" defaultColWidth="9"/>
  <cols>
    <col min="1" max="1" customWidth="1" width="5.6640625" style="4154"/>
    <col min="2" max="14" customWidth="1" width="9.0" style="4154"/>
    <col min="15" max="15" customWidth="1" width="2.7773438" style="4154"/>
    <col min="16" max="26" customWidth="1" width="9.0" style="4154"/>
    <col min="27" max="27" customWidth="1" width="2.7773438" style="4154"/>
    <col min="28" max="38" customWidth="1" width="9.0" style="4154"/>
    <col min="39" max="39" customWidth="1" width="2.7773438" style="4154"/>
    <col min="40" max="40" customWidth="1" width="9.0" style="4154"/>
    <col min="41" max="16384" customWidth="0" width="9.0" style="4154"/>
  </cols>
  <sheetData>
    <row r="1" spans="8:8" ht="21.95" customHeight="1">
      <c r="D1" s="4155" t="s">
        <v>5850</v>
      </c>
      <c r="E1" s="4155"/>
      <c r="F1" s="4155"/>
      <c r="G1" s="4155"/>
      <c r="H1" s="4155"/>
      <c r="I1" s="4155"/>
      <c r="J1" s="4155"/>
      <c r="K1" s="4155"/>
      <c r="L1" s="4155"/>
      <c r="M1" s="4155"/>
      <c r="N1" s="4155"/>
      <c r="O1" s="4156"/>
      <c r="P1" s="4155" t="s">
        <v>5915</v>
      </c>
      <c r="Q1" s="4155"/>
      <c r="R1" s="4155"/>
      <c r="S1" s="4155"/>
      <c r="T1" s="4155"/>
      <c r="U1" s="4155"/>
      <c r="V1" s="4155"/>
      <c r="W1" s="4155"/>
      <c r="X1" s="4155"/>
      <c r="Y1" s="4155"/>
      <c r="Z1" s="4155"/>
      <c r="AA1" s="4156"/>
      <c r="AB1" s="4155" t="s">
        <v>5870</v>
      </c>
      <c r="AC1" s="4155"/>
      <c r="AD1" s="4155"/>
      <c r="AE1" s="4155"/>
      <c r="AF1" s="4155"/>
      <c r="AG1" s="4155"/>
      <c r="AH1" s="4155"/>
      <c r="AI1" s="4155"/>
      <c r="AJ1" s="4155"/>
      <c r="AK1" s="4155"/>
      <c r="AL1" s="4155"/>
      <c r="AM1" s="4156"/>
      <c r="AN1" s="4155" t="s">
        <v>5443</v>
      </c>
      <c r="AO1" s="4155"/>
      <c r="AP1" s="4155"/>
      <c r="AQ1" s="4155"/>
      <c r="AR1" s="4155"/>
      <c r="AS1" s="4155"/>
      <c r="AT1" s="4155"/>
      <c r="AU1" s="4155"/>
      <c r="AV1" s="4155"/>
      <c r="AW1" s="4155"/>
      <c r="AX1" s="4155"/>
    </row>
    <row r="2" spans="8:8" ht="21.95" customHeight="1">
      <c r="D2" s="4157"/>
      <c r="E2" s="4157"/>
      <c r="F2" s="4157"/>
      <c r="G2" s="4157"/>
      <c r="H2" s="4157"/>
      <c r="I2" s="4157"/>
      <c r="J2" s="4157"/>
      <c r="K2" s="4157"/>
      <c r="L2" s="4157"/>
      <c r="M2" s="4157"/>
      <c r="N2" s="4157"/>
      <c r="O2" s="4156"/>
      <c r="P2" s="4157"/>
      <c r="Q2" s="4157"/>
      <c r="R2" s="4157"/>
      <c r="S2" s="4157"/>
      <c r="T2" s="4157"/>
      <c r="U2" s="4157"/>
      <c r="V2" s="4157"/>
      <c r="W2" s="4157"/>
      <c r="X2" s="4157"/>
      <c r="Y2" s="4157"/>
      <c r="Z2" s="4157"/>
      <c r="AA2" s="4156"/>
      <c r="AB2" s="4157"/>
      <c r="AC2" s="4157"/>
      <c r="AD2" s="4157"/>
      <c r="AE2" s="4157"/>
      <c r="AF2" s="4157"/>
      <c r="AG2" s="4157"/>
      <c r="AH2" s="4157"/>
      <c r="AI2" s="4157"/>
      <c r="AJ2" s="4157"/>
      <c r="AK2" s="4157"/>
      <c r="AL2" s="4157"/>
      <c r="AM2" s="4156"/>
      <c r="AN2" s="4155"/>
      <c r="AO2" s="4155"/>
      <c r="AP2" s="4155"/>
      <c r="AQ2" s="4155"/>
      <c r="AR2" s="4155"/>
      <c r="AS2" s="4155"/>
      <c r="AT2" s="4155"/>
      <c r="AU2" s="4155"/>
      <c r="AV2" s="4155"/>
      <c r="AW2" s="4155"/>
      <c r="AX2" s="4155"/>
    </row>
    <row r="3" spans="8:8" ht="21.95" customHeight="1">
      <c r="D3" s="4158" t="s">
        <v>5852</v>
      </c>
      <c r="E3" s="4159"/>
      <c r="F3" s="4160" t="s">
        <v>5936</v>
      </c>
      <c r="G3" s="4161"/>
      <c r="H3" s="4161"/>
      <c r="I3" s="4161"/>
      <c r="J3" s="4161"/>
      <c r="K3" s="4161"/>
      <c r="L3" s="4161"/>
      <c r="M3" s="4161"/>
      <c r="N3" s="4161"/>
      <c r="O3" s="4162"/>
      <c r="P3" s="4163" t="s">
        <v>6014</v>
      </c>
      <c r="Q3" s="4163"/>
      <c r="R3" s="4163"/>
      <c r="S3" s="4163"/>
      <c r="T3" s="4163"/>
      <c r="U3" s="4163"/>
      <c r="V3" s="4163"/>
      <c r="W3" s="4163"/>
      <c r="X3" s="4163"/>
      <c r="Y3" s="4163"/>
      <c r="Z3" s="4163"/>
      <c r="AA3" s="4162"/>
      <c r="AB3" s="4164" t="s">
        <v>5445</v>
      </c>
      <c r="AC3" s="4163"/>
      <c r="AD3" s="4163"/>
      <c r="AE3" s="4163"/>
      <c r="AF3" s="4163"/>
      <c r="AG3" s="4163"/>
      <c r="AH3" s="4163"/>
      <c r="AI3" s="4163"/>
      <c r="AJ3" s="4163"/>
      <c r="AK3" s="4163"/>
      <c r="AL3" s="4163"/>
      <c r="AM3" s="4162"/>
      <c r="AN3" s="4165" t="s">
        <v>5446</v>
      </c>
      <c r="AO3" s="4163"/>
      <c r="AP3" s="4163"/>
      <c r="AQ3" s="4163"/>
      <c r="AR3" s="4163"/>
      <c r="AS3" s="4163"/>
      <c r="AT3" s="4163"/>
      <c r="AU3" s="4163"/>
      <c r="AV3" s="4163"/>
      <c r="AW3" s="4163"/>
      <c r="AX3" s="4163"/>
    </row>
    <row r="4" spans="8:8" ht="21.95" customHeight="1">
      <c r="D4" s="4159"/>
      <c r="E4" s="4159"/>
      <c r="F4" s="4161"/>
      <c r="G4" s="4161"/>
      <c r="H4" s="4161"/>
      <c r="I4" s="4161"/>
      <c r="J4" s="4161"/>
      <c r="K4" s="4161"/>
      <c r="L4" s="4161"/>
      <c r="M4" s="4161"/>
      <c r="N4" s="4161"/>
      <c r="O4" s="4162"/>
      <c r="P4" s="4166" t="s">
        <v>5447</v>
      </c>
      <c r="Q4" s="4167" t="s">
        <v>6013</v>
      </c>
      <c r="R4" s="4167"/>
      <c r="S4" s="4167"/>
      <c r="T4" s="4167"/>
      <c r="U4" s="4167"/>
      <c r="V4" s="4167"/>
      <c r="W4" s="4167"/>
      <c r="X4" s="4167"/>
      <c r="Y4" s="4167"/>
      <c r="Z4" s="4167"/>
      <c r="AA4" s="4162"/>
      <c r="AB4" s="4166" t="s">
        <v>5449</v>
      </c>
      <c r="AC4" s="4168" t="s">
        <v>5450</v>
      </c>
      <c r="AD4" s="4169"/>
      <c r="AE4" s="4169"/>
      <c r="AF4" s="4169"/>
      <c r="AG4" s="4169"/>
      <c r="AH4" s="4169"/>
      <c r="AI4" s="4169"/>
      <c r="AJ4" s="4169"/>
      <c r="AK4" s="4169"/>
      <c r="AL4" s="4169"/>
      <c r="AM4" s="4162"/>
      <c r="AN4" s="4170" t="s">
        <v>5451</v>
      </c>
      <c r="AO4" s="4171" t="s">
        <v>5452</v>
      </c>
      <c r="AP4" s="4169"/>
      <c r="AQ4" s="4169"/>
      <c r="AR4" s="4169"/>
      <c r="AS4" s="4169"/>
      <c r="AT4" s="4169"/>
      <c r="AU4" s="4169"/>
      <c r="AV4" s="4169"/>
      <c r="AW4" s="4169"/>
      <c r="AX4" s="4169"/>
    </row>
    <row r="5" spans="8:8" ht="21.95" customHeight="1">
      <c r="D5" s="4159" t="s">
        <v>5453</v>
      </c>
      <c r="E5" s="4159"/>
      <c r="F5" s="4160" t="s">
        <v>5937</v>
      </c>
      <c r="G5" s="4161"/>
      <c r="H5" s="4161"/>
      <c r="I5" s="4161"/>
      <c r="J5" s="4161"/>
      <c r="K5" s="4161"/>
      <c r="L5" s="4161"/>
      <c r="M5" s="4161"/>
      <c r="N5" s="4161"/>
      <c r="O5" s="4162"/>
      <c r="P5" s="4166"/>
      <c r="Q5" s="4167"/>
      <c r="R5" s="4167"/>
      <c r="S5" s="4167"/>
      <c r="T5" s="4167"/>
      <c r="U5" s="4167"/>
      <c r="V5" s="4167"/>
      <c r="W5" s="4167"/>
      <c r="X5" s="4167"/>
      <c r="Y5" s="4167"/>
      <c r="Z5" s="4167"/>
      <c r="AA5" s="4162"/>
      <c r="AB5" s="4166"/>
      <c r="AC5" s="4172" t="s">
        <v>5454</v>
      </c>
      <c r="AD5" s="4169"/>
      <c r="AE5" s="4169"/>
      <c r="AF5" s="4169"/>
      <c r="AG5" s="4169"/>
      <c r="AH5" s="4169"/>
      <c r="AI5" s="4169"/>
      <c r="AJ5" s="4169"/>
      <c r="AK5" s="4169"/>
      <c r="AL5" s="4169"/>
      <c r="AM5" s="4162"/>
      <c r="AN5" s="4170"/>
      <c r="AO5" s="4169"/>
      <c r="AP5" s="4169"/>
      <c r="AQ5" s="4169"/>
      <c r="AR5" s="4169"/>
      <c r="AS5" s="4169"/>
      <c r="AT5" s="4169"/>
      <c r="AU5" s="4169"/>
      <c r="AV5" s="4169"/>
      <c r="AW5" s="4169"/>
      <c r="AX5" s="4169"/>
    </row>
    <row r="6" spans="8:8" ht="21.95" customHeight="1">
      <c r="D6" s="4159"/>
      <c r="E6" s="4159"/>
      <c r="F6" s="4161"/>
      <c r="G6" s="4161"/>
      <c r="H6" s="4161"/>
      <c r="I6" s="4161"/>
      <c r="J6" s="4161"/>
      <c r="K6" s="4161"/>
      <c r="L6" s="4161"/>
      <c r="M6" s="4161"/>
      <c r="N6" s="4161"/>
      <c r="O6" s="4162"/>
      <c r="P6" s="4166"/>
      <c r="Q6" s="4167"/>
      <c r="R6" s="4167"/>
      <c r="S6" s="4167"/>
      <c r="T6" s="4167"/>
      <c r="U6" s="4167"/>
      <c r="V6" s="4167"/>
      <c r="W6" s="4167"/>
      <c r="X6" s="4167"/>
      <c r="Y6" s="4167"/>
      <c r="Z6" s="4167"/>
      <c r="AA6" s="4162"/>
      <c r="AB6" s="4166"/>
      <c r="AC6" s="4168"/>
      <c r="AD6" s="4169"/>
      <c r="AE6" s="4169"/>
      <c r="AF6" s="4169"/>
      <c r="AG6" s="4169"/>
      <c r="AH6" s="4169"/>
      <c r="AI6" s="4169"/>
      <c r="AJ6" s="4169"/>
      <c r="AK6" s="4169"/>
      <c r="AL6" s="4169"/>
      <c r="AM6" s="4162"/>
      <c r="AN6" s="4170"/>
      <c r="AO6" s="4169"/>
      <c r="AP6" s="4169"/>
      <c r="AQ6" s="4169"/>
      <c r="AR6" s="4169"/>
      <c r="AS6" s="4169"/>
      <c r="AT6" s="4169"/>
      <c r="AU6" s="4169"/>
      <c r="AV6" s="4169"/>
      <c r="AW6" s="4169"/>
      <c r="AX6" s="4169"/>
    </row>
    <row r="7" spans="8:8" ht="21.95" customHeight="1">
      <c r="D7" s="4159" t="s">
        <v>5455</v>
      </c>
      <c r="E7" s="4159"/>
      <c r="F7" s="4173" t="s">
        <v>5938</v>
      </c>
      <c r="G7" s="4174"/>
      <c r="H7" s="4174"/>
      <c r="I7" s="4174"/>
      <c r="J7" s="4174"/>
      <c r="K7" s="4174"/>
      <c r="L7" s="4174"/>
      <c r="M7" s="4174"/>
      <c r="N7" s="4174"/>
      <c r="O7" s="4162"/>
      <c r="P7" s="4166"/>
      <c r="Q7" s="4167"/>
      <c r="R7" s="4167"/>
      <c r="S7" s="4167"/>
      <c r="T7" s="4167"/>
      <c r="U7" s="4167"/>
      <c r="V7" s="4167"/>
      <c r="W7" s="4167"/>
      <c r="X7" s="4167"/>
      <c r="Y7" s="4167"/>
      <c r="Z7" s="4167"/>
      <c r="AA7" s="4162"/>
      <c r="AB7" s="4166"/>
      <c r="AC7" s="4172" t="s">
        <v>5457</v>
      </c>
      <c r="AD7" s="4175"/>
      <c r="AE7" s="4175"/>
      <c r="AF7" s="4175"/>
      <c r="AG7" s="4175"/>
      <c r="AH7" s="4175"/>
      <c r="AI7" s="4175"/>
      <c r="AJ7" s="4175"/>
      <c r="AK7" s="4175"/>
      <c r="AL7" s="4175"/>
      <c r="AM7" s="4162"/>
      <c r="AN7" s="4170"/>
      <c r="AO7" s="4169"/>
      <c r="AP7" s="4169"/>
      <c r="AQ7" s="4169"/>
      <c r="AR7" s="4169"/>
      <c r="AS7" s="4169"/>
      <c r="AT7" s="4169"/>
      <c r="AU7" s="4169"/>
      <c r="AV7" s="4169"/>
      <c r="AW7" s="4169"/>
      <c r="AX7" s="4169"/>
    </row>
    <row r="8" spans="8:8" ht="21.95" customFormat="1" customHeight="1">
      <c r="D8" s="4159"/>
      <c r="E8" s="4159"/>
      <c r="F8" s="4174"/>
      <c r="G8" s="4174"/>
      <c r="H8" s="4174"/>
      <c r="I8" s="4174"/>
      <c r="J8" s="4174"/>
      <c r="K8" s="4174"/>
      <c r="L8" s="4174"/>
      <c r="M8" s="4174"/>
      <c r="N8" s="4174"/>
      <c r="O8" s="4162"/>
      <c r="P8" s="4166" t="s">
        <v>5873</v>
      </c>
      <c r="Q8" s="4167" t="s">
        <v>6012</v>
      </c>
      <c r="R8" s="4167"/>
      <c r="S8" s="4167"/>
      <c r="T8" s="4167"/>
      <c r="U8" s="4167"/>
      <c r="V8" s="4167"/>
      <c r="W8" s="4167"/>
      <c r="X8" s="4167"/>
      <c r="Y8" s="4167"/>
      <c r="Z8" s="4167"/>
      <c r="AA8" s="4162"/>
      <c r="AB8" s="4166"/>
      <c r="AC8" s="4172"/>
      <c r="AD8" s="4175"/>
      <c r="AE8" s="4175"/>
      <c r="AF8" s="4175"/>
      <c r="AG8" s="4175"/>
      <c r="AH8" s="4175"/>
      <c r="AI8" s="4175"/>
      <c r="AJ8" s="4175"/>
      <c r="AK8" s="4175"/>
      <c r="AL8" s="4175"/>
      <c r="AM8" s="4162"/>
      <c r="AN8" s="4170"/>
      <c r="AO8" s="4169"/>
      <c r="AP8" s="4169"/>
      <c r="AQ8" s="4169"/>
      <c r="AR8" s="4169"/>
      <c r="AS8" s="4169"/>
      <c r="AT8" s="4169"/>
      <c r="AU8" s="4169"/>
      <c r="AV8" s="4169"/>
      <c r="AW8" s="4169"/>
      <c r="AX8" s="4169"/>
    </row>
    <row r="9" spans="8:8" ht="21.95" customHeight="1">
      <c r="D9" s="4159" t="s">
        <v>5460</v>
      </c>
      <c r="E9" s="4159"/>
      <c r="F9" s="4160" t="s">
        <v>5939</v>
      </c>
      <c r="G9" s="4161"/>
      <c r="H9" s="4161"/>
      <c r="I9" s="4161"/>
      <c r="J9" s="4161"/>
      <c r="K9" s="4161"/>
      <c r="L9" s="4161"/>
      <c r="M9" s="4161"/>
      <c r="N9" s="4161"/>
      <c r="O9" s="4162"/>
      <c r="P9" s="4166"/>
      <c r="Q9" s="4167"/>
      <c r="R9" s="4167"/>
      <c r="S9" s="4167"/>
      <c r="T9" s="4167"/>
      <c r="U9" s="4167"/>
      <c r="V9" s="4167"/>
      <c r="W9" s="4167"/>
      <c r="X9" s="4167"/>
      <c r="Y9" s="4167"/>
      <c r="Z9" s="4167"/>
      <c r="AA9" s="4162"/>
      <c r="AB9" s="4166"/>
      <c r="AC9" s="4172"/>
      <c r="AD9" s="4175"/>
      <c r="AE9" s="4175"/>
      <c r="AF9" s="4175"/>
      <c r="AG9" s="4175"/>
      <c r="AH9" s="4175"/>
      <c r="AI9" s="4175"/>
      <c r="AJ9" s="4175"/>
      <c r="AK9" s="4175"/>
      <c r="AL9" s="4175"/>
      <c r="AM9" s="4162"/>
      <c r="AN9" s="4170"/>
      <c r="AO9" s="4169"/>
      <c r="AP9" s="4169"/>
      <c r="AQ9" s="4169"/>
      <c r="AR9" s="4169"/>
      <c r="AS9" s="4169"/>
      <c r="AT9" s="4169"/>
      <c r="AU9" s="4169"/>
      <c r="AV9" s="4169"/>
      <c r="AW9" s="4169"/>
      <c r="AX9" s="4169"/>
    </row>
    <row r="10" spans="8:8" ht="21.95" customFormat="1" customHeight="1">
      <c r="D10" s="4159"/>
      <c r="E10" s="4159"/>
      <c r="F10" s="4161"/>
      <c r="G10" s="4161"/>
      <c r="H10" s="4161"/>
      <c r="I10" s="4161"/>
      <c r="J10" s="4161"/>
      <c r="K10" s="4161"/>
      <c r="L10" s="4161"/>
      <c r="M10" s="4161"/>
      <c r="N10" s="4161"/>
      <c r="O10" s="4162"/>
      <c r="P10" s="4166"/>
      <c r="Q10" s="4167"/>
      <c r="R10" s="4167"/>
      <c r="S10" s="4167"/>
      <c r="T10" s="4167"/>
      <c r="U10" s="4167"/>
      <c r="V10" s="4167"/>
      <c r="W10" s="4167"/>
      <c r="X10" s="4167"/>
      <c r="Y10" s="4167"/>
      <c r="Z10" s="4167"/>
      <c r="AA10" s="4162"/>
      <c r="AB10" s="4166"/>
      <c r="AC10" s="4172"/>
      <c r="AD10" s="4175"/>
      <c r="AE10" s="4175"/>
      <c r="AF10" s="4175"/>
      <c r="AG10" s="4175"/>
      <c r="AH10" s="4175"/>
      <c r="AI10" s="4175"/>
      <c r="AJ10" s="4175"/>
      <c r="AK10" s="4175"/>
      <c r="AL10" s="4175"/>
      <c r="AM10" s="4162"/>
      <c r="AN10" s="4170"/>
      <c r="AO10" s="4169"/>
      <c r="AP10" s="4169"/>
      <c r="AQ10" s="4169"/>
      <c r="AR10" s="4169"/>
      <c r="AS10" s="4169"/>
      <c r="AT10" s="4169"/>
      <c r="AU10" s="4169"/>
      <c r="AV10" s="4169"/>
      <c r="AW10" s="4169"/>
      <c r="AX10" s="4169"/>
    </row>
    <row r="11" spans="8:8" ht="21.95" customHeight="1">
      <c r="D11" s="4159" t="s">
        <v>5461</v>
      </c>
      <c r="E11" s="4159"/>
      <c r="F11" s="4160" t="s">
        <v>5940</v>
      </c>
      <c r="G11" s="4160"/>
      <c r="H11" s="4160"/>
      <c r="I11" s="4160"/>
      <c r="J11" s="4160"/>
      <c r="K11" s="4160"/>
      <c r="L11" s="4160"/>
      <c r="M11" s="4160"/>
      <c r="N11" s="4160"/>
      <c r="O11" s="4162"/>
      <c r="P11" s="4166"/>
      <c r="Q11" s="4167"/>
      <c r="R11" s="4167"/>
      <c r="S11" s="4167"/>
      <c r="T11" s="4167"/>
      <c r="U11" s="4167"/>
      <c r="V11" s="4167"/>
      <c r="W11" s="4167"/>
      <c r="X11" s="4167"/>
      <c r="Y11" s="4167"/>
      <c r="Z11" s="4167"/>
      <c r="AA11" s="4162"/>
      <c r="AB11" s="4176" t="s">
        <v>5464</v>
      </c>
      <c r="AC11" s="4175" t="s">
        <v>5465</v>
      </c>
      <c r="AD11" s="4175"/>
      <c r="AE11" s="4175"/>
      <c r="AF11" s="4175"/>
      <c r="AG11" s="4175"/>
      <c r="AH11" s="4175"/>
      <c r="AI11" s="4175"/>
      <c r="AJ11" s="4175"/>
      <c r="AK11" s="4175"/>
      <c r="AL11" s="4175"/>
      <c r="AM11" s="4162"/>
      <c r="AN11" s="4170"/>
      <c r="AO11" s="4169"/>
      <c r="AP11" s="4169"/>
      <c r="AQ11" s="4169"/>
      <c r="AR11" s="4169"/>
      <c r="AS11" s="4169"/>
      <c r="AT11" s="4169"/>
      <c r="AU11" s="4169"/>
      <c r="AV11" s="4169"/>
      <c r="AW11" s="4169"/>
      <c r="AX11" s="4169"/>
    </row>
    <row r="12" spans="8:8" ht="21.95" customHeight="1">
      <c r="D12" s="4159"/>
      <c r="E12" s="4159"/>
      <c r="F12" s="4160"/>
      <c r="G12" s="4160"/>
      <c r="H12" s="4160"/>
      <c r="I12" s="4160"/>
      <c r="J12" s="4160"/>
      <c r="K12" s="4160"/>
      <c r="L12" s="4160"/>
      <c r="M12" s="4160"/>
      <c r="N12" s="4160"/>
      <c r="O12" s="4162"/>
      <c r="P12" s="4163" t="s">
        <v>5961</v>
      </c>
      <c r="Q12" s="4163"/>
      <c r="R12" s="4163"/>
      <c r="S12" s="4163"/>
      <c r="T12" s="4163"/>
      <c r="U12" s="4163"/>
      <c r="V12" s="4163"/>
      <c r="W12" s="4163"/>
      <c r="X12" s="4163"/>
      <c r="Y12" s="4163"/>
      <c r="Z12" s="4163"/>
      <c r="AA12" s="4162"/>
      <c r="AB12" s="4170"/>
      <c r="AC12" s="4175"/>
      <c r="AD12" s="4175"/>
      <c r="AE12" s="4175"/>
      <c r="AF12" s="4175"/>
      <c r="AG12" s="4175"/>
      <c r="AH12" s="4175"/>
      <c r="AI12" s="4175"/>
      <c r="AJ12" s="4175"/>
      <c r="AK12" s="4175"/>
      <c r="AL12" s="4175"/>
      <c r="AM12" s="4162"/>
      <c r="AN12" s="4170"/>
      <c r="AO12" s="4169"/>
      <c r="AP12" s="4169"/>
      <c r="AQ12" s="4169"/>
      <c r="AR12" s="4169"/>
      <c r="AS12" s="4169"/>
      <c r="AT12" s="4169"/>
      <c r="AU12" s="4169"/>
      <c r="AV12" s="4169"/>
      <c r="AW12" s="4169"/>
      <c r="AX12" s="4169"/>
    </row>
    <row r="13" spans="8:8" ht="21.95" customFormat="1" customHeight="1">
      <c r="D13" s="4158" t="s">
        <v>5466</v>
      </c>
      <c r="E13" s="4158"/>
      <c r="F13" s="4160" t="s">
        <v>5941</v>
      </c>
      <c r="G13" s="4160"/>
      <c r="H13" s="4160"/>
      <c r="I13" s="4160"/>
      <c r="J13" s="4160"/>
      <c r="K13" s="4160"/>
      <c r="L13" s="4160"/>
      <c r="M13" s="4160"/>
      <c r="N13" s="4160"/>
      <c r="O13" s="4162"/>
      <c r="P13" s="4166" t="s">
        <v>5447</v>
      </c>
      <c r="Q13" s="4167" t="s">
        <v>5959</v>
      </c>
      <c r="R13" s="4167"/>
      <c r="S13" s="4167"/>
      <c r="T13" s="4167"/>
      <c r="U13" s="4167"/>
      <c r="V13" s="4167"/>
      <c r="W13" s="4167"/>
      <c r="X13" s="4167"/>
      <c r="Y13" s="4167"/>
      <c r="Z13" s="4167"/>
      <c r="AA13" s="4162"/>
      <c r="AB13" s="4170"/>
      <c r="AC13" s="4175"/>
      <c r="AD13" s="4175"/>
      <c r="AE13" s="4175"/>
      <c r="AF13" s="4175"/>
      <c r="AG13" s="4175"/>
      <c r="AH13" s="4175"/>
      <c r="AI13" s="4175"/>
      <c r="AJ13" s="4175"/>
      <c r="AK13" s="4175"/>
      <c r="AL13" s="4175"/>
      <c r="AM13" s="4162"/>
      <c r="AN13" s="4170"/>
      <c r="AO13" s="4169"/>
      <c r="AP13" s="4169"/>
      <c r="AQ13" s="4169"/>
      <c r="AR13" s="4169"/>
      <c r="AS13" s="4169"/>
      <c r="AT13" s="4169"/>
      <c r="AU13" s="4169"/>
      <c r="AV13" s="4169"/>
      <c r="AW13" s="4169"/>
      <c r="AX13" s="4169"/>
    </row>
    <row r="14" spans="8:8" ht="21.95" customHeight="1">
      <c r="D14" s="4158"/>
      <c r="E14" s="4158"/>
      <c r="F14" s="4160"/>
      <c r="G14" s="4160"/>
      <c r="H14" s="4160"/>
      <c r="I14" s="4160"/>
      <c r="J14" s="4160"/>
      <c r="K14" s="4160"/>
      <c r="L14" s="4160"/>
      <c r="M14" s="4160"/>
      <c r="N14" s="4160"/>
      <c r="O14" s="4162"/>
      <c r="P14" s="4166"/>
      <c r="Q14" s="4167"/>
      <c r="R14" s="4167"/>
      <c r="S14" s="4167"/>
      <c r="T14" s="4167"/>
      <c r="U14" s="4167"/>
      <c r="V14" s="4167"/>
      <c r="W14" s="4167"/>
      <c r="X14" s="4167"/>
      <c r="Y14" s="4167"/>
      <c r="Z14" s="4167"/>
      <c r="AA14" s="4162"/>
      <c r="AB14" s="4177" t="s">
        <v>5469</v>
      </c>
      <c r="AC14" s="4169" t="s">
        <v>5470</v>
      </c>
      <c r="AD14" s="4169"/>
      <c r="AE14" s="4169"/>
      <c r="AF14" s="4169"/>
      <c r="AG14" s="4169"/>
      <c r="AH14" s="4169"/>
      <c r="AI14" s="4169"/>
      <c r="AJ14" s="4169"/>
      <c r="AK14" s="4169"/>
      <c r="AL14" s="4169"/>
      <c r="AM14" s="4162"/>
      <c r="AN14" s="4170"/>
      <c r="AO14" s="4169"/>
      <c r="AP14" s="4169"/>
      <c r="AQ14" s="4169"/>
      <c r="AR14" s="4169"/>
      <c r="AS14" s="4169"/>
      <c r="AT14" s="4169"/>
      <c r="AU14" s="4169"/>
      <c r="AV14" s="4169"/>
      <c r="AW14" s="4169"/>
      <c r="AX14" s="4169"/>
    </row>
    <row r="15" spans="8:8" ht="21.95" customHeight="1">
      <c r="O15" s="4162"/>
      <c r="P15" s="4166"/>
      <c r="Q15" s="4167"/>
      <c r="R15" s="4167"/>
      <c r="S15" s="4167"/>
      <c r="T15" s="4167"/>
      <c r="U15" s="4167"/>
      <c r="V15" s="4167"/>
      <c r="W15" s="4167"/>
      <c r="X15" s="4167"/>
      <c r="Y15" s="4167"/>
      <c r="Z15" s="4167"/>
      <c r="AA15" s="4162"/>
      <c r="AB15" s="4177" t="s">
        <v>5471</v>
      </c>
      <c r="AC15" s="4169" t="s">
        <v>5472</v>
      </c>
      <c r="AD15" s="4169"/>
      <c r="AE15" s="4169"/>
      <c r="AF15" s="4169"/>
      <c r="AG15" s="4169"/>
      <c r="AH15" s="4169"/>
      <c r="AI15" s="4169"/>
      <c r="AJ15" s="4169"/>
      <c r="AK15" s="4169"/>
      <c r="AL15" s="4169"/>
      <c r="AM15" s="4162"/>
      <c r="AN15" s="4170"/>
      <c r="AO15" s="4169"/>
      <c r="AP15" s="4169"/>
      <c r="AQ15" s="4169"/>
      <c r="AR15" s="4169"/>
      <c r="AS15" s="4169"/>
      <c r="AT15" s="4169"/>
      <c r="AU15" s="4169"/>
      <c r="AV15" s="4169"/>
      <c r="AW15" s="4169"/>
      <c r="AX15" s="4169"/>
    </row>
    <row r="16" spans="8:8" ht="21.95" customHeight="1">
      <c r="D16" s="4178" t="s">
        <v>5473</v>
      </c>
      <c r="E16" s="4178"/>
      <c r="F16" s="4178"/>
      <c r="G16" s="4178"/>
      <c r="H16" s="4178"/>
      <c r="I16" s="4178"/>
      <c r="J16" s="4178"/>
      <c r="K16" s="4178"/>
      <c r="L16" s="4178"/>
      <c r="M16" s="4178"/>
      <c r="N16" s="4178"/>
      <c r="O16" s="4162"/>
      <c r="P16" s="4166"/>
      <c r="Q16" s="4167"/>
      <c r="R16" s="4167"/>
      <c r="S16" s="4167"/>
      <c r="T16" s="4167"/>
      <c r="U16" s="4167"/>
      <c r="V16" s="4167"/>
      <c r="W16" s="4167"/>
      <c r="X16" s="4167"/>
      <c r="Y16" s="4167"/>
      <c r="Z16" s="4167"/>
      <c r="AA16" s="4162"/>
      <c r="AB16" s="4177" t="s">
        <v>5475</v>
      </c>
      <c r="AC16" s="4175" t="s">
        <v>5476</v>
      </c>
      <c r="AD16" s="4175"/>
      <c r="AE16" s="4175"/>
      <c r="AF16" s="4175"/>
      <c r="AG16" s="4175"/>
      <c r="AH16" s="4175"/>
      <c r="AI16" s="4175"/>
      <c r="AJ16" s="4175"/>
      <c r="AK16" s="4175"/>
      <c r="AL16" s="4175"/>
      <c r="AM16" s="4162"/>
      <c r="AN16" s="4163" t="s">
        <v>5477</v>
      </c>
      <c r="AO16" s="4163"/>
      <c r="AP16" s="4163"/>
      <c r="AQ16" s="4163"/>
      <c r="AR16" s="4163"/>
      <c r="AS16" s="4163"/>
      <c r="AT16" s="4163"/>
      <c r="AU16" s="4163"/>
      <c r="AV16" s="4163"/>
      <c r="AW16" s="4163"/>
      <c r="AX16" s="4163"/>
    </row>
    <row r="17" spans="8:8" ht="21.95" customHeight="1">
      <c r="D17" s="4179" t="s">
        <v>5851</v>
      </c>
      <c r="E17" s="4180"/>
      <c r="F17" s="4180"/>
      <c r="G17" s="4180"/>
      <c r="H17" s="4180"/>
      <c r="I17" s="4180"/>
      <c r="J17" s="4180"/>
      <c r="K17" s="4180"/>
      <c r="L17" s="4180"/>
      <c r="M17" s="4180"/>
      <c r="N17" s="4180"/>
      <c r="O17" s="4162"/>
      <c r="P17" s="4166" t="s">
        <v>5873</v>
      </c>
      <c r="Q17" s="4167" t="s">
        <v>5960</v>
      </c>
      <c r="R17" s="4167"/>
      <c r="S17" s="4167"/>
      <c r="T17" s="4167"/>
      <c r="U17" s="4167"/>
      <c r="V17" s="4167"/>
      <c r="W17" s="4167"/>
      <c r="X17" s="4167"/>
      <c r="Y17" s="4167"/>
      <c r="Z17" s="4167"/>
      <c r="AA17" s="4162"/>
      <c r="AB17" s="4163" t="s">
        <v>5478</v>
      </c>
      <c r="AC17" s="4163"/>
      <c r="AD17" s="4163"/>
      <c r="AE17" s="4163"/>
      <c r="AF17" s="4163"/>
      <c r="AG17" s="4163"/>
      <c r="AH17" s="4163"/>
      <c r="AI17" s="4163"/>
      <c r="AJ17" s="4163"/>
      <c r="AK17" s="4163"/>
      <c r="AL17" s="4163"/>
      <c r="AM17" s="4162"/>
      <c r="AN17" s="4170"/>
      <c r="AO17" s="4175"/>
      <c r="AP17" s="4175"/>
      <c r="AQ17" s="4175"/>
      <c r="AR17" s="4175"/>
      <c r="AS17" s="4175"/>
      <c r="AT17" s="4175"/>
      <c r="AU17" s="4175"/>
      <c r="AV17" s="4175"/>
      <c r="AW17" s="4175"/>
      <c r="AX17" s="4175"/>
    </row>
    <row r="18" spans="8:8" ht="21.95" customHeight="1">
      <c r="D18" s="4180"/>
      <c r="E18" s="4180"/>
      <c r="F18" s="4180"/>
      <c r="G18" s="4180"/>
      <c r="H18" s="4180"/>
      <c r="I18" s="4180"/>
      <c r="J18" s="4180"/>
      <c r="K18" s="4180"/>
      <c r="L18" s="4180"/>
      <c r="M18" s="4180"/>
      <c r="N18" s="4180"/>
      <c r="O18" s="4162"/>
      <c r="P18" s="4166"/>
      <c r="Q18" s="4167"/>
      <c r="R18" s="4167"/>
      <c r="S18" s="4167"/>
      <c r="T18" s="4167"/>
      <c r="U18" s="4167"/>
      <c r="V18" s="4167"/>
      <c r="W18" s="4167"/>
      <c r="X18" s="4167"/>
      <c r="Y18" s="4167"/>
      <c r="Z18" s="4167"/>
      <c r="AA18" s="4162"/>
      <c r="AB18" s="4166" t="s">
        <v>5449</v>
      </c>
      <c r="AC18" s="4175" t="s">
        <v>5480</v>
      </c>
      <c r="AD18" s="4175"/>
      <c r="AE18" s="4175"/>
      <c r="AF18" s="4175"/>
      <c r="AG18" s="4175"/>
      <c r="AH18" s="4175"/>
      <c r="AI18" s="4175"/>
      <c r="AJ18" s="4175"/>
      <c r="AK18" s="4175"/>
      <c r="AL18" s="4175"/>
      <c r="AM18" s="4162"/>
      <c r="AN18" s="4170"/>
      <c r="AO18" s="4175"/>
      <c r="AP18" s="4175"/>
      <c r="AQ18" s="4175"/>
      <c r="AR18" s="4175"/>
      <c r="AS18" s="4175"/>
      <c r="AT18" s="4175"/>
      <c r="AU18" s="4175"/>
      <c r="AV18" s="4175"/>
      <c r="AW18" s="4175"/>
      <c r="AX18" s="4175"/>
    </row>
    <row r="19" spans="8:8" ht="21.95" customHeight="1">
      <c r="D19" s="4179" t="s">
        <v>5857</v>
      </c>
      <c r="E19" s="4180"/>
      <c r="F19" s="4180"/>
      <c r="G19" s="4180"/>
      <c r="H19" s="4180"/>
      <c r="I19" s="4180"/>
      <c r="J19" s="4180"/>
      <c r="K19" s="4180"/>
      <c r="L19" s="4180"/>
      <c r="M19" s="4180"/>
      <c r="N19" s="4180"/>
      <c r="O19" s="4162"/>
      <c r="P19" s="4166"/>
      <c r="Q19" s="4167"/>
      <c r="R19" s="4167"/>
      <c r="S19" s="4167"/>
      <c r="T19" s="4167"/>
      <c r="U19" s="4167"/>
      <c r="V19" s="4167"/>
      <c r="W19" s="4167"/>
      <c r="X19" s="4167"/>
      <c r="Y19" s="4167"/>
      <c r="Z19" s="4167"/>
      <c r="AA19" s="4162"/>
      <c r="AB19" s="4166"/>
      <c r="AC19" s="4175" t="s">
        <v>5482</v>
      </c>
      <c r="AD19" s="4175"/>
      <c r="AE19" s="4175"/>
      <c r="AF19" s="4175"/>
      <c r="AG19" s="4175"/>
      <c r="AH19" s="4175"/>
      <c r="AI19" s="4175"/>
      <c r="AJ19" s="4175"/>
      <c r="AK19" s="4175"/>
      <c r="AL19" s="4175"/>
      <c r="AM19" s="4162"/>
      <c r="AN19" s="4170"/>
      <c r="AO19" s="4175"/>
      <c r="AP19" s="4175"/>
      <c r="AQ19" s="4175"/>
      <c r="AR19" s="4175"/>
      <c r="AS19" s="4175"/>
      <c r="AT19" s="4175"/>
      <c r="AU19" s="4175"/>
      <c r="AV19" s="4175"/>
      <c r="AW19" s="4175"/>
      <c r="AX19" s="4175"/>
    </row>
    <row r="20" spans="8:8" ht="21.95" customHeight="1">
      <c r="D20" s="4180"/>
      <c r="E20" s="4180"/>
      <c r="F20" s="4180"/>
      <c r="G20" s="4180"/>
      <c r="H20" s="4180"/>
      <c r="I20" s="4180"/>
      <c r="J20" s="4180"/>
      <c r="K20" s="4180"/>
      <c r="L20" s="4180"/>
      <c r="M20" s="4180"/>
      <c r="N20" s="4180"/>
      <c r="O20" s="4162"/>
      <c r="P20" s="4166"/>
      <c r="Q20" s="4167"/>
      <c r="R20" s="4167"/>
      <c r="S20" s="4167"/>
      <c r="T20" s="4167"/>
      <c r="U20" s="4167"/>
      <c r="V20" s="4167"/>
      <c r="W20" s="4167"/>
      <c r="X20" s="4167"/>
      <c r="Y20" s="4167"/>
      <c r="Z20" s="4167"/>
      <c r="AA20" s="4162"/>
      <c r="AB20" s="4166"/>
      <c r="AC20" s="4175" t="s">
        <v>5483</v>
      </c>
      <c r="AD20" s="4175"/>
      <c r="AE20" s="4175"/>
      <c r="AF20" s="4175"/>
      <c r="AG20" s="4175"/>
      <c r="AH20" s="4175"/>
      <c r="AI20" s="4175"/>
      <c r="AJ20" s="4175"/>
      <c r="AK20" s="4175"/>
      <c r="AL20" s="4175"/>
      <c r="AM20" s="4162"/>
      <c r="AN20" s="4170"/>
      <c r="AO20" s="4175"/>
      <c r="AP20" s="4175"/>
      <c r="AQ20" s="4175"/>
      <c r="AR20" s="4175"/>
      <c r="AS20" s="4175"/>
      <c r="AT20" s="4175"/>
      <c r="AU20" s="4175"/>
      <c r="AV20" s="4175"/>
      <c r="AW20" s="4175"/>
      <c r="AX20" s="4175"/>
    </row>
    <row r="21" spans="8:8" ht="21.95" customHeight="1">
      <c r="D21" s="4179" t="s">
        <v>5484</v>
      </c>
      <c r="E21" s="4180"/>
      <c r="F21" s="4180"/>
      <c r="G21" s="4180"/>
      <c r="H21" s="4180"/>
      <c r="I21" s="4180"/>
      <c r="J21" s="4180"/>
      <c r="K21" s="4180"/>
      <c r="L21" s="4180"/>
      <c r="M21" s="4180"/>
      <c r="N21" s="4180"/>
      <c r="O21" s="4162"/>
      <c r="P21" s="4163" t="s">
        <v>5949</v>
      </c>
      <c r="Q21" s="4163"/>
      <c r="R21" s="4163"/>
      <c r="S21" s="4163"/>
      <c r="T21" s="4163"/>
      <c r="U21" s="4163"/>
      <c r="V21" s="4163"/>
      <c r="W21" s="4163"/>
      <c r="X21" s="4163"/>
      <c r="Y21" s="4163"/>
      <c r="Z21" s="4163"/>
      <c r="AA21" s="4162"/>
      <c r="AB21" s="4166"/>
      <c r="AC21" s="4175" t="s">
        <v>5485</v>
      </c>
      <c r="AD21" s="4175"/>
      <c r="AE21" s="4175"/>
      <c r="AF21" s="4175"/>
      <c r="AG21" s="4175"/>
      <c r="AH21" s="4175"/>
      <c r="AI21" s="4175"/>
      <c r="AJ21" s="4175"/>
      <c r="AK21" s="4175"/>
      <c r="AL21" s="4175"/>
      <c r="AM21" s="4162"/>
      <c r="AN21" s="4170"/>
      <c r="AO21" s="4175"/>
      <c r="AP21" s="4175"/>
      <c r="AQ21" s="4175"/>
      <c r="AR21" s="4175"/>
      <c r="AS21" s="4175"/>
      <c r="AT21" s="4175"/>
      <c r="AU21" s="4175"/>
      <c r="AV21" s="4175"/>
      <c r="AW21" s="4175"/>
      <c r="AX21" s="4175"/>
    </row>
    <row r="22" spans="8:8" ht="21.95" customHeight="1">
      <c r="D22" s="4180"/>
      <c r="E22" s="4180"/>
      <c r="F22" s="4180"/>
      <c r="G22" s="4180"/>
      <c r="H22" s="4180"/>
      <c r="I22" s="4180"/>
      <c r="J22" s="4180"/>
      <c r="K22" s="4180"/>
      <c r="L22" s="4180"/>
      <c r="M22" s="4180"/>
      <c r="N22" s="4180"/>
      <c r="O22" s="4162"/>
      <c r="P22" s="4166" t="s">
        <v>5447</v>
      </c>
      <c r="Q22" s="4167" t="s">
        <v>5953</v>
      </c>
      <c r="R22" s="4167"/>
      <c r="S22" s="4167"/>
      <c r="T22" s="4167"/>
      <c r="U22" s="4167"/>
      <c r="V22" s="4167"/>
      <c r="W22" s="4167"/>
      <c r="X22" s="4167"/>
      <c r="Y22" s="4167"/>
      <c r="Z22" s="4167"/>
      <c r="AA22" s="4162"/>
      <c r="AB22" s="4166"/>
      <c r="AC22" s="4175" t="s">
        <v>5487</v>
      </c>
      <c r="AD22" s="4175"/>
      <c r="AE22" s="4175"/>
      <c r="AF22" s="4175"/>
      <c r="AG22" s="4175"/>
      <c r="AH22" s="4175"/>
      <c r="AI22" s="4175"/>
      <c r="AJ22" s="4175"/>
      <c r="AK22" s="4175"/>
      <c r="AL22" s="4175"/>
      <c r="AM22" s="4162"/>
      <c r="AN22" s="4170"/>
      <c r="AO22" s="4169" t="s">
        <v>5488</v>
      </c>
      <c r="AP22" s="4169"/>
      <c r="AQ22" s="4169"/>
      <c r="AR22" s="4169"/>
      <c r="AS22" s="4169"/>
      <c r="AT22" s="4169"/>
      <c r="AU22" s="4169"/>
      <c r="AV22" s="4169"/>
      <c r="AW22" s="4169"/>
      <c r="AX22" s="4169"/>
    </row>
    <row r="23" spans="8:8" ht="21.95" customHeight="1">
      <c r="O23" s="4162"/>
      <c r="P23" s="4166"/>
      <c r="Q23" s="4167"/>
      <c r="R23" s="4167"/>
      <c r="S23" s="4167"/>
      <c r="T23" s="4167"/>
      <c r="U23" s="4167"/>
      <c r="V23" s="4167"/>
      <c r="W23" s="4167"/>
      <c r="X23" s="4167"/>
      <c r="Y23" s="4167"/>
      <c r="Z23" s="4167"/>
      <c r="AA23" s="4162"/>
      <c r="AB23" s="4181" t="s">
        <v>5489</v>
      </c>
      <c r="AC23" s="4175" t="s">
        <v>5490</v>
      </c>
      <c r="AD23" s="4175"/>
      <c r="AE23" s="4175"/>
      <c r="AF23" s="4175"/>
      <c r="AG23" s="4175"/>
      <c r="AH23" s="4175"/>
      <c r="AI23" s="4175"/>
      <c r="AJ23" s="4175"/>
      <c r="AK23" s="4175"/>
      <c r="AL23" s="4175"/>
      <c r="AM23" s="4162"/>
      <c r="AN23" s="4170"/>
      <c r="AO23" s="4169" t="s">
        <v>5491</v>
      </c>
      <c r="AP23" s="4169"/>
      <c r="AQ23" s="4169"/>
      <c r="AR23" s="4169"/>
      <c r="AS23" s="4169"/>
      <c r="AT23" s="4169"/>
      <c r="AU23" s="4169"/>
      <c r="AV23" s="4169"/>
      <c r="AW23" s="4169"/>
      <c r="AX23" s="4169"/>
    </row>
    <row r="24" spans="8:8" ht="21.95" customHeight="1">
      <c r="D24" s="4178" t="s">
        <v>5492</v>
      </c>
      <c r="E24" s="4178"/>
      <c r="F24" s="4178"/>
      <c r="G24" s="4178"/>
      <c r="H24" s="4178"/>
      <c r="I24" s="4178"/>
      <c r="J24" s="4178"/>
      <c r="K24" s="4178"/>
      <c r="L24" s="4178"/>
      <c r="M24" s="4178"/>
      <c r="N24" s="4178"/>
      <c r="O24" s="4162"/>
      <c r="P24" s="4166"/>
      <c r="Q24" s="4167"/>
      <c r="R24" s="4167"/>
      <c r="S24" s="4167"/>
      <c r="T24" s="4167"/>
      <c r="U24" s="4167"/>
      <c r="V24" s="4167"/>
      <c r="W24" s="4167"/>
      <c r="X24" s="4167"/>
      <c r="Y24" s="4167"/>
      <c r="Z24" s="4167"/>
      <c r="AA24" s="4162"/>
      <c r="AB24" s="4182" t="s">
        <v>104</v>
      </c>
      <c r="AC24" s="4183"/>
      <c r="AD24" s="4183"/>
      <c r="AE24" s="4183"/>
      <c r="AF24" s="4183"/>
      <c r="AG24" s="4183"/>
      <c r="AH24" s="4183"/>
      <c r="AI24" s="4183"/>
      <c r="AJ24" s="4183"/>
      <c r="AK24" s="4183"/>
      <c r="AL24" s="4183"/>
      <c r="AM24" s="4162"/>
      <c r="AN24" s="4170"/>
      <c r="AO24" s="4175" t="s">
        <v>5493</v>
      </c>
      <c r="AP24" s="4175"/>
      <c r="AQ24" s="4175"/>
      <c r="AR24" s="4175"/>
      <c r="AS24" s="4175"/>
      <c r="AT24" s="4175"/>
      <c r="AU24" s="4175"/>
      <c r="AV24" s="4175"/>
      <c r="AW24" s="4175"/>
      <c r="AX24" s="4175"/>
    </row>
    <row r="25" spans="8:8" ht="21.95" customHeight="1">
      <c r="D25" s="4179" t="s">
        <v>5894</v>
      </c>
      <c r="E25" s="4180"/>
      <c r="F25" s="4180"/>
      <c r="G25" s="4180"/>
      <c r="H25" s="4180"/>
      <c r="I25" s="4180"/>
      <c r="J25" s="4180"/>
      <c r="K25" s="4180"/>
      <c r="L25" s="4180"/>
      <c r="M25" s="4180"/>
      <c r="N25" s="4180"/>
      <c r="O25" s="4162"/>
      <c r="P25" s="4166"/>
      <c r="Q25" s="4167"/>
      <c r="R25" s="4167"/>
      <c r="S25" s="4167"/>
      <c r="T25" s="4167"/>
      <c r="U25" s="4167"/>
      <c r="V25" s="4167"/>
      <c r="W25" s="4167"/>
      <c r="X25" s="4167"/>
      <c r="Y25" s="4167"/>
      <c r="Z25" s="4167"/>
      <c r="AA25" s="4162"/>
      <c r="AB25" s="4163" t="s">
        <v>5495</v>
      </c>
      <c r="AC25" s="4163"/>
      <c r="AD25" s="4163"/>
      <c r="AE25" s="4163"/>
      <c r="AF25" s="4163"/>
      <c r="AG25" s="4163"/>
      <c r="AH25" s="4163"/>
      <c r="AI25" s="4163"/>
      <c r="AJ25" s="4163"/>
      <c r="AK25" s="4163"/>
      <c r="AL25" s="4163"/>
      <c r="AM25" s="4162"/>
      <c r="AN25" s="4170"/>
      <c r="AO25" s="4175"/>
      <c r="AP25" s="4175"/>
      <c r="AQ25" s="4175"/>
      <c r="AR25" s="4175"/>
      <c r="AS25" s="4175"/>
      <c r="AT25" s="4175"/>
      <c r="AU25" s="4175"/>
      <c r="AV25" s="4175"/>
      <c r="AW25" s="4175"/>
      <c r="AX25" s="4175"/>
    </row>
    <row r="26" spans="8:8" ht="21.95" customHeight="1">
      <c r="D26" s="4180"/>
      <c r="E26" s="4180"/>
      <c r="F26" s="4180"/>
      <c r="G26" s="4180"/>
      <c r="H26" s="4180"/>
      <c r="I26" s="4180"/>
      <c r="J26" s="4180"/>
      <c r="K26" s="4180"/>
      <c r="L26" s="4180"/>
      <c r="M26" s="4180"/>
      <c r="N26" s="4180"/>
      <c r="O26" s="4162"/>
      <c r="P26" s="4166" t="s">
        <v>5873</v>
      </c>
      <c r="Q26" s="4167" t="s">
        <v>5950</v>
      </c>
      <c r="R26" s="4167"/>
      <c r="S26" s="4167"/>
      <c r="T26" s="4167"/>
      <c r="U26" s="4167"/>
      <c r="V26" s="4167"/>
      <c r="W26" s="4167"/>
      <c r="X26" s="4167"/>
      <c r="Y26" s="4167"/>
      <c r="Z26" s="4167"/>
      <c r="AA26" s="4162"/>
      <c r="AB26" s="4166" t="s">
        <v>5449</v>
      </c>
      <c r="AC26" s="4175" t="s">
        <v>5496</v>
      </c>
      <c r="AD26" s="4169"/>
      <c r="AE26" s="4169"/>
      <c r="AF26" s="4169"/>
      <c r="AG26" s="4169"/>
      <c r="AH26" s="4169"/>
      <c r="AI26" s="4169"/>
      <c r="AJ26" s="4169"/>
      <c r="AK26" s="4169"/>
      <c r="AL26" s="4169"/>
      <c r="AM26" s="4162"/>
      <c r="AN26" s="4170"/>
      <c r="AO26" s="4175"/>
      <c r="AP26" s="4175"/>
      <c r="AQ26" s="4175"/>
      <c r="AR26" s="4175"/>
      <c r="AS26" s="4175"/>
      <c r="AT26" s="4175"/>
      <c r="AU26" s="4175"/>
      <c r="AV26" s="4175"/>
      <c r="AW26" s="4175"/>
      <c r="AX26" s="4175"/>
    </row>
    <row r="27" spans="8:8" ht="21.95" customHeight="1">
      <c r="O27" s="4162"/>
      <c r="P27" s="4166"/>
      <c r="Q27" s="4167"/>
      <c r="R27" s="4167"/>
      <c r="S27" s="4167"/>
      <c r="T27" s="4167"/>
      <c r="U27" s="4167"/>
      <c r="V27" s="4167"/>
      <c r="W27" s="4167"/>
      <c r="X27" s="4167"/>
      <c r="Y27" s="4167"/>
      <c r="Z27" s="4167"/>
      <c r="AA27" s="4162"/>
      <c r="AB27" s="4166"/>
      <c r="AC27" s="4169"/>
      <c r="AD27" s="4169"/>
      <c r="AE27" s="4169"/>
      <c r="AF27" s="4169"/>
      <c r="AG27" s="4169"/>
      <c r="AH27" s="4169"/>
      <c r="AI27" s="4169"/>
      <c r="AJ27" s="4169"/>
      <c r="AK27" s="4169"/>
      <c r="AL27" s="4169"/>
      <c r="AM27" s="4162"/>
      <c r="AN27" s="4170"/>
      <c r="AO27" s="4175" t="s">
        <v>5498</v>
      </c>
      <c r="AP27" s="4175"/>
      <c r="AQ27" s="4175"/>
      <c r="AR27" s="4175"/>
      <c r="AS27" s="4175"/>
      <c r="AT27" s="4175"/>
      <c r="AU27" s="4175"/>
      <c r="AV27" s="4175"/>
      <c r="AW27" s="4175"/>
      <c r="AX27" s="4175"/>
    </row>
    <row r="28" spans="8:8" ht="21.95" customHeight="1">
      <c r="D28" s="4178" t="s">
        <v>5499</v>
      </c>
      <c r="E28" s="4178"/>
      <c r="F28" s="4178"/>
      <c r="G28" s="4178"/>
      <c r="H28" s="4178"/>
      <c r="I28" s="4178"/>
      <c r="J28" s="4178"/>
      <c r="K28" s="4178"/>
      <c r="L28" s="4178"/>
      <c r="M28" s="4178"/>
      <c r="N28" s="4178"/>
      <c r="O28" s="4162"/>
      <c r="P28" s="4166"/>
      <c r="Q28" s="4167"/>
      <c r="R28" s="4167"/>
      <c r="S28" s="4167"/>
      <c r="T28" s="4167"/>
      <c r="U28" s="4167"/>
      <c r="V28" s="4167"/>
      <c r="W28" s="4167"/>
      <c r="X28" s="4167"/>
      <c r="Y28" s="4167"/>
      <c r="Z28" s="4167"/>
      <c r="AA28" s="4162"/>
      <c r="AB28" s="4166"/>
      <c r="AC28" s="4169"/>
      <c r="AD28" s="4169"/>
      <c r="AE28" s="4169"/>
      <c r="AF28" s="4169"/>
      <c r="AG28" s="4169"/>
      <c r="AH28" s="4169"/>
      <c r="AI28" s="4169"/>
      <c r="AJ28" s="4169"/>
      <c r="AK28" s="4169"/>
      <c r="AL28" s="4169"/>
      <c r="AM28" s="4162"/>
      <c r="AN28" s="4170"/>
      <c r="AO28" s="4175"/>
      <c r="AP28" s="4175"/>
      <c r="AQ28" s="4175"/>
      <c r="AR28" s="4175"/>
      <c r="AS28" s="4175"/>
      <c r="AT28" s="4175"/>
      <c r="AU28" s="4175"/>
      <c r="AV28" s="4175"/>
      <c r="AW28" s="4175"/>
      <c r="AX28" s="4175"/>
    </row>
    <row r="29" spans="8:8" ht="21.95" customHeight="1">
      <c r="D29" s="4179" t="s">
        <v>5887</v>
      </c>
      <c r="E29" s="4180"/>
      <c r="F29" s="4180"/>
      <c r="G29" s="4180"/>
      <c r="H29" s="4180"/>
      <c r="I29" s="4180"/>
      <c r="J29" s="4180"/>
      <c r="K29" s="4180"/>
      <c r="L29" s="4180"/>
      <c r="M29" s="4180"/>
      <c r="N29" s="4180"/>
      <c r="O29" s="4162"/>
      <c r="P29" s="4166"/>
      <c r="Q29" s="4167"/>
      <c r="R29" s="4167"/>
      <c r="S29" s="4167"/>
      <c r="T29" s="4167"/>
      <c r="U29" s="4167"/>
      <c r="V29" s="4167"/>
      <c r="W29" s="4167"/>
      <c r="X29" s="4167"/>
      <c r="Y29" s="4167"/>
      <c r="Z29" s="4167"/>
      <c r="AA29" s="4162"/>
      <c r="AB29" s="4166"/>
      <c r="AC29" s="4184" t="s">
        <v>5501</v>
      </c>
      <c r="AD29" s="4184"/>
      <c r="AE29" s="4184"/>
      <c r="AF29" s="4184"/>
      <c r="AG29" s="4184"/>
      <c r="AH29" s="4184"/>
      <c r="AI29" s="4184"/>
      <c r="AJ29" s="4184"/>
      <c r="AK29" s="4184"/>
      <c r="AL29" s="4184"/>
      <c r="AM29" s="4162"/>
      <c r="AN29" s="4170"/>
      <c r="AO29" s="4175"/>
      <c r="AP29" s="4175"/>
      <c r="AQ29" s="4175"/>
      <c r="AR29" s="4175"/>
      <c r="AS29" s="4175"/>
      <c r="AT29" s="4175"/>
      <c r="AU29" s="4175"/>
      <c r="AV29" s="4175"/>
      <c r="AW29" s="4175"/>
      <c r="AX29" s="4175"/>
    </row>
    <row r="30" spans="8:8" ht="21.95" customHeight="1">
      <c r="D30" s="4180"/>
      <c r="E30" s="4180"/>
      <c r="F30" s="4180"/>
      <c r="G30" s="4180"/>
      <c r="H30" s="4180"/>
      <c r="I30" s="4180"/>
      <c r="J30" s="4180"/>
      <c r="K30" s="4180"/>
      <c r="L30" s="4180"/>
      <c r="M30" s="4180"/>
      <c r="N30" s="4180"/>
      <c r="O30" s="4162"/>
      <c r="P30" s="4185" t="s">
        <v>5948</v>
      </c>
      <c r="Q30" s="4186"/>
      <c r="R30" s="4186"/>
      <c r="S30" s="4186"/>
      <c r="T30" s="4186"/>
      <c r="U30" s="4186"/>
      <c r="V30" s="4186"/>
      <c r="W30" s="4186"/>
      <c r="X30" s="4186"/>
      <c r="Y30" s="4186"/>
      <c r="Z30" s="4187"/>
      <c r="AA30" s="4162"/>
      <c r="AB30" s="4166"/>
      <c r="AC30" s="4184"/>
      <c r="AD30" s="4184"/>
      <c r="AE30" s="4184"/>
      <c r="AF30" s="4184"/>
      <c r="AG30" s="4184"/>
      <c r="AH30" s="4184"/>
      <c r="AI30" s="4184"/>
      <c r="AJ30" s="4184"/>
      <c r="AK30" s="4184"/>
      <c r="AL30" s="4184"/>
      <c r="AM30" s="4162"/>
      <c r="AN30" s="4170"/>
      <c r="AO30" s="4175"/>
      <c r="AP30" s="4175"/>
      <c r="AQ30" s="4175"/>
      <c r="AR30" s="4175"/>
      <c r="AS30" s="4175"/>
      <c r="AT30" s="4175"/>
      <c r="AU30" s="4175"/>
      <c r="AV30" s="4175"/>
      <c r="AW30" s="4175"/>
      <c r="AX30" s="4175"/>
    </row>
    <row r="31" spans="8:8" ht="21.95" customHeight="1">
      <c r="D31" s="4179" t="s">
        <v>5888</v>
      </c>
      <c r="E31" s="4180"/>
      <c r="F31" s="4180"/>
      <c r="G31" s="4180"/>
      <c r="H31" s="4180"/>
      <c r="I31" s="4180"/>
      <c r="J31" s="4180"/>
      <c r="K31" s="4180"/>
      <c r="L31" s="4180"/>
      <c r="M31" s="4180"/>
      <c r="N31" s="4180"/>
      <c r="O31" s="4162"/>
      <c r="P31" s="4188" t="s">
        <v>5447</v>
      </c>
      <c r="Q31" s="4189" t="s">
        <v>5945</v>
      </c>
      <c r="R31" s="4190"/>
      <c r="S31" s="4190"/>
      <c r="T31" s="4190"/>
      <c r="U31" s="4190"/>
      <c r="V31" s="4190"/>
      <c r="W31" s="4190"/>
      <c r="X31" s="4190"/>
      <c r="Y31" s="4190"/>
      <c r="Z31" s="4191"/>
      <c r="AA31" s="4162"/>
      <c r="AB31" s="4166"/>
      <c r="AC31" s="4175" t="s">
        <v>5503</v>
      </c>
      <c r="AD31" s="4175"/>
      <c r="AE31" s="4175"/>
      <c r="AF31" s="4175"/>
      <c r="AG31" s="4175"/>
      <c r="AH31" s="4175"/>
      <c r="AI31" s="4175"/>
      <c r="AJ31" s="4175"/>
      <c r="AK31" s="4175"/>
      <c r="AL31" s="4175"/>
      <c r="AM31" s="4162"/>
      <c r="AN31" s="4170"/>
      <c r="AO31" s="4175"/>
      <c r="AP31" s="4175"/>
      <c r="AQ31" s="4175"/>
      <c r="AR31" s="4175"/>
      <c r="AS31" s="4175"/>
      <c r="AT31" s="4175"/>
      <c r="AU31" s="4175"/>
      <c r="AV31" s="4175"/>
      <c r="AW31" s="4175"/>
      <c r="AX31" s="4175"/>
    </row>
    <row r="32" spans="8:8" ht="21.95" customHeight="1">
      <c r="D32" s="4180"/>
      <c r="E32" s="4180"/>
      <c r="F32" s="4180"/>
      <c r="G32" s="4180"/>
      <c r="H32" s="4180"/>
      <c r="I32" s="4180"/>
      <c r="J32" s="4180"/>
      <c r="K32" s="4180"/>
      <c r="L32" s="4180"/>
      <c r="M32" s="4180"/>
      <c r="N32" s="4180"/>
      <c r="O32" s="4162"/>
      <c r="P32" s="4192"/>
      <c r="Q32" s="4193"/>
      <c r="R32" s="4194"/>
      <c r="S32" s="4194"/>
      <c r="T32" s="4194"/>
      <c r="U32" s="4194"/>
      <c r="V32" s="4194"/>
      <c r="W32" s="4194"/>
      <c r="X32" s="4194"/>
      <c r="Y32" s="4194"/>
      <c r="Z32" s="4195"/>
      <c r="AA32" s="4162"/>
      <c r="AB32" s="4166"/>
      <c r="AC32" s="4175"/>
      <c r="AD32" s="4175"/>
      <c r="AE32" s="4175"/>
      <c r="AF32" s="4175"/>
      <c r="AG32" s="4175"/>
      <c r="AH32" s="4175"/>
      <c r="AI32" s="4175"/>
      <c r="AJ32" s="4175"/>
      <c r="AK32" s="4175"/>
      <c r="AL32" s="4175"/>
      <c r="AM32" s="4162"/>
      <c r="AN32" s="4170"/>
      <c r="AO32" s="4175"/>
      <c r="AP32" s="4175"/>
      <c r="AQ32" s="4175"/>
      <c r="AR32" s="4175"/>
      <c r="AS32" s="4175"/>
      <c r="AT32" s="4175"/>
      <c r="AU32" s="4175"/>
      <c r="AV32" s="4175"/>
      <c r="AW32" s="4175"/>
      <c r="AX32" s="4175"/>
    </row>
    <row r="33" spans="8:8" ht="21.95" customHeight="1">
      <c r="D33" s="4179" t="s">
        <v>5951</v>
      </c>
      <c r="E33" s="4180"/>
      <c r="F33" s="4180"/>
      <c r="G33" s="4180"/>
      <c r="H33" s="4180"/>
      <c r="I33" s="4180"/>
      <c r="J33" s="4180"/>
      <c r="K33" s="4180"/>
      <c r="L33" s="4180"/>
      <c r="M33" s="4180"/>
      <c r="N33" s="4180"/>
      <c r="O33" s="4162"/>
      <c r="P33" s="4196"/>
      <c r="Q33" s="4197"/>
      <c r="R33" s="4198"/>
      <c r="S33" s="4198"/>
      <c r="T33" s="4198"/>
      <c r="U33" s="4198"/>
      <c r="V33" s="4198"/>
      <c r="W33" s="4198"/>
      <c r="X33" s="4198"/>
      <c r="Y33" s="4198"/>
      <c r="Z33" s="4199"/>
      <c r="AA33" s="4162"/>
      <c r="AB33" s="4166"/>
      <c r="AC33" s="4175"/>
      <c r="AD33" s="4175"/>
      <c r="AE33" s="4175"/>
      <c r="AF33" s="4175"/>
      <c r="AG33" s="4175"/>
      <c r="AH33" s="4175"/>
      <c r="AI33" s="4175"/>
      <c r="AJ33" s="4175"/>
      <c r="AK33" s="4175"/>
      <c r="AL33" s="4175"/>
      <c r="AM33" s="4162"/>
      <c r="AN33" s="4170"/>
      <c r="AO33" s="4175"/>
      <c r="AP33" s="4175"/>
      <c r="AQ33" s="4175"/>
      <c r="AR33" s="4175"/>
      <c r="AS33" s="4175"/>
      <c r="AT33" s="4175"/>
      <c r="AU33" s="4175"/>
      <c r="AV33" s="4175"/>
      <c r="AW33" s="4175"/>
      <c r="AX33" s="4175"/>
    </row>
    <row r="34" spans="8:8" ht="21.95" customHeight="1">
      <c r="D34" s="4180"/>
      <c r="E34" s="4180"/>
      <c r="F34" s="4180"/>
      <c r="G34" s="4180"/>
      <c r="H34" s="4180"/>
      <c r="I34" s="4180"/>
      <c r="J34" s="4180"/>
      <c r="K34" s="4180"/>
      <c r="L34" s="4180"/>
      <c r="M34" s="4180"/>
      <c r="N34" s="4180"/>
      <c r="O34" s="4162"/>
      <c r="P34" s="4188" t="s">
        <v>5873</v>
      </c>
      <c r="Q34" s="4189" t="s">
        <v>5944</v>
      </c>
      <c r="R34" s="4190"/>
      <c r="S34" s="4190"/>
      <c r="T34" s="4190"/>
      <c r="U34" s="4190"/>
      <c r="V34" s="4190"/>
      <c r="W34" s="4190"/>
      <c r="X34" s="4190"/>
      <c r="Y34" s="4190"/>
      <c r="Z34" s="4191"/>
      <c r="AA34" s="4162"/>
      <c r="AB34" s="4166"/>
      <c r="AC34" s="4175"/>
      <c r="AD34" s="4175"/>
      <c r="AE34" s="4175"/>
      <c r="AF34" s="4175"/>
      <c r="AG34" s="4175"/>
      <c r="AH34" s="4175"/>
      <c r="AI34" s="4175"/>
      <c r="AJ34" s="4175"/>
      <c r="AK34" s="4175"/>
      <c r="AL34" s="4175"/>
      <c r="AM34" s="4162"/>
      <c r="AN34" s="4170"/>
      <c r="AO34" s="4175"/>
      <c r="AP34" s="4175"/>
      <c r="AQ34" s="4175"/>
      <c r="AR34" s="4175"/>
      <c r="AS34" s="4175"/>
      <c r="AT34" s="4175"/>
      <c r="AU34" s="4175"/>
      <c r="AV34" s="4175"/>
      <c r="AW34" s="4175"/>
      <c r="AX34" s="4175"/>
    </row>
    <row r="35" spans="8:8" ht="21.95" customHeight="1">
      <c r="D35" s="4200" t="s">
        <v>5854</v>
      </c>
      <c r="E35" s="4200"/>
      <c r="F35" s="4200"/>
      <c r="G35" s="4200"/>
      <c r="H35" s="4200"/>
      <c r="I35" s="4200"/>
      <c r="J35" s="4200"/>
      <c r="K35" s="4200"/>
      <c r="L35" s="4200"/>
      <c r="M35" s="4200"/>
      <c r="N35" s="4200"/>
      <c r="O35" s="4162"/>
      <c r="P35" s="4192"/>
      <c r="Q35" s="4193"/>
      <c r="R35" s="4194"/>
      <c r="S35" s="4194"/>
      <c r="T35" s="4194"/>
      <c r="U35" s="4194"/>
      <c r="V35" s="4194"/>
      <c r="W35" s="4194"/>
      <c r="X35" s="4194"/>
      <c r="Y35" s="4194"/>
      <c r="Z35" s="4195"/>
      <c r="AA35" s="4162"/>
      <c r="AB35" s="4166"/>
      <c r="AC35" s="4175"/>
      <c r="AD35" s="4175"/>
      <c r="AE35" s="4175"/>
      <c r="AF35" s="4175"/>
      <c r="AG35" s="4175"/>
      <c r="AH35" s="4175"/>
      <c r="AI35" s="4175"/>
      <c r="AJ35" s="4175"/>
      <c r="AK35" s="4175"/>
      <c r="AL35" s="4175"/>
      <c r="AM35" s="4162"/>
      <c r="AN35" s="4170"/>
      <c r="AO35" s="4175"/>
      <c r="AP35" s="4175"/>
      <c r="AQ35" s="4175"/>
      <c r="AR35" s="4175"/>
      <c r="AS35" s="4175"/>
      <c r="AT35" s="4175"/>
      <c r="AU35" s="4175"/>
      <c r="AV35" s="4175"/>
      <c r="AW35" s="4175"/>
      <c r="AX35" s="4175"/>
    </row>
    <row r="36" spans="8:8" ht="21.95" customHeight="1">
      <c r="D36" s="4201" t="s">
        <v>5504</v>
      </c>
      <c r="E36" s="4201"/>
      <c r="F36" s="4201"/>
      <c r="G36" s="4201" t="s">
        <v>104</v>
      </c>
      <c r="H36" s="4201"/>
      <c r="I36" s="4201"/>
      <c r="J36" s="4201"/>
      <c r="K36" s="4201"/>
      <c r="L36" s="4201"/>
      <c r="M36" s="4201"/>
      <c r="N36" s="4201"/>
      <c r="O36" s="4162"/>
      <c r="P36" s="4192"/>
      <c r="Q36" s="4193"/>
      <c r="R36" s="4194"/>
      <c r="S36" s="4194"/>
      <c r="T36" s="4194"/>
      <c r="U36" s="4194"/>
      <c r="V36" s="4194"/>
      <c r="W36" s="4194"/>
      <c r="X36" s="4194"/>
      <c r="Y36" s="4194"/>
      <c r="Z36" s="4195"/>
      <c r="AA36" s="4162"/>
      <c r="AB36" s="4166"/>
      <c r="AC36" s="4175"/>
      <c r="AD36" s="4175"/>
      <c r="AE36" s="4175"/>
      <c r="AF36" s="4175"/>
      <c r="AG36" s="4175"/>
      <c r="AH36" s="4175"/>
      <c r="AI36" s="4175"/>
      <c r="AJ36" s="4175"/>
      <c r="AK36" s="4175"/>
      <c r="AL36" s="4175"/>
      <c r="AM36" s="4162"/>
      <c r="AN36" s="4170"/>
      <c r="AO36" s="4175"/>
      <c r="AP36" s="4175"/>
      <c r="AQ36" s="4175"/>
      <c r="AR36" s="4175"/>
      <c r="AS36" s="4175"/>
      <c r="AT36" s="4175"/>
      <c r="AU36" s="4175"/>
      <c r="AV36" s="4175"/>
      <c r="AW36" s="4175"/>
      <c r="AX36" s="4175"/>
    </row>
    <row r="37" spans="8:8" ht="21.95" customHeight="1">
      <c r="D37" s="4202" t="s">
        <v>5505</v>
      </c>
      <c r="E37" s="4202"/>
      <c r="F37" s="4202"/>
      <c r="G37" s="4202"/>
      <c r="H37" s="4202"/>
      <c r="I37" s="4202"/>
      <c r="J37" s="4202"/>
      <c r="K37" s="4202"/>
      <c r="L37" s="4202"/>
      <c r="M37" s="4202"/>
      <c r="N37" s="4202"/>
      <c r="O37" s="4162"/>
      <c r="P37" s="4192"/>
      <c r="Q37" s="4193"/>
      <c r="R37" s="4194"/>
      <c r="S37" s="4194"/>
      <c r="T37" s="4194"/>
      <c r="U37" s="4194"/>
      <c r="V37" s="4194"/>
      <c r="W37" s="4194"/>
      <c r="X37" s="4194"/>
      <c r="Y37" s="4194"/>
      <c r="Z37" s="4195"/>
      <c r="AA37" s="4162"/>
      <c r="AB37" s="4166"/>
      <c r="AC37" s="4169" t="s">
        <v>5506</v>
      </c>
      <c r="AD37" s="4169"/>
      <c r="AE37" s="4169"/>
      <c r="AF37" s="4169"/>
      <c r="AG37" s="4169"/>
      <c r="AH37" s="4169"/>
      <c r="AI37" s="4169"/>
      <c r="AJ37" s="4169"/>
      <c r="AK37" s="4169"/>
      <c r="AL37" s="4169"/>
      <c r="AM37" s="4162"/>
      <c r="AN37" s="4170" t="s">
        <v>5507</v>
      </c>
      <c r="AO37" s="4169" t="s">
        <v>5508</v>
      </c>
      <c r="AP37" s="4169"/>
      <c r="AQ37" s="4169"/>
      <c r="AR37" s="4169"/>
      <c r="AS37" s="4169"/>
      <c r="AT37" s="4169"/>
      <c r="AU37" s="4169"/>
      <c r="AV37" s="4169"/>
      <c r="AW37" s="4169"/>
      <c r="AX37" s="4169"/>
    </row>
    <row r="38" spans="8:8" ht="21.95" customHeight="1">
      <c r="D38" s="4202" t="s">
        <v>5509</v>
      </c>
      <c r="E38" s="4202"/>
      <c r="F38" s="4202"/>
      <c r="G38" s="4202"/>
      <c r="H38" s="4202"/>
      <c r="I38" s="4202"/>
      <c r="J38" s="4202"/>
      <c r="K38" s="4202"/>
      <c r="L38" s="4202"/>
      <c r="M38" s="4202"/>
      <c r="N38" s="4202"/>
      <c r="O38" s="4162"/>
      <c r="P38" s="4192"/>
      <c r="Q38" s="4193"/>
      <c r="R38" s="4194"/>
      <c r="S38" s="4194"/>
      <c r="T38" s="4194"/>
      <c r="U38" s="4194"/>
      <c r="V38" s="4194"/>
      <c r="W38" s="4194"/>
      <c r="X38" s="4194"/>
      <c r="Y38" s="4194"/>
      <c r="Z38" s="4195"/>
      <c r="AA38" s="4162"/>
      <c r="AB38" s="4181" t="s">
        <v>5489</v>
      </c>
      <c r="AC38" s="4175" t="s">
        <v>5510</v>
      </c>
      <c r="AD38" s="4175"/>
      <c r="AE38" s="4175"/>
      <c r="AF38" s="4175"/>
      <c r="AG38" s="4175"/>
      <c r="AH38" s="4175"/>
      <c r="AI38" s="4175"/>
      <c r="AJ38" s="4175"/>
      <c r="AK38" s="4175"/>
      <c r="AL38" s="4175"/>
      <c r="AM38" s="4162"/>
      <c r="AN38" s="4170"/>
      <c r="AO38" s="4175" t="s">
        <v>5511</v>
      </c>
      <c r="AP38" s="4175"/>
      <c r="AQ38" s="4175"/>
      <c r="AR38" s="4175"/>
      <c r="AS38" s="4175"/>
      <c r="AT38" s="4175"/>
      <c r="AU38" s="4175"/>
      <c r="AV38" s="4175"/>
      <c r="AW38" s="4175"/>
      <c r="AX38" s="4175"/>
    </row>
    <row r="39" spans="8:8" ht="21.95" customHeight="1">
      <c r="D39" s="4202" t="s">
        <v>5512</v>
      </c>
      <c r="E39" s="4202"/>
      <c r="F39" s="4202"/>
      <c r="G39" s="4202"/>
      <c r="H39" s="4202"/>
      <c r="I39" s="4202"/>
      <c r="J39" s="4202"/>
      <c r="K39" s="4202"/>
      <c r="L39" s="4202"/>
      <c r="M39" s="4202"/>
      <c r="N39" s="4202"/>
      <c r="O39" s="4162"/>
      <c r="P39" s="4192"/>
      <c r="Q39" s="4193"/>
      <c r="R39" s="4194"/>
      <c r="S39" s="4194"/>
      <c r="T39" s="4194"/>
      <c r="U39" s="4194"/>
      <c r="V39" s="4194"/>
      <c r="W39" s="4194"/>
      <c r="X39" s="4194"/>
      <c r="Y39" s="4194"/>
      <c r="Z39" s="4195"/>
      <c r="AA39" s="4162"/>
      <c r="AB39" s="4170" t="s">
        <v>5475</v>
      </c>
      <c r="AC39" s="4175" t="s">
        <v>5513</v>
      </c>
      <c r="AD39" s="4175"/>
      <c r="AE39" s="4175"/>
      <c r="AF39" s="4175"/>
      <c r="AG39" s="4175"/>
      <c r="AH39" s="4175"/>
      <c r="AI39" s="4175"/>
      <c r="AJ39" s="4175"/>
      <c r="AK39" s="4175"/>
      <c r="AL39" s="4175"/>
      <c r="AM39" s="4162"/>
      <c r="AN39" s="4170"/>
      <c r="AO39" s="4175"/>
      <c r="AP39" s="4175"/>
      <c r="AQ39" s="4175"/>
      <c r="AR39" s="4175"/>
      <c r="AS39" s="4175"/>
      <c r="AT39" s="4175"/>
      <c r="AU39" s="4175"/>
      <c r="AV39" s="4175"/>
      <c r="AW39" s="4175"/>
      <c r="AX39" s="4175"/>
    </row>
    <row r="40" spans="8:8" ht="21.95" customHeight="1">
      <c r="D40" s="4202" t="s">
        <v>5514</v>
      </c>
      <c r="E40" s="4202"/>
      <c r="F40" s="4202"/>
      <c r="G40" s="4202"/>
      <c r="H40" s="4202"/>
      <c r="I40" s="4202"/>
      <c r="J40" s="4202"/>
      <c r="K40" s="4202"/>
      <c r="L40" s="4202"/>
      <c r="M40" s="4202"/>
      <c r="N40" s="4202"/>
      <c r="O40" s="4162"/>
      <c r="P40" s="4192"/>
      <c r="Q40" s="4193"/>
      <c r="R40" s="4194"/>
      <c r="S40" s="4194"/>
      <c r="T40" s="4194"/>
      <c r="U40" s="4194"/>
      <c r="V40" s="4194"/>
      <c r="W40" s="4194"/>
      <c r="X40" s="4194"/>
      <c r="Y40" s="4194"/>
      <c r="Z40" s="4195"/>
      <c r="AA40" s="4162"/>
      <c r="AB40" s="4170"/>
      <c r="AC40" s="4175" t="s">
        <v>5515</v>
      </c>
      <c r="AD40" s="4175"/>
      <c r="AE40" s="4175"/>
      <c r="AF40" s="4175"/>
      <c r="AG40" s="4175"/>
      <c r="AH40" s="4175"/>
      <c r="AI40" s="4175"/>
      <c r="AJ40" s="4175"/>
      <c r="AK40" s="4175"/>
      <c r="AL40" s="4175"/>
      <c r="AM40" s="4162"/>
      <c r="AN40" s="4170"/>
      <c r="AO40" s="4175"/>
      <c r="AP40" s="4175"/>
      <c r="AQ40" s="4175"/>
      <c r="AR40" s="4175"/>
      <c r="AS40" s="4175"/>
      <c r="AT40" s="4175"/>
      <c r="AU40" s="4175"/>
      <c r="AV40" s="4175"/>
      <c r="AW40" s="4175"/>
      <c r="AX40" s="4175"/>
    </row>
    <row r="41" spans="8:8" ht="21.95" customHeight="1">
      <c r="D41" s="4202" t="s">
        <v>5516</v>
      </c>
      <c r="E41" s="4202"/>
      <c r="F41" s="4202"/>
      <c r="G41" s="4202"/>
      <c r="H41" s="4202"/>
      <c r="I41" s="4202"/>
      <c r="J41" s="4202"/>
      <c r="K41" s="4202"/>
      <c r="L41" s="4202"/>
      <c r="M41" s="4202"/>
      <c r="N41" s="4202"/>
      <c r="O41" s="4162"/>
      <c r="P41" s="4192"/>
      <c r="Q41" s="4193"/>
      <c r="R41" s="4194"/>
      <c r="S41" s="4194"/>
      <c r="T41" s="4194"/>
      <c r="U41" s="4194"/>
      <c r="V41" s="4194"/>
      <c r="W41" s="4194"/>
      <c r="X41" s="4194"/>
      <c r="Y41" s="4194"/>
      <c r="Z41" s="4195"/>
      <c r="AA41" s="4162"/>
      <c r="AB41" s="4170"/>
      <c r="AC41" s="4169" t="s">
        <v>5517</v>
      </c>
      <c r="AD41" s="4169"/>
      <c r="AE41" s="4169"/>
      <c r="AF41" s="4169"/>
      <c r="AG41" s="4169"/>
      <c r="AH41" s="4169"/>
      <c r="AI41" s="4169"/>
      <c r="AJ41" s="4169"/>
      <c r="AK41" s="4169"/>
      <c r="AL41" s="4169"/>
      <c r="AM41" s="4162"/>
      <c r="AN41" s="4170"/>
      <c r="AO41" s="4175"/>
      <c r="AP41" s="4175"/>
      <c r="AQ41" s="4175"/>
      <c r="AR41" s="4175"/>
      <c r="AS41" s="4175"/>
      <c r="AT41" s="4175"/>
      <c r="AU41" s="4175"/>
      <c r="AV41" s="4175"/>
      <c r="AW41" s="4175"/>
      <c r="AX41" s="4175"/>
    </row>
    <row r="42" spans="8:8" ht="21.95" customHeight="1">
      <c r="D42" s="4202" t="s">
        <v>5518</v>
      </c>
      <c r="E42" s="4202"/>
      <c r="F42" s="4202"/>
      <c r="G42" s="4202"/>
      <c r="H42" s="4202"/>
      <c r="I42" s="4202"/>
      <c r="J42" s="4202"/>
      <c r="K42" s="4202"/>
      <c r="L42" s="4202"/>
      <c r="M42" s="4202"/>
      <c r="N42" s="4202"/>
      <c r="O42" s="4162"/>
      <c r="P42" s="4192"/>
      <c r="Q42" s="4193"/>
      <c r="R42" s="4194"/>
      <c r="S42" s="4194"/>
      <c r="T42" s="4194"/>
      <c r="U42" s="4194"/>
      <c r="V42" s="4194"/>
      <c r="W42" s="4194"/>
      <c r="X42" s="4194"/>
      <c r="Y42" s="4194"/>
      <c r="Z42" s="4195"/>
      <c r="AA42" s="4162"/>
      <c r="AB42" s="4182" t="s">
        <v>104</v>
      </c>
      <c r="AC42" s="4183"/>
      <c r="AD42" s="4183"/>
      <c r="AE42" s="4183"/>
      <c r="AF42" s="4183"/>
      <c r="AG42" s="4183"/>
      <c r="AH42" s="4183"/>
      <c r="AI42" s="4183"/>
      <c r="AJ42" s="4183"/>
      <c r="AK42" s="4183"/>
      <c r="AL42" s="4183"/>
      <c r="AM42" s="4162"/>
      <c r="AN42" s="4170" t="s">
        <v>5519</v>
      </c>
      <c r="AO42" s="4175" t="s">
        <v>5520</v>
      </c>
      <c r="AP42" s="4175"/>
      <c r="AQ42" s="4175"/>
      <c r="AR42" s="4175"/>
      <c r="AS42" s="4175"/>
      <c r="AT42" s="4175"/>
      <c r="AU42" s="4175"/>
      <c r="AV42" s="4175"/>
      <c r="AW42" s="4175"/>
      <c r="AX42" s="4175"/>
    </row>
    <row r="43" spans="8:8" ht="21.95" customHeight="1">
      <c r="D43" s="4202" t="s">
        <v>5521</v>
      </c>
      <c r="E43" s="4202"/>
      <c r="F43" s="4202"/>
      <c r="G43" s="4202"/>
      <c r="H43" s="4202"/>
      <c r="I43" s="4202"/>
      <c r="J43" s="4202"/>
      <c r="K43" s="4202"/>
      <c r="L43" s="4202"/>
      <c r="M43" s="4202"/>
      <c r="N43" s="4202"/>
      <c r="O43" s="4162"/>
      <c r="P43" s="4192"/>
      <c r="Q43" s="4193"/>
      <c r="R43" s="4194"/>
      <c r="S43" s="4194"/>
      <c r="T43" s="4194"/>
      <c r="U43" s="4194"/>
      <c r="V43" s="4194"/>
      <c r="W43" s="4194"/>
      <c r="X43" s="4194"/>
      <c r="Y43" s="4194"/>
      <c r="Z43" s="4195"/>
      <c r="AA43" s="4162"/>
      <c r="AB43" s="4163" t="s">
        <v>5522</v>
      </c>
      <c r="AC43" s="4163"/>
      <c r="AD43" s="4163"/>
      <c r="AE43" s="4163"/>
      <c r="AF43" s="4163"/>
      <c r="AG43" s="4163"/>
      <c r="AH43" s="4163"/>
      <c r="AI43" s="4163"/>
      <c r="AJ43" s="4163"/>
      <c r="AK43" s="4163"/>
      <c r="AL43" s="4163"/>
      <c r="AM43" s="4162"/>
      <c r="AN43" s="4170"/>
      <c r="AO43" s="4175"/>
      <c r="AP43" s="4175"/>
      <c r="AQ43" s="4175"/>
      <c r="AR43" s="4175"/>
      <c r="AS43" s="4175"/>
      <c r="AT43" s="4175"/>
      <c r="AU43" s="4175"/>
      <c r="AV43" s="4175"/>
      <c r="AW43" s="4175"/>
      <c r="AX43" s="4175"/>
    </row>
    <row r="44" spans="8:8" ht="21.95" customHeight="1">
      <c r="D44" s="4202" t="s">
        <v>5523</v>
      </c>
      <c r="E44" s="4202"/>
      <c r="F44" s="4202"/>
      <c r="G44" s="4202"/>
      <c r="H44" s="4202"/>
      <c r="I44" s="4202"/>
      <c r="J44" s="4202"/>
      <c r="K44" s="4202"/>
      <c r="L44" s="4202"/>
      <c r="M44" s="4202"/>
      <c r="N44" s="4202"/>
      <c r="O44" s="4162"/>
      <c r="P44" s="4192"/>
      <c r="Q44" s="4193"/>
      <c r="R44" s="4194"/>
      <c r="S44" s="4194"/>
      <c r="T44" s="4194"/>
      <c r="U44" s="4194"/>
      <c r="V44" s="4194"/>
      <c r="W44" s="4194"/>
      <c r="X44" s="4194"/>
      <c r="Y44" s="4194"/>
      <c r="Z44" s="4195"/>
      <c r="AA44" s="4162"/>
      <c r="AB44" s="4166" t="s">
        <v>5449</v>
      </c>
      <c r="AC44" s="4169" t="s">
        <v>5524</v>
      </c>
      <c r="AD44" s="4169"/>
      <c r="AE44" s="4169"/>
      <c r="AF44" s="4169"/>
      <c r="AG44" s="4169"/>
      <c r="AH44" s="4169"/>
      <c r="AI44" s="4169"/>
      <c r="AJ44" s="4169"/>
      <c r="AK44" s="4169"/>
      <c r="AL44" s="4169"/>
      <c r="AM44" s="4162"/>
      <c r="AN44" s="4170"/>
      <c r="AO44" s="4175"/>
      <c r="AP44" s="4175"/>
      <c r="AQ44" s="4175"/>
      <c r="AR44" s="4175"/>
      <c r="AS44" s="4175"/>
      <c r="AT44" s="4175"/>
      <c r="AU44" s="4175"/>
      <c r="AV44" s="4175"/>
      <c r="AW44" s="4175"/>
      <c r="AX44" s="4175"/>
    </row>
    <row r="45" spans="8:8" ht="21.95" customHeight="1">
      <c r="D45" s="4202" t="s">
        <v>5525</v>
      </c>
      <c r="E45" s="4202"/>
      <c r="F45" s="4202"/>
      <c r="G45" s="4202"/>
      <c r="H45" s="4202"/>
      <c r="I45" s="4202"/>
      <c r="J45" s="4202"/>
      <c r="K45" s="4202"/>
      <c r="L45" s="4202"/>
      <c r="M45" s="4202"/>
      <c r="N45" s="4202"/>
      <c r="O45" s="4162"/>
      <c r="P45" s="4196"/>
      <c r="Q45" s="4197"/>
      <c r="R45" s="4198"/>
      <c r="S45" s="4198"/>
      <c r="T45" s="4198"/>
      <c r="U45" s="4198"/>
      <c r="V45" s="4198"/>
      <c r="W45" s="4198"/>
      <c r="X45" s="4198"/>
      <c r="Y45" s="4198"/>
      <c r="Z45" s="4199"/>
      <c r="AA45" s="4162"/>
      <c r="AB45" s="4166"/>
      <c r="AC45" s="4169" t="s">
        <v>5527</v>
      </c>
      <c r="AD45" s="4169"/>
      <c r="AE45" s="4169"/>
      <c r="AF45" s="4169"/>
      <c r="AG45" s="4169"/>
      <c r="AH45" s="4169"/>
      <c r="AI45" s="4169"/>
      <c r="AJ45" s="4169"/>
      <c r="AK45" s="4169"/>
      <c r="AL45" s="4169"/>
      <c r="AM45" s="4162"/>
      <c r="AN45" s="4170"/>
      <c r="AO45" s="4175" t="s">
        <v>5528</v>
      </c>
      <c r="AP45" s="4175"/>
      <c r="AQ45" s="4175"/>
      <c r="AR45" s="4175"/>
      <c r="AS45" s="4175"/>
      <c r="AT45" s="4175"/>
      <c r="AU45" s="4175"/>
      <c r="AV45" s="4175"/>
      <c r="AW45" s="4175"/>
      <c r="AX45" s="4175"/>
    </row>
    <row r="46" spans="8:8" ht="21.95" customHeight="1">
      <c r="D46" s="4202" t="s">
        <v>5529</v>
      </c>
      <c r="E46" s="4202"/>
      <c r="F46" s="4202"/>
      <c r="G46" s="4202"/>
      <c r="H46" s="4202"/>
      <c r="I46" s="4202"/>
      <c r="J46" s="4202"/>
      <c r="K46" s="4202"/>
      <c r="L46" s="4202"/>
      <c r="M46" s="4202"/>
      <c r="N46" s="4202"/>
      <c r="O46" s="4162"/>
      <c r="P46" s="4185" t="s">
        <v>5947</v>
      </c>
      <c r="Q46" s="4186"/>
      <c r="R46" s="4186"/>
      <c r="S46" s="4186"/>
      <c r="T46" s="4186"/>
      <c r="U46" s="4186"/>
      <c r="V46" s="4186"/>
      <c r="W46" s="4186"/>
      <c r="X46" s="4186"/>
      <c r="Y46" s="4186"/>
      <c r="Z46" s="4187"/>
      <c r="AA46" s="4162"/>
      <c r="AB46" s="4166"/>
      <c r="AC46" s="4184" t="s">
        <v>5530</v>
      </c>
      <c r="AD46" s="4203"/>
      <c r="AE46" s="4203"/>
      <c r="AF46" s="4203"/>
      <c r="AG46" s="4203"/>
      <c r="AH46" s="4203"/>
      <c r="AI46" s="4203"/>
      <c r="AJ46" s="4203"/>
      <c r="AK46" s="4203"/>
      <c r="AL46" s="4203"/>
      <c r="AM46" s="4162"/>
      <c r="AN46" s="4170"/>
      <c r="AO46" s="4175"/>
      <c r="AP46" s="4175"/>
      <c r="AQ46" s="4175"/>
      <c r="AR46" s="4175"/>
      <c r="AS46" s="4175"/>
      <c r="AT46" s="4175"/>
      <c r="AU46" s="4175"/>
      <c r="AV46" s="4175"/>
      <c r="AW46" s="4175"/>
      <c r="AX46" s="4175"/>
    </row>
    <row r="47" spans="8:8" ht="21.95" customHeight="1">
      <c r="D47" s="4202" t="s">
        <v>5531</v>
      </c>
      <c r="E47" s="4202"/>
      <c r="F47" s="4202"/>
      <c r="G47" s="4202"/>
      <c r="H47" s="4202"/>
      <c r="I47" s="4202"/>
      <c r="J47" s="4202"/>
      <c r="K47" s="4202"/>
      <c r="L47" s="4202"/>
      <c r="M47" s="4202"/>
      <c r="N47" s="4202"/>
      <c r="O47" s="4162"/>
      <c r="P47" s="4188" t="s">
        <v>5447</v>
      </c>
      <c r="Q47" s="4189" t="s">
        <v>5932</v>
      </c>
      <c r="R47" s="4190"/>
      <c r="S47" s="4190"/>
      <c r="T47" s="4190"/>
      <c r="U47" s="4190"/>
      <c r="V47" s="4190"/>
      <c r="W47" s="4190"/>
      <c r="X47" s="4190"/>
      <c r="Y47" s="4190"/>
      <c r="Z47" s="4191"/>
      <c r="AA47" s="4162"/>
      <c r="AB47" s="4166"/>
      <c r="AC47" s="4203"/>
      <c r="AD47" s="4203"/>
      <c r="AE47" s="4203"/>
      <c r="AF47" s="4203"/>
      <c r="AG47" s="4203"/>
      <c r="AH47" s="4203"/>
      <c r="AI47" s="4203"/>
      <c r="AJ47" s="4203"/>
      <c r="AK47" s="4203"/>
      <c r="AL47" s="4203"/>
      <c r="AM47" s="4162"/>
      <c r="AN47" s="4170"/>
      <c r="AO47" s="4175"/>
      <c r="AP47" s="4175"/>
      <c r="AQ47" s="4175"/>
      <c r="AR47" s="4175"/>
      <c r="AS47" s="4175"/>
      <c r="AT47" s="4175"/>
      <c r="AU47" s="4175"/>
      <c r="AV47" s="4175"/>
      <c r="AW47" s="4175"/>
      <c r="AX47" s="4175"/>
    </row>
    <row r="48" spans="8:8" ht="21.95" customHeight="1">
      <c r="D48" s="4202" t="s">
        <v>5533</v>
      </c>
      <c r="E48" s="4202"/>
      <c r="F48" s="4202"/>
      <c r="G48" s="4202"/>
      <c r="H48" s="4202"/>
      <c r="I48" s="4202"/>
      <c r="J48" s="4202"/>
      <c r="K48" s="4202"/>
      <c r="L48" s="4202"/>
      <c r="M48" s="4202"/>
      <c r="N48" s="4202"/>
      <c r="O48" s="4162"/>
      <c r="P48" s="4192"/>
      <c r="Q48" s="4193"/>
      <c r="R48" s="4194"/>
      <c r="S48" s="4194"/>
      <c r="T48" s="4194"/>
      <c r="U48" s="4194"/>
      <c r="V48" s="4194"/>
      <c r="W48" s="4194"/>
      <c r="X48" s="4194"/>
      <c r="Y48" s="4194"/>
      <c r="Z48" s="4195"/>
      <c r="AA48" s="4162"/>
      <c r="AB48" s="4166"/>
      <c r="AC48" s="4203"/>
      <c r="AD48" s="4203"/>
      <c r="AE48" s="4203"/>
      <c r="AF48" s="4203"/>
      <c r="AG48" s="4203"/>
      <c r="AH48" s="4203"/>
      <c r="AI48" s="4203"/>
      <c r="AJ48" s="4203"/>
      <c r="AK48" s="4203"/>
      <c r="AL48" s="4203"/>
      <c r="AM48" s="4162"/>
      <c r="AN48" s="4170"/>
      <c r="AO48" s="4175"/>
      <c r="AP48" s="4175"/>
      <c r="AQ48" s="4175"/>
      <c r="AR48" s="4175"/>
      <c r="AS48" s="4175"/>
      <c r="AT48" s="4175"/>
      <c r="AU48" s="4175"/>
      <c r="AV48" s="4175"/>
      <c r="AW48" s="4175"/>
      <c r="AX48" s="4175"/>
    </row>
    <row r="49" spans="8:8" ht="21.95" customHeight="1">
      <c r="D49" s="4202" t="s">
        <v>5535</v>
      </c>
      <c r="E49" s="4202"/>
      <c r="F49" s="4202"/>
      <c r="G49" s="4202"/>
      <c r="H49" s="4202"/>
      <c r="I49" s="4202"/>
      <c r="J49" s="4202"/>
      <c r="K49" s="4202"/>
      <c r="L49" s="4202"/>
      <c r="M49" s="4202"/>
      <c r="N49" s="4202"/>
      <c r="O49" s="4162"/>
      <c r="P49" s="4192"/>
      <c r="Q49" s="4193"/>
      <c r="R49" s="4194"/>
      <c r="S49" s="4194"/>
      <c r="T49" s="4194"/>
      <c r="U49" s="4194"/>
      <c r="V49" s="4194"/>
      <c r="W49" s="4194"/>
      <c r="X49" s="4194"/>
      <c r="Y49" s="4194"/>
      <c r="Z49" s="4195"/>
      <c r="AA49" s="4162"/>
      <c r="AB49" s="4166"/>
      <c r="AC49" s="4184" t="s">
        <v>5536</v>
      </c>
      <c r="AD49" s="4203"/>
      <c r="AE49" s="4203"/>
      <c r="AF49" s="4203"/>
      <c r="AG49" s="4203"/>
      <c r="AH49" s="4203"/>
      <c r="AI49" s="4203"/>
      <c r="AJ49" s="4203"/>
      <c r="AK49" s="4203"/>
      <c r="AL49" s="4203"/>
      <c r="AM49" s="4162"/>
      <c r="AN49" s="4170"/>
      <c r="AO49" s="4175"/>
      <c r="AP49" s="4175"/>
      <c r="AQ49" s="4175"/>
      <c r="AR49" s="4175"/>
      <c r="AS49" s="4175"/>
      <c r="AT49" s="4175"/>
      <c r="AU49" s="4175"/>
      <c r="AV49" s="4175"/>
      <c r="AW49" s="4175"/>
      <c r="AX49" s="4175"/>
    </row>
    <row r="50" spans="8:8" ht="21.95" customHeight="1">
      <c r="D50" s="4202" t="s">
        <v>5537</v>
      </c>
      <c r="E50" s="4202"/>
      <c r="F50" s="4202"/>
      <c r="G50" s="4202"/>
      <c r="H50" s="4202"/>
      <c r="I50" s="4202"/>
      <c r="J50" s="4202"/>
      <c r="K50" s="4202"/>
      <c r="L50" s="4202"/>
      <c r="M50" s="4202"/>
      <c r="N50" s="4202"/>
      <c r="O50" s="4162"/>
      <c r="P50" s="4196"/>
      <c r="Q50" s="4197"/>
      <c r="R50" s="4198"/>
      <c r="S50" s="4198"/>
      <c r="T50" s="4198"/>
      <c r="U50" s="4198"/>
      <c r="V50" s="4198"/>
      <c r="W50" s="4198"/>
      <c r="X50" s="4198"/>
      <c r="Y50" s="4198"/>
      <c r="Z50" s="4199"/>
      <c r="AA50" s="4162"/>
      <c r="AB50" s="4166"/>
      <c r="AC50" s="4203"/>
      <c r="AD50" s="4203"/>
      <c r="AE50" s="4203"/>
      <c r="AF50" s="4203"/>
      <c r="AG50" s="4203"/>
      <c r="AH50" s="4203"/>
      <c r="AI50" s="4203"/>
      <c r="AJ50" s="4203"/>
      <c r="AK50" s="4203"/>
      <c r="AL50" s="4203"/>
      <c r="AM50" s="4162"/>
      <c r="AN50" s="4170" t="s">
        <v>5539</v>
      </c>
      <c r="AO50" s="4169" t="s">
        <v>5540</v>
      </c>
      <c r="AP50" s="4169"/>
      <c r="AQ50" s="4169"/>
      <c r="AR50" s="4169"/>
      <c r="AS50" s="4169"/>
      <c r="AT50" s="4169"/>
      <c r="AU50" s="4169"/>
      <c r="AV50" s="4169"/>
      <c r="AW50" s="4169"/>
      <c r="AX50" s="4169"/>
    </row>
    <row r="51" spans="8:8" ht="21.95" customHeight="1">
      <c r="D51" s="4202" t="s">
        <v>5541</v>
      </c>
      <c r="E51" s="4202"/>
      <c r="F51" s="4202"/>
      <c r="G51" s="4202"/>
      <c r="H51" s="4202"/>
      <c r="I51" s="4202"/>
      <c r="J51" s="4202"/>
      <c r="K51" s="4202"/>
      <c r="L51" s="4202"/>
      <c r="M51" s="4202"/>
      <c r="N51" s="4202"/>
      <c r="O51" s="4162"/>
      <c r="P51" s="4163" t="s">
        <v>5946</v>
      </c>
      <c r="Q51" s="4163"/>
      <c r="R51" s="4163"/>
      <c r="S51" s="4163"/>
      <c r="T51" s="4163"/>
      <c r="U51" s="4163"/>
      <c r="V51" s="4163"/>
      <c r="W51" s="4163"/>
      <c r="X51" s="4163"/>
      <c r="Y51" s="4163"/>
      <c r="Z51" s="4163"/>
      <c r="AA51" s="4162"/>
      <c r="AB51" s="4166"/>
      <c r="AC51" s="4203"/>
      <c r="AD51" s="4203"/>
      <c r="AE51" s="4203"/>
      <c r="AF51" s="4203"/>
      <c r="AG51" s="4203"/>
      <c r="AH51" s="4203"/>
      <c r="AI51" s="4203"/>
      <c r="AJ51" s="4203"/>
      <c r="AK51" s="4203"/>
      <c r="AL51" s="4203"/>
      <c r="AM51" s="4162"/>
      <c r="AN51" s="4170"/>
      <c r="AO51" s="4175" t="s">
        <v>5542</v>
      </c>
      <c r="AP51" s="4175"/>
      <c r="AQ51" s="4175"/>
      <c r="AR51" s="4175"/>
      <c r="AS51" s="4175"/>
      <c r="AT51" s="4175"/>
      <c r="AU51" s="4175"/>
      <c r="AV51" s="4175"/>
      <c r="AW51" s="4175"/>
      <c r="AX51" s="4175"/>
    </row>
    <row r="52" spans="8:8" ht="21.95" customHeight="1">
      <c r="D52" s="4202" t="s">
        <v>5543</v>
      </c>
      <c r="E52" s="4202"/>
      <c r="F52" s="4202"/>
      <c r="G52" s="4202" t="s">
        <v>5853</v>
      </c>
      <c r="H52" s="4202"/>
      <c r="I52" s="4202"/>
      <c r="J52" s="4202"/>
      <c r="K52" s="4202"/>
      <c r="L52" s="4202"/>
      <c r="M52" s="4202"/>
      <c r="N52" s="4202"/>
      <c r="O52" s="4162"/>
      <c r="P52" s="4166" t="s">
        <v>5447</v>
      </c>
      <c r="Q52" s="4167" t="s">
        <v>5913</v>
      </c>
      <c r="R52" s="4167"/>
      <c r="S52" s="4167"/>
      <c r="T52" s="4167"/>
      <c r="U52" s="4167"/>
      <c r="V52" s="4167"/>
      <c r="W52" s="4167"/>
      <c r="X52" s="4167"/>
      <c r="Y52" s="4167"/>
      <c r="Z52" s="4167"/>
      <c r="AA52" s="4162"/>
      <c r="AB52" s="4166"/>
      <c r="AC52" s="4169" t="s">
        <v>5545</v>
      </c>
      <c r="AD52" s="4169"/>
      <c r="AE52" s="4169"/>
      <c r="AF52" s="4169"/>
      <c r="AG52" s="4169"/>
      <c r="AH52" s="4169"/>
      <c r="AI52" s="4169"/>
      <c r="AJ52" s="4169"/>
      <c r="AK52" s="4169"/>
      <c r="AL52" s="4169"/>
      <c r="AM52" s="4162"/>
      <c r="AN52" s="4170"/>
      <c r="AO52" s="4175"/>
      <c r="AP52" s="4175"/>
      <c r="AQ52" s="4175"/>
      <c r="AR52" s="4175"/>
      <c r="AS52" s="4175"/>
      <c r="AT52" s="4175"/>
      <c r="AU52" s="4175"/>
      <c r="AV52" s="4175"/>
      <c r="AW52" s="4175"/>
      <c r="AX52" s="4175"/>
    </row>
    <row r="53" spans="8:8" ht="21.95" customHeight="1">
      <c r="D53" s="4202" t="s">
        <v>5546</v>
      </c>
      <c r="E53" s="4202"/>
      <c r="F53" s="4202"/>
      <c r="G53" s="4202"/>
      <c r="H53" s="4202"/>
      <c r="I53" s="4202"/>
      <c r="J53" s="4202"/>
      <c r="K53" s="4202"/>
      <c r="L53" s="4202"/>
      <c r="M53" s="4202"/>
      <c r="N53" s="4202"/>
      <c r="O53" s="4162"/>
      <c r="P53" s="4166"/>
      <c r="Q53" s="4167"/>
      <c r="R53" s="4167"/>
      <c r="S53" s="4167"/>
      <c r="T53" s="4167"/>
      <c r="U53" s="4167"/>
      <c r="V53" s="4167"/>
      <c r="W53" s="4167"/>
      <c r="X53" s="4167"/>
      <c r="Y53" s="4167"/>
      <c r="Z53" s="4167"/>
      <c r="AA53" s="4162"/>
      <c r="AB53" s="4166"/>
      <c r="AC53" s="4184" t="s">
        <v>5547</v>
      </c>
      <c r="AD53" s="4203"/>
      <c r="AE53" s="4203"/>
      <c r="AF53" s="4203"/>
      <c r="AG53" s="4203"/>
      <c r="AH53" s="4203"/>
      <c r="AI53" s="4203"/>
      <c r="AJ53" s="4203"/>
      <c r="AK53" s="4203"/>
      <c r="AL53" s="4203"/>
      <c r="AM53" s="4162"/>
      <c r="AN53" s="4170"/>
      <c r="AO53" s="4175"/>
      <c r="AP53" s="4175"/>
      <c r="AQ53" s="4175"/>
      <c r="AR53" s="4175"/>
      <c r="AS53" s="4175"/>
      <c r="AT53" s="4175"/>
      <c r="AU53" s="4175"/>
      <c r="AV53" s="4175"/>
      <c r="AW53" s="4175"/>
      <c r="AX53" s="4175"/>
    </row>
    <row r="54" spans="8:8" ht="21.95" customHeight="1">
      <c r="D54" s="4202" t="s">
        <v>5548</v>
      </c>
      <c r="E54" s="4202"/>
      <c r="F54" s="4202"/>
      <c r="G54" s="4202"/>
      <c r="H54" s="4202"/>
      <c r="I54" s="4202"/>
      <c r="J54" s="4202"/>
      <c r="K54" s="4202"/>
      <c r="L54" s="4202"/>
      <c r="M54" s="4202"/>
      <c r="N54" s="4202"/>
      <c r="O54" s="4162"/>
      <c r="P54" s="4166"/>
      <c r="Q54" s="4167"/>
      <c r="R54" s="4167"/>
      <c r="S54" s="4167"/>
      <c r="T54" s="4167"/>
      <c r="U54" s="4167"/>
      <c r="V54" s="4167"/>
      <c r="W54" s="4167"/>
      <c r="X54" s="4167"/>
      <c r="Y54" s="4167"/>
      <c r="Z54" s="4167"/>
      <c r="AA54" s="4162"/>
      <c r="AB54" s="4166"/>
      <c r="AC54" s="4204"/>
      <c r="AD54" s="4203"/>
      <c r="AE54" s="4203"/>
      <c r="AF54" s="4203"/>
      <c r="AG54" s="4203"/>
      <c r="AH54" s="4203"/>
      <c r="AI54" s="4203"/>
      <c r="AJ54" s="4203"/>
      <c r="AK54" s="4203"/>
      <c r="AL54" s="4203"/>
      <c r="AM54" s="4162"/>
      <c r="AN54" s="4170"/>
      <c r="AO54" s="4175"/>
      <c r="AP54" s="4175"/>
      <c r="AQ54" s="4175"/>
      <c r="AR54" s="4175"/>
      <c r="AS54" s="4175"/>
      <c r="AT54" s="4175"/>
      <c r="AU54" s="4175"/>
      <c r="AV54" s="4175"/>
      <c r="AW54" s="4175"/>
      <c r="AX54" s="4175"/>
    </row>
    <row r="55" spans="8:8" ht="21.95" customHeight="1">
      <c r="D55" s="4202" t="s">
        <v>5550</v>
      </c>
      <c r="E55" s="4202"/>
      <c r="F55" s="4202"/>
      <c r="G55" s="4202"/>
      <c r="H55" s="4202"/>
      <c r="I55" s="4202"/>
      <c r="J55" s="4202"/>
      <c r="K55" s="4202"/>
      <c r="L55" s="4202"/>
      <c r="M55" s="4202"/>
      <c r="N55" s="4202"/>
      <c r="O55" s="4162"/>
      <c r="P55" s="4166"/>
      <c r="Q55" s="4167"/>
      <c r="R55" s="4167"/>
      <c r="S55" s="4167"/>
      <c r="T55" s="4167"/>
      <c r="U55" s="4167"/>
      <c r="V55" s="4167"/>
      <c r="W55" s="4167"/>
      <c r="X55" s="4167"/>
      <c r="Y55" s="4167"/>
      <c r="Z55" s="4167"/>
      <c r="AA55" s="4162"/>
      <c r="AB55" s="4166"/>
      <c r="AC55" s="4204"/>
      <c r="AD55" s="4203"/>
      <c r="AE55" s="4203"/>
      <c r="AF55" s="4203"/>
      <c r="AG55" s="4203"/>
      <c r="AH55" s="4203"/>
      <c r="AI55" s="4203"/>
      <c r="AJ55" s="4203"/>
      <c r="AK55" s="4203"/>
      <c r="AL55" s="4203"/>
      <c r="AM55" s="4162"/>
      <c r="AN55" s="4170"/>
      <c r="AO55" s="4175"/>
      <c r="AP55" s="4175"/>
      <c r="AQ55" s="4175"/>
      <c r="AR55" s="4175"/>
      <c r="AS55" s="4175"/>
      <c r="AT55" s="4175"/>
      <c r="AU55" s="4175"/>
      <c r="AV55" s="4175"/>
      <c r="AW55" s="4175"/>
      <c r="AX55" s="4175"/>
    </row>
    <row r="56" spans="8:8" ht="21.95" customHeight="1">
      <c r="D56" s="4202" t="s">
        <v>5551</v>
      </c>
      <c r="E56" s="4202"/>
      <c r="F56" s="4202"/>
      <c r="G56" s="4202"/>
      <c r="H56" s="4202"/>
      <c r="I56" s="4202"/>
      <c r="J56" s="4202"/>
      <c r="K56" s="4202"/>
      <c r="L56" s="4202"/>
      <c r="M56" s="4202"/>
      <c r="N56" s="4202"/>
      <c r="O56" s="4162"/>
      <c r="P56" s="4166" t="s">
        <v>5873</v>
      </c>
      <c r="Q56" s="4167" t="s">
        <v>5914</v>
      </c>
      <c r="R56" s="4167"/>
      <c r="S56" s="4167"/>
      <c r="T56" s="4167"/>
      <c r="U56" s="4167"/>
      <c r="V56" s="4167"/>
      <c r="W56" s="4167"/>
      <c r="X56" s="4167"/>
      <c r="Y56" s="4167"/>
      <c r="Z56" s="4167"/>
      <c r="AA56" s="4162"/>
      <c r="AB56" s="4166"/>
      <c r="AC56" s="4204"/>
      <c r="AD56" s="4203"/>
      <c r="AE56" s="4203"/>
      <c r="AF56" s="4203"/>
      <c r="AG56" s="4203"/>
      <c r="AH56" s="4203"/>
      <c r="AI56" s="4203"/>
      <c r="AJ56" s="4203"/>
      <c r="AK56" s="4203"/>
      <c r="AL56" s="4203"/>
      <c r="AM56" s="4162"/>
      <c r="AN56" s="4170"/>
      <c r="AO56" s="4175"/>
      <c r="AP56" s="4175"/>
      <c r="AQ56" s="4175"/>
      <c r="AR56" s="4175"/>
      <c r="AS56" s="4175"/>
      <c r="AT56" s="4175"/>
      <c r="AU56" s="4175"/>
      <c r="AV56" s="4175"/>
      <c r="AW56" s="4175"/>
      <c r="AX56" s="4175"/>
    </row>
    <row r="57" spans="8:8" ht="21.95" customHeight="1">
      <c r="D57" s="4202" t="s">
        <v>5864</v>
      </c>
      <c r="E57" s="4202"/>
      <c r="F57" s="4202"/>
      <c r="G57" s="4202" t="s">
        <v>5865</v>
      </c>
      <c r="H57" s="4202"/>
      <c r="I57" s="4202"/>
      <c r="J57" s="4202"/>
      <c r="K57" s="4202"/>
      <c r="L57" s="4202"/>
      <c r="M57" s="4202"/>
      <c r="N57" s="4202"/>
      <c r="O57" s="4162"/>
      <c r="P57" s="4166"/>
      <c r="Q57" s="4167"/>
      <c r="R57" s="4167"/>
      <c r="S57" s="4167"/>
      <c r="T57" s="4167"/>
      <c r="U57" s="4167"/>
      <c r="V57" s="4167"/>
      <c r="W57" s="4167"/>
      <c r="X57" s="4167"/>
      <c r="Y57" s="4167"/>
      <c r="Z57" s="4167"/>
      <c r="AA57" s="4162"/>
      <c r="AB57" s="4166"/>
      <c r="AC57" s="4204"/>
      <c r="AD57" s="4203"/>
      <c r="AE57" s="4203"/>
      <c r="AF57" s="4203"/>
      <c r="AG57" s="4203"/>
      <c r="AH57" s="4203"/>
      <c r="AI57" s="4203"/>
      <c r="AJ57" s="4203"/>
      <c r="AK57" s="4203"/>
      <c r="AL57" s="4203"/>
      <c r="AM57" s="4162"/>
      <c r="AN57" s="4170"/>
      <c r="AO57" s="4175"/>
      <c r="AP57" s="4175"/>
      <c r="AQ57" s="4175"/>
      <c r="AR57" s="4175"/>
      <c r="AS57" s="4175"/>
      <c r="AT57" s="4175"/>
      <c r="AU57" s="4175"/>
      <c r="AV57" s="4175"/>
      <c r="AW57" s="4175"/>
      <c r="AX57" s="4175"/>
    </row>
    <row r="58" spans="8:8" ht="21.95" customHeight="1">
      <c r="D58" s="4202" t="s">
        <v>5866</v>
      </c>
      <c r="E58" s="4202"/>
      <c r="F58" s="4202"/>
      <c r="G58" s="4202" t="s">
        <v>5867</v>
      </c>
      <c r="H58" s="4202"/>
      <c r="I58" s="4202"/>
      <c r="J58" s="4202"/>
      <c r="K58" s="4202"/>
      <c r="L58" s="4202"/>
      <c r="M58" s="4202"/>
      <c r="N58" s="4202"/>
      <c r="O58" s="4162"/>
      <c r="P58" s="4166"/>
      <c r="Q58" s="4167"/>
      <c r="R58" s="4167"/>
      <c r="S58" s="4167"/>
      <c r="T58" s="4167"/>
      <c r="U58" s="4167"/>
      <c r="V58" s="4167"/>
      <c r="W58" s="4167"/>
      <c r="X58" s="4167"/>
      <c r="Y58" s="4167"/>
      <c r="Z58" s="4167"/>
      <c r="AA58" s="4162"/>
      <c r="AB58" s="4166"/>
      <c r="AC58" s="4169" t="s">
        <v>5554</v>
      </c>
      <c r="AD58" s="4169"/>
      <c r="AE58" s="4169"/>
      <c r="AF58" s="4169"/>
      <c r="AG58" s="4169"/>
      <c r="AH58" s="4169"/>
      <c r="AI58" s="4169"/>
      <c r="AJ58" s="4169"/>
      <c r="AK58" s="4169"/>
      <c r="AL58" s="4169"/>
      <c r="AM58" s="4162"/>
      <c r="AN58" s="4170"/>
      <c r="AO58" s="4175"/>
      <c r="AP58" s="4175"/>
      <c r="AQ58" s="4175"/>
      <c r="AR58" s="4175"/>
      <c r="AS58" s="4175"/>
      <c r="AT58" s="4175"/>
      <c r="AU58" s="4175"/>
      <c r="AV58" s="4175"/>
      <c r="AW58" s="4175"/>
      <c r="AX58" s="4175"/>
    </row>
    <row r="59" spans="8:8" ht="21.95" customHeight="1">
      <c r="D59" s="4202" t="s">
        <v>5872</v>
      </c>
      <c r="E59" s="4202"/>
      <c r="F59" s="4202"/>
      <c r="G59" s="4202"/>
      <c r="H59" s="4202"/>
      <c r="I59" s="4202"/>
      <c r="J59" s="4202"/>
      <c r="K59" s="4202"/>
      <c r="L59" s="4202"/>
      <c r="M59" s="4202"/>
      <c r="N59" s="4202"/>
      <c r="O59" s="4162"/>
      <c r="P59" s="4166"/>
      <c r="Q59" s="4167"/>
      <c r="R59" s="4167"/>
      <c r="S59" s="4167"/>
      <c r="T59" s="4167"/>
      <c r="U59" s="4167"/>
      <c r="V59" s="4167"/>
      <c r="W59" s="4167"/>
      <c r="X59" s="4167"/>
      <c r="Y59" s="4167"/>
      <c r="Z59" s="4167"/>
      <c r="AA59" s="4162"/>
      <c r="AB59" s="4166"/>
      <c r="AC59" s="4169" t="s">
        <v>5556</v>
      </c>
      <c r="AD59" s="4169"/>
      <c r="AE59" s="4169"/>
      <c r="AF59" s="4169"/>
      <c r="AG59" s="4169"/>
      <c r="AH59" s="4169"/>
      <c r="AI59" s="4169"/>
      <c r="AJ59" s="4169"/>
      <c r="AK59" s="4169"/>
      <c r="AL59" s="4169"/>
      <c r="AM59" s="4162"/>
      <c r="AN59" s="4170"/>
      <c r="AO59" s="4175"/>
      <c r="AP59" s="4175"/>
      <c r="AQ59" s="4175"/>
      <c r="AR59" s="4175"/>
      <c r="AS59" s="4175"/>
      <c r="AT59" s="4175"/>
      <c r="AU59" s="4175"/>
      <c r="AV59" s="4175"/>
      <c r="AW59" s="4175"/>
      <c r="AX59" s="4175"/>
    </row>
    <row r="60" spans="8:8" ht="21.95" customHeight="1">
      <c r="D60" s="4202" t="s">
        <v>5952</v>
      </c>
      <c r="E60" s="4202"/>
      <c r="F60" s="4202"/>
      <c r="G60" s="4202"/>
      <c r="H60" s="4202"/>
      <c r="I60" s="4202"/>
      <c r="J60" s="4202"/>
      <c r="K60" s="4202"/>
      <c r="L60" s="4202"/>
      <c r="M60" s="4202"/>
      <c r="N60" s="4202"/>
      <c r="O60" s="4162"/>
      <c r="P60" s="4163" t="s">
        <v>5891</v>
      </c>
      <c r="Q60" s="4163"/>
      <c r="R60" s="4163"/>
      <c r="S60" s="4163"/>
      <c r="T60" s="4163"/>
      <c r="U60" s="4163"/>
      <c r="V60" s="4163"/>
      <c r="W60" s="4163"/>
      <c r="X60" s="4163"/>
      <c r="Y60" s="4163"/>
      <c r="Z60" s="4163"/>
      <c r="AA60" s="4162"/>
      <c r="AB60" s="4166"/>
      <c r="AC60" s="4175" t="s">
        <v>5557</v>
      </c>
      <c r="AD60" s="4175"/>
      <c r="AE60" s="4175"/>
      <c r="AF60" s="4175"/>
      <c r="AG60" s="4175"/>
      <c r="AH60" s="4175"/>
      <c r="AI60" s="4175"/>
      <c r="AJ60" s="4175"/>
      <c r="AK60" s="4175"/>
      <c r="AL60" s="4175"/>
      <c r="AM60" s="4162"/>
      <c r="AN60" s="4170"/>
      <c r="AO60" s="4175"/>
      <c r="AP60" s="4175"/>
      <c r="AQ60" s="4175"/>
      <c r="AR60" s="4175"/>
      <c r="AS60" s="4175"/>
      <c r="AT60" s="4175"/>
      <c r="AU60" s="4175"/>
      <c r="AV60" s="4175"/>
      <c r="AW60" s="4175"/>
      <c r="AX60" s="4175"/>
    </row>
    <row r="61" spans="8:8" ht="21.95" customHeight="1">
      <c r="D61" s="4202"/>
      <c r="E61" s="4202"/>
      <c r="F61" s="4202"/>
      <c r="G61" s="4202"/>
      <c r="H61" s="4202"/>
      <c r="I61" s="4202"/>
      <c r="J61" s="4202"/>
      <c r="K61" s="4202"/>
      <c r="L61" s="4202"/>
      <c r="M61" s="4202"/>
      <c r="N61" s="4202"/>
      <c r="O61" s="4162"/>
      <c r="P61" s="4166" t="s">
        <v>5892</v>
      </c>
      <c r="Q61" s="4167" t="s">
        <v>5889</v>
      </c>
      <c r="R61" s="4167"/>
      <c r="S61" s="4167"/>
      <c r="T61" s="4167"/>
      <c r="U61" s="4167"/>
      <c r="V61" s="4167"/>
      <c r="W61" s="4167"/>
      <c r="X61" s="4167"/>
      <c r="Y61" s="4167"/>
      <c r="Z61" s="4167"/>
      <c r="AA61" s="4162"/>
      <c r="AB61" s="4166"/>
      <c r="AC61" s="4175"/>
      <c r="AD61" s="4175"/>
      <c r="AE61" s="4175"/>
      <c r="AF61" s="4175"/>
      <c r="AG61" s="4175"/>
      <c r="AH61" s="4175"/>
      <c r="AI61" s="4175"/>
      <c r="AJ61" s="4175"/>
      <c r="AK61" s="4175"/>
      <c r="AL61" s="4175"/>
      <c r="AM61" s="4162"/>
      <c r="AN61" s="4170" t="s">
        <v>5560</v>
      </c>
      <c r="AO61" s="4175" t="s">
        <v>5561</v>
      </c>
      <c r="AP61" s="4175"/>
      <c r="AQ61" s="4175"/>
      <c r="AR61" s="4175"/>
      <c r="AS61" s="4175"/>
      <c r="AT61" s="4175"/>
      <c r="AU61" s="4175"/>
      <c r="AV61" s="4175"/>
      <c r="AW61" s="4175"/>
      <c r="AX61" s="4175"/>
    </row>
    <row r="62" spans="8:8" ht="21.95" customHeight="1">
      <c r="D62" s="4202"/>
      <c r="E62" s="4202"/>
      <c r="F62" s="4202"/>
      <c r="G62" s="4202"/>
      <c r="H62" s="4202"/>
      <c r="I62" s="4202"/>
      <c r="J62" s="4202"/>
      <c r="K62" s="4202"/>
      <c r="L62" s="4202"/>
      <c r="M62" s="4202"/>
      <c r="N62" s="4202"/>
      <c r="O62" s="4162"/>
      <c r="P62" s="4166"/>
      <c r="Q62" s="4167"/>
      <c r="R62" s="4167"/>
      <c r="S62" s="4167"/>
      <c r="T62" s="4167"/>
      <c r="U62" s="4167"/>
      <c r="V62" s="4167"/>
      <c r="W62" s="4167"/>
      <c r="X62" s="4167"/>
      <c r="Y62" s="4167"/>
      <c r="Z62" s="4167"/>
      <c r="AA62" s="4162"/>
      <c r="AB62" s="4166"/>
      <c r="AC62" s="4175"/>
      <c r="AD62" s="4175"/>
      <c r="AE62" s="4175"/>
      <c r="AF62" s="4175"/>
      <c r="AG62" s="4175"/>
      <c r="AH62" s="4175"/>
      <c r="AI62" s="4175"/>
      <c r="AJ62" s="4175"/>
      <c r="AK62" s="4175"/>
      <c r="AL62" s="4175"/>
      <c r="AM62" s="4162"/>
      <c r="AN62" s="4170"/>
      <c r="AO62" s="4175" t="s">
        <v>5562</v>
      </c>
      <c r="AP62" s="4175"/>
      <c r="AQ62" s="4175"/>
      <c r="AR62" s="4175"/>
      <c r="AS62" s="4175"/>
      <c r="AT62" s="4175"/>
      <c r="AU62" s="4175"/>
      <c r="AV62" s="4175"/>
      <c r="AW62" s="4175"/>
      <c r="AX62" s="4175"/>
    </row>
    <row r="63" spans="8:8" ht="21.95" customHeight="1">
      <c r="D63" s="4202"/>
      <c r="E63" s="4202"/>
      <c r="F63" s="4202"/>
      <c r="G63" s="4202"/>
      <c r="H63" s="4202"/>
      <c r="I63" s="4202"/>
      <c r="J63" s="4202"/>
      <c r="K63" s="4202"/>
      <c r="L63" s="4202"/>
      <c r="M63" s="4202"/>
      <c r="N63" s="4202"/>
      <c r="O63" s="4162"/>
      <c r="P63" s="4166"/>
      <c r="Q63" s="4167"/>
      <c r="R63" s="4167"/>
      <c r="S63" s="4167"/>
      <c r="T63" s="4167"/>
      <c r="U63" s="4167"/>
      <c r="V63" s="4167"/>
      <c r="W63" s="4167"/>
      <c r="X63" s="4167"/>
      <c r="Y63" s="4167"/>
      <c r="Z63" s="4167"/>
      <c r="AA63" s="4162"/>
      <c r="AB63" s="4205" t="s">
        <v>5475</v>
      </c>
      <c r="AC63" s="4175" t="s">
        <v>5564</v>
      </c>
      <c r="AD63" s="4175"/>
      <c r="AE63" s="4175"/>
      <c r="AF63" s="4175"/>
      <c r="AG63" s="4175"/>
      <c r="AH63" s="4175"/>
      <c r="AI63" s="4175"/>
      <c r="AJ63" s="4175"/>
      <c r="AK63" s="4175"/>
      <c r="AL63" s="4175"/>
      <c r="AM63" s="4162"/>
      <c r="AN63" s="4170"/>
      <c r="AO63" s="4175"/>
      <c r="AP63" s="4175"/>
      <c r="AQ63" s="4175"/>
      <c r="AR63" s="4175"/>
      <c r="AS63" s="4175"/>
      <c r="AT63" s="4175"/>
      <c r="AU63" s="4175"/>
      <c r="AV63" s="4175"/>
      <c r="AW63" s="4175"/>
      <c r="AX63" s="4175"/>
    </row>
    <row r="64" spans="8:8" ht="21.95" customHeight="1">
      <c r="O64" s="4162"/>
      <c r="P64" s="4166"/>
      <c r="Q64" s="4167"/>
      <c r="R64" s="4167"/>
      <c r="S64" s="4167"/>
      <c r="T64" s="4167"/>
      <c r="U64" s="4167"/>
      <c r="V64" s="4167"/>
      <c r="W64" s="4167"/>
      <c r="X64" s="4167"/>
      <c r="Y64" s="4167"/>
      <c r="Z64" s="4167"/>
      <c r="AA64" s="4162"/>
      <c r="AB64" s="4205"/>
      <c r="AC64" s="4175"/>
      <c r="AD64" s="4175"/>
      <c r="AE64" s="4175"/>
      <c r="AF64" s="4175"/>
      <c r="AG64" s="4175"/>
      <c r="AH64" s="4175"/>
      <c r="AI64" s="4175"/>
      <c r="AJ64" s="4175"/>
      <c r="AK64" s="4175"/>
      <c r="AL64" s="4175"/>
      <c r="AM64" s="4162"/>
      <c r="AN64" s="4170"/>
      <c r="AO64" s="4175" t="s">
        <v>5565</v>
      </c>
      <c r="AP64" s="4175"/>
      <c r="AQ64" s="4175"/>
      <c r="AR64" s="4175"/>
      <c r="AS64" s="4175"/>
      <c r="AT64" s="4175"/>
      <c r="AU64" s="4175"/>
      <c r="AV64" s="4175"/>
      <c r="AW64" s="4175"/>
      <c r="AX64" s="4175"/>
    </row>
    <row r="65" spans="8:8" ht="21.95" customHeight="1">
      <c r="O65" s="4162"/>
      <c r="P65" s="4166" t="s">
        <v>5873</v>
      </c>
      <c r="Q65" s="4167" t="s">
        <v>5890</v>
      </c>
      <c r="R65" s="4167"/>
      <c r="S65" s="4167"/>
      <c r="T65" s="4167"/>
      <c r="U65" s="4167"/>
      <c r="V65" s="4167"/>
      <c r="W65" s="4167"/>
      <c r="X65" s="4167"/>
      <c r="Y65" s="4167"/>
      <c r="Z65" s="4167"/>
      <c r="AA65" s="4162"/>
      <c r="AB65" s="4205"/>
      <c r="AC65" s="4175"/>
      <c r="AD65" s="4175"/>
      <c r="AE65" s="4175"/>
      <c r="AF65" s="4175"/>
      <c r="AG65" s="4175"/>
      <c r="AH65" s="4175"/>
      <c r="AI65" s="4175"/>
      <c r="AJ65" s="4175"/>
      <c r="AK65" s="4175"/>
      <c r="AL65" s="4175"/>
      <c r="AM65" s="4162"/>
      <c r="AN65" s="4170"/>
      <c r="AO65" s="4175"/>
      <c r="AP65" s="4175"/>
      <c r="AQ65" s="4175"/>
      <c r="AR65" s="4175"/>
      <c r="AS65" s="4175"/>
      <c r="AT65" s="4175"/>
      <c r="AU65" s="4175"/>
      <c r="AV65" s="4175"/>
      <c r="AW65" s="4175"/>
      <c r="AX65" s="4175"/>
    </row>
    <row r="66" spans="8:8" ht="21.95" customHeight="1">
      <c r="O66" s="4162"/>
      <c r="P66" s="4166"/>
      <c r="Q66" s="4167"/>
      <c r="R66" s="4167"/>
      <c r="S66" s="4167"/>
      <c r="T66" s="4167"/>
      <c r="U66" s="4167"/>
      <c r="V66" s="4167"/>
      <c r="W66" s="4167"/>
      <c r="X66" s="4167"/>
      <c r="Y66" s="4167"/>
      <c r="Z66" s="4167"/>
      <c r="AA66" s="4162"/>
      <c r="AB66" s="4206" t="s">
        <v>5558</v>
      </c>
      <c r="AC66" s="4175" t="s">
        <v>5568</v>
      </c>
      <c r="AD66" s="4175"/>
      <c r="AE66" s="4175"/>
      <c r="AF66" s="4175"/>
      <c r="AG66" s="4175"/>
      <c r="AH66" s="4175"/>
      <c r="AI66" s="4175"/>
      <c r="AJ66" s="4175"/>
      <c r="AK66" s="4175"/>
      <c r="AL66" s="4175"/>
      <c r="AM66" s="4162"/>
      <c r="AN66" s="4170"/>
      <c r="AO66" s="4175"/>
      <c r="AP66" s="4175"/>
      <c r="AQ66" s="4175"/>
      <c r="AR66" s="4175"/>
      <c r="AS66" s="4175"/>
      <c r="AT66" s="4175"/>
      <c r="AU66" s="4175"/>
      <c r="AV66" s="4175"/>
      <c r="AW66" s="4175"/>
      <c r="AX66" s="4175"/>
    </row>
    <row r="67" spans="8:8" ht="21.95" customHeight="1">
      <c r="O67" s="4162"/>
      <c r="P67" s="4166"/>
      <c r="Q67" s="4167"/>
      <c r="R67" s="4167"/>
      <c r="S67" s="4167"/>
      <c r="T67" s="4167"/>
      <c r="U67" s="4167"/>
      <c r="V67" s="4167"/>
      <c r="W67" s="4167"/>
      <c r="X67" s="4167"/>
      <c r="Y67" s="4167"/>
      <c r="Z67" s="4167"/>
      <c r="AA67" s="4162"/>
      <c r="AB67" s="4163" t="s">
        <v>5569</v>
      </c>
      <c r="AC67" s="4163"/>
      <c r="AD67" s="4163"/>
      <c r="AE67" s="4163"/>
      <c r="AF67" s="4163"/>
      <c r="AG67" s="4163"/>
      <c r="AH67" s="4163"/>
      <c r="AI67" s="4163"/>
      <c r="AJ67" s="4163"/>
      <c r="AK67" s="4163"/>
      <c r="AL67" s="4163"/>
      <c r="AM67" s="4162"/>
      <c r="AN67" s="4170"/>
      <c r="AO67" s="4175" t="s">
        <v>5570</v>
      </c>
      <c r="AP67" s="4175"/>
      <c r="AQ67" s="4175"/>
      <c r="AR67" s="4175"/>
      <c r="AS67" s="4175"/>
      <c r="AT67" s="4175"/>
      <c r="AU67" s="4175"/>
      <c r="AV67" s="4175"/>
      <c r="AW67" s="4175"/>
      <c r="AX67" s="4175"/>
    </row>
    <row r="68" spans="8:8" ht="21.95" customHeight="1">
      <c r="O68" s="4162"/>
      <c r="P68" s="4166"/>
      <c r="Q68" s="4167"/>
      <c r="R68" s="4167"/>
      <c r="S68" s="4167"/>
      <c r="T68" s="4167"/>
      <c r="U68" s="4167"/>
      <c r="V68" s="4167"/>
      <c r="W68" s="4167"/>
      <c r="X68" s="4167"/>
      <c r="Y68" s="4167"/>
      <c r="Z68" s="4167"/>
      <c r="AA68" s="4162"/>
      <c r="AB68" s="4207" t="s">
        <v>5449</v>
      </c>
      <c r="AC68" s="4169" t="s">
        <v>5572</v>
      </c>
      <c r="AD68" s="4169"/>
      <c r="AE68" s="4169"/>
      <c r="AF68" s="4169"/>
      <c r="AG68" s="4169"/>
      <c r="AH68" s="4169"/>
      <c r="AI68" s="4169"/>
      <c r="AJ68" s="4169"/>
      <c r="AK68" s="4169"/>
      <c r="AL68" s="4169"/>
      <c r="AM68" s="4162"/>
      <c r="AN68" s="4170"/>
      <c r="AO68" s="4175"/>
      <c r="AP68" s="4175"/>
      <c r="AQ68" s="4175"/>
      <c r="AR68" s="4175"/>
      <c r="AS68" s="4175"/>
      <c r="AT68" s="4175"/>
      <c r="AU68" s="4175"/>
      <c r="AV68" s="4175"/>
      <c r="AW68" s="4175"/>
      <c r="AX68" s="4175"/>
    </row>
    <row r="69" spans="8:8" ht="21.95" customHeight="1">
      <c r="O69" s="4162"/>
      <c r="P69" s="4163" t="s">
        <v>5884</v>
      </c>
      <c r="Q69" s="4163"/>
      <c r="R69" s="4163"/>
      <c r="S69" s="4163"/>
      <c r="T69" s="4163"/>
      <c r="U69" s="4163"/>
      <c r="V69" s="4163"/>
      <c r="W69" s="4163"/>
      <c r="X69" s="4163"/>
      <c r="Y69" s="4163"/>
      <c r="Z69" s="4163"/>
      <c r="AA69" s="4162"/>
      <c r="AB69" s="4207"/>
      <c r="AC69" s="4169" t="s">
        <v>5573</v>
      </c>
      <c r="AD69" s="4169"/>
      <c r="AE69" s="4169"/>
      <c r="AF69" s="4169"/>
      <c r="AG69" s="4169"/>
      <c r="AH69" s="4169"/>
      <c r="AI69" s="4169"/>
      <c r="AJ69" s="4169"/>
      <c r="AK69" s="4169"/>
      <c r="AL69" s="4169"/>
      <c r="AM69" s="4162"/>
      <c r="AN69" s="4170"/>
      <c r="AO69" s="4175"/>
      <c r="AP69" s="4175"/>
      <c r="AQ69" s="4175"/>
      <c r="AR69" s="4175"/>
      <c r="AS69" s="4175"/>
      <c r="AT69" s="4175"/>
      <c r="AU69" s="4175"/>
      <c r="AV69" s="4175"/>
      <c r="AW69" s="4175"/>
      <c r="AX69" s="4175"/>
    </row>
    <row r="70" spans="8:8" ht="21.95" customHeight="1">
      <c r="O70" s="4162"/>
      <c r="P70" s="4188" t="s">
        <v>5447</v>
      </c>
      <c r="Q70" s="4189" t="s">
        <v>5885</v>
      </c>
      <c r="R70" s="4190"/>
      <c r="S70" s="4190"/>
      <c r="T70" s="4190"/>
      <c r="U70" s="4190"/>
      <c r="V70" s="4190"/>
      <c r="W70" s="4190"/>
      <c r="X70" s="4190"/>
      <c r="Y70" s="4190"/>
      <c r="Z70" s="4191"/>
      <c r="AA70" s="4162"/>
      <c r="AB70" s="4207"/>
      <c r="AC70" s="4169" t="s">
        <v>5575</v>
      </c>
      <c r="AD70" s="4169"/>
      <c r="AE70" s="4169"/>
      <c r="AF70" s="4169"/>
      <c r="AG70" s="4169"/>
      <c r="AH70" s="4169"/>
      <c r="AI70" s="4169"/>
      <c r="AJ70" s="4169"/>
      <c r="AK70" s="4169"/>
      <c r="AL70" s="4169"/>
      <c r="AM70" s="4162"/>
      <c r="AN70" s="4170"/>
      <c r="AO70" s="4175"/>
      <c r="AP70" s="4175"/>
      <c r="AQ70" s="4175"/>
      <c r="AR70" s="4175"/>
      <c r="AS70" s="4175"/>
      <c r="AT70" s="4175"/>
      <c r="AU70" s="4175"/>
      <c r="AV70" s="4175"/>
      <c r="AW70" s="4175"/>
      <c r="AX70" s="4175"/>
    </row>
    <row r="71" spans="8:8" ht="21.95" customHeight="1">
      <c r="O71" s="4162"/>
      <c r="P71" s="4192"/>
      <c r="Q71" s="4193"/>
      <c r="R71" s="4194"/>
      <c r="S71" s="4194"/>
      <c r="T71" s="4194"/>
      <c r="U71" s="4194"/>
      <c r="V71" s="4194"/>
      <c r="W71" s="4194"/>
      <c r="X71" s="4194"/>
      <c r="Y71" s="4194"/>
      <c r="Z71" s="4195"/>
      <c r="AA71" s="4162"/>
      <c r="AB71" s="4208" t="s">
        <v>5558</v>
      </c>
      <c r="AC71" s="4169" t="s">
        <v>5576</v>
      </c>
      <c r="AD71" s="4169"/>
      <c r="AE71" s="4169"/>
      <c r="AF71" s="4169"/>
      <c r="AG71" s="4169"/>
      <c r="AH71" s="4169"/>
      <c r="AI71" s="4169"/>
      <c r="AJ71" s="4169"/>
      <c r="AK71" s="4169"/>
      <c r="AL71" s="4169"/>
      <c r="AM71" s="4162"/>
      <c r="AN71" s="4170"/>
      <c r="AO71" s="4175"/>
      <c r="AP71" s="4175"/>
      <c r="AQ71" s="4175"/>
      <c r="AR71" s="4175"/>
      <c r="AS71" s="4175"/>
      <c r="AT71" s="4175"/>
      <c r="AU71" s="4175"/>
      <c r="AV71" s="4175"/>
      <c r="AW71" s="4175"/>
      <c r="AX71" s="4175"/>
    </row>
    <row r="72" spans="8:8" ht="21.95" customHeight="1">
      <c r="O72" s="4162"/>
      <c r="P72" s="4192"/>
      <c r="Q72" s="4193"/>
      <c r="R72" s="4194"/>
      <c r="S72" s="4194"/>
      <c r="T72" s="4194"/>
      <c r="U72" s="4194"/>
      <c r="V72" s="4194"/>
      <c r="W72" s="4194"/>
      <c r="X72" s="4194"/>
      <c r="Y72" s="4194"/>
      <c r="Z72" s="4195"/>
      <c r="AA72" s="4162"/>
      <c r="AB72" s="4170" t="s">
        <v>104</v>
      </c>
      <c r="AC72" s="4183"/>
      <c r="AD72" s="4183"/>
      <c r="AE72" s="4183"/>
      <c r="AF72" s="4183"/>
      <c r="AG72" s="4183"/>
      <c r="AH72" s="4183"/>
      <c r="AI72" s="4183"/>
      <c r="AJ72" s="4183"/>
      <c r="AK72" s="4183"/>
      <c r="AL72" s="4183"/>
      <c r="AM72" s="4162"/>
      <c r="AN72" s="4170"/>
      <c r="AO72" s="4175"/>
      <c r="AP72" s="4175"/>
      <c r="AQ72" s="4175"/>
      <c r="AR72" s="4175"/>
      <c r="AS72" s="4175"/>
      <c r="AT72" s="4175"/>
      <c r="AU72" s="4175"/>
      <c r="AV72" s="4175"/>
      <c r="AW72" s="4175"/>
      <c r="AX72" s="4175"/>
    </row>
    <row r="73" spans="8:8" ht="21.95" customHeight="1">
      <c r="O73" s="4162"/>
      <c r="P73" s="4192"/>
      <c r="Q73" s="4193"/>
      <c r="R73" s="4194"/>
      <c r="S73" s="4194"/>
      <c r="T73" s="4194"/>
      <c r="U73" s="4194"/>
      <c r="V73" s="4194"/>
      <c r="W73" s="4194"/>
      <c r="X73" s="4194"/>
      <c r="Y73" s="4194"/>
      <c r="Z73" s="4195"/>
      <c r="AA73" s="4162"/>
      <c r="AB73" s="4170"/>
      <c r="AC73" s="4183"/>
      <c r="AD73" s="4183"/>
      <c r="AE73" s="4183"/>
      <c r="AF73" s="4183"/>
      <c r="AG73" s="4183"/>
      <c r="AH73" s="4183"/>
      <c r="AI73" s="4183"/>
      <c r="AJ73" s="4183"/>
      <c r="AK73" s="4183"/>
      <c r="AL73" s="4183"/>
      <c r="AM73" s="4162"/>
      <c r="AN73" s="4170"/>
      <c r="AO73" s="4175"/>
      <c r="AP73" s="4175"/>
      <c r="AQ73" s="4175"/>
      <c r="AR73" s="4175"/>
      <c r="AS73" s="4175"/>
      <c r="AT73" s="4175"/>
      <c r="AU73" s="4175"/>
      <c r="AV73" s="4175"/>
      <c r="AW73" s="4175"/>
      <c r="AX73" s="4175"/>
    </row>
    <row r="74" spans="8:8" ht="21.95" customHeight="1">
      <c r="O74" s="4162"/>
      <c r="P74" s="4196"/>
      <c r="Q74" s="4197"/>
      <c r="R74" s="4198"/>
      <c r="S74" s="4198"/>
      <c r="T74" s="4198"/>
      <c r="U74" s="4198"/>
      <c r="V74" s="4198"/>
      <c r="W74" s="4198"/>
      <c r="X74" s="4198"/>
      <c r="Y74" s="4198"/>
      <c r="Z74" s="4199"/>
      <c r="AA74" s="4162"/>
      <c r="AB74" s="4163" t="s">
        <v>5579</v>
      </c>
      <c r="AC74" s="4163"/>
      <c r="AD74" s="4163"/>
      <c r="AE74" s="4163"/>
      <c r="AF74" s="4163"/>
      <c r="AG74" s="4163"/>
      <c r="AH74" s="4163"/>
      <c r="AI74" s="4163"/>
      <c r="AJ74" s="4163"/>
      <c r="AK74" s="4163"/>
      <c r="AL74" s="4163"/>
      <c r="AM74" s="4162"/>
      <c r="AN74" s="4170"/>
      <c r="AO74" s="4175"/>
      <c r="AP74" s="4175"/>
      <c r="AQ74" s="4175"/>
      <c r="AR74" s="4175"/>
      <c r="AS74" s="4175"/>
      <c r="AT74" s="4175"/>
      <c r="AU74" s="4175"/>
      <c r="AV74" s="4175"/>
      <c r="AW74" s="4175"/>
      <c r="AX74" s="4175"/>
    </row>
    <row r="75" spans="8:8" ht="21.95" customHeight="1">
      <c r="O75" s="4162"/>
      <c r="P75" s="4188" t="s">
        <v>5873</v>
      </c>
      <c r="Q75" s="4189" t="s">
        <v>5886</v>
      </c>
      <c r="R75" s="4190"/>
      <c r="S75" s="4190"/>
      <c r="T75" s="4190"/>
      <c r="U75" s="4190"/>
      <c r="V75" s="4190"/>
      <c r="W75" s="4190"/>
      <c r="X75" s="4190"/>
      <c r="Y75" s="4190"/>
      <c r="Z75" s="4191"/>
      <c r="AA75" s="4162"/>
      <c r="AB75" s="4209" t="s">
        <v>5449</v>
      </c>
      <c r="AC75" s="4184" t="s">
        <v>5580</v>
      </c>
      <c r="AD75" s="4203"/>
      <c r="AE75" s="4203"/>
      <c r="AF75" s="4203"/>
      <c r="AG75" s="4203"/>
      <c r="AH75" s="4203"/>
      <c r="AI75" s="4203"/>
      <c r="AJ75" s="4203"/>
      <c r="AK75" s="4203"/>
      <c r="AL75" s="4203"/>
      <c r="AM75" s="4162"/>
      <c r="AN75" s="4170"/>
      <c r="AO75" s="4175"/>
      <c r="AP75" s="4175"/>
      <c r="AQ75" s="4175"/>
      <c r="AR75" s="4175"/>
      <c r="AS75" s="4175"/>
      <c r="AT75" s="4175"/>
      <c r="AU75" s="4175"/>
      <c r="AV75" s="4175"/>
      <c r="AW75" s="4175"/>
      <c r="AX75" s="4175"/>
    </row>
    <row r="76" spans="8:8" ht="21.95" customHeight="1">
      <c r="O76" s="4162"/>
      <c r="P76" s="4192"/>
      <c r="Q76" s="4193"/>
      <c r="R76" s="4194"/>
      <c r="S76" s="4194"/>
      <c r="T76" s="4194"/>
      <c r="U76" s="4194"/>
      <c r="V76" s="4194"/>
      <c r="W76" s="4194"/>
      <c r="X76" s="4194"/>
      <c r="Y76" s="4194"/>
      <c r="Z76" s="4195"/>
      <c r="AA76" s="4162"/>
      <c r="AB76" s="4209"/>
      <c r="AC76" s="4203"/>
      <c r="AD76" s="4203"/>
      <c r="AE76" s="4203"/>
      <c r="AF76" s="4203"/>
      <c r="AG76" s="4203"/>
      <c r="AH76" s="4203"/>
      <c r="AI76" s="4203"/>
      <c r="AJ76" s="4203"/>
      <c r="AK76" s="4203"/>
      <c r="AL76" s="4203"/>
      <c r="AM76" s="4162"/>
      <c r="AN76" s="4170"/>
      <c r="AO76" s="4175"/>
      <c r="AP76" s="4175"/>
      <c r="AQ76" s="4175"/>
      <c r="AR76" s="4175"/>
      <c r="AS76" s="4175"/>
      <c r="AT76" s="4175"/>
      <c r="AU76" s="4175"/>
      <c r="AV76" s="4175"/>
      <c r="AW76" s="4175"/>
      <c r="AX76" s="4175"/>
    </row>
    <row r="77" spans="8:8" ht="21.95" customHeight="1">
      <c r="O77" s="4162"/>
      <c r="P77" s="4196"/>
      <c r="Q77" s="4197"/>
      <c r="R77" s="4198"/>
      <c r="S77" s="4198"/>
      <c r="T77" s="4198"/>
      <c r="U77" s="4198"/>
      <c r="V77" s="4198"/>
      <c r="W77" s="4198"/>
      <c r="X77" s="4198"/>
      <c r="Y77" s="4198"/>
      <c r="Z77" s="4199"/>
      <c r="AA77" s="4162"/>
      <c r="AB77" s="4209"/>
      <c r="AC77" s="4203"/>
      <c r="AD77" s="4203"/>
      <c r="AE77" s="4203"/>
      <c r="AF77" s="4203"/>
      <c r="AG77" s="4203"/>
      <c r="AH77" s="4203"/>
      <c r="AI77" s="4203"/>
      <c r="AJ77" s="4203"/>
      <c r="AK77" s="4203"/>
      <c r="AL77" s="4203"/>
      <c r="AM77" s="4162"/>
      <c r="AN77" s="4170"/>
      <c r="AO77" s="4175"/>
      <c r="AP77" s="4175"/>
      <c r="AQ77" s="4175"/>
      <c r="AR77" s="4175"/>
      <c r="AS77" s="4175"/>
      <c r="AT77" s="4175"/>
      <c r="AU77" s="4175"/>
      <c r="AV77" s="4175"/>
      <c r="AW77" s="4175"/>
      <c r="AX77" s="4175"/>
    </row>
    <row r="78" spans="8:8" ht="21.95" customHeight="1">
      <c r="O78" s="4162"/>
      <c r="P78" s="4163" t="s">
        <v>5871</v>
      </c>
      <c r="Q78" s="4163"/>
      <c r="R78" s="4163"/>
      <c r="S78" s="4163"/>
      <c r="T78" s="4163"/>
      <c r="U78" s="4163"/>
      <c r="V78" s="4163"/>
      <c r="W78" s="4163"/>
      <c r="X78" s="4163"/>
      <c r="Y78" s="4163"/>
      <c r="Z78" s="4163"/>
      <c r="AA78" s="4162"/>
      <c r="AB78" s="4209"/>
      <c r="AC78" s="4203"/>
      <c r="AD78" s="4203"/>
      <c r="AE78" s="4203"/>
      <c r="AF78" s="4203"/>
      <c r="AG78" s="4203"/>
      <c r="AH78" s="4203"/>
      <c r="AI78" s="4203"/>
      <c r="AJ78" s="4203"/>
      <c r="AK78" s="4203"/>
      <c r="AL78" s="4203"/>
      <c r="AM78" s="4162"/>
      <c r="AN78" s="4170"/>
      <c r="AO78" s="4175"/>
      <c r="AP78" s="4175"/>
      <c r="AQ78" s="4175"/>
      <c r="AR78" s="4175"/>
      <c r="AS78" s="4175"/>
      <c r="AT78" s="4175"/>
      <c r="AU78" s="4175"/>
      <c r="AV78" s="4175"/>
      <c r="AW78" s="4175"/>
      <c r="AX78" s="4175"/>
    </row>
    <row r="79" spans="8:8" ht="21.95" customHeight="1">
      <c r="O79" s="4162"/>
      <c r="P79" s="4166" t="s">
        <v>5447</v>
      </c>
      <c r="Q79" s="4210" t="s">
        <v>5877</v>
      </c>
      <c r="R79" s="4210"/>
      <c r="S79" s="4210"/>
      <c r="T79" s="4210"/>
      <c r="U79" s="4210"/>
      <c r="V79" s="4210"/>
      <c r="W79" s="4210"/>
      <c r="X79" s="4210"/>
      <c r="Y79" s="4210"/>
      <c r="Z79" s="4210"/>
      <c r="AA79" s="4162"/>
      <c r="AB79" s="4209"/>
      <c r="AC79" s="4203"/>
      <c r="AD79" s="4203"/>
      <c r="AE79" s="4203"/>
      <c r="AF79" s="4203"/>
      <c r="AG79" s="4203"/>
      <c r="AH79" s="4203"/>
      <c r="AI79" s="4203"/>
      <c r="AJ79" s="4203"/>
      <c r="AK79" s="4203"/>
      <c r="AL79" s="4203"/>
      <c r="AM79" s="4162"/>
      <c r="AN79" s="4170"/>
      <c r="AO79" s="4175" t="s">
        <v>5583</v>
      </c>
      <c r="AP79" s="4175"/>
      <c r="AQ79" s="4175"/>
      <c r="AR79" s="4175"/>
      <c r="AS79" s="4175"/>
      <c r="AT79" s="4175"/>
      <c r="AU79" s="4175"/>
      <c r="AV79" s="4175"/>
      <c r="AW79" s="4175"/>
      <c r="AX79" s="4175"/>
    </row>
    <row r="80" spans="8:8" ht="21.95" customHeight="1">
      <c r="O80" s="4162"/>
      <c r="P80" s="4166"/>
      <c r="Q80" s="4210"/>
      <c r="R80" s="4210"/>
      <c r="S80" s="4210"/>
      <c r="T80" s="4210"/>
      <c r="U80" s="4210"/>
      <c r="V80" s="4210"/>
      <c r="W80" s="4210"/>
      <c r="X80" s="4210"/>
      <c r="Y80" s="4210"/>
      <c r="Z80" s="4210"/>
      <c r="AA80" s="4162"/>
      <c r="AB80" s="4209"/>
      <c r="AC80" s="4184" t="s">
        <v>5585</v>
      </c>
      <c r="AD80" s="4203"/>
      <c r="AE80" s="4203"/>
      <c r="AF80" s="4203"/>
      <c r="AG80" s="4203"/>
      <c r="AH80" s="4203"/>
      <c r="AI80" s="4203"/>
      <c r="AJ80" s="4203"/>
      <c r="AK80" s="4203"/>
      <c r="AL80" s="4203"/>
      <c r="AM80" s="4162"/>
      <c r="AN80" s="4170"/>
      <c r="AO80" s="4175"/>
      <c r="AP80" s="4175"/>
      <c r="AQ80" s="4175"/>
      <c r="AR80" s="4175"/>
      <c r="AS80" s="4175"/>
      <c r="AT80" s="4175"/>
      <c r="AU80" s="4175"/>
      <c r="AV80" s="4175"/>
      <c r="AW80" s="4175"/>
      <c r="AX80" s="4175"/>
    </row>
    <row r="81" spans="8:8" ht="21.95" customHeight="1">
      <c r="O81" s="4162"/>
      <c r="P81" s="4166"/>
      <c r="Q81" s="4210"/>
      <c r="R81" s="4210"/>
      <c r="S81" s="4210"/>
      <c r="T81" s="4210"/>
      <c r="U81" s="4210"/>
      <c r="V81" s="4210"/>
      <c r="W81" s="4210"/>
      <c r="X81" s="4210"/>
      <c r="Y81" s="4210"/>
      <c r="Z81" s="4210"/>
      <c r="AA81" s="4162"/>
      <c r="AB81" s="4209"/>
      <c r="AC81" s="4203"/>
      <c r="AD81" s="4203"/>
      <c r="AE81" s="4203"/>
      <c r="AF81" s="4203"/>
      <c r="AG81" s="4203"/>
      <c r="AH81" s="4203"/>
      <c r="AI81" s="4203"/>
      <c r="AJ81" s="4203"/>
      <c r="AK81" s="4203"/>
      <c r="AL81" s="4203"/>
      <c r="AM81" s="4162"/>
      <c r="AN81" s="4170"/>
      <c r="AO81" s="4175"/>
      <c r="AP81" s="4175"/>
      <c r="AQ81" s="4175"/>
      <c r="AR81" s="4175"/>
      <c r="AS81" s="4175"/>
      <c r="AT81" s="4175"/>
      <c r="AU81" s="4175"/>
      <c r="AV81" s="4175"/>
      <c r="AW81" s="4175"/>
      <c r="AX81" s="4175"/>
    </row>
    <row r="82" spans="8:8" ht="21.95" customHeight="1">
      <c r="O82" s="4162"/>
      <c r="P82" s="4166" t="s">
        <v>5873</v>
      </c>
      <c r="Q82" s="4167" t="s">
        <v>5874</v>
      </c>
      <c r="R82" s="4167"/>
      <c r="S82" s="4167"/>
      <c r="T82" s="4167"/>
      <c r="U82" s="4167"/>
      <c r="V82" s="4167"/>
      <c r="W82" s="4167"/>
      <c r="X82" s="4167"/>
      <c r="Y82" s="4167"/>
      <c r="Z82" s="4167"/>
      <c r="AA82" s="4162"/>
      <c r="AB82" s="4209"/>
      <c r="AC82" s="4169" t="s">
        <v>5587</v>
      </c>
      <c r="AD82" s="4169"/>
      <c r="AE82" s="4169"/>
      <c r="AF82" s="4169"/>
      <c r="AG82" s="4169"/>
      <c r="AH82" s="4169"/>
      <c r="AI82" s="4169"/>
      <c r="AJ82" s="4169"/>
      <c r="AK82" s="4169"/>
      <c r="AL82" s="4169"/>
      <c r="AM82" s="4162"/>
      <c r="AN82" s="4170"/>
      <c r="AO82" s="4175"/>
      <c r="AP82" s="4175"/>
      <c r="AQ82" s="4175"/>
      <c r="AR82" s="4175"/>
      <c r="AS82" s="4175"/>
      <c r="AT82" s="4175"/>
      <c r="AU82" s="4175"/>
      <c r="AV82" s="4175"/>
      <c r="AW82" s="4175"/>
      <c r="AX82" s="4175"/>
    </row>
    <row r="83" spans="8:8" ht="21.95" customHeight="1">
      <c r="O83" s="4162"/>
      <c r="P83" s="4166"/>
      <c r="Q83" s="4167"/>
      <c r="R83" s="4167"/>
      <c r="S83" s="4167"/>
      <c r="T83" s="4167"/>
      <c r="U83" s="4167"/>
      <c r="V83" s="4167"/>
      <c r="W83" s="4167"/>
      <c r="X83" s="4167"/>
      <c r="Y83" s="4167"/>
      <c r="Z83" s="4167"/>
      <c r="AA83" s="4162"/>
      <c r="AB83" s="4209"/>
      <c r="AC83" s="4169" t="s">
        <v>5545</v>
      </c>
      <c r="AD83" s="4169"/>
      <c r="AE83" s="4169"/>
      <c r="AF83" s="4169"/>
      <c r="AG83" s="4169"/>
      <c r="AH83" s="4169"/>
      <c r="AI83" s="4169"/>
      <c r="AJ83" s="4169"/>
      <c r="AK83" s="4169"/>
      <c r="AL83" s="4169"/>
      <c r="AM83" s="4162"/>
      <c r="AN83" s="4170"/>
      <c r="AO83" s="4175"/>
      <c r="AP83" s="4175"/>
      <c r="AQ83" s="4175"/>
      <c r="AR83" s="4175"/>
      <c r="AS83" s="4175"/>
      <c r="AT83" s="4175"/>
      <c r="AU83" s="4175"/>
      <c r="AV83" s="4175"/>
      <c r="AW83" s="4175"/>
      <c r="AX83" s="4175"/>
    </row>
    <row r="84" spans="8:8" ht="21.95" customHeight="1">
      <c r="O84" s="4162"/>
      <c r="P84" s="4166"/>
      <c r="Q84" s="4167"/>
      <c r="R84" s="4167"/>
      <c r="S84" s="4167"/>
      <c r="T84" s="4167"/>
      <c r="U84" s="4167"/>
      <c r="V84" s="4167"/>
      <c r="W84" s="4167"/>
      <c r="X84" s="4167"/>
      <c r="Y84" s="4167"/>
      <c r="Z84" s="4167"/>
      <c r="AA84" s="4162"/>
      <c r="AB84" s="4209"/>
      <c r="AC84" s="4169" t="s">
        <v>5588</v>
      </c>
      <c r="AD84" s="4169"/>
      <c r="AE84" s="4169"/>
      <c r="AF84" s="4169"/>
      <c r="AG84" s="4169"/>
      <c r="AH84" s="4169"/>
      <c r="AI84" s="4169"/>
      <c r="AJ84" s="4169"/>
      <c r="AK84" s="4169"/>
      <c r="AL84" s="4169"/>
      <c r="AM84" s="4162"/>
    </row>
    <row r="85" spans="8:8" ht="21.95" customHeight="1">
      <c r="O85" s="4162"/>
      <c r="P85" s="4166"/>
      <c r="Q85" s="4167"/>
      <c r="R85" s="4167"/>
      <c r="S85" s="4167"/>
      <c r="T85" s="4167"/>
      <c r="U85" s="4167"/>
      <c r="V85" s="4167"/>
      <c r="W85" s="4167"/>
      <c r="X85" s="4167"/>
      <c r="Y85" s="4167"/>
      <c r="Z85" s="4167"/>
      <c r="AA85" s="4162"/>
      <c r="AB85" s="4209"/>
      <c r="AC85" s="4169" t="s">
        <v>5590</v>
      </c>
      <c r="AD85" s="4169"/>
      <c r="AE85" s="4169"/>
      <c r="AF85" s="4169"/>
      <c r="AG85" s="4169"/>
      <c r="AH85" s="4169"/>
      <c r="AI85" s="4169"/>
      <c r="AJ85" s="4169"/>
      <c r="AK85" s="4169"/>
      <c r="AL85" s="4169"/>
      <c r="AM85" s="4162"/>
    </row>
    <row r="86" spans="8:8" ht="21.95" customHeight="1">
      <c r="O86" s="4162"/>
      <c r="P86" s="4166"/>
      <c r="Q86" s="4167"/>
      <c r="R86" s="4167"/>
      <c r="S86" s="4167"/>
      <c r="T86" s="4167"/>
      <c r="U86" s="4167"/>
      <c r="V86" s="4167"/>
      <c r="W86" s="4167"/>
      <c r="X86" s="4167"/>
      <c r="Y86" s="4167"/>
      <c r="Z86" s="4167"/>
      <c r="AA86" s="4162"/>
      <c r="AB86" s="4209"/>
      <c r="AC86" s="4169" t="s">
        <v>5591</v>
      </c>
      <c r="AD86" s="4169"/>
      <c r="AE86" s="4169"/>
      <c r="AF86" s="4169"/>
      <c r="AG86" s="4169"/>
      <c r="AH86" s="4169"/>
      <c r="AI86" s="4169"/>
      <c r="AJ86" s="4169"/>
      <c r="AK86" s="4169"/>
      <c r="AL86" s="4169"/>
      <c r="AM86" s="4162"/>
    </row>
    <row r="87" spans="8:8" ht="21.95" customHeight="1">
      <c r="O87" s="4162"/>
      <c r="P87" s="4163" t="s">
        <v>5862</v>
      </c>
      <c r="Q87" s="4163"/>
      <c r="R87" s="4163"/>
      <c r="S87" s="4163"/>
      <c r="T87" s="4163"/>
      <c r="U87" s="4163"/>
      <c r="V87" s="4163"/>
      <c r="W87" s="4163"/>
      <c r="X87" s="4163"/>
      <c r="Y87" s="4163"/>
      <c r="Z87" s="4163"/>
      <c r="AA87" s="4162"/>
      <c r="AB87" s="4209"/>
      <c r="AC87" s="4169" t="s">
        <v>5588</v>
      </c>
      <c r="AD87" s="4169"/>
      <c r="AE87" s="4169"/>
      <c r="AF87" s="4169"/>
      <c r="AG87" s="4169"/>
      <c r="AH87" s="4169"/>
      <c r="AI87" s="4169"/>
      <c r="AJ87" s="4169"/>
      <c r="AK87" s="4169"/>
      <c r="AL87" s="4169"/>
      <c r="AM87" s="4162"/>
    </row>
    <row r="88" spans="8:8" ht="21.95" customHeight="1">
      <c r="O88" s="4162"/>
      <c r="P88" s="4166" t="s">
        <v>5447</v>
      </c>
      <c r="Q88" s="4210" t="s">
        <v>5863</v>
      </c>
      <c r="R88" s="4210"/>
      <c r="S88" s="4210"/>
      <c r="T88" s="4210"/>
      <c r="U88" s="4210"/>
      <c r="V88" s="4210"/>
      <c r="W88" s="4210"/>
      <c r="X88" s="4210"/>
      <c r="Y88" s="4210"/>
      <c r="Z88" s="4210"/>
      <c r="AA88" s="4162"/>
      <c r="AB88" s="4209"/>
      <c r="AC88" s="4169" t="s">
        <v>5593</v>
      </c>
      <c r="AD88" s="4169"/>
      <c r="AE88" s="4169"/>
      <c r="AF88" s="4169"/>
      <c r="AG88" s="4169"/>
      <c r="AH88" s="4169"/>
      <c r="AI88" s="4169"/>
      <c r="AJ88" s="4169"/>
      <c r="AK88" s="4169"/>
      <c r="AL88" s="4169"/>
      <c r="AM88" s="4162"/>
    </row>
    <row r="89" spans="8:8" ht="21.95" customHeight="1">
      <c r="O89" s="4162"/>
      <c r="P89" s="4166"/>
      <c r="Q89" s="4210"/>
      <c r="R89" s="4210"/>
      <c r="S89" s="4210"/>
      <c r="T89" s="4210"/>
      <c r="U89" s="4210"/>
      <c r="V89" s="4210"/>
      <c r="W89" s="4210"/>
      <c r="X89" s="4210"/>
      <c r="Y89" s="4210"/>
      <c r="Z89" s="4210"/>
      <c r="AA89" s="4162"/>
      <c r="AB89" s="4209"/>
      <c r="AC89" s="4169" t="s">
        <v>5595</v>
      </c>
      <c r="AD89" s="4169"/>
      <c r="AE89" s="4169"/>
      <c r="AF89" s="4169"/>
      <c r="AG89" s="4169"/>
      <c r="AH89" s="4169"/>
      <c r="AI89" s="4169"/>
      <c r="AJ89" s="4169"/>
      <c r="AK89" s="4169"/>
      <c r="AL89" s="4169"/>
      <c r="AM89" s="4162"/>
    </row>
    <row r="90" spans="8:8" ht="21.95" customHeight="1">
      <c r="O90" s="4162"/>
      <c r="P90" s="4166"/>
      <c r="Q90" s="4210"/>
      <c r="R90" s="4210"/>
      <c r="S90" s="4210"/>
      <c r="T90" s="4210"/>
      <c r="U90" s="4210"/>
      <c r="V90" s="4210"/>
      <c r="W90" s="4210"/>
      <c r="X90" s="4210"/>
      <c r="Y90" s="4210"/>
      <c r="Z90" s="4210"/>
      <c r="AA90" s="4162"/>
      <c r="AB90" s="4209"/>
      <c r="AC90" s="4169" t="s">
        <v>5596</v>
      </c>
      <c r="AD90" s="4169"/>
      <c r="AE90" s="4169"/>
      <c r="AF90" s="4169"/>
      <c r="AG90" s="4169"/>
      <c r="AH90" s="4169"/>
      <c r="AI90" s="4169"/>
      <c r="AJ90" s="4169"/>
      <c r="AK90" s="4169"/>
      <c r="AL90" s="4169"/>
      <c r="AM90" s="4162"/>
    </row>
    <row r="91" spans="8:8" ht="21.95" customHeight="1">
      <c r="O91" s="4162"/>
      <c r="P91" s="4163" t="s">
        <v>5855</v>
      </c>
      <c r="Q91" s="4163"/>
      <c r="R91" s="4163"/>
      <c r="S91" s="4163"/>
      <c r="T91" s="4163"/>
      <c r="U91" s="4163"/>
      <c r="V91" s="4163"/>
      <c r="W91" s="4163"/>
      <c r="X91" s="4163"/>
      <c r="Y91" s="4163"/>
      <c r="Z91" s="4163"/>
      <c r="AA91" s="4162"/>
      <c r="AB91" s="4209"/>
      <c r="AC91" s="4169" t="s">
        <v>5597</v>
      </c>
      <c r="AD91" s="4169"/>
      <c r="AE91" s="4169"/>
      <c r="AF91" s="4169"/>
      <c r="AG91" s="4169"/>
      <c r="AH91" s="4169"/>
      <c r="AI91" s="4169"/>
      <c r="AJ91" s="4169"/>
      <c r="AK91" s="4169"/>
      <c r="AL91" s="4169"/>
      <c r="AM91" s="4162"/>
    </row>
    <row r="92" spans="8:8" ht="21.95" customHeight="1">
      <c r="O92" s="4162"/>
      <c r="P92" s="4166" t="s">
        <v>5447</v>
      </c>
      <c r="Q92" s="4210" t="s">
        <v>5856</v>
      </c>
      <c r="R92" s="4210"/>
      <c r="S92" s="4210"/>
      <c r="T92" s="4210"/>
      <c r="U92" s="4210"/>
      <c r="V92" s="4210"/>
      <c r="W92" s="4210"/>
      <c r="X92" s="4210"/>
      <c r="Y92" s="4210"/>
      <c r="Z92" s="4210"/>
      <c r="AA92" s="4162"/>
      <c r="AB92" s="4209"/>
      <c r="AC92" s="4169" t="s">
        <v>5598</v>
      </c>
      <c r="AD92" s="4169"/>
      <c r="AE92" s="4169"/>
      <c r="AF92" s="4169"/>
      <c r="AG92" s="4169"/>
      <c r="AH92" s="4169"/>
      <c r="AI92" s="4169"/>
      <c r="AJ92" s="4169"/>
      <c r="AK92" s="4169"/>
      <c r="AL92" s="4169"/>
      <c r="AM92" s="4162"/>
    </row>
    <row r="93" spans="8:8" ht="21.95" customHeight="1">
      <c r="O93" s="4162"/>
      <c r="P93" s="4166"/>
      <c r="Q93" s="4210"/>
      <c r="R93" s="4210"/>
      <c r="S93" s="4210"/>
      <c r="T93" s="4210"/>
      <c r="U93" s="4210"/>
      <c r="V93" s="4210"/>
      <c r="W93" s="4210"/>
      <c r="X93" s="4210"/>
      <c r="Y93" s="4210"/>
      <c r="Z93" s="4210"/>
      <c r="AA93" s="4162"/>
      <c r="AB93" s="4170" t="s">
        <v>5599</v>
      </c>
      <c r="AC93" s="4175" t="s">
        <v>5600</v>
      </c>
      <c r="AD93" s="4175"/>
      <c r="AE93" s="4175"/>
      <c r="AF93" s="4175"/>
      <c r="AG93" s="4175"/>
      <c r="AH93" s="4175"/>
      <c r="AI93" s="4175"/>
      <c r="AJ93" s="4175"/>
      <c r="AK93" s="4175"/>
      <c r="AL93" s="4175"/>
      <c r="AM93" s="4162"/>
    </row>
    <row r="94" spans="8:8" ht="21.95" customHeight="1">
      <c r="O94" s="4162"/>
      <c r="P94" s="4166"/>
      <c r="Q94" s="4210"/>
      <c r="R94" s="4210"/>
      <c r="S94" s="4210"/>
      <c r="T94" s="4210"/>
      <c r="U94" s="4210"/>
      <c r="V94" s="4210"/>
      <c r="W94" s="4210"/>
      <c r="X94" s="4210"/>
      <c r="Y94" s="4210"/>
      <c r="Z94" s="4210"/>
      <c r="AA94" s="4162"/>
      <c r="AB94" s="4170"/>
      <c r="AC94" s="4175" t="s">
        <v>5602</v>
      </c>
      <c r="AD94" s="4175"/>
      <c r="AE94" s="4175"/>
      <c r="AF94" s="4175"/>
      <c r="AG94" s="4175"/>
      <c r="AH94" s="4175"/>
      <c r="AI94" s="4175"/>
      <c r="AJ94" s="4175"/>
      <c r="AK94" s="4175"/>
      <c r="AL94" s="4175"/>
      <c r="AM94" s="4162"/>
    </row>
    <row r="95" spans="8:8" ht="21.95" customHeight="1">
      <c r="O95" s="4162"/>
      <c r="P95" s="4163" t="s">
        <v>5444</v>
      </c>
      <c r="Q95" s="4163"/>
      <c r="R95" s="4163"/>
      <c r="S95" s="4163"/>
      <c r="T95" s="4163"/>
      <c r="U95" s="4163"/>
      <c r="V95" s="4163"/>
      <c r="W95" s="4163"/>
      <c r="X95" s="4163"/>
      <c r="Y95" s="4163"/>
      <c r="Z95" s="4163"/>
      <c r="AA95" s="4162"/>
      <c r="AB95" s="4170"/>
      <c r="AC95" s="4169" t="s">
        <v>5604</v>
      </c>
      <c r="AD95" s="4169"/>
      <c r="AE95" s="4169"/>
      <c r="AF95" s="4169"/>
      <c r="AG95" s="4169"/>
      <c r="AH95" s="4169"/>
      <c r="AI95" s="4169"/>
      <c r="AJ95" s="4169"/>
      <c r="AK95" s="4169"/>
      <c r="AL95" s="4169"/>
      <c r="AM95" s="4162"/>
    </row>
    <row r="96" spans="8:8" ht="21.95" customHeight="1">
      <c r="O96" s="4162"/>
      <c r="P96" s="4166" t="s">
        <v>5447</v>
      </c>
      <c r="Q96" s="4210" t="s">
        <v>5448</v>
      </c>
      <c r="R96" s="4210"/>
      <c r="S96" s="4210"/>
      <c r="T96" s="4210"/>
      <c r="U96" s="4210"/>
      <c r="V96" s="4210"/>
      <c r="W96" s="4210"/>
      <c r="X96" s="4210"/>
      <c r="Y96" s="4210"/>
      <c r="Z96" s="4210"/>
      <c r="AA96" s="4162"/>
      <c r="AB96" s="4170" t="s">
        <v>5464</v>
      </c>
      <c r="AC96" s="4211" t="s">
        <v>5605</v>
      </c>
      <c r="AD96" s="4211"/>
      <c r="AE96" s="4211"/>
      <c r="AF96" s="4211"/>
      <c r="AG96" s="4211"/>
      <c r="AH96" s="4211"/>
      <c r="AI96" s="4211"/>
      <c r="AJ96" s="4211"/>
      <c r="AK96" s="4211"/>
      <c r="AL96" s="4211"/>
      <c r="AM96" s="4162"/>
    </row>
    <row r="97" spans="8:8" ht="21.95" customHeight="1">
      <c r="O97" s="4162"/>
      <c r="P97" s="4166"/>
      <c r="Q97" s="4210"/>
      <c r="R97" s="4210"/>
      <c r="S97" s="4210"/>
      <c r="T97" s="4210"/>
      <c r="U97" s="4210"/>
      <c r="V97" s="4210"/>
      <c r="W97" s="4210"/>
      <c r="X97" s="4210"/>
      <c r="Y97" s="4210"/>
      <c r="Z97" s="4210"/>
      <c r="AA97" s="4162"/>
      <c r="AB97" s="4170"/>
      <c r="AC97" s="4169" t="s">
        <v>5607</v>
      </c>
      <c r="AD97" s="4169"/>
      <c r="AE97" s="4169"/>
      <c r="AF97" s="4169"/>
      <c r="AG97" s="4169"/>
      <c r="AH97" s="4169"/>
      <c r="AI97" s="4169"/>
      <c r="AJ97" s="4169"/>
      <c r="AK97" s="4169"/>
      <c r="AL97" s="4169"/>
      <c r="AM97" s="4162"/>
    </row>
    <row r="98" spans="8:8" ht="21.95" customHeight="1">
      <c r="O98" s="4162"/>
      <c r="P98" s="4166"/>
      <c r="Q98" s="4210"/>
      <c r="R98" s="4210"/>
      <c r="S98" s="4210"/>
      <c r="T98" s="4210"/>
      <c r="U98" s="4210"/>
      <c r="V98" s="4210"/>
      <c r="W98" s="4210"/>
      <c r="X98" s="4210"/>
      <c r="Y98" s="4210"/>
      <c r="Z98" s="4210"/>
      <c r="AA98" s="4162"/>
      <c r="AB98" s="4170" t="s">
        <v>5469</v>
      </c>
      <c r="AC98" s="4169" t="s">
        <v>5608</v>
      </c>
      <c r="AD98" s="4169"/>
      <c r="AE98" s="4169"/>
      <c r="AF98" s="4169"/>
      <c r="AG98" s="4169"/>
      <c r="AH98" s="4169"/>
      <c r="AI98" s="4169"/>
      <c r="AJ98" s="4169"/>
      <c r="AK98" s="4169"/>
      <c r="AL98" s="4169"/>
      <c r="AM98" s="4162"/>
    </row>
    <row r="99" spans="8:8" ht="21.95" customHeight="1">
      <c r="O99" s="4162"/>
      <c r="P99" s="4163" t="s">
        <v>5456</v>
      </c>
      <c r="Q99" s="4163"/>
      <c r="R99" s="4163"/>
      <c r="S99" s="4163"/>
      <c r="T99" s="4163"/>
      <c r="U99" s="4163"/>
      <c r="V99" s="4163"/>
      <c r="W99" s="4163"/>
      <c r="X99" s="4163"/>
      <c r="Y99" s="4163"/>
      <c r="Z99" s="4163"/>
      <c r="AA99" s="4162"/>
      <c r="AB99" s="4170"/>
      <c r="AC99" s="4169" t="s">
        <v>5610</v>
      </c>
      <c r="AD99" s="4169"/>
      <c r="AE99" s="4169"/>
      <c r="AF99" s="4169"/>
      <c r="AG99" s="4169"/>
      <c r="AH99" s="4169"/>
      <c r="AI99" s="4169"/>
      <c r="AJ99" s="4169"/>
      <c r="AK99" s="4169"/>
      <c r="AL99" s="4169"/>
      <c r="AM99" s="4162"/>
    </row>
    <row r="100" spans="8:8" ht="21.95" customHeight="1">
      <c r="O100" s="4162"/>
      <c r="P100" s="4166" t="s">
        <v>5458</v>
      </c>
      <c r="Q100" s="4210" t="s">
        <v>5459</v>
      </c>
      <c r="R100" s="4210"/>
      <c r="S100" s="4210"/>
      <c r="T100" s="4210"/>
      <c r="U100" s="4210"/>
      <c r="V100" s="4210"/>
      <c r="W100" s="4210"/>
      <c r="X100" s="4210"/>
      <c r="Y100" s="4210"/>
      <c r="Z100" s="4210"/>
      <c r="AA100" s="4162"/>
      <c r="AB100" s="4170"/>
      <c r="AC100" s="4169" t="s">
        <v>5611</v>
      </c>
      <c r="AD100" s="4169"/>
      <c r="AE100" s="4169"/>
      <c r="AF100" s="4169"/>
      <c r="AG100" s="4169"/>
      <c r="AH100" s="4169"/>
      <c r="AI100" s="4169"/>
      <c r="AJ100" s="4169"/>
      <c r="AK100" s="4169"/>
      <c r="AL100" s="4169"/>
      <c r="AM100" s="4162"/>
    </row>
    <row r="101" spans="8:8" ht="21.95" customHeight="1">
      <c r="O101" s="4162"/>
      <c r="P101" s="4166"/>
      <c r="Q101" s="4210"/>
      <c r="R101" s="4210"/>
      <c r="S101" s="4210"/>
      <c r="T101" s="4210"/>
      <c r="U101" s="4210"/>
      <c r="V101" s="4210"/>
      <c r="W101" s="4210"/>
      <c r="X101" s="4210"/>
      <c r="Y101" s="4210"/>
      <c r="Z101" s="4210"/>
      <c r="AA101" s="4162"/>
      <c r="AB101" s="4170" t="s">
        <v>5471</v>
      </c>
      <c r="AC101" s="4169" t="s">
        <v>5613</v>
      </c>
      <c r="AD101" s="4169"/>
      <c r="AE101" s="4169"/>
      <c r="AF101" s="4169"/>
      <c r="AG101" s="4169"/>
      <c r="AH101" s="4169"/>
      <c r="AI101" s="4169"/>
      <c r="AJ101" s="4169"/>
      <c r="AK101" s="4169"/>
      <c r="AL101" s="4169"/>
      <c r="AM101" s="4162"/>
    </row>
    <row r="102" spans="8:8" ht="21.95" customHeight="1">
      <c r="O102" s="4162"/>
      <c r="P102" s="4166"/>
      <c r="Q102" s="4210"/>
      <c r="R102" s="4210"/>
      <c r="S102" s="4210"/>
      <c r="T102" s="4210"/>
      <c r="U102" s="4210"/>
      <c r="V102" s="4210"/>
      <c r="W102" s="4210"/>
      <c r="X102" s="4210"/>
      <c r="Y102" s="4210"/>
      <c r="Z102" s="4210"/>
      <c r="AA102" s="4162"/>
      <c r="AB102" s="4170"/>
      <c r="AC102" s="4175" t="s">
        <v>5614</v>
      </c>
      <c r="AD102" s="4175"/>
      <c r="AE102" s="4175"/>
      <c r="AF102" s="4175"/>
      <c r="AG102" s="4175"/>
      <c r="AH102" s="4175"/>
      <c r="AI102" s="4175"/>
      <c r="AJ102" s="4175"/>
      <c r="AK102" s="4175"/>
      <c r="AL102" s="4175"/>
      <c r="AM102" s="4162"/>
    </row>
    <row r="103" spans="8:8" ht="21.95" customHeight="1">
      <c r="O103" s="4162"/>
      <c r="P103" s="4166" t="s">
        <v>5462</v>
      </c>
      <c r="Q103" s="4210" t="s">
        <v>5463</v>
      </c>
      <c r="R103" s="4210"/>
      <c r="S103" s="4210"/>
      <c r="T103" s="4210"/>
      <c r="U103" s="4210"/>
      <c r="V103" s="4210"/>
      <c r="W103" s="4210"/>
      <c r="X103" s="4210"/>
      <c r="Y103" s="4210"/>
      <c r="Z103" s="4210"/>
      <c r="AA103" s="4162"/>
      <c r="AB103" s="4170"/>
      <c r="AC103" s="4175"/>
      <c r="AD103" s="4175"/>
      <c r="AE103" s="4175"/>
      <c r="AF103" s="4175"/>
      <c r="AG103" s="4175"/>
      <c r="AH103" s="4175"/>
      <c r="AI103" s="4175"/>
      <c r="AJ103" s="4175"/>
      <c r="AK103" s="4175"/>
      <c r="AL103" s="4175"/>
      <c r="AM103" s="4162"/>
    </row>
    <row r="104" spans="8:8" ht="21.95" customHeight="1">
      <c r="O104" s="4162"/>
      <c r="P104" s="4166"/>
      <c r="Q104" s="4210"/>
      <c r="R104" s="4210"/>
      <c r="S104" s="4210"/>
      <c r="T104" s="4210"/>
      <c r="U104" s="4210"/>
      <c r="V104" s="4210"/>
      <c r="W104" s="4210"/>
      <c r="X104" s="4210"/>
      <c r="Y104" s="4210"/>
      <c r="Z104" s="4210"/>
      <c r="AA104" s="4162"/>
      <c r="AB104" s="4170"/>
      <c r="AC104" s="4169" t="s">
        <v>5616</v>
      </c>
      <c r="AD104" s="4169"/>
      <c r="AE104" s="4169"/>
      <c r="AF104" s="4169"/>
      <c r="AG104" s="4169"/>
      <c r="AH104" s="4169"/>
      <c r="AI104" s="4169"/>
      <c r="AJ104" s="4169"/>
      <c r="AK104" s="4169"/>
      <c r="AL104" s="4169"/>
      <c r="AM104" s="4162"/>
    </row>
    <row r="105" spans="8:8" ht="21.95" customHeight="1">
      <c r="O105" s="4162"/>
      <c r="P105" s="4166"/>
      <c r="Q105" s="4210"/>
      <c r="R105" s="4210"/>
      <c r="S105" s="4210"/>
      <c r="T105" s="4210"/>
      <c r="U105" s="4210"/>
      <c r="V105" s="4210"/>
      <c r="W105" s="4210"/>
      <c r="X105" s="4210"/>
      <c r="Y105" s="4210"/>
      <c r="Z105" s="4210"/>
      <c r="AA105" s="4162"/>
      <c r="AB105" s="4170" t="s">
        <v>5618</v>
      </c>
      <c r="AC105" s="4169" t="s">
        <v>5619</v>
      </c>
      <c r="AD105" s="4169"/>
      <c r="AE105" s="4169"/>
      <c r="AF105" s="4169"/>
      <c r="AG105" s="4169"/>
      <c r="AH105" s="4169"/>
      <c r="AI105" s="4169"/>
      <c r="AJ105" s="4169"/>
      <c r="AK105" s="4169"/>
      <c r="AL105" s="4169"/>
      <c r="AM105" s="4162"/>
    </row>
    <row r="106" spans="8:8" ht="21.95" customHeight="1">
      <c r="O106" s="4162"/>
      <c r="P106" s="4166" t="s">
        <v>5467</v>
      </c>
      <c r="Q106" s="4210" t="s">
        <v>5468</v>
      </c>
      <c r="R106" s="4210"/>
      <c r="S106" s="4210"/>
      <c r="T106" s="4210"/>
      <c r="U106" s="4210"/>
      <c r="V106" s="4210"/>
      <c r="W106" s="4210"/>
      <c r="X106" s="4210"/>
      <c r="Y106" s="4210"/>
      <c r="Z106" s="4210"/>
      <c r="AA106" s="4162"/>
      <c r="AB106" s="4170"/>
      <c r="AC106" s="4169" t="s">
        <v>5620</v>
      </c>
      <c r="AD106" s="4169"/>
      <c r="AE106" s="4169"/>
      <c r="AF106" s="4169"/>
      <c r="AG106" s="4169"/>
      <c r="AH106" s="4169"/>
      <c r="AI106" s="4169"/>
      <c r="AJ106" s="4169"/>
      <c r="AK106" s="4169"/>
      <c r="AL106" s="4169"/>
      <c r="AM106" s="4162"/>
    </row>
    <row r="107" spans="8:8" ht="21.95" customHeight="1">
      <c r="O107" s="4162"/>
      <c r="P107" s="4166"/>
      <c r="Q107" s="4210"/>
      <c r="R107" s="4210"/>
      <c r="S107" s="4210"/>
      <c r="T107" s="4210"/>
      <c r="U107" s="4210"/>
      <c r="V107" s="4210"/>
      <c r="W107" s="4210"/>
      <c r="X107" s="4210"/>
      <c r="Y107" s="4210"/>
      <c r="Z107" s="4210"/>
      <c r="AA107" s="4162"/>
      <c r="AB107" s="4170"/>
      <c r="AC107" s="4169" t="s">
        <v>5621</v>
      </c>
      <c r="AD107" s="4169"/>
      <c r="AE107" s="4169"/>
      <c r="AF107" s="4169"/>
      <c r="AG107" s="4169"/>
      <c r="AH107" s="4169"/>
      <c r="AI107" s="4169"/>
      <c r="AJ107" s="4169"/>
      <c r="AK107" s="4169"/>
      <c r="AL107" s="4169"/>
      <c r="AM107" s="4162"/>
    </row>
    <row r="108" spans="8:8" ht="21.95" customHeight="1">
      <c r="O108" s="4162"/>
      <c r="P108" s="4166" t="s">
        <v>104</v>
      </c>
      <c r="Q108" s="4212" t="s">
        <v>5474</v>
      </c>
      <c r="R108" s="4212"/>
      <c r="S108" s="4212"/>
      <c r="T108" s="4212"/>
      <c r="U108" s="4212"/>
      <c r="V108" s="4212"/>
      <c r="W108" s="4212"/>
      <c r="X108" s="4212"/>
      <c r="Y108" s="4212"/>
      <c r="Z108" s="4212"/>
      <c r="AA108" s="4162"/>
      <c r="AB108" s="4170"/>
      <c r="AC108" s="4169" t="s">
        <v>5623</v>
      </c>
      <c r="AD108" s="4169"/>
      <c r="AE108" s="4169"/>
      <c r="AF108" s="4169"/>
      <c r="AG108" s="4169"/>
      <c r="AH108" s="4169"/>
      <c r="AI108" s="4169"/>
      <c r="AJ108" s="4169"/>
      <c r="AK108" s="4169"/>
      <c r="AL108" s="4169"/>
      <c r="AM108" s="4162"/>
    </row>
    <row r="109" spans="8:8" ht="21.95" customHeight="1">
      <c r="O109" s="4162"/>
      <c r="P109" s="4188"/>
      <c r="Q109" s="4213"/>
      <c r="R109" s="4213"/>
      <c r="S109" s="4213"/>
      <c r="T109" s="4213"/>
      <c r="U109" s="4213"/>
      <c r="V109" s="4213"/>
      <c r="W109" s="4213"/>
      <c r="X109" s="4213"/>
      <c r="Y109" s="4213"/>
      <c r="Z109" s="4213"/>
      <c r="AA109" s="4162"/>
      <c r="AB109" s="4214" t="s">
        <v>5558</v>
      </c>
      <c r="AC109" s="4215" t="s">
        <v>5625</v>
      </c>
      <c r="AD109" s="4216"/>
      <c r="AE109" s="4216"/>
      <c r="AF109" s="4216"/>
      <c r="AG109" s="4216"/>
      <c r="AH109" s="4216"/>
      <c r="AI109" s="4216"/>
      <c r="AJ109" s="4216"/>
      <c r="AK109" s="4216"/>
      <c r="AL109" s="4216"/>
      <c r="AM109" s="4162"/>
    </row>
    <row r="110" spans="8:8" ht="21.95" customHeight="1">
      <c r="O110" s="4162"/>
      <c r="P110" s="4163" t="s">
        <v>5479</v>
      </c>
      <c r="Q110" s="4163"/>
      <c r="R110" s="4163"/>
      <c r="S110" s="4163"/>
      <c r="T110" s="4163"/>
      <c r="U110" s="4163"/>
      <c r="V110" s="4163"/>
      <c r="W110" s="4163"/>
      <c r="X110" s="4163"/>
      <c r="Y110" s="4163"/>
      <c r="Z110" s="4163"/>
      <c r="AA110" s="4162"/>
      <c r="AB110" s="4214"/>
      <c r="AC110" s="4169" t="s">
        <v>5626</v>
      </c>
      <c r="AD110" s="4169"/>
      <c r="AE110" s="4169"/>
      <c r="AF110" s="4169"/>
      <c r="AG110" s="4169"/>
      <c r="AH110" s="4169"/>
      <c r="AI110" s="4169"/>
      <c r="AJ110" s="4169"/>
      <c r="AK110" s="4169"/>
      <c r="AL110" s="4169"/>
      <c r="AM110" s="4162"/>
    </row>
    <row r="111" spans="8:8" ht="21.95" customHeight="1">
      <c r="O111" s="4162"/>
      <c r="P111" s="4166" t="s">
        <v>5458</v>
      </c>
      <c r="Q111" s="4210" t="s">
        <v>5481</v>
      </c>
      <c r="R111" s="4210"/>
      <c r="S111" s="4210"/>
      <c r="T111" s="4210"/>
      <c r="U111" s="4210"/>
      <c r="V111" s="4210"/>
      <c r="W111" s="4210"/>
      <c r="X111" s="4210"/>
      <c r="Y111" s="4210"/>
      <c r="Z111" s="4210"/>
      <c r="AA111" s="4162"/>
      <c r="AB111" s="4214"/>
      <c r="AC111" s="4169" t="s">
        <v>5627</v>
      </c>
      <c r="AD111" s="4169"/>
      <c r="AE111" s="4169"/>
      <c r="AF111" s="4169"/>
      <c r="AG111" s="4169"/>
      <c r="AH111" s="4169"/>
      <c r="AI111" s="4169"/>
      <c r="AJ111" s="4169"/>
      <c r="AK111" s="4169"/>
      <c r="AL111" s="4169"/>
      <c r="AM111" s="4162"/>
    </row>
    <row r="112" spans="8:8" ht="21.95" customHeight="1">
      <c r="O112" s="4162"/>
      <c r="P112" s="4166"/>
      <c r="Q112" s="4210"/>
      <c r="R112" s="4210"/>
      <c r="S112" s="4210"/>
      <c r="T112" s="4210"/>
      <c r="U112" s="4210"/>
      <c r="V112" s="4210"/>
      <c r="W112" s="4210"/>
      <c r="X112" s="4210"/>
      <c r="Y112" s="4210"/>
      <c r="Z112" s="4210"/>
      <c r="AA112" s="4162"/>
      <c r="AB112" s="4214"/>
      <c r="AC112" s="4169" t="s">
        <v>5629</v>
      </c>
      <c r="AD112" s="4169"/>
      <c r="AE112" s="4169"/>
      <c r="AF112" s="4169"/>
      <c r="AG112" s="4169"/>
      <c r="AH112" s="4169"/>
      <c r="AI112" s="4169"/>
      <c r="AJ112" s="4169"/>
      <c r="AK112" s="4169"/>
      <c r="AL112" s="4169"/>
      <c r="AM112" s="4162"/>
    </row>
    <row r="113" spans="8:8" ht="21.95" customHeight="1">
      <c r="O113" s="4162"/>
      <c r="P113" s="4166"/>
      <c r="Q113" s="4210"/>
      <c r="R113" s="4210"/>
      <c r="S113" s="4210"/>
      <c r="T113" s="4210"/>
      <c r="U113" s="4210"/>
      <c r="V113" s="4210"/>
      <c r="W113" s="4210"/>
      <c r="X113" s="4210"/>
      <c r="Y113" s="4210"/>
      <c r="Z113" s="4210"/>
      <c r="AA113" s="4162"/>
      <c r="AB113" s="4163" t="s">
        <v>5630</v>
      </c>
      <c r="AC113" s="4163"/>
      <c r="AD113" s="4163"/>
      <c r="AE113" s="4163"/>
      <c r="AF113" s="4163"/>
      <c r="AG113" s="4163"/>
      <c r="AH113" s="4163"/>
      <c r="AI113" s="4163"/>
      <c r="AJ113" s="4163"/>
      <c r="AK113" s="4163"/>
      <c r="AL113" s="4163"/>
      <c r="AM113" s="4162"/>
    </row>
    <row r="114" spans="8:8" ht="21.95" customHeight="1">
      <c r="O114" s="4162"/>
      <c r="P114" s="4166" t="s">
        <v>5464</v>
      </c>
      <c r="Q114" s="4210" t="s">
        <v>5486</v>
      </c>
      <c r="R114" s="4210"/>
      <c r="S114" s="4210"/>
      <c r="T114" s="4210"/>
      <c r="U114" s="4210"/>
      <c r="V114" s="4210"/>
      <c r="W114" s="4210"/>
      <c r="X114" s="4210"/>
      <c r="Y114" s="4210"/>
      <c r="Z114" s="4210"/>
      <c r="AA114" s="4162"/>
      <c r="AB114" s="4207" t="s">
        <v>5449</v>
      </c>
      <c r="AC114" s="4175" t="s">
        <v>5632</v>
      </c>
      <c r="AD114" s="4175"/>
      <c r="AE114" s="4175"/>
      <c r="AF114" s="4175"/>
      <c r="AG114" s="4175"/>
      <c r="AH114" s="4175"/>
      <c r="AI114" s="4175"/>
      <c r="AJ114" s="4175"/>
      <c r="AK114" s="4175"/>
      <c r="AL114" s="4175"/>
      <c r="AM114" s="4162"/>
    </row>
    <row r="115" spans="8:8" ht="21.95" customHeight="1">
      <c r="O115" s="4162"/>
      <c r="P115" s="4166"/>
      <c r="Q115" s="4210"/>
      <c r="R115" s="4210"/>
      <c r="S115" s="4210"/>
      <c r="T115" s="4210"/>
      <c r="U115" s="4210"/>
      <c r="V115" s="4210"/>
      <c r="W115" s="4210"/>
      <c r="X115" s="4210"/>
      <c r="Y115" s="4210"/>
      <c r="Z115" s="4210"/>
      <c r="AA115" s="4162"/>
      <c r="AB115" s="4207"/>
      <c r="AC115" s="4175" t="s">
        <v>5633</v>
      </c>
      <c r="AD115" s="4175"/>
      <c r="AE115" s="4175"/>
      <c r="AF115" s="4175"/>
      <c r="AG115" s="4175"/>
      <c r="AH115" s="4175"/>
      <c r="AI115" s="4175"/>
      <c r="AJ115" s="4175"/>
      <c r="AK115" s="4175"/>
      <c r="AL115" s="4175"/>
      <c r="AM115" s="4162"/>
    </row>
    <row r="116" spans="8:8" ht="21.95" customHeight="1">
      <c r="O116" s="4162"/>
      <c r="P116" s="4166"/>
      <c r="Q116" s="4210"/>
      <c r="R116" s="4210"/>
      <c r="S116" s="4210"/>
      <c r="T116" s="4210"/>
      <c r="U116" s="4210"/>
      <c r="V116" s="4210"/>
      <c r="W116" s="4210"/>
      <c r="X116" s="4210"/>
      <c r="Y116" s="4210"/>
      <c r="Z116" s="4210"/>
      <c r="AA116" s="4162"/>
      <c r="AB116" s="4217" t="s">
        <v>5467</v>
      </c>
      <c r="AC116" s="4169" t="s">
        <v>377</v>
      </c>
      <c r="AD116" s="4169"/>
      <c r="AE116" s="4169"/>
      <c r="AF116" s="4169"/>
      <c r="AG116" s="4169"/>
      <c r="AH116" s="4169"/>
      <c r="AI116" s="4169"/>
      <c r="AJ116" s="4169"/>
      <c r="AK116" s="4169"/>
      <c r="AL116" s="4169"/>
      <c r="AM116" s="4162"/>
    </row>
    <row r="117" spans="8:8" ht="21.95" customHeight="1">
      <c r="O117" s="4162"/>
      <c r="P117" s="4166" t="s">
        <v>5469</v>
      </c>
      <c r="Q117" s="4210" t="s">
        <v>5494</v>
      </c>
      <c r="R117" s="4210"/>
      <c r="S117" s="4210"/>
      <c r="T117" s="4210"/>
      <c r="U117" s="4210"/>
      <c r="V117" s="4210"/>
      <c r="W117" s="4210"/>
      <c r="X117" s="4210"/>
      <c r="Y117" s="4210"/>
      <c r="Z117" s="4210"/>
      <c r="AA117" s="4162"/>
      <c r="AB117" s="4218" t="s">
        <v>5634</v>
      </c>
      <c r="AC117" s="4175" t="s">
        <v>5635</v>
      </c>
      <c r="AD117" s="4169"/>
      <c r="AE117" s="4169"/>
      <c r="AF117" s="4169"/>
      <c r="AG117" s="4169"/>
      <c r="AH117" s="4169"/>
      <c r="AI117" s="4169"/>
      <c r="AJ117" s="4169"/>
      <c r="AK117" s="4169"/>
      <c r="AL117" s="4169"/>
      <c r="AM117" s="4162"/>
    </row>
    <row r="118" spans="8:8" ht="21.95" customHeight="1">
      <c r="O118" s="4162"/>
      <c r="P118" s="4166"/>
      <c r="Q118" s="4210"/>
      <c r="R118" s="4210"/>
      <c r="S118" s="4210"/>
      <c r="T118" s="4210"/>
      <c r="U118" s="4210"/>
      <c r="V118" s="4210"/>
      <c r="W118" s="4210"/>
      <c r="X118" s="4210"/>
      <c r="Y118" s="4210"/>
      <c r="Z118" s="4210"/>
      <c r="AA118" s="4162"/>
      <c r="AB118" s="4218"/>
      <c r="AC118" s="4169"/>
      <c r="AD118" s="4169"/>
      <c r="AE118" s="4169"/>
      <c r="AF118" s="4169"/>
      <c r="AG118" s="4169"/>
      <c r="AH118" s="4169"/>
      <c r="AI118" s="4169"/>
      <c r="AJ118" s="4169"/>
      <c r="AK118" s="4169"/>
      <c r="AL118" s="4169"/>
      <c r="AM118" s="4162"/>
    </row>
    <row r="119" spans="8:8" ht="21.95" customHeight="1">
      <c r="O119" s="4162"/>
      <c r="P119" s="4166" t="s">
        <v>104</v>
      </c>
      <c r="Q119" s="4212" t="s">
        <v>5497</v>
      </c>
      <c r="R119" s="4212"/>
      <c r="S119" s="4212"/>
      <c r="T119" s="4212"/>
      <c r="U119" s="4212"/>
      <c r="V119" s="4212"/>
      <c r="W119" s="4212"/>
      <c r="X119" s="4212"/>
      <c r="Y119" s="4212"/>
      <c r="Z119" s="4212"/>
      <c r="AA119" s="4162"/>
      <c r="AB119" s="4218"/>
      <c r="AC119" s="4169"/>
      <c r="AD119" s="4169"/>
      <c r="AE119" s="4169"/>
      <c r="AF119" s="4169"/>
      <c r="AG119" s="4169"/>
      <c r="AH119" s="4169"/>
      <c r="AI119" s="4169"/>
      <c r="AJ119" s="4169"/>
      <c r="AK119" s="4169"/>
      <c r="AL119" s="4169"/>
      <c r="AM119" s="4162"/>
    </row>
    <row r="120" spans="8:8" ht="21.95" customHeight="1">
      <c r="O120" s="4162"/>
      <c r="P120" s="4188"/>
      <c r="Q120" s="4213"/>
      <c r="R120" s="4213"/>
      <c r="S120" s="4213"/>
      <c r="T120" s="4213"/>
      <c r="U120" s="4213"/>
      <c r="V120" s="4213"/>
      <c r="W120" s="4213"/>
      <c r="X120" s="4213"/>
      <c r="Y120" s="4213"/>
      <c r="Z120" s="4213"/>
      <c r="AA120" s="4162"/>
      <c r="AB120" s="4218"/>
      <c r="AC120" s="4169"/>
      <c r="AD120" s="4169"/>
      <c r="AE120" s="4169"/>
      <c r="AF120" s="4169"/>
      <c r="AG120" s="4169"/>
      <c r="AH120" s="4169"/>
      <c r="AI120" s="4169"/>
      <c r="AJ120" s="4169"/>
      <c r="AK120" s="4169"/>
      <c r="AL120" s="4169"/>
      <c r="AM120" s="4162"/>
    </row>
    <row r="121" spans="8:8" ht="21.95" customHeight="1">
      <c r="O121" s="4162"/>
      <c r="P121" s="4163" t="s">
        <v>5500</v>
      </c>
      <c r="Q121" s="4163"/>
      <c r="R121" s="4163"/>
      <c r="S121" s="4163"/>
      <c r="T121" s="4163"/>
      <c r="U121" s="4163"/>
      <c r="V121" s="4163"/>
      <c r="W121" s="4163"/>
      <c r="X121" s="4163"/>
      <c r="Y121" s="4163"/>
      <c r="Z121" s="4163"/>
      <c r="AA121" s="4162"/>
      <c r="AB121" s="4218"/>
      <c r="AC121" s="4169" t="s">
        <v>5638</v>
      </c>
      <c r="AD121" s="4169"/>
      <c r="AE121" s="4169"/>
      <c r="AF121" s="4169"/>
      <c r="AG121" s="4169"/>
      <c r="AH121" s="4169"/>
      <c r="AI121" s="4169"/>
      <c r="AJ121" s="4169"/>
      <c r="AK121" s="4169"/>
      <c r="AL121" s="4169"/>
      <c r="AM121" s="4162"/>
    </row>
    <row r="122" spans="8:8" ht="21.95" customHeight="1">
      <c r="O122" s="4162"/>
      <c r="P122" s="4166" t="s">
        <v>5447</v>
      </c>
      <c r="Q122" s="4210" t="s">
        <v>5502</v>
      </c>
      <c r="R122" s="4219"/>
      <c r="S122" s="4219"/>
      <c r="T122" s="4219"/>
      <c r="U122" s="4219"/>
      <c r="V122" s="4219"/>
      <c r="W122" s="4219"/>
      <c r="X122" s="4219"/>
      <c r="Y122" s="4219"/>
      <c r="Z122" s="4219"/>
      <c r="AA122" s="4162"/>
      <c r="AB122" s="4218"/>
      <c r="AC122" s="4175" t="s">
        <v>5640</v>
      </c>
      <c r="AD122" s="4175"/>
      <c r="AE122" s="4175"/>
      <c r="AF122" s="4175"/>
      <c r="AG122" s="4175"/>
      <c r="AH122" s="4175"/>
      <c r="AI122" s="4175"/>
      <c r="AJ122" s="4175"/>
      <c r="AK122" s="4175"/>
      <c r="AL122" s="4175"/>
      <c r="AM122" s="4162"/>
    </row>
    <row r="123" spans="8:8" ht="21.95" customHeight="1">
      <c r="O123" s="4162"/>
      <c r="P123" s="4166"/>
      <c r="Q123" s="4219"/>
      <c r="R123" s="4219"/>
      <c r="S123" s="4219"/>
      <c r="T123" s="4219"/>
      <c r="U123" s="4219"/>
      <c r="V123" s="4219"/>
      <c r="W123" s="4219"/>
      <c r="X123" s="4219"/>
      <c r="Y123" s="4219"/>
      <c r="Z123" s="4219"/>
      <c r="AA123" s="4162"/>
      <c r="AB123" s="4218"/>
      <c r="AC123" s="4175"/>
      <c r="AD123" s="4175"/>
      <c r="AE123" s="4175"/>
      <c r="AF123" s="4175"/>
      <c r="AG123" s="4175"/>
      <c r="AH123" s="4175"/>
      <c r="AI123" s="4175"/>
      <c r="AJ123" s="4175"/>
      <c r="AK123" s="4175"/>
      <c r="AL123" s="4175"/>
      <c r="AM123" s="4162"/>
    </row>
    <row r="124" spans="8:8" ht="21.95" customHeight="1">
      <c r="O124" s="4162"/>
      <c r="P124" s="4166"/>
      <c r="Q124" s="4219"/>
      <c r="R124" s="4219"/>
      <c r="S124" s="4219"/>
      <c r="T124" s="4219"/>
      <c r="U124" s="4219"/>
      <c r="V124" s="4219"/>
      <c r="W124" s="4219"/>
      <c r="X124" s="4219"/>
      <c r="Y124" s="4219"/>
      <c r="Z124" s="4219"/>
      <c r="AA124" s="4162"/>
      <c r="AB124" s="4218"/>
      <c r="AC124" s="4175"/>
      <c r="AD124" s="4175"/>
      <c r="AE124" s="4175"/>
      <c r="AF124" s="4175"/>
      <c r="AG124" s="4175"/>
      <c r="AH124" s="4175"/>
      <c r="AI124" s="4175"/>
      <c r="AJ124" s="4175"/>
      <c r="AK124" s="4175"/>
      <c r="AL124" s="4175"/>
      <c r="AM124" s="4162"/>
    </row>
    <row r="125" spans="8:8" ht="21.95" customHeight="1">
      <c r="O125" s="4162"/>
      <c r="P125" s="4166"/>
      <c r="Q125" s="4219"/>
      <c r="R125" s="4219"/>
      <c r="S125" s="4219"/>
      <c r="T125" s="4219"/>
      <c r="U125" s="4219"/>
      <c r="V125" s="4219"/>
      <c r="W125" s="4219"/>
      <c r="X125" s="4219"/>
      <c r="Y125" s="4219"/>
      <c r="Z125" s="4219"/>
      <c r="AA125" s="4162"/>
      <c r="AB125" s="4170" t="s">
        <v>5552</v>
      </c>
      <c r="AC125" s="4169" t="s">
        <v>5642</v>
      </c>
      <c r="AD125" s="4169"/>
      <c r="AE125" s="4169"/>
      <c r="AF125" s="4169"/>
      <c r="AG125" s="4169"/>
      <c r="AH125" s="4169"/>
      <c r="AI125" s="4169"/>
      <c r="AJ125" s="4169"/>
      <c r="AK125" s="4169"/>
      <c r="AL125" s="4169"/>
      <c r="AM125" s="4162"/>
    </row>
    <row r="126" spans="8:8" ht="21.95" customHeight="1">
      <c r="O126" s="4162"/>
      <c r="P126" s="4166"/>
      <c r="Q126" s="4219"/>
      <c r="R126" s="4219"/>
      <c r="S126" s="4219"/>
      <c r="T126" s="4219"/>
      <c r="U126" s="4219"/>
      <c r="V126" s="4219"/>
      <c r="W126" s="4219"/>
      <c r="X126" s="4219"/>
      <c r="Y126" s="4219"/>
      <c r="Z126" s="4219"/>
      <c r="AA126" s="4162"/>
      <c r="AB126" s="4170"/>
      <c r="AC126" s="4169" t="s">
        <v>5643</v>
      </c>
      <c r="AD126" s="4169"/>
      <c r="AE126" s="4169"/>
      <c r="AF126" s="4169"/>
      <c r="AG126" s="4169"/>
      <c r="AH126" s="4169"/>
      <c r="AI126" s="4169"/>
      <c r="AJ126" s="4169"/>
      <c r="AK126" s="4169"/>
      <c r="AL126" s="4169"/>
      <c r="AM126" s="4162"/>
    </row>
    <row r="127" spans="8:8" ht="21.95" customHeight="1">
      <c r="O127" s="4162"/>
      <c r="P127" s="4166"/>
      <c r="Q127" s="4219"/>
      <c r="R127" s="4219"/>
      <c r="S127" s="4219"/>
      <c r="T127" s="4219"/>
      <c r="U127" s="4219"/>
      <c r="V127" s="4219"/>
      <c r="W127" s="4219"/>
      <c r="X127" s="4219"/>
      <c r="Y127" s="4219"/>
      <c r="Z127" s="4219"/>
      <c r="AA127" s="4162"/>
      <c r="AB127" s="4170"/>
      <c r="AC127" s="4169" t="s">
        <v>5645</v>
      </c>
      <c r="AD127" s="4169"/>
      <c r="AE127" s="4169"/>
      <c r="AF127" s="4169"/>
      <c r="AG127" s="4169"/>
      <c r="AH127" s="4169"/>
      <c r="AI127" s="4169"/>
      <c r="AJ127" s="4169"/>
      <c r="AK127" s="4169"/>
      <c r="AL127" s="4169"/>
      <c r="AM127" s="4162"/>
    </row>
    <row r="128" spans="8:8" ht="21.95" customHeight="1">
      <c r="O128" s="4162"/>
      <c r="P128" s="4166"/>
      <c r="Q128" s="4219"/>
      <c r="R128" s="4219"/>
      <c r="S128" s="4219"/>
      <c r="T128" s="4219"/>
      <c r="U128" s="4219"/>
      <c r="V128" s="4219"/>
      <c r="W128" s="4219"/>
      <c r="X128" s="4219"/>
      <c r="Y128" s="4219"/>
      <c r="Z128" s="4219"/>
      <c r="AA128" s="4162"/>
      <c r="AB128" s="4170"/>
      <c r="AC128" s="4169" t="s">
        <v>5647</v>
      </c>
      <c r="AD128" s="4169"/>
      <c r="AE128" s="4169"/>
      <c r="AF128" s="4169"/>
      <c r="AG128" s="4169"/>
      <c r="AH128" s="4169"/>
      <c r="AI128" s="4169"/>
      <c r="AJ128" s="4169"/>
      <c r="AK128" s="4169"/>
      <c r="AL128" s="4169"/>
      <c r="AM128" s="4162"/>
    </row>
    <row r="129" spans="8:8" ht="21.95" customHeight="1">
      <c r="O129" s="4162"/>
      <c r="P129" s="4166"/>
      <c r="Q129" s="4219"/>
      <c r="R129" s="4219"/>
      <c r="S129" s="4219"/>
      <c r="T129" s="4219"/>
      <c r="U129" s="4219"/>
      <c r="V129" s="4219"/>
      <c r="W129" s="4219"/>
      <c r="X129" s="4219"/>
      <c r="Y129" s="4219"/>
      <c r="Z129" s="4219"/>
      <c r="AA129" s="4162"/>
      <c r="AB129" s="4220" t="s">
        <v>5471</v>
      </c>
      <c r="AC129" s="4175" t="s">
        <v>5648</v>
      </c>
      <c r="AD129" s="4169"/>
      <c r="AE129" s="4169"/>
      <c r="AF129" s="4169"/>
      <c r="AG129" s="4169"/>
      <c r="AH129" s="4169"/>
      <c r="AI129" s="4169"/>
      <c r="AJ129" s="4169"/>
      <c r="AK129" s="4169"/>
      <c r="AL129" s="4169"/>
      <c r="AM129" s="4162"/>
    </row>
    <row r="130" spans="8:8" ht="21.95" customHeight="1">
      <c r="O130" s="4162"/>
      <c r="P130" s="4166"/>
      <c r="Q130" s="4219"/>
      <c r="R130" s="4219"/>
      <c r="S130" s="4219"/>
      <c r="T130" s="4219"/>
      <c r="U130" s="4219"/>
      <c r="V130" s="4219"/>
      <c r="W130" s="4219"/>
      <c r="X130" s="4219"/>
      <c r="Y130" s="4219"/>
      <c r="Z130" s="4219"/>
      <c r="AA130" s="4162"/>
      <c r="AB130" s="4220"/>
      <c r="AC130" s="4169"/>
      <c r="AD130" s="4169"/>
      <c r="AE130" s="4169"/>
      <c r="AF130" s="4169"/>
      <c r="AG130" s="4169"/>
      <c r="AH130" s="4169"/>
      <c r="AI130" s="4169"/>
      <c r="AJ130" s="4169"/>
      <c r="AK130" s="4169"/>
      <c r="AL130" s="4169"/>
      <c r="AM130" s="4162"/>
    </row>
    <row r="131" spans="8:8" ht="21.95" customHeight="1">
      <c r="O131" s="4162"/>
      <c r="P131" s="4166"/>
      <c r="Q131" s="4219"/>
      <c r="R131" s="4219"/>
      <c r="S131" s="4219"/>
      <c r="T131" s="4219"/>
      <c r="U131" s="4219"/>
      <c r="V131" s="4219"/>
      <c r="W131" s="4219"/>
      <c r="X131" s="4219"/>
      <c r="Y131" s="4219"/>
      <c r="Z131" s="4219"/>
      <c r="AA131" s="4162"/>
      <c r="AB131" s="4220"/>
      <c r="AC131" s="4169"/>
      <c r="AD131" s="4169"/>
      <c r="AE131" s="4169"/>
      <c r="AF131" s="4169"/>
      <c r="AG131" s="4169"/>
      <c r="AH131" s="4169"/>
      <c r="AI131" s="4169"/>
      <c r="AJ131" s="4169"/>
      <c r="AK131" s="4169"/>
      <c r="AL131" s="4169"/>
      <c r="AM131" s="4162"/>
    </row>
    <row r="132" spans="8:8" ht="21.95" customHeight="1">
      <c r="O132" s="4162"/>
      <c r="P132" s="4166"/>
      <c r="Q132" s="4219"/>
      <c r="R132" s="4219"/>
      <c r="S132" s="4219"/>
      <c r="T132" s="4219"/>
      <c r="U132" s="4219"/>
      <c r="V132" s="4219"/>
      <c r="W132" s="4219"/>
      <c r="X132" s="4219"/>
      <c r="Y132" s="4219"/>
      <c r="Z132" s="4219"/>
      <c r="AA132" s="4162"/>
      <c r="AB132" s="4220"/>
      <c r="AC132" s="4169"/>
      <c r="AD132" s="4169"/>
      <c r="AE132" s="4169"/>
      <c r="AF132" s="4169"/>
      <c r="AG132" s="4169"/>
      <c r="AH132" s="4169"/>
      <c r="AI132" s="4169"/>
      <c r="AJ132" s="4169"/>
      <c r="AK132" s="4169"/>
      <c r="AL132" s="4169"/>
      <c r="AM132" s="4162"/>
    </row>
    <row r="133" spans="8:8" ht="21.95" customHeight="1">
      <c r="O133" s="4162"/>
      <c r="P133" s="4166"/>
      <c r="Q133" s="4219"/>
      <c r="R133" s="4219"/>
      <c r="S133" s="4219"/>
      <c r="T133" s="4219"/>
      <c r="U133" s="4219"/>
      <c r="V133" s="4219"/>
      <c r="W133" s="4219"/>
      <c r="X133" s="4219"/>
      <c r="Y133" s="4219"/>
      <c r="Z133" s="4219"/>
      <c r="AA133" s="4162"/>
      <c r="AB133" s="4220"/>
      <c r="AC133" s="4175" t="s">
        <v>5650</v>
      </c>
      <c r="AD133" s="4175"/>
      <c r="AE133" s="4175"/>
      <c r="AF133" s="4175"/>
      <c r="AG133" s="4175"/>
      <c r="AH133" s="4175"/>
      <c r="AI133" s="4175"/>
      <c r="AJ133" s="4175"/>
      <c r="AK133" s="4175"/>
      <c r="AL133" s="4175"/>
      <c r="AM133" s="4162"/>
    </row>
    <row r="134" spans="8:8" ht="21.95" customHeight="1">
      <c r="O134" s="4162"/>
      <c r="P134" s="4166"/>
      <c r="Q134" s="4219"/>
      <c r="R134" s="4219"/>
      <c r="S134" s="4219"/>
      <c r="T134" s="4219"/>
      <c r="U134" s="4219"/>
      <c r="V134" s="4219"/>
      <c r="W134" s="4219"/>
      <c r="X134" s="4219"/>
      <c r="Y134" s="4219"/>
      <c r="Z134" s="4219"/>
      <c r="AA134" s="4162"/>
      <c r="AB134" s="4220"/>
      <c r="AC134" s="4175"/>
      <c r="AD134" s="4175"/>
      <c r="AE134" s="4175"/>
      <c r="AF134" s="4175"/>
      <c r="AG134" s="4175"/>
      <c r="AH134" s="4175"/>
      <c r="AI134" s="4175"/>
      <c r="AJ134" s="4175"/>
      <c r="AK134" s="4175"/>
      <c r="AL134" s="4175"/>
      <c r="AM134" s="4162"/>
    </row>
    <row r="135" spans="8:8" ht="21.95" customHeight="1">
      <c r="O135" s="4162"/>
      <c r="P135" s="4166"/>
      <c r="Q135" s="4219"/>
      <c r="R135" s="4219"/>
      <c r="S135" s="4219"/>
      <c r="T135" s="4219"/>
      <c r="U135" s="4219"/>
      <c r="V135" s="4219"/>
      <c r="W135" s="4219"/>
      <c r="X135" s="4219"/>
      <c r="Y135" s="4219"/>
      <c r="Z135" s="4219"/>
      <c r="AA135" s="4162"/>
      <c r="AB135" s="4220"/>
      <c r="AC135" s="4175"/>
      <c r="AD135" s="4175"/>
      <c r="AE135" s="4175"/>
      <c r="AF135" s="4175"/>
      <c r="AG135" s="4175"/>
      <c r="AH135" s="4175"/>
      <c r="AI135" s="4175"/>
      <c r="AJ135" s="4175"/>
      <c r="AK135" s="4175"/>
      <c r="AL135" s="4175"/>
      <c r="AM135" s="4162"/>
    </row>
    <row r="136" spans="8:8" ht="21.95" customHeight="1">
      <c r="O136" s="4162"/>
      <c r="P136" s="4166"/>
      <c r="Q136" s="4219"/>
      <c r="R136" s="4219"/>
      <c r="S136" s="4219"/>
      <c r="T136" s="4219"/>
      <c r="U136" s="4219"/>
      <c r="V136" s="4219"/>
      <c r="W136" s="4219"/>
      <c r="X136" s="4219"/>
      <c r="Y136" s="4219"/>
      <c r="Z136" s="4219"/>
      <c r="AA136" s="4162"/>
      <c r="AB136" s="4220"/>
      <c r="AC136" s="4175" t="s">
        <v>5652</v>
      </c>
      <c r="AD136" s="4175"/>
      <c r="AE136" s="4175"/>
      <c r="AF136" s="4175"/>
      <c r="AG136" s="4175"/>
      <c r="AH136" s="4175"/>
      <c r="AI136" s="4175"/>
      <c r="AJ136" s="4175"/>
      <c r="AK136" s="4175"/>
      <c r="AL136" s="4175"/>
      <c r="AM136" s="4162"/>
    </row>
    <row r="137" spans="8:8" ht="21.95" customHeight="1">
      <c r="O137" s="4162"/>
      <c r="P137" s="4166" t="s">
        <v>104</v>
      </c>
      <c r="Q137" s="4221" t="s">
        <v>5526</v>
      </c>
      <c r="R137" s="4221"/>
      <c r="S137" s="4221"/>
      <c r="T137" s="4221"/>
      <c r="U137" s="4221"/>
      <c r="V137" s="4221"/>
      <c r="W137" s="4221"/>
      <c r="X137" s="4221"/>
      <c r="Y137" s="4221"/>
      <c r="Z137" s="4221"/>
      <c r="AA137" s="4162"/>
      <c r="AB137" s="4220"/>
      <c r="AC137" s="4175" t="s">
        <v>5654</v>
      </c>
      <c r="AD137" s="4175"/>
      <c r="AE137" s="4175"/>
      <c r="AF137" s="4175"/>
      <c r="AG137" s="4175"/>
      <c r="AH137" s="4175"/>
      <c r="AI137" s="4175"/>
      <c r="AJ137" s="4175"/>
      <c r="AK137" s="4175"/>
      <c r="AL137" s="4175"/>
      <c r="AM137" s="4162"/>
    </row>
    <row r="138" spans="8:8" ht="21.95" customHeight="1">
      <c r="O138" s="4162"/>
      <c r="P138" s="4166"/>
      <c r="Q138" s="4221"/>
      <c r="R138" s="4221"/>
      <c r="S138" s="4221"/>
      <c r="T138" s="4221"/>
      <c r="U138" s="4221"/>
      <c r="V138" s="4221"/>
      <c r="W138" s="4221"/>
      <c r="X138" s="4221"/>
      <c r="Y138" s="4221"/>
      <c r="Z138" s="4221"/>
      <c r="AA138" s="4162"/>
      <c r="AB138" s="4220" t="s">
        <v>5618</v>
      </c>
      <c r="AC138" s="4175" t="s">
        <v>5656</v>
      </c>
      <c r="AD138" s="4175"/>
      <c r="AE138" s="4175"/>
      <c r="AF138" s="4175"/>
      <c r="AG138" s="4175"/>
      <c r="AH138" s="4175"/>
      <c r="AI138" s="4175"/>
      <c r="AJ138" s="4175"/>
      <c r="AK138" s="4175"/>
      <c r="AL138" s="4175"/>
      <c r="AM138" s="4162"/>
    </row>
    <row r="139" spans="8:8" ht="21.95" customHeight="1">
      <c r="O139" s="4162"/>
      <c r="P139" s="4163" t="s">
        <v>5532</v>
      </c>
      <c r="Q139" s="4163"/>
      <c r="R139" s="4163"/>
      <c r="S139" s="4163"/>
      <c r="T139" s="4163"/>
      <c r="U139" s="4163"/>
      <c r="V139" s="4163"/>
      <c r="W139" s="4163"/>
      <c r="X139" s="4163"/>
      <c r="Y139" s="4163"/>
      <c r="Z139" s="4163"/>
      <c r="AA139" s="4162"/>
      <c r="AB139" s="4220"/>
      <c r="AC139" s="4175"/>
      <c r="AD139" s="4175"/>
      <c r="AE139" s="4175"/>
      <c r="AF139" s="4175"/>
      <c r="AG139" s="4175"/>
      <c r="AH139" s="4175"/>
      <c r="AI139" s="4175"/>
      <c r="AJ139" s="4175"/>
      <c r="AK139" s="4175"/>
      <c r="AL139" s="4175"/>
      <c r="AM139" s="4162"/>
    </row>
    <row r="140" spans="8:8" ht="21.95" customHeight="1">
      <c r="O140" s="4162"/>
      <c r="P140" s="4166" t="s">
        <v>5458</v>
      </c>
      <c r="Q140" s="4219" t="s">
        <v>5534</v>
      </c>
      <c r="R140" s="4219"/>
      <c r="S140" s="4219"/>
      <c r="T140" s="4219"/>
      <c r="U140" s="4219"/>
      <c r="V140" s="4219"/>
      <c r="W140" s="4219"/>
      <c r="X140" s="4219"/>
      <c r="Y140" s="4219"/>
      <c r="Z140" s="4219"/>
      <c r="AA140" s="4162"/>
      <c r="AB140" s="4220"/>
      <c r="AC140" s="4175"/>
      <c r="AD140" s="4175"/>
      <c r="AE140" s="4175"/>
      <c r="AF140" s="4175"/>
      <c r="AG140" s="4175"/>
      <c r="AH140" s="4175"/>
      <c r="AI140" s="4175"/>
      <c r="AJ140" s="4175"/>
      <c r="AK140" s="4175"/>
      <c r="AL140" s="4175"/>
      <c r="AM140" s="4162"/>
    </row>
    <row r="141" spans="8:8" ht="21.95" customHeight="1">
      <c r="O141" s="4162"/>
      <c r="P141" s="4166"/>
      <c r="Q141" s="4219"/>
      <c r="R141" s="4219"/>
      <c r="S141" s="4219"/>
      <c r="T141" s="4219"/>
      <c r="U141" s="4219"/>
      <c r="V141" s="4219"/>
      <c r="W141" s="4219"/>
      <c r="X141" s="4219"/>
      <c r="Y141" s="4219"/>
      <c r="Z141" s="4219"/>
      <c r="AA141" s="4162"/>
      <c r="AB141" s="4220"/>
      <c r="AC141" s="4175"/>
      <c r="AD141" s="4175"/>
      <c r="AE141" s="4175"/>
      <c r="AF141" s="4175"/>
      <c r="AG141" s="4175"/>
      <c r="AH141" s="4175"/>
      <c r="AI141" s="4175"/>
      <c r="AJ141" s="4175"/>
      <c r="AK141" s="4175"/>
      <c r="AL141" s="4175"/>
      <c r="AM141" s="4162"/>
    </row>
    <row r="142" spans="8:8" ht="21.95" customHeight="1">
      <c r="O142" s="4162"/>
      <c r="P142" s="4166"/>
      <c r="Q142" s="4203" t="s">
        <v>5538</v>
      </c>
      <c r="R142" s="4203"/>
      <c r="S142" s="4203"/>
      <c r="T142" s="4203"/>
      <c r="U142" s="4203"/>
      <c r="V142" s="4203"/>
      <c r="W142" s="4203"/>
      <c r="X142" s="4203"/>
      <c r="Y142" s="4203"/>
      <c r="Z142" s="4203"/>
      <c r="AA142" s="4162"/>
      <c r="AB142" s="4220"/>
      <c r="AC142" s="4175"/>
      <c r="AD142" s="4175"/>
      <c r="AE142" s="4175"/>
      <c r="AF142" s="4175"/>
      <c r="AG142" s="4175"/>
      <c r="AH142" s="4175"/>
      <c r="AI142" s="4175"/>
      <c r="AJ142" s="4175"/>
      <c r="AK142" s="4175"/>
      <c r="AL142" s="4175"/>
      <c r="AM142" s="4162"/>
    </row>
    <row r="143" spans="8:8" ht="21.95" customHeight="1">
      <c r="O143" s="4162"/>
      <c r="P143" s="4166"/>
      <c r="Q143" s="4203"/>
      <c r="R143" s="4203"/>
      <c r="S143" s="4203"/>
      <c r="T143" s="4203"/>
      <c r="U143" s="4203"/>
      <c r="V143" s="4203"/>
      <c r="W143" s="4203"/>
      <c r="X143" s="4203"/>
      <c r="Y143" s="4203"/>
      <c r="Z143" s="4203"/>
      <c r="AA143" s="4162"/>
      <c r="AB143" s="4220"/>
      <c r="AC143" s="4175"/>
      <c r="AD143" s="4175"/>
      <c r="AE143" s="4175"/>
      <c r="AF143" s="4175"/>
      <c r="AG143" s="4175"/>
      <c r="AH143" s="4175"/>
      <c r="AI143" s="4175"/>
      <c r="AJ143" s="4175"/>
      <c r="AK143" s="4175"/>
      <c r="AL143" s="4175"/>
      <c r="AM143" s="4162"/>
    </row>
    <row r="144" spans="8:8" ht="21.95" customHeight="1">
      <c r="O144" s="4162"/>
      <c r="P144" s="4166" t="s">
        <v>5464</v>
      </c>
      <c r="Q144" s="4175" t="s">
        <v>5544</v>
      </c>
      <c r="R144" s="4175"/>
      <c r="S144" s="4175"/>
      <c r="T144" s="4175"/>
      <c r="U144" s="4175"/>
      <c r="V144" s="4175"/>
      <c r="W144" s="4175"/>
      <c r="X144" s="4175"/>
      <c r="Y144" s="4175"/>
      <c r="Z144" s="4175"/>
      <c r="AA144" s="4162"/>
      <c r="AB144" s="4220"/>
      <c r="AC144" s="4175"/>
      <c r="AD144" s="4175"/>
      <c r="AE144" s="4175"/>
      <c r="AF144" s="4175"/>
      <c r="AG144" s="4175"/>
      <c r="AH144" s="4175"/>
      <c r="AI144" s="4175"/>
      <c r="AJ144" s="4175"/>
      <c r="AK144" s="4175"/>
      <c r="AL144" s="4175"/>
      <c r="AM144" s="4162"/>
    </row>
    <row r="145" spans="8:8" ht="21.95" customHeight="1">
      <c r="O145" s="4162"/>
      <c r="P145" s="4166"/>
      <c r="Q145" s="4175"/>
      <c r="R145" s="4175"/>
      <c r="S145" s="4175"/>
      <c r="T145" s="4175"/>
      <c r="U145" s="4175"/>
      <c r="V145" s="4175"/>
      <c r="W145" s="4175"/>
      <c r="X145" s="4175"/>
      <c r="Y145" s="4175"/>
      <c r="Z145" s="4175"/>
      <c r="AA145" s="4162"/>
      <c r="AB145" s="4220"/>
      <c r="AC145" s="4175"/>
      <c r="AD145" s="4175"/>
      <c r="AE145" s="4175"/>
      <c r="AF145" s="4175"/>
      <c r="AG145" s="4175"/>
      <c r="AH145" s="4175"/>
      <c r="AI145" s="4175"/>
      <c r="AJ145" s="4175"/>
      <c r="AK145" s="4175"/>
      <c r="AL145" s="4175"/>
      <c r="AM145" s="4162"/>
    </row>
    <row r="146" spans="8:8" ht="21.95" customHeight="1">
      <c r="O146" s="4162"/>
      <c r="P146" s="4166"/>
      <c r="Q146" s="4175" t="s">
        <v>5549</v>
      </c>
      <c r="R146" s="4175"/>
      <c r="S146" s="4175"/>
      <c r="T146" s="4175"/>
      <c r="U146" s="4175"/>
      <c r="V146" s="4175"/>
      <c r="W146" s="4175"/>
      <c r="X146" s="4175"/>
      <c r="Y146" s="4175"/>
      <c r="Z146" s="4175"/>
      <c r="AA146" s="4162"/>
      <c r="AB146" s="4220"/>
      <c r="AC146" s="4175"/>
      <c r="AD146" s="4175"/>
      <c r="AE146" s="4175"/>
      <c r="AF146" s="4175"/>
      <c r="AG146" s="4175"/>
      <c r="AH146" s="4175"/>
      <c r="AI146" s="4175"/>
      <c r="AJ146" s="4175"/>
      <c r="AK146" s="4175"/>
      <c r="AL146" s="4175"/>
      <c r="AM146" s="4162"/>
    </row>
    <row r="147" spans="8:8" ht="21.95" customHeight="1">
      <c r="O147" s="4162"/>
      <c r="P147" s="4166"/>
      <c r="Q147" s="4175"/>
      <c r="R147" s="4175"/>
      <c r="S147" s="4175"/>
      <c r="T147" s="4175"/>
      <c r="U147" s="4175"/>
      <c r="V147" s="4175"/>
      <c r="W147" s="4175"/>
      <c r="X147" s="4175"/>
      <c r="Y147" s="4175"/>
      <c r="Z147" s="4175"/>
      <c r="AA147" s="4162"/>
      <c r="AB147" s="4220"/>
      <c r="AC147" s="4175"/>
      <c r="AD147" s="4175"/>
      <c r="AE147" s="4175"/>
      <c r="AF147" s="4175"/>
      <c r="AG147" s="4175"/>
      <c r="AH147" s="4175"/>
      <c r="AI147" s="4175"/>
      <c r="AJ147" s="4175"/>
      <c r="AK147" s="4175"/>
      <c r="AL147" s="4175"/>
      <c r="AM147" s="4162"/>
    </row>
    <row r="148" spans="8:8" ht="21.95" customHeight="1">
      <c r="O148" s="4162"/>
      <c r="P148" s="4166" t="s">
        <v>5552</v>
      </c>
      <c r="Q148" s="4219" t="s">
        <v>5553</v>
      </c>
      <c r="R148" s="4219"/>
      <c r="S148" s="4219"/>
      <c r="T148" s="4219"/>
      <c r="U148" s="4219"/>
      <c r="V148" s="4219"/>
      <c r="W148" s="4219"/>
      <c r="X148" s="4219"/>
      <c r="Y148" s="4219"/>
      <c r="Z148" s="4219"/>
      <c r="AA148" s="4162"/>
      <c r="AB148" s="4220"/>
      <c r="AC148" s="4175" t="s">
        <v>5661</v>
      </c>
      <c r="AD148" s="4175"/>
      <c r="AE148" s="4175"/>
      <c r="AF148" s="4175"/>
      <c r="AG148" s="4175"/>
      <c r="AH148" s="4175"/>
      <c r="AI148" s="4175"/>
      <c r="AJ148" s="4175"/>
      <c r="AK148" s="4175"/>
      <c r="AL148" s="4175"/>
      <c r="AM148" s="4162"/>
    </row>
    <row r="149" spans="8:8" ht="21.95" customHeight="1">
      <c r="O149" s="4162"/>
      <c r="P149" s="4166"/>
      <c r="Q149" s="4219"/>
      <c r="R149" s="4219"/>
      <c r="S149" s="4219"/>
      <c r="T149" s="4219"/>
      <c r="U149" s="4219"/>
      <c r="V149" s="4219"/>
      <c r="W149" s="4219"/>
      <c r="X149" s="4219"/>
      <c r="Y149" s="4219"/>
      <c r="Z149" s="4219"/>
      <c r="AA149" s="4162"/>
      <c r="AB149" s="4220"/>
      <c r="AC149" s="4175"/>
      <c r="AD149" s="4175"/>
      <c r="AE149" s="4175"/>
      <c r="AF149" s="4175"/>
      <c r="AG149" s="4175"/>
      <c r="AH149" s="4175"/>
      <c r="AI149" s="4175"/>
      <c r="AJ149" s="4175"/>
      <c r="AK149" s="4175"/>
      <c r="AL149" s="4175"/>
      <c r="AM149" s="4162"/>
    </row>
    <row r="150" spans="8:8" ht="21.95" customHeight="1">
      <c r="O150" s="4162"/>
      <c r="P150" s="4166"/>
      <c r="Q150" s="4219"/>
      <c r="R150" s="4219"/>
      <c r="S150" s="4219"/>
      <c r="T150" s="4219"/>
      <c r="U150" s="4219"/>
      <c r="V150" s="4219"/>
      <c r="W150" s="4219"/>
      <c r="X150" s="4219"/>
      <c r="Y150" s="4219"/>
      <c r="Z150" s="4219"/>
      <c r="AA150" s="4162"/>
      <c r="AB150" s="4220"/>
      <c r="AC150" s="4175"/>
      <c r="AD150" s="4175"/>
      <c r="AE150" s="4175"/>
      <c r="AF150" s="4175"/>
      <c r="AG150" s="4175"/>
      <c r="AH150" s="4175"/>
      <c r="AI150" s="4175"/>
      <c r="AJ150" s="4175"/>
      <c r="AK150" s="4175"/>
      <c r="AL150" s="4175"/>
      <c r="AM150" s="4162"/>
    </row>
    <row r="151" spans="8:8" ht="21.95" customHeight="1">
      <c r="O151" s="4162"/>
      <c r="P151" s="4166" t="s">
        <v>5475</v>
      </c>
      <c r="Q151" s="4219" t="s">
        <v>5555</v>
      </c>
      <c r="R151" s="4219"/>
      <c r="S151" s="4219"/>
      <c r="T151" s="4219"/>
      <c r="U151" s="4219"/>
      <c r="V151" s="4219"/>
      <c r="W151" s="4219"/>
      <c r="X151" s="4219"/>
      <c r="Y151" s="4219"/>
      <c r="Z151" s="4219"/>
      <c r="AA151" s="4162"/>
      <c r="AB151" s="4220"/>
      <c r="AC151" s="4175"/>
      <c r="AD151" s="4175"/>
      <c r="AE151" s="4175"/>
      <c r="AF151" s="4175"/>
      <c r="AG151" s="4175"/>
      <c r="AH151" s="4175"/>
      <c r="AI151" s="4175"/>
      <c r="AJ151" s="4175"/>
      <c r="AK151" s="4175"/>
      <c r="AL151" s="4175"/>
      <c r="AM151" s="4162"/>
    </row>
    <row r="152" spans="8:8" ht="21.95" customHeight="1">
      <c r="O152" s="4162"/>
      <c r="P152" s="4166"/>
      <c r="Q152" s="4219"/>
      <c r="R152" s="4219"/>
      <c r="S152" s="4219"/>
      <c r="T152" s="4219"/>
      <c r="U152" s="4219"/>
      <c r="V152" s="4219"/>
      <c r="W152" s="4219"/>
      <c r="X152" s="4219"/>
      <c r="Y152" s="4219"/>
      <c r="Z152" s="4219"/>
      <c r="AA152" s="4162"/>
      <c r="AB152" s="4220"/>
      <c r="AC152" s="4175"/>
      <c r="AD152" s="4175"/>
      <c r="AE152" s="4175"/>
      <c r="AF152" s="4175"/>
      <c r="AG152" s="4175"/>
      <c r="AH152" s="4175"/>
      <c r="AI152" s="4175"/>
      <c r="AJ152" s="4175"/>
      <c r="AK152" s="4175"/>
      <c r="AL152" s="4175"/>
      <c r="AM152" s="4162"/>
    </row>
    <row r="153" spans="8:8" ht="21.95" customHeight="1">
      <c r="O153" s="4162"/>
      <c r="P153" s="4166" t="s">
        <v>5558</v>
      </c>
      <c r="Q153" s="4219" t="s">
        <v>5559</v>
      </c>
      <c r="R153" s="4219"/>
      <c r="S153" s="4219"/>
      <c r="T153" s="4219"/>
      <c r="U153" s="4219"/>
      <c r="V153" s="4219"/>
      <c r="W153" s="4219"/>
      <c r="X153" s="4219"/>
      <c r="Y153" s="4219"/>
      <c r="Z153" s="4219"/>
      <c r="AA153" s="4162"/>
      <c r="AB153" s="4220"/>
      <c r="AC153" s="4169" t="s">
        <v>5665</v>
      </c>
      <c r="AD153" s="4169"/>
      <c r="AE153" s="4169"/>
      <c r="AF153" s="4169"/>
      <c r="AG153" s="4169"/>
      <c r="AH153" s="4169"/>
      <c r="AI153" s="4169"/>
      <c r="AJ153" s="4169"/>
      <c r="AK153" s="4169"/>
      <c r="AL153" s="4169"/>
      <c r="AM153" s="4162"/>
    </row>
    <row r="154" spans="8:8" ht="21.95" customHeight="1">
      <c r="O154" s="4162"/>
      <c r="P154" s="4166"/>
      <c r="Q154" s="4219"/>
      <c r="R154" s="4219"/>
      <c r="S154" s="4219"/>
      <c r="T154" s="4219"/>
      <c r="U154" s="4219"/>
      <c r="V154" s="4219"/>
      <c r="W154" s="4219"/>
      <c r="X154" s="4219"/>
      <c r="Y154" s="4219"/>
      <c r="Z154" s="4219"/>
      <c r="AA154" s="4162"/>
      <c r="AB154" s="4220"/>
      <c r="AC154" s="4169" t="s">
        <v>5666</v>
      </c>
      <c r="AD154" s="4169"/>
      <c r="AE154" s="4169"/>
      <c r="AF154" s="4169"/>
      <c r="AG154" s="4169"/>
      <c r="AH154" s="4169"/>
      <c r="AI154" s="4169"/>
      <c r="AJ154" s="4169"/>
      <c r="AK154" s="4169"/>
      <c r="AL154" s="4169"/>
      <c r="AM154" s="4162"/>
    </row>
    <row r="155" spans="8:8" ht="21.95" customHeight="1">
      <c r="O155" s="4162"/>
      <c r="P155" s="4166" t="s">
        <v>104</v>
      </c>
      <c r="Q155" s="4221" t="s">
        <v>5563</v>
      </c>
      <c r="R155" s="4221"/>
      <c r="S155" s="4221"/>
      <c r="T155" s="4221"/>
      <c r="U155" s="4221"/>
      <c r="V155" s="4221"/>
      <c r="W155" s="4221"/>
      <c r="X155" s="4221"/>
      <c r="Y155" s="4221"/>
      <c r="Z155" s="4221"/>
      <c r="AA155" s="4162"/>
      <c r="AB155" s="4222" t="s">
        <v>5475</v>
      </c>
      <c r="AC155" s="4169" t="s">
        <v>5667</v>
      </c>
      <c r="AD155" s="4169"/>
      <c r="AE155" s="4169"/>
      <c r="AF155" s="4169"/>
      <c r="AG155" s="4169"/>
      <c r="AH155" s="4169"/>
      <c r="AI155" s="4169"/>
      <c r="AJ155" s="4169"/>
      <c r="AK155" s="4169"/>
      <c r="AL155" s="4169"/>
      <c r="AM155" s="4162"/>
    </row>
    <row r="156" spans="8:8" ht="21.95" customHeight="1">
      <c r="O156" s="4162"/>
      <c r="P156" s="4166"/>
      <c r="Q156" s="4221"/>
      <c r="R156" s="4221"/>
      <c r="S156" s="4221"/>
      <c r="T156" s="4221"/>
      <c r="U156" s="4221"/>
      <c r="V156" s="4221"/>
      <c r="W156" s="4221"/>
      <c r="X156" s="4221"/>
      <c r="Y156" s="4221"/>
      <c r="Z156" s="4221"/>
      <c r="AA156" s="4162"/>
      <c r="AB156" s="4222"/>
      <c r="AC156" s="4223" t="s">
        <v>5668</v>
      </c>
      <c r="AD156" s="4223"/>
      <c r="AE156" s="4223"/>
      <c r="AF156" s="4223"/>
      <c r="AG156" s="4223"/>
      <c r="AH156" s="4223"/>
      <c r="AI156" s="4223"/>
      <c r="AJ156" s="4223"/>
      <c r="AK156" s="4223"/>
      <c r="AL156" s="4223"/>
      <c r="AM156" s="4162"/>
    </row>
    <row r="157" spans="8:8" ht="21.95" customHeight="1">
      <c r="O157" s="4162"/>
      <c r="P157" s="4224" t="s">
        <v>5566</v>
      </c>
      <c r="Q157" s="4224"/>
      <c r="R157" s="4224"/>
      <c r="S157" s="4224"/>
      <c r="T157" s="4224"/>
      <c r="U157" s="4224"/>
      <c r="V157" s="4224"/>
      <c r="W157" s="4224"/>
      <c r="X157" s="4224"/>
      <c r="Y157" s="4224"/>
      <c r="Z157" s="4224"/>
      <c r="AA157" s="4162"/>
      <c r="AB157" s="4163" t="s">
        <v>5669</v>
      </c>
      <c r="AC157" s="4163"/>
      <c r="AD157" s="4163"/>
      <c r="AE157" s="4163"/>
      <c r="AF157" s="4163"/>
      <c r="AG157" s="4163"/>
      <c r="AH157" s="4163"/>
      <c r="AI157" s="4163"/>
      <c r="AJ157" s="4163"/>
      <c r="AK157" s="4163"/>
      <c r="AL157" s="4163"/>
      <c r="AM157" s="4162"/>
    </row>
    <row r="158" spans="8:8" ht="21.95" customHeight="1">
      <c r="O158" s="4162"/>
      <c r="P158" s="4166" t="s">
        <v>5449</v>
      </c>
      <c r="Q158" s="4175" t="s">
        <v>5567</v>
      </c>
      <c r="R158" s="4175"/>
      <c r="S158" s="4175"/>
      <c r="T158" s="4175"/>
      <c r="U158" s="4175"/>
      <c r="V158" s="4175"/>
      <c r="W158" s="4175"/>
      <c r="X158" s="4175"/>
      <c r="Y158" s="4175"/>
      <c r="Z158" s="4175"/>
      <c r="AA158" s="4162"/>
      <c r="AB158" s="4225" t="s">
        <v>5449</v>
      </c>
      <c r="AC158" s="4169" t="s">
        <v>5670</v>
      </c>
      <c r="AD158" s="4169"/>
      <c r="AE158" s="4169"/>
      <c r="AF158" s="4169"/>
      <c r="AG158" s="4169"/>
      <c r="AH158" s="4169"/>
      <c r="AI158" s="4169"/>
      <c r="AJ158" s="4169"/>
      <c r="AK158" s="4169"/>
      <c r="AL158" s="4169"/>
      <c r="AM158" s="4162"/>
    </row>
    <row r="159" spans="8:8" ht="21.95" customHeight="1">
      <c r="O159" s="4162"/>
      <c r="P159" s="4166"/>
      <c r="Q159" s="4175"/>
      <c r="R159" s="4175"/>
      <c r="S159" s="4175"/>
      <c r="T159" s="4175"/>
      <c r="U159" s="4175"/>
      <c r="V159" s="4175"/>
      <c r="W159" s="4175"/>
      <c r="X159" s="4175"/>
      <c r="Y159" s="4175"/>
      <c r="Z159" s="4175"/>
      <c r="AA159" s="4162"/>
      <c r="AB159" s="4177" t="s">
        <v>5471</v>
      </c>
      <c r="AC159" s="4169" t="s">
        <v>5671</v>
      </c>
      <c r="AD159" s="4169"/>
      <c r="AE159" s="4169"/>
      <c r="AF159" s="4169"/>
      <c r="AG159" s="4169"/>
      <c r="AH159" s="4169"/>
      <c r="AI159" s="4169"/>
      <c r="AJ159" s="4169"/>
      <c r="AK159" s="4169"/>
      <c r="AL159" s="4169"/>
      <c r="AM159" s="4162"/>
    </row>
    <row r="160" spans="8:8" ht="21.95" customHeight="1">
      <c r="O160" s="4162"/>
      <c r="P160" s="4166" t="s">
        <v>5467</v>
      </c>
      <c r="Q160" s="4175" t="s">
        <v>5571</v>
      </c>
      <c r="R160" s="4175"/>
      <c r="S160" s="4175"/>
      <c r="T160" s="4175"/>
      <c r="U160" s="4175"/>
      <c r="V160" s="4175"/>
      <c r="W160" s="4175"/>
      <c r="X160" s="4175"/>
      <c r="Y160" s="4175"/>
      <c r="Z160" s="4175"/>
      <c r="AA160" s="4162"/>
      <c r="AB160" s="4163" t="s">
        <v>5672</v>
      </c>
      <c r="AC160" s="4163"/>
      <c r="AD160" s="4163"/>
      <c r="AE160" s="4163"/>
      <c r="AF160" s="4163"/>
      <c r="AG160" s="4163"/>
      <c r="AH160" s="4163"/>
      <c r="AI160" s="4163"/>
      <c r="AJ160" s="4163"/>
      <c r="AK160" s="4163"/>
      <c r="AL160" s="4163"/>
      <c r="AM160" s="4162"/>
    </row>
    <row r="161" spans="8:8" ht="21.95" customHeight="1">
      <c r="O161" s="4162"/>
      <c r="P161" s="4166"/>
      <c r="Q161" s="4175"/>
      <c r="R161" s="4175"/>
      <c r="S161" s="4175"/>
      <c r="T161" s="4175"/>
      <c r="U161" s="4175"/>
      <c r="V161" s="4175"/>
      <c r="W161" s="4175"/>
      <c r="X161" s="4175"/>
      <c r="Y161" s="4175"/>
      <c r="Z161" s="4175"/>
      <c r="AA161" s="4162"/>
      <c r="AB161" s="4206" t="s">
        <v>5558</v>
      </c>
      <c r="AC161" s="4216" t="s">
        <v>5673</v>
      </c>
      <c r="AD161" s="4216"/>
      <c r="AE161" s="4216"/>
      <c r="AF161" s="4216"/>
      <c r="AG161" s="4216"/>
      <c r="AH161" s="4216"/>
      <c r="AI161" s="4216"/>
      <c r="AJ161" s="4216"/>
      <c r="AK161" s="4216"/>
      <c r="AL161" s="4216"/>
      <c r="AM161" s="4162"/>
    </row>
    <row r="162" spans="8:8" ht="21.95" customHeight="1">
      <c r="O162" s="4162"/>
      <c r="P162" s="4166" t="s">
        <v>5464</v>
      </c>
      <c r="Q162" s="4175" t="s">
        <v>5574</v>
      </c>
      <c r="R162" s="4175"/>
      <c r="S162" s="4175"/>
      <c r="T162" s="4175"/>
      <c r="U162" s="4175"/>
      <c r="V162" s="4175"/>
      <c r="W162" s="4175"/>
      <c r="X162" s="4175"/>
      <c r="Y162" s="4175"/>
      <c r="Z162" s="4175"/>
      <c r="AA162" s="4162"/>
      <c r="AB162" s="4163" t="s">
        <v>5674</v>
      </c>
      <c r="AC162" s="4163"/>
      <c r="AD162" s="4163"/>
      <c r="AE162" s="4163"/>
      <c r="AF162" s="4163"/>
      <c r="AG162" s="4163"/>
      <c r="AH162" s="4163"/>
      <c r="AI162" s="4163"/>
      <c r="AJ162" s="4163"/>
      <c r="AK162" s="4163"/>
      <c r="AL162" s="4163"/>
      <c r="AM162" s="4162"/>
    </row>
    <row r="163" spans="8:8" ht="21.95" customHeight="1">
      <c r="O163" s="4162"/>
      <c r="P163" s="4166"/>
      <c r="Q163" s="4175"/>
      <c r="R163" s="4175"/>
      <c r="S163" s="4175"/>
      <c r="T163" s="4175"/>
      <c r="U163" s="4175"/>
      <c r="V163" s="4175"/>
      <c r="W163" s="4175"/>
      <c r="X163" s="4175"/>
      <c r="Y163" s="4175"/>
      <c r="Z163" s="4175"/>
      <c r="AA163" s="4162"/>
      <c r="AB163" s="4220" t="s">
        <v>5449</v>
      </c>
      <c r="AC163" s="4175" t="s">
        <v>5675</v>
      </c>
      <c r="AD163" s="4169"/>
      <c r="AE163" s="4169"/>
      <c r="AF163" s="4169"/>
      <c r="AG163" s="4169"/>
      <c r="AH163" s="4169"/>
      <c r="AI163" s="4169"/>
      <c r="AJ163" s="4169"/>
      <c r="AK163" s="4169"/>
      <c r="AL163" s="4169"/>
      <c r="AM163" s="4162"/>
    </row>
    <row r="164" spans="8:8" ht="21.95" customHeight="1">
      <c r="O164" s="4162"/>
      <c r="P164" s="4166" t="s">
        <v>5475</v>
      </c>
      <c r="Q164" s="4226" t="s">
        <v>5577</v>
      </c>
      <c r="R164" s="4226"/>
      <c r="S164" s="4226"/>
      <c r="T164" s="4226"/>
      <c r="U164" s="4226"/>
      <c r="V164" s="4226"/>
      <c r="W164" s="4226"/>
      <c r="X164" s="4226"/>
      <c r="Y164" s="4226"/>
      <c r="Z164" s="4226"/>
      <c r="AA164" s="4162"/>
      <c r="AB164" s="4220"/>
      <c r="AC164" s="4169"/>
      <c r="AD164" s="4169"/>
      <c r="AE164" s="4169"/>
      <c r="AF164" s="4169"/>
      <c r="AG164" s="4169"/>
      <c r="AH164" s="4169"/>
      <c r="AI164" s="4169"/>
      <c r="AJ164" s="4169"/>
      <c r="AK164" s="4169"/>
      <c r="AL164" s="4169"/>
      <c r="AM164" s="4162"/>
    </row>
    <row r="165" spans="8:8" ht="21.95" customHeight="1">
      <c r="O165" s="4162"/>
      <c r="P165" s="4166"/>
      <c r="Q165" s="4226"/>
      <c r="R165" s="4226"/>
      <c r="S165" s="4226"/>
      <c r="T165" s="4226"/>
      <c r="U165" s="4226"/>
      <c r="V165" s="4226"/>
      <c r="W165" s="4226"/>
      <c r="X165" s="4226"/>
      <c r="Y165" s="4226"/>
      <c r="Z165" s="4226"/>
      <c r="AA165" s="4162"/>
      <c r="AB165" s="4220"/>
      <c r="AC165" s="4169"/>
      <c r="AD165" s="4169"/>
      <c r="AE165" s="4169"/>
      <c r="AF165" s="4169"/>
      <c r="AG165" s="4169"/>
      <c r="AH165" s="4169"/>
      <c r="AI165" s="4169"/>
      <c r="AJ165" s="4169"/>
      <c r="AK165" s="4169"/>
      <c r="AL165" s="4169"/>
      <c r="AM165" s="4162"/>
    </row>
    <row r="166" spans="8:8" ht="21.95" customHeight="1">
      <c r="O166" s="4162"/>
      <c r="P166" s="4166" t="s">
        <v>5558</v>
      </c>
      <c r="Q166" s="4219" t="s">
        <v>5578</v>
      </c>
      <c r="R166" s="4219"/>
      <c r="S166" s="4219"/>
      <c r="T166" s="4219"/>
      <c r="U166" s="4219"/>
      <c r="V166" s="4219"/>
      <c r="W166" s="4219"/>
      <c r="X166" s="4219"/>
      <c r="Y166" s="4219"/>
      <c r="Z166" s="4219"/>
      <c r="AA166" s="4162"/>
      <c r="AB166" s="4220"/>
      <c r="AC166" s="4175" t="s">
        <v>5676</v>
      </c>
      <c r="AD166" s="4169"/>
      <c r="AE166" s="4169"/>
      <c r="AF166" s="4169"/>
      <c r="AG166" s="4169"/>
      <c r="AH166" s="4169"/>
      <c r="AI166" s="4169"/>
      <c r="AJ166" s="4169"/>
      <c r="AK166" s="4169"/>
      <c r="AL166" s="4169"/>
      <c r="AM166" s="4162"/>
    </row>
    <row r="167" spans="8:8" ht="21.95" customHeight="1">
      <c r="O167" s="4162"/>
      <c r="P167" s="4166"/>
      <c r="Q167" s="4219"/>
      <c r="R167" s="4219"/>
      <c r="S167" s="4219"/>
      <c r="T167" s="4219"/>
      <c r="U167" s="4219"/>
      <c r="V167" s="4219"/>
      <c r="W167" s="4219"/>
      <c r="X167" s="4219"/>
      <c r="Y167" s="4219"/>
      <c r="Z167" s="4219"/>
      <c r="AA167" s="4162"/>
      <c r="AB167" s="4220"/>
      <c r="AC167" s="4169"/>
      <c r="AD167" s="4169"/>
      <c r="AE167" s="4169"/>
      <c r="AF167" s="4169"/>
      <c r="AG167" s="4169"/>
      <c r="AH167" s="4169"/>
      <c r="AI167" s="4169"/>
      <c r="AJ167" s="4169"/>
      <c r="AK167" s="4169"/>
      <c r="AL167" s="4169"/>
      <c r="AM167" s="4162"/>
    </row>
    <row r="168" spans="8:8" ht="21.95" customHeight="1">
      <c r="O168" s="4162"/>
      <c r="P168" s="4166" t="s">
        <v>104</v>
      </c>
      <c r="Q168" s="4221" t="s">
        <v>5581</v>
      </c>
      <c r="R168" s="4221"/>
      <c r="S168" s="4221"/>
      <c r="T168" s="4221"/>
      <c r="U168" s="4221"/>
      <c r="V168" s="4221"/>
      <c r="W168" s="4221"/>
      <c r="X168" s="4221"/>
      <c r="Y168" s="4221"/>
      <c r="Z168" s="4221"/>
      <c r="AA168" s="4162"/>
      <c r="AB168" s="4220"/>
      <c r="AC168" s="4175" t="s">
        <v>5677</v>
      </c>
      <c r="AD168" s="4169"/>
      <c r="AE168" s="4169"/>
      <c r="AF168" s="4169"/>
      <c r="AG168" s="4169"/>
      <c r="AH168" s="4169"/>
      <c r="AI168" s="4169"/>
      <c r="AJ168" s="4169"/>
      <c r="AK168" s="4169"/>
      <c r="AL168" s="4169"/>
      <c r="AM168" s="4162"/>
    </row>
    <row r="169" spans="8:8" ht="21.95" customHeight="1">
      <c r="O169" s="4162"/>
      <c r="P169" s="4166"/>
      <c r="Q169" s="4221"/>
      <c r="R169" s="4221"/>
      <c r="S169" s="4221"/>
      <c r="T169" s="4221"/>
      <c r="U169" s="4221"/>
      <c r="V169" s="4221"/>
      <c r="W169" s="4221"/>
      <c r="X169" s="4221"/>
      <c r="Y169" s="4221"/>
      <c r="Z169" s="4221"/>
      <c r="AA169" s="4162"/>
      <c r="AB169" s="4220"/>
      <c r="AC169" s="4169"/>
      <c r="AD169" s="4169"/>
      <c r="AE169" s="4169"/>
      <c r="AF169" s="4169"/>
      <c r="AG169" s="4169"/>
      <c r="AH169" s="4169"/>
      <c r="AI169" s="4169"/>
      <c r="AJ169" s="4169"/>
      <c r="AK169" s="4169"/>
      <c r="AL169" s="4169"/>
      <c r="AM169" s="4162"/>
    </row>
    <row r="170" spans="8:8" ht="21.95" customHeight="1">
      <c r="O170" s="4162"/>
      <c r="P170" s="4166"/>
      <c r="Q170" s="4221"/>
      <c r="R170" s="4221"/>
      <c r="S170" s="4221"/>
      <c r="T170" s="4221"/>
      <c r="U170" s="4221"/>
      <c r="V170" s="4221"/>
      <c r="W170" s="4221"/>
      <c r="X170" s="4221"/>
      <c r="Y170" s="4221"/>
      <c r="Z170" s="4221"/>
      <c r="AA170" s="4162"/>
      <c r="AB170" s="4220"/>
      <c r="AC170" s="4175" t="s">
        <v>5678</v>
      </c>
      <c r="AD170" s="4175"/>
      <c r="AE170" s="4175"/>
      <c r="AF170" s="4175"/>
      <c r="AG170" s="4175"/>
      <c r="AH170" s="4175"/>
      <c r="AI170" s="4175"/>
      <c r="AJ170" s="4175"/>
      <c r="AK170" s="4175"/>
      <c r="AL170" s="4175"/>
      <c r="AM170" s="4162"/>
    </row>
    <row r="171" spans="8:8" ht="21.95" customHeight="1">
      <c r="O171" s="4162"/>
      <c r="P171" s="4163" t="s">
        <v>5582</v>
      </c>
      <c r="Q171" s="4163"/>
      <c r="R171" s="4163"/>
      <c r="S171" s="4163"/>
      <c r="T171" s="4163"/>
      <c r="U171" s="4163"/>
      <c r="V171" s="4163"/>
      <c r="W171" s="4163"/>
      <c r="X171" s="4163"/>
      <c r="Y171" s="4163"/>
      <c r="Z171" s="4163"/>
      <c r="AA171" s="4162"/>
      <c r="AB171" s="4220"/>
      <c r="AC171" s="4175"/>
      <c r="AD171" s="4175"/>
      <c r="AE171" s="4175"/>
      <c r="AF171" s="4175"/>
      <c r="AG171" s="4175"/>
      <c r="AH171" s="4175"/>
      <c r="AI171" s="4175"/>
      <c r="AJ171" s="4175"/>
      <c r="AK171" s="4175"/>
      <c r="AL171" s="4175"/>
      <c r="AM171" s="4162"/>
    </row>
    <row r="172" spans="8:8" ht="21.95" customHeight="1">
      <c r="O172" s="4162"/>
      <c r="P172" s="4166" t="s">
        <v>5449</v>
      </c>
      <c r="Q172" s="4175" t="s">
        <v>5584</v>
      </c>
      <c r="R172" s="4175"/>
      <c r="S172" s="4175"/>
      <c r="T172" s="4175"/>
      <c r="U172" s="4175"/>
      <c r="V172" s="4175"/>
      <c r="W172" s="4175"/>
      <c r="X172" s="4175"/>
      <c r="Y172" s="4175"/>
      <c r="Z172" s="4175"/>
      <c r="AA172" s="4162"/>
      <c r="AB172" s="4220"/>
      <c r="AC172" s="4169" t="s">
        <v>5679</v>
      </c>
      <c r="AD172" s="4169"/>
      <c r="AE172" s="4169"/>
      <c r="AF172" s="4169"/>
      <c r="AG172" s="4169"/>
      <c r="AH172" s="4169"/>
      <c r="AI172" s="4169"/>
      <c r="AJ172" s="4169"/>
      <c r="AK172" s="4169"/>
      <c r="AL172" s="4169"/>
      <c r="AM172" s="4162"/>
    </row>
    <row r="173" spans="8:8" ht="21.95" customHeight="1">
      <c r="O173" s="4162"/>
      <c r="P173" s="4166"/>
      <c r="Q173" s="4175"/>
      <c r="R173" s="4175"/>
      <c r="S173" s="4175"/>
      <c r="T173" s="4175"/>
      <c r="U173" s="4175"/>
      <c r="V173" s="4175"/>
      <c r="W173" s="4175"/>
      <c r="X173" s="4175"/>
      <c r="Y173" s="4175"/>
      <c r="Z173" s="4175"/>
      <c r="AA173" s="4162"/>
      <c r="AB173" s="4220"/>
      <c r="AC173" s="4169" t="s">
        <v>5680</v>
      </c>
      <c r="AD173" s="4169"/>
      <c r="AE173" s="4169"/>
      <c r="AF173" s="4169"/>
      <c r="AG173" s="4169"/>
      <c r="AH173" s="4169"/>
      <c r="AI173" s="4169"/>
      <c r="AJ173" s="4169"/>
      <c r="AK173" s="4169"/>
      <c r="AL173" s="4169"/>
      <c r="AM173" s="4162"/>
    </row>
    <row r="174" spans="8:8" ht="21.95" customHeight="1">
      <c r="O174" s="4162"/>
      <c r="P174" s="4166"/>
      <c r="Q174" s="4175" t="s">
        <v>5586</v>
      </c>
      <c r="R174" s="4175"/>
      <c r="S174" s="4175"/>
      <c r="T174" s="4175"/>
      <c r="U174" s="4175"/>
      <c r="V174" s="4175"/>
      <c r="W174" s="4175"/>
      <c r="X174" s="4175"/>
      <c r="Y174" s="4175"/>
      <c r="Z174" s="4175"/>
      <c r="AA174" s="4162"/>
      <c r="AB174" s="4220"/>
      <c r="AC174" s="4169" t="s">
        <v>5681</v>
      </c>
      <c r="AD174" s="4169"/>
      <c r="AE174" s="4169"/>
      <c r="AF174" s="4169"/>
      <c r="AG174" s="4169"/>
      <c r="AH174" s="4169"/>
      <c r="AI174" s="4169"/>
      <c r="AJ174" s="4169"/>
      <c r="AK174" s="4169"/>
      <c r="AL174" s="4169"/>
      <c r="AM174" s="4162"/>
    </row>
    <row r="175" spans="8:8" ht="21.95" customHeight="1">
      <c r="O175" s="4162"/>
      <c r="P175" s="4166"/>
      <c r="Q175" s="4175"/>
      <c r="R175" s="4175"/>
      <c r="S175" s="4175"/>
      <c r="T175" s="4175"/>
      <c r="U175" s="4175"/>
      <c r="V175" s="4175"/>
      <c r="W175" s="4175"/>
      <c r="X175" s="4175"/>
      <c r="Y175" s="4175"/>
      <c r="Z175" s="4175"/>
      <c r="AA175" s="4162"/>
      <c r="AB175" s="4220"/>
      <c r="AC175" s="4169" t="s">
        <v>5682</v>
      </c>
      <c r="AD175" s="4169"/>
      <c r="AE175" s="4169"/>
      <c r="AF175" s="4169"/>
      <c r="AG175" s="4169"/>
      <c r="AH175" s="4169"/>
      <c r="AI175" s="4169"/>
      <c r="AJ175" s="4169"/>
      <c r="AK175" s="4169"/>
      <c r="AL175" s="4169"/>
      <c r="AM175" s="4162"/>
    </row>
    <row r="176" spans="8:8" ht="21.95" customHeight="1">
      <c r="O176" s="4162"/>
      <c r="P176" s="4166"/>
      <c r="Q176" s="4175"/>
      <c r="R176" s="4175"/>
      <c r="S176" s="4175"/>
      <c r="T176" s="4175"/>
      <c r="U176" s="4175"/>
      <c r="V176" s="4175"/>
      <c r="W176" s="4175"/>
      <c r="X176" s="4175"/>
      <c r="Y176" s="4175"/>
      <c r="Z176" s="4175"/>
      <c r="AA176" s="4162"/>
      <c r="AB176" s="4220"/>
      <c r="AC176" s="4175" t="s">
        <v>5683</v>
      </c>
      <c r="AD176" s="4175"/>
      <c r="AE176" s="4175"/>
      <c r="AF176" s="4175"/>
      <c r="AG176" s="4175"/>
      <c r="AH176" s="4175"/>
      <c r="AI176" s="4175"/>
      <c r="AJ176" s="4175"/>
      <c r="AK176" s="4175"/>
      <c r="AL176" s="4175"/>
      <c r="AM176" s="4162"/>
    </row>
    <row r="177" spans="8:8" ht="21.95" customHeight="1">
      <c r="O177" s="4162"/>
      <c r="P177" s="4166" t="s">
        <v>5558</v>
      </c>
      <c r="Q177" s="4226" t="s">
        <v>5589</v>
      </c>
      <c r="R177" s="4226"/>
      <c r="S177" s="4226"/>
      <c r="T177" s="4226"/>
      <c r="U177" s="4226"/>
      <c r="V177" s="4226"/>
      <c r="W177" s="4226"/>
      <c r="X177" s="4226"/>
      <c r="Y177" s="4226"/>
      <c r="Z177" s="4226"/>
      <c r="AA177" s="4162"/>
      <c r="AB177" s="4220"/>
      <c r="AC177" s="4175"/>
      <c r="AD177" s="4175"/>
      <c r="AE177" s="4175"/>
      <c r="AF177" s="4175"/>
      <c r="AG177" s="4175"/>
      <c r="AH177" s="4175"/>
      <c r="AI177" s="4175"/>
      <c r="AJ177" s="4175"/>
      <c r="AK177" s="4175"/>
      <c r="AL177" s="4175"/>
      <c r="AM177" s="4162"/>
    </row>
    <row r="178" spans="8:8" ht="21.95" customHeight="1">
      <c r="O178" s="4162"/>
      <c r="P178" s="4166"/>
      <c r="Q178" s="4226"/>
      <c r="R178" s="4226"/>
      <c r="S178" s="4226"/>
      <c r="T178" s="4226"/>
      <c r="U178" s="4226"/>
      <c r="V178" s="4226"/>
      <c r="W178" s="4226"/>
      <c r="X178" s="4226"/>
      <c r="Y178" s="4226"/>
      <c r="Z178" s="4226"/>
      <c r="AA178" s="4162"/>
      <c r="AB178" s="4220"/>
      <c r="AC178" s="4175"/>
      <c r="AD178" s="4175"/>
      <c r="AE178" s="4175"/>
      <c r="AF178" s="4175"/>
      <c r="AG178" s="4175"/>
      <c r="AH178" s="4175"/>
      <c r="AI178" s="4175"/>
      <c r="AJ178" s="4175"/>
      <c r="AK178" s="4175"/>
      <c r="AL178" s="4175"/>
      <c r="AM178" s="4162"/>
    </row>
    <row r="179" spans="8:8" ht="21.95" customHeight="1">
      <c r="O179" s="4162"/>
      <c r="P179" s="4166"/>
      <c r="Q179" s="4221" t="s">
        <v>5592</v>
      </c>
      <c r="R179" s="4221"/>
      <c r="S179" s="4221"/>
      <c r="T179" s="4221"/>
      <c r="U179" s="4221"/>
      <c r="V179" s="4221"/>
      <c r="W179" s="4221"/>
      <c r="X179" s="4221"/>
      <c r="Y179" s="4221"/>
      <c r="Z179" s="4221"/>
      <c r="AA179" s="4162"/>
      <c r="AB179" s="4206" t="s">
        <v>5489</v>
      </c>
      <c r="AC179" s="4169" t="s">
        <v>5684</v>
      </c>
      <c r="AD179" s="4169"/>
      <c r="AE179" s="4169"/>
      <c r="AF179" s="4169"/>
      <c r="AG179" s="4169"/>
      <c r="AH179" s="4169"/>
      <c r="AI179" s="4169"/>
      <c r="AJ179" s="4169"/>
      <c r="AK179" s="4169"/>
      <c r="AL179" s="4169"/>
      <c r="AM179" s="4162"/>
    </row>
    <row r="180" spans="8:8" ht="21.95" customHeight="1">
      <c r="O180" s="4162"/>
      <c r="P180" s="4166"/>
      <c r="Q180" s="4221"/>
      <c r="R180" s="4221"/>
      <c r="S180" s="4221"/>
      <c r="T180" s="4221"/>
      <c r="U180" s="4221"/>
      <c r="V180" s="4221"/>
      <c r="W180" s="4221"/>
      <c r="X180" s="4221"/>
      <c r="Y180" s="4221"/>
      <c r="Z180" s="4221"/>
      <c r="AA180" s="4162"/>
      <c r="AB180" s="4227" t="s">
        <v>5685</v>
      </c>
      <c r="AC180" s="4169" t="s">
        <v>5686</v>
      </c>
      <c r="AD180" s="4169"/>
      <c r="AE180" s="4169"/>
      <c r="AF180" s="4169"/>
      <c r="AG180" s="4169"/>
      <c r="AH180" s="4169"/>
      <c r="AI180" s="4169"/>
      <c r="AJ180" s="4169"/>
      <c r="AK180" s="4169"/>
      <c r="AL180" s="4169"/>
      <c r="AM180" s="4162"/>
    </row>
    <row r="181" spans="8:8" ht="21.95" customHeight="1">
      <c r="O181" s="4162"/>
      <c r="P181" s="4170" t="s">
        <v>104</v>
      </c>
      <c r="Q181" s="4183" t="s">
        <v>5594</v>
      </c>
      <c r="R181" s="4183"/>
      <c r="S181" s="4183"/>
      <c r="T181" s="4183"/>
      <c r="U181" s="4183"/>
      <c r="V181" s="4183"/>
      <c r="W181" s="4183"/>
      <c r="X181" s="4183"/>
      <c r="Y181" s="4183"/>
      <c r="Z181" s="4183"/>
      <c r="AA181" s="4162"/>
      <c r="AB181" s="4227"/>
      <c r="AC181" s="4169" t="s">
        <v>5687</v>
      </c>
      <c r="AD181" s="4169"/>
      <c r="AE181" s="4169"/>
      <c r="AF181" s="4169"/>
      <c r="AG181" s="4169"/>
      <c r="AH181" s="4169"/>
      <c r="AI181" s="4169"/>
      <c r="AJ181" s="4169"/>
      <c r="AK181" s="4169"/>
      <c r="AL181" s="4169"/>
      <c r="AM181" s="4162"/>
    </row>
    <row r="182" spans="8:8" ht="21.95" customHeight="1">
      <c r="O182" s="4162"/>
      <c r="P182" s="4170"/>
      <c r="Q182" s="4183"/>
      <c r="R182" s="4183"/>
      <c r="S182" s="4183"/>
      <c r="T182" s="4183"/>
      <c r="U182" s="4183"/>
      <c r="V182" s="4183"/>
      <c r="W182" s="4183"/>
      <c r="X182" s="4183"/>
      <c r="Y182" s="4183"/>
      <c r="Z182" s="4183"/>
      <c r="AA182" s="4162"/>
      <c r="AB182" s="4227"/>
      <c r="AC182" s="4169" t="s">
        <v>5688</v>
      </c>
      <c r="AD182" s="4169"/>
      <c r="AE182" s="4169"/>
      <c r="AF182" s="4169"/>
      <c r="AG182" s="4169"/>
      <c r="AH182" s="4169"/>
      <c r="AI182" s="4169"/>
      <c r="AJ182" s="4169"/>
      <c r="AK182" s="4169"/>
      <c r="AL182" s="4169"/>
      <c r="AM182" s="4162"/>
    </row>
    <row r="183" spans="8:8" ht="21.95" customHeight="1">
      <c r="O183" s="4162"/>
      <c r="P183" s="4170"/>
      <c r="Q183" s="4183"/>
      <c r="R183" s="4183"/>
      <c r="S183" s="4183"/>
      <c r="T183" s="4183"/>
      <c r="U183" s="4183"/>
      <c r="V183" s="4183"/>
      <c r="W183" s="4183"/>
      <c r="X183" s="4183"/>
      <c r="Y183" s="4183"/>
      <c r="Z183" s="4183"/>
      <c r="AA183" s="4162"/>
      <c r="AB183" s="4227"/>
      <c r="AC183" s="4169" t="s">
        <v>5689</v>
      </c>
      <c r="AD183" s="4169"/>
      <c r="AE183" s="4169"/>
      <c r="AF183" s="4169"/>
      <c r="AG183" s="4169"/>
      <c r="AH183" s="4169"/>
      <c r="AI183" s="4169"/>
      <c r="AJ183" s="4169"/>
      <c r="AK183" s="4169"/>
      <c r="AL183" s="4169"/>
      <c r="AM183" s="4162"/>
    </row>
    <row r="184" spans="8:8" ht="21.95" customHeight="1">
      <c r="O184" s="4162"/>
      <c r="P184" s="4170"/>
      <c r="Q184" s="4183"/>
      <c r="R184" s="4183"/>
      <c r="S184" s="4183"/>
      <c r="T184" s="4183"/>
      <c r="U184" s="4183"/>
      <c r="V184" s="4183"/>
      <c r="W184" s="4183"/>
      <c r="X184" s="4183"/>
      <c r="Y184" s="4183"/>
      <c r="Z184" s="4183"/>
      <c r="AA184" s="4162"/>
      <c r="AB184" s="4227"/>
      <c r="AC184" s="4228" t="s">
        <v>5690</v>
      </c>
      <c r="AD184" s="4228"/>
      <c r="AE184" s="4228"/>
      <c r="AF184" s="4228"/>
      <c r="AG184" s="4228"/>
      <c r="AH184" s="4228"/>
      <c r="AI184" s="4228"/>
      <c r="AJ184" s="4228"/>
      <c r="AK184" s="4228"/>
      <c r="AL184" s="4228"/>
      <c r="AM184" s="4162"/>
    </row>
    <row r="185" spans="8:8" ht="21.95" customHeight="1">
      <c r="O185" s="4162"/>
      <c r="P185" s="4170"/>
      <c r="Q185" s="4183"/>
      <c r="R185" s="4183"/>
      <c r="S185" s="4183"/>
      <c r="T185" s="4183"/>
      <c r="U185" s="4183"/>
      <c r="V185" s="4183"/>
      <c r="W185" s="4183"/>
      <c r="X185" s="4183"/>
      <c r="Y185" s="4183"/>
      <c r="Z185" s="4183"/>
      <c r="AA185" s="4162"/>
      <c r="AB185" s="4163" t="s">
        <v>5691</v>
      </c>
      <c r="AC185" s="4163"/>
      <c r="AD185" s="4163"/>
      <c r="AE185" s="4163"/>
      <c r="AF185" s="4163"/>
      <c r="AG185" s="4163"/>
      <c r="AH185" s="4163"/>
      <c r="AI185" s="4163"/>
      <c r="AJ185" s="4163"/>
      <c r="AK185" s="4163"/>
      <c r="AL185" s="4163"/>
      <c r="AM185" s="4162"/>
    </row>
    <row r="186" spans="8:8" ht="21.95" customHeight="1">
      <c r="O186" s="4162"/>
      <c r="P186" s="4224" t="s">
        <v>5601</v>
      </c>
      <c r="Q186" s="4224"/>
      <c r="R186" s="4224"/>
      <c r="S186" s="4224"/>
      <c r="T186" s="4224"/>
      <c r="U186" s="4224"/>
      <c r="V186" s="4224"/>
      <c r="W186" s="4224"/>
      <c r="X186" s="4224"/>
      <c r="Y186" s="4224"/>
      <c r="Z186" s="4224"/>
      <c r="AA186" s="4162"/>
      <c r="AB186" s="4220" t="s">
        <v>5449</v>
      </c>
      <c r="AC186" s="4169" t="s">
        <v>5692</v>
      </c>
      <c r="AD186" s="4169"/>
      <c r="AE186" s="4169"/>
      <c r="AF186" s="4169"/>
      <c r="AG186" s="4169"/>
      <c r="AH186" s="4169"/>
      <c r="AI186" s="4169"/>
      <c r="AJ186" s="4169"/>
      <c r="AK186" s="4169"/>
      <c r="AL186" s="4169"/>
      <c r="AM186" s="4162"/>
    </row>
    <row r="187" spans="8:8" ht="21.95" customHeight="1">
      <c r="O187" s="4162"/>
      <c r="P187" s="4166" t="s">
        <v>5449</v>
      </c>
      <c r="Q187" s="4169" t="s">
        <v>5603</v>
      </c>
      <c r="R187" s="4169"/>
      <c r="S187" s="4169"/>
      <c r="T187" s="4169"/>
      <c r="U187" s="4169"/>
      <c r="V187" s="4169"/>
      <c r="W187" s="4169"/>
      <c r="X187" s="4169"/>
      <c r="Y187" s="4169"/>
      <c r="Z187" s="4169"/>
      <c r="AA187" s="4162"/>
      <c r="AB187" s="4220"/>
      <c r="AC187" s="4184" t="s">
        <v>5693</v>
      </c>
      <c r="AD187" s="4203"/>
      <c r="AE187" s="4203"/>
      <c r="AF187" s="4203"/>
      <c r="AG187" s="4203"/>
      <c r="AH187" s="4203"/>
      <c r="AI187" s="4203"/>
      <c r="AJ187" s="4203"/>
      <c r="AK187" s="4203"/>
      <c r="AL187" s="4203"/>
      <c r="AM187" s="4162"/>
    </row>
    <row r="188" spans="8:8" ht="21.95" customHeight="1">
      <c r="O188" s="4162"/>
      <c r="P188" s="4166"/>
      <c r="Q188" s="4169"/>
      <c r="R188" s="4169"/>
      <c r="S188" s="4169"/>
      <c r="T188" s="4169"/>
      <c r="U188" s="4169"/>
      <c r="V188" s="4169"/>
      <c r="W188" s="4169"/>
      <c r="X188" s="4169"/>
      <c r="Y188" s="4169"/>
      <c r="Z188" s="4169"/>
      <c r="AA188" s="4162"/>
      <c r="AB188" s="4220"/>
      <c r="AC188" s="4203"/>
      <c r="AD188" s="4203"/>
      <c r="AE188" s="4203"/>
      <c r="AF188" s="4203"/>
      <c r="AG188" s="4203"/>
      <c r="AH188" s="4203"/>
      <c r="AI188" s="4203"/>
      <c r="AJ188" s="4203"/>
      <c r="AK188" s="4203"/>
      <c r="AL188" s="4203"/>
      <c r="AM188" s="4162"/>
    </row>
    <row r="189" spans="8:8" ht="21.95" customHeight="1">
      <c r="O189" s="4162"/>
      <c r="P189" s="4166"/>
      <c r="Q189" s="4229" t="s">
        <v>5606</v>
      </c>
      <c r="R189" s="4229"/>
      <c r="S189" s="4229"/>
      <c r="T189" s="4229"/>
      <c r="U189" s="4229"/>
      <c r="V189" s="4229"/>
      <c r="W189" s="4229"/>
      <c r="X189" s="4229"/>
      <c r="Y189" s="4229"/>
      <c r="Z189" s="4229"/>
      <c r="AA189" s="4162"/>
      <c r="AB189" s="4220"/>
      <c r="AC189" s="4169" t="s">
        <v>5694</v>
      </c>
      <c r="AD189" s="4169"/>
      <c r="AE189" s="4169"/>
      <c r="AF189" s="4169"/>
      <c r="AG189" s="4169"/>
      <c r="AH189" s="4169"/>
      <c r="AI189" s="4169"/>
      <c r="AJ189" s="4169"/>
      <c r="AK189" s="4169"/>
      <c r="AL189" s="4169"/>
      <c r="AM189" s="4162"/>
    </row>
    <row r="190" spans="8:8" ht="21.95" customHeight="1">
      <c r="O190" s="4162"/>
      <c r="P190" s="4166"/>
      <c r="Q190" s="4229"/>
      <c r="R190" s="4229"/>
      <c r="S190" s="4229"/>
      <c r="T190" s="4229"/>
      <c r="U190" s="4229"/>
      <c r="V190" s="4229"/>
      <c r="W190" s="4229"/>
      <c r="X190" s="4229"/>
      <c r="Y190" s="4229"/>
      <c r="Z190" s="4229"/>
      <c r="AA190" s="4162"/>
      <c r="AB190" s="4220"/>
      <c r="AC190" s="4169" t="s">
        <v>5695</v>
      </c>
      <c r="AD190" s="4169"/>
      <c r="AE190" s="4169"/>
      <c r="AF190" s="4169"/>
      <c r="AG190" s="4169"/>
      <c r="AH190" s="4169"/>
      <c r="AI190" s="4169"/>
      <c r="AJ190" s="4169"/>
      <c r="AK190" s="4169"/>
      <c r="AL190" s="4169"/>
      <c r="AM190" s="4162"/>
    </row>
    <row r="191" spans="8:8" ht="21.95" customHeight="1">
      <c r="O191" s="4162"/>
      <c r="P191" s="4166"/>
      <c r="Q191" s="4229" t="s">
        <v>5609</v>
      </c>
      <c r="R191" s="4229"/>
      <c r="S191" s="4229"/>
      <c r="T191" s="4229"/>
      <c r="U191" s="4229"/>
      <c r="V191" s="4229"/>
      <c r="W191" s="4229"/>
      <c r="X191" s="4229"/>
      <c r="Y191" s="4229"/>
      <c r="Z191" s="4229"/>
      <c r="AA191" s="4162"/>
      <c r="AB191" s="4220"/>
      <c r="AC191" s="4169" t="s">
        <v>5545</v>
      </c>
      <c r="AD191" s="4169"/>
      <c r="AE191" s="4169"/>
      <c r="AF191" s="4169"/>
      <c r="AG191" s="4169"/>
      <c r="AH191" s="4169"/>
      <c r="AI191" s="4169"/>
      <c r="AJ191" s="4169"/>
      <c r="AK191" s="4169"/>
      <c r="AL191" s="4169"/>
      <c r="AM191" s="4162"/>
    </row>
    <row r="192" spans="8:8" ht="21.95" customHeight="1">
      <c r="O192" s="4162"/>
      <c r="P192" s="4166"/>
      <c r="Q192" s="4229"/>
      <c r="R192" s="4229"/>
      <c r="S192" s="4229"/>
      <c r="T192" s="4229"/>
      <c r="U192" s="4229"/>
      <c r="V192" s="4229"/>
      <c r="W192" s="4229"/>
      <c r="X192" s="4229"/>
      <c r="Y192" s="4229"/>
      <c r="Z192" s="4229"/>
      <c r="AA192" s="4162"/>
      <c r="AB192" s="4177" t="s">
        <v>5464</v>
      </c>
      <c r="AC192" s="4169" t="s">
        <v>5696</v>
      </c>
      <c r="AD192" s="4169"/>
      <c r="AE192" s="4169"/>
      <c r="AF192" s="4169"/>
      <c r="AG192" s="4169"/>
      <c r="AH192" s="4169"/>
      <c r="AI192" s="4169"/>
      <c r="AJ192" s="4169"/>
      <c r="AK192" s="4169"/>
      <c r="AL192" s="4169"/>
      <c r="AM192" s="4162"/>
    </row>
    <row r="193" spans="8:8" ht="21.95" customHeight="1">
      <c r="O193" s="4162"/>
      <c r="P193" s="4166" t="s">
        <v>5467</v>
      </c>
      <c r="Q193" s="4229" t="s">
        <v>5612</v>
      </c>
      <c r="R193" s="4229"/>
      <c r="S193" s="4229"/>
      <c r="T193" s="4229"/>
      <c r="U193" s="4229"/>
      <c r="V193" s="4229"/>
      <c r="W193" s="4229"/>
      <c r="X193" s="4229"/>
      <c r="Y193" s="4229"/>
      <c r="Z193" s="4229"/>
      <c r="AA193" s="4162"/>
      <c r="AB193" s="4225" t="s">
        <v>5467</v>
      </c>
      <c r="AC193" s="4169" t="s">
        <v>5697</v>
      </c>
      <c r="AD193" s="4169"/>
      <c r="AE193" s="4169"/>
      <c r="AF193" s="4169"/>
      <c r="AG193" s="4169"/>
      <c r="AH193" s="4169"/>
      <c r="AI193" s="4169"/>
      <c r="AJ193" s="4169"/>
      <c r="AK193" s="4169"/>
      <c r="AL193" s="4169"/>
      <c r="AM193" s="4162"/>
    </row>
    <row r="194" spans="8:8" ht="21.95" customHeight="1">
      <c r="O194" s="4162"/>
      <c r="P194" s="4166"/>
      <c r="Q194" s="4229"/>
      <c r="R194" s="4229"/>
      <c r="S194" s="4229"/>
      <c r="T194" s="4229"/>
      <c r="U194" s="4229"/>
      <c r="V194" s="4229"/>
      <c r="W194" s="4229"/>
      <c r="X194" s="4229"/>
      <c r="Y194" s="4229"/>
      <c r="Z194" s="4229"/>
      <c r="AA194" s="4162"/>
      <c r="AB194" s="4230" t="s">
        <v>5698</v>
      </c>
      <c r="AC194" s="4169" t="s">
        <v>5699</v>
      </c>
      <c r="AD194" s="4169"/>
      <c r="AE194" s="4169"/>
      <c r="AF194" s="4169"/>
      <c r="AG194" s="4169"/>
      <c r="AH194" s="4169"/>
      <c r="AI194" s="4169"/>
      <c r="AJ194" s="4169"/>
      <c r="AK194" s="4169"/>
      <c r="AL194" s="4169"/>
      <c r="AM194" s="4162"/>
    </row>
    <row r="195" spans="8:8" ht="21.95" customHeight="1">
      <c r="O195" s="4162"/>
      <c r="P195" s="4166"/>
      <c r="Q195" s="4231" t="s">
        <v>5615</v>
      </c>
      <c r="R195" s="4231"/>
      <c r="S195" s="4231"/>
      <c r="T195" s="4231"/>
      <c r="U195" s="4231"/>
      <c r="V195" s="4231"/>
      <c r="W195" s="4231"/>
      <c r="X195" s="4231"/>
      <c r="Y195" s="4231"/>
      <c r="Z195" s="4231"/>
      <c r="AA195" s="4162"/>
      <c r="AB195" s="4232" t="s">
        <v>5471</v>
      </c>
      <c r="AC195" s="4169" t="s">
        <v>5699</v>
      </c>
      <c r="AD195" s="4169"/>
      <c r="AE195" s="4169"/>
      <c r="AF195" s="4169"/>
      <c r="AG195" s="4169"/>
      <c r="AH195" s="4169"/>
      <c r="AI195" s="4169"/>
      <c r="AJ195" s="4169"/>
      <c r="AK195" s="4169"/>
      <c r="AL195" s="4169"/>
      <c r="AM195" s="4162"/>
    </row>
    <row r="196" spans="8:8" ht="21.95" customHeight="1">
      <c r="O196" s="4162"/>
      <c r="P196" s="4166"/>
      <c r="Q196" s="4231"/>
      <c r="R196" s="4231"/>
      <c r="S196" s="4231"/>
      <c r="T196" s="4231"/>
      <c r="U196" s="4231"/>
      <c r="V196" s="4231"/>
      <c r="W196" s="4231"/>
      <c r="X196" s="4231"/>
      <c r="Y196" s="4231"/>
      <c r="Z196" s="4231"/>
      <c r="AA196" s="4162"/>
      <c r="AB196" s="4232"/>
      <c r="AC196" s="4169" t="s">
        <v>5700</v>
      </c>
      <c r="AD196" s="4169"/>
      <c r="AE196" s="4169"/>
      <c r="AF196" s="4169"/>
      <c r="AG196" s="4169"/>
      <c r="AH196" s="4169"/>
      <c r="AI196" s="4169"/>
      <c r="AJ196" s="4169"/>
      <c r="AK196" s="4169"/>
      <c r="AL196" s="4169"/>
      <c r="AM196" s="4162"/>
    </row>
    <row r="197" spans="8:8" ht="21.95" customHeight="1">
      <c r="O197" s="4162"/>
      <c r="P197" s="4170" t="s">
        <v>104</v>
      </c>
      <c r="Q197" s="4183" t="s">
        <v>5617</v>
      </c>
      <c r="R197" s="4183"/>
      <c r="S197" s="4183"/>
      <c r="T197" s="4183"/>
      <c r="U197" s="4183"/>
      <c r="V197" s="4183"/>
      <c r="W197" s="4183"/>
      <c r="X197" s="4183"/>
      <c r="Y197" s="4183"/>
      <c r="Z197" s="4183"/>
      <c r="AA197" s="4162"/>
      <c r="AB197" s="4163" t="s">
        <v>5701</v>
      </c>
      <c r="AC197" s="4163"/>
      <c r="AD197" s="4163"/>
      <c r="AE197" s="4163"/>
      <c r="AF197" s="4163"/>
      <c r="AG197" s="4163"/>
      <c r="AH197" s="4163"/>
      <c r="AI197" s="4163"/>
      <c r="AJ197" s="4163"/>
      <c r="AK197" s="4163"/>
      <c r="AL197" s="4163"/>
      <c r="AM197" s="4162"/>
    </row>
    <row r="198" spans="8:8" ht="21.95" customHeight="1">
      <c r="O198" s="4162"/>
      <c r="P198" s="4170"/>
      <c r="Q198" s="4183"/>
      <c r="R198" s="4183"/>
      <c r="S198" s="4183"/>
      <c r="T198" s="4183"/>
      <c r="U198" s="4183"/>
      <c r="V198" s="4183"/>
      <c r="W198" s="4183"/>
      <c r="X198" s="4183"/>
      <c r="Y198" s="4183"/>
      <c r="Z198" s="4183"/>
      <c r="AA198" s="4162"/>
      <c r="AB198" s="4233" t="s">
        <v>5449</v>
      </c>
      <c r="AC198" s="4169" t="s">
        <v>5702</v>
      </c>
      <c r="AD198" s="4169"/>
      <c r="AE198" s="4169"/>
      <c r="AF198" s="4169"/>
      <c r="AG198" s="4169"/>
      <c r="AH198" s="4169"/>
      <c r="AI198" s="4169"/>
      <c r="AJ198" s="4169"/>
      <c r="AK198" s="4169"/>
      <c r="AL198" s="4169"/>
      <c r="AM198" s="4162"/>
    </row>
    <row r="199" spans="8:8" ht="21.95" customHeight="1">
      <c r="O199" s="4162"/>
      <c r="P199" s="4170"/>
      <c r="Q199" s="4183"/>
      <c r="R199" s="4183"/>
      <c r="S199" s="4183"/>
      <c r="T199" s="4183"/>
      <c r="U199" s="4183"/>
      <c r="V199" s="4183"/>
      <c r="W199" s="4183"/>
      <c r="X199" s="4183"/>
      <c r="Y199" s="4183"/>
      <c r="Z199" s="4183"/>
      <c r="AA199" s="4162"/>
      <c r="AB199" s="4233"/>
      <c r="AC199" s="4169" t="s">
        <v>5703</v>
      </c>
      <c r="AD199" s="4169"/>
      <c r="AE199" s="4169"/>
      <c r="AF199" s="4169"/>
      <c r="AG199" s="4169"/>
      <c r="AH199" s="4169"/>
      <c r="AI199" s="4169"/>
      <c r="AJ199" s="4169"/>
      <c r="AK199" s="4169"/>
      <c r="AL199" s="4169"/>
      <c r="AM199" s="4162"/>
    </row>
    <row r="200" spans="8:8" ht="21.95" customHeight="1">
      <c r="O200" s="4162"/>
      <c r="P200" s="4163" t="s">
        <v>5622</v>
      </c>
      <c r="Q200" s="4163"/>
      <c r="R200" s="4163"/>
      <c r="S200" s="4163"/>
      <c r="T200" s="4163"/>
      <c r="U200" s="4163"/>
      <c r="V200" s="4163"/>
      <c r="W200" s="4163"/>
      <c r="X200" s="4163"/>
      <c r="Y200" s="4163"/>
      <c r="Z200" s="4163"/>
      <c r="AA200" s="4162"/>
      <c r="AB200" s="4233"/>
      <c r="AC200" s="4169" t="s">
        <v>5704</v>
      </c>
      <c r="AD200" s="4169"/>
      <c r="AE200" s="4169"/>
      <c r="AF200" s="4169"/>
      <c r="AG200" s="4169"/>
      <c r="AH200" s="4169"/>
      <c r="AI200" s="4169"/>
      <c r="AJ200" s="4169"/>
      <c r="AK200" s="4169"/>
      <c r="AL200" s="4169"/>
      <c r="AM200" s="4162"/>
    </row>
    <row r="201" spans="8:8" ht="21.95" customHeight="1">
      <c r="O201" s="4162"/>
      <c r="P201" s="4166" t="s">
        <v>5449</v>
      </c>
      <c r="Q201" s="4175" t="s">
        <v>5624</v>
      </c>
      <c r="R201" s="4169"/>
      <c r="S201" s="4169"/>
      <c r="T201" s="4169"/>
      <c r="U201" s="4169"/>
      <c r="V201" s="4169"/>
      <c r="W201" s="4169"/>
      <c r="X201" s="4169"/>
      <c r="Y201" s="4169"/>
      <c r="Z201" s="4169"/>
      <c r="AA201" s="4162"/>
      <c r="AB201" s="4233"/>
      <c r="AC201" s="4175" t="s">
        <v>5705</v>
      </c>
      <c r="AD201" s="4169"/>
      <c r="AE201" s="4169"/>
      <c r="AF201" s="4169"/>
      <c r="AG201" s="4169"/>
      <c r="AH201" s="4169"/>
      <c r="AI201" s="4169"/>
      <c r="AJ201" s="4169"/>
      <c r="AK201" s="4169"/>
      <c r="AL201" s="4169"/>
      <c r="AM201" s="4162"/>
    </row>
    <row r="202" spans="8:8" ht="21.95" customHeight="1">
      <c r="O202" s="4162"/>
      <c r="P202" s="4166"/>
      <c r="Q202" s="4169"/>
      <c r="R202" s="4169"/>
      <c r="S202" s="4169"/>
      <c r="T202" s="4169"/>
      <c r="U202" s="4169"/>
      <c r="V202" s="4169"/>
      <c r="W202" s="4169"/>
      <c r="X202" s="4169"/>
      <c r="Y202" s="4169"/>
      <c r="Z202" s="4169"/>
      <c r="AA202" s="4162"/>
      <c r="AB202" s="4233"/>
      <c r="AC202" s="4169"/>
      <c r="AD202" s="4169"/>
      <c r="AE202" s="4169"/>
      <c r="AF202" s="4169"/>
      <c r="AG202" s="4169"/>
      <c r="AH202" s="4169"/>
      <c r="AI202" s="4169"/>
      <c r="AJ202" s="4169"/>
      <c r="AK202" s="4169"/>
      <c r="AL202" s="4169"/>
      <c r="AM202" s="4162"/>
    </row>
    <row r="203" spans="8:8" ht="21.95" customHeight="1">
      <c r="O203" s="4162"/>
      <c r="P203" s="4166"/>
      <c r="Q203" s="4169"/>
      <c r="R203" s="4169"/>
      <c r="S203" s="4169"/>
      <c r="T203" s="4169"/>
      <c r="U203" s="4169"/>
      <c r="V203" s="4169"/>
      <c r="W203" s="4169"/>
      <c r="X203" s="4169"/>
      <c r="Y203" s="4169"/>
      <c r="Z203" s="4169"/>
      <c r="AA203" s="4162"/>
      <c r="AB203" s="4233"/>
      <c r="AC203" s="4169" t="s">
        <v>5706</v>
      </c>
      <c r="AD203" s="4169"/>
      <c r="AE203" s="4169"/>
      <c r="AF203" s="4169"/>
      <c r="AG203" s="4169"/>
      <c r="AH203" s="4169"/>
      <c r="AI203" s="4169"/>
      <c r="AJ203" s="4169"/>
      <c r="AK203" s="4169"/>
      <c r="AL203" s="4169"/>
      <c r="AM203" s="4162"/>
    </row>
    <row r="204" spans="8:8" ht="21.95" customHeight="1">
      <c r="O204" s="4162"/>
      <c r="P204" s="4234" t="s">
        <v>5467</v>
      </c>
      <c r="Q204" s="4231" t="s">
        <v>5628</v>
      </c>
      <c r="R204" s="4235"/>
      <c r="S204" s="4235"/>
      <c r="T204" s="4235"/>
      <c r="U204" s="4235"/>
      <c r="V204" s="4235"/>
      <c r="W204" s="4235"/>
      <c r="X204" s="4235"/>
      <c r="Y204" s="4235"/>
      <c r="Z204" s="4235"/>
      <c r="AA204" s="4162"/>
      <c r="AB204" s="4166" t="s">
        <v>5489</v>
      </c>
      <c r="AC204" s="4169" t="s">
        <v>5707</v>
      </c>
      <c r="AD204" s="4169"/>
      <c r="AE204" s="4169"/>
      <c r="AF204" s="4169"/>
      <c r="AG204" s="4169"/>
      <c r="AH204" s="4169"/>
      <c r="AI204" s="4169"/>
      <c r="AJ204" s="4169"/>
      <c r="AK204" s="4169"/>
      <c r="AL204" s="4169"/>
      <c r="AM204" s="4162"/>
    </row>
    <row r="205" spans="8:8" ht="21.95" customHeight="1">
      <c r="O205" s="4162"/>
      <c r="P205" s="4234"/>
      <c r="Q205" s="4235"/>
      <c r="R205" s="4235"/>
      <c r="S205" s="4235"/>
      <c r="T205" s="4235"/>
      <c r="U205" s="4235"/>
      <c r="V205" s="4235"/>
      <c r="W205" s="4235"/>
      <c r="X205" s="4235"/>
      <c r="Y205" s="4235"/>
      <c r="Z205" s="4235"/>
      <c r="AA205" s="4162"/>
      <c r="AB205" s="4166"/>
      <c r="AC205" s="4184" t="s">
        <v>5708</v>
      </c>
      <c r="AD205" s="4203"/>
      <c r="AE205" s="4203"/>
      <c r="AF205" s="4203"/>
      <c r="AG205" s="4203"/>
      <c r="AH205" s="4203"/>
      <c r="AI205" s="4203"/>
      <c r="AJ205" s="4203"/>
      <c r="AK205" s="4203"/>
      <c r="AL205" s="4203"/>
      <c r="AM205" s="4162"/>
    </row>
    <row r="206" spans="8:8" ht="21.95" customHeight="1">
      <c r="O206" s="4162"/>
      <c r="P206" s="4170" t="s">
        <v>104</v>
      </c>
      <c r="Q206" s="4183" t="s">
        <v>5631</v>
      </c>
      <c r="R206" s="4183"/>
      <c r="S206" s="4183"/>
      <c r="T206" s="4183"/>
      <c r="U206" s="4183"/>
      <c r="V206" s="4183"/>
      <c r="W206" s="4183"/>
      <c r="X206" s="4183"/>
      <c r="Y206" s="4183"/>
      <c r="Z206" s="4183"/>
      <c r="AA206" s="4162"/>
      <c r="AB206" s="4166"/>
      <c r="AC206" s="4203"/>
      <c r="AD206" s="4203"/>
      <c r="AE206" s="4203"/>
      <c r="AF206" s="4203"/>
      <c r="AG206" s="4203"/>
      <c r="AH206" s="4203"/>
      <c r="AI206" s="4203"/>
      <c r="AJ206" s="4203"/>
      <c r="AK206" s="4203"/>
      <c r="AL206" s="4203"/>
      <c r="AM206" s="4162"/>
    </row>
    <row r="207" spans="8:8" ht="21.95" customHeight="1">
      <c r="O207" s="4162"/>
      <c r="P207" s="4170"/>
      <c r="Q207" s="4183"/>
      <c r="R207" s="4183"/>
      <c r="S207" s="4183"/>
      <c r="T207" s="4183"/>
      <c r="U207" s="4183"/>
      <c r="V207" s="4183"/>
      <c r="W207" s="4183"/>
      <c r="X207" s="4183"/>
      <c r="Y207" s="4183"/>
      <c r="Z207" s="4183"/>
      <c r="AA207" s="4162"/>
      <c r="AB207" s="4166"/>
      <c r="AC207" s="4203"/>
      <c r="AD207" s="4203"/>
      <c r="AE207" s="4203"/>
      <c r="AF207" s="4203"/>
      <c r="AG207" s="4203"/>
      <c r="AH207" s="4203"/>
      <c r="AI207" s="4203"/>
      <c r="AJ207" s="4203"/>
      <c r="AK207" s="4203"/>
      <c r="AL207" s="4203"/>
      <c r="AM207" s="4162"/>
    </row>
    <row r="208" spans="8:8" ht="21.95" customHeight="1">
      <c r="O208" s="4162"/>
      <c r="P208" s="4170"/>
      <c r="Q208" s="4183"/>
      <c r="R208" s="4183"/>
      <c r="S208" s="4183"/>
      <c r="T208" s="4183"/>
      <c r="U208" s="4183"/>
      <c r="V208" s="4183"/>
      <c r="W208" s="4183"/>
      <c r="X208" s="4183"/>
      <c r="Y208" s="4183"/>
      <c r="Z208" s="4183"/>
      <c r="AA208" s="4162"/>
      <c r="AB208" s="4166"/>
      <c r="AC208" s="4169" t="s">
        <v>5709</v>
      </c>
      <c r="AD208" s="4169"/>
      <c r="AE208" s="4169"/>
      <c r="AF208" s="4169"/>
      <c r="AG208" s="4169"/>
      <c r="AH208" s="4169"/>
      <c r="AI208" s="4169"/>
      <c r="AJ208" s="4169"/>
      <c r="AK208" s="4169"/>
      <c r="AL208" s="4169"/>
      <c r="AM208" s="4162"/>
    </row>
    <row r="209" spans="8:8" ht="21.95" customHeight="1">
      <c r="O209" s="4162"/>
      <c r="P209" s="4170"/>
      <c r="Q209" s="4183"/>
      <c r="R209" s="4183"/>
      <c r="S209" s="4183"/>
      <c r="T209" s="4183"/>
      <c r="U209" s="4183"/>
      <c r="V209" s="4183"/>
      <c r="W209" s="4183"/>
      <c r="X209" s="4183"/>
      <c r="Y209" s="4183"/>
      <c r="Z209" s="4183"/>
      <c r="AA209" s="4162"/>
      <c r="AB209" s="4166"/>
      <c r="AC209" s="4175" t="s">
        <v>5710</v>
      </c>
      <c r="AD209" s="4175"/>
      <c r="AE209" s="4175"/>
      <c r="AF209" s="4175"/>
      <c r="AG209" s="4175"/>
      <c r="AH209" s="4175"/>
      <c r="AI209" s="4175"/>
      <c r="AJ209" s="4175"/>
      <c r="AK209" s="4175"/>
      <c r="AL209" s="4175"/>
      <c r="AM209" s="4162"/>
    </row>
    <row r="210" spans="8:8" ht="21.95" customHeight="1">
      <c r="O210" s="4162"/>
      <c r="P210" s="4170"/>
      <c r="Q210" s="4183"/>
      <c r="R210" s="4183"/>
      <c r="S210" s="4183"/>
      <c r="T210" s="4183"/>
      <c r="U210" s="4183"/>
      <c r="V210" s="4183"/>
      <c r="W210" s="4183"/>
      <c r="X210" s="4183"/>
      <c r="Y210" s="4183"/>
      <c r="Z210" s="4183"/>
      <c r="AA210" s="4162"/>
      <c r="AB210" s="4166"/>
      <c r="AC210" s="4175"/>
      <c r="AD210" s="4175"/>
      <c r="AE210" s="4175"/>
      <c r="AF210" s="4175"/>
      <c r="AG210" s="4175"/>
      <c r="AH210" s="4175"/>
      <c r="AI210" s="4175"/>
      <c r="AJ210" s="4175"/>
      <c r="AK210" s="4175"/>
      <c r="AL210" s="4175"/>
      <c r="AM210" s="4162"/>
    </row>
    <row r="211" spans="8:8" ht="21.95" customHeight="1">
      <c r="O211" s="4162"/>
      <c r="P211" s="4163" t="s">
        <v>5636</v>
      </c>
      <c r="Q211" s="4163"/>
      <c r="R211" s="4163"/>
      <c r="S211" s="4163"/>
      <c r="T211" s="4163"/>
      <c r="U211" s="4163"/>
      <c r="V211" s="4163"/>
      <c r="W211" s="4163"/>
      <c r="X211" s="4163"/>
      <c r="Y211" s="4163"/>
      <c r="Z211" s="4163"/>
      <c r="AA211" s="4162"/>
      <c r="AB211" s="4166"/>
      <c r="AC211" s="4175"/>
      <c r="AD211" s="4175"/>
      <c r="AE211" s="4175"/>
      <c r="AF211" s="4175"/>
      <c r="AG211" s="4175"/>
      <c r="AH211" s="4175"/>
      <c r="AI211" s="4175"/>
      <c r="AJ211" s="4175"/>
      <c r="AK211" s="4175"/>
      <c r="AL211" s="4175"/>
      <c r="AM211" s="4162"/>
    </row>
    <row r="212" spans="8:8" ht="21.95" customHeight="1">
      <c r="O212" s="4162"/>
      <c r="P212" s="4166" t="s">
        <v>5449</v>
      </c>
      <c r="Q212" s="4169" t="s">
        <v>5637</v>
      </c>
      <c r="R212" s="4169"/>
      <c r="S212" s="4169"/>
      <c r="T212" s="4169"/>
      <c r="U212" s="4169"/>
      <c r="V212" s="4169"/>
      <c r="W212" s="4169"/>
      <c r="X212" s="4169"/>
      <c r="Y212" s="4169"/>
      <c r="Z212" s="4169"/>
      <c r="AA212" s="4162"/>
      <c r="AB212" s="4166"/>
      <c r="AC212" s="4175"/>
      <c r="AD212" s="4175"/>
      <c r="AE212" s="4175"/>
      <c r="AF212" s="4175"/>
      <c r="AG212" s="4175"/>
      <c r="AH212" s="4175"/>
      <c r="AI212" s="4175"/>
      <c r="AJ212" s="4175"/>
      <c r="AK212" s="4175"/>
      <c r="AL212" s="4175"/>
      <c r="AM212" s="4162"/>
    </row>
    <row r="213" spans="8:8" ht="21.95" customHeight="1">
      <c r="O213" s="4162"/>
      <c r="P213" s="4166"/>
      <c r="Q213" s="4169"/>
      <c r="R213" s="4169"/>
      <c r="S213" s="4169"/>
      <c r="T213" s="4169"/>
      <c r="U213" s="4169"/>
      <c r="V213" s="4169"/>
      <c r="W213" s="4169"/>
      <c r="X213" s="4169"/>
      <c r="Y213" s="4169"/>
      <c r="Z213" s="4169"/>
      <c r="AA213" s="4162"/>
      <c r="AB213" s="4166"/>
      <c r="AC213" s="4175"/>
      <c r="AD213" s="4175"/>
      <c r="AE213" s="4175"/>
      <c r="AF213" s="4175"/>
      <c r="AG213" s="4175"/>
      <c r="AH213" s="4175"/>
      <c r="AI213" s="4175"/>
      <c r="AJ213" s="4175"/>
      <c r="AK213" s="4175"/>
      <c r="AL213" s="4175"/>
      <c r="AM213" s="4162"/>
    </row>
    <row r="214" spans="8:8" ht="21.95" customHeight="1">
      <c r="O214" s="4162"/>
      <c r="P214" s="4166"/>
      <c r="Q214" s="4229" t="s">
        <v>5639</v>
      </c>
      <c r="R214" s="4229"/>
      <c r="S214" s="4229"/>
      <c r="T214" s="4229"/>
      <c r="U214" s="4229"/>
      <c r="V214" s="4229"/>
      <c r="W214" s="4229"/>
      <c r="X214" s="4229"/>
      <c r="Y214" s="4229"/>
      <c r="Z214" s="4229"/>
      <c r="AA214" s="4162"/>
      <c r="AB214" s="4166"/>
      <c r="AC214" s="4169" t="s">
        <v>5711</v>
      </c>
      <c r="AD214" s="4169"/>
      <c r="AE214" s="4169"/>
      <c r="AF214" s="4169"/>
      <c r="AG214" s="4169"/>
      <c r="AH214" s="4169"/>
      <c r="AI214" s="4169"/>
      <c r="AJ214" s="4169"/>
      <c r="AK214" s="4169"/>
      <c r="AL214" s="4169"/>
      <c r="AM214" s="4162"/>
    </row>
    <row r="215" spans="8:8" ht="21.95" customHeight="1">
      <c r="O215" s="4162"/>
      <c r="P215" s="4166"/>
      <c r="Q215" s="4229"/>
      <c r="R215" s="4229"/>
      <c r="S215" s="4229"/>
      <c r="T215" s="4229"/>
      <c r="U215" s="4229"/>
      <c r="V215" s="4229"/>
      <c r="W215" s="4229"/>
      <c r="X215" s="4229"/>
      <c r="Y215" s="4229"/>
      <c r="Z215" s="4229"/>
      <c r="AA215" s="4162"/>
      <c r="AB215" s="4166"/>
      <c r="AC215" s="4169" t="s">
        <v>5712</v>
      </c>
      <c r="AD215" s="4169"/>
      <c r="AE215" s="4169"/>
      <c r="AF215" s="4169"/>
      <c r="AG215" s="4169"/>
      <c r="AH215" s="4169"/>
      <c r="AI215" s="4169"/>
      <c r="AJ215" s="4169"/>
      <c r="AK215" s="4169"/>
      <c r="AL215" s="4169"/>
      <c r="AM215" s="4162"/>
    </row>
    <row r="216" spans="8:8" ht="21.95" customHeight="1">
      <c r="O216" s="4162"/>
      <c r="P216" s="4166"/>
      <c r="Q216" s="4229"/>
      <c r="R216" s="4229"/>
      <c r="S216" s="4229"/>
      <c r="T216" s="4229"/>
      <c r="U216" s="4229"/>
      <c r="V216" s="4229"/>
      <c r="W216" s="4229"/>
      <c r="X216" s="4229"/>
      <c r="Y216" s="4229"/>
      <c r="Z216" s="4229"/>
      <c r="AA216" s="4162"/>
      <c r="AB216" s="4214" t="s">
        <v>5464</v>
      </c>
      <c r="AC216" s="4169" t="s">
        <v>5713</v>
      </c>
      <c r="AD216" s="4169"/>
      <c r="AE216" s="4169"/>
      <c r="AF216" s="4169"/>
      <c r="AG216" s="4169"/>
      <c r="AH216" s="4169"/>
      <c r="AI216" s="4169"/>
      <c r="AJ216" s="4169"/>
      <c r="AK216" s="4169"/>
      <c r="AL216" s="4169"/>
      <c r="AM216" s="4162"/>
    </row>
    <row r="217" spans="8:8" ht="21.95" customHeight="1">
      <c r="O217" s="4162"/>
      <c r="P217" s="4166"/>
      <c r="Q217" s="4229" t="s">
        <v>5641</v>
      </c>
      <c r="R217" s="4229"/>
      <c r="S217" s="4229"/>
      <c r="T217" s="4229"/>
      <c r="U217" s="4229"/>
      <c r="V217" s="4229"/>
      <c r="W217" s="4229"/>
      <c r="X217" s="4229"/>
      <c r="Y217" s="4229"/>
      <c r="Z217" s="4229"/>
      <c r="AA217" s="4162"/>
      <c r="AB217" s="4214"/>
      <c r="AC217" s="4175" t="s">
        <v>5714</v>
      </c>
      <c r="AD217" s="4169"/>
      <c r="AE217" s="4169"/>
      <c r="AF217" s="4169"/>
      <c r="AG217" s="4169"/>
      <c r="AH217" s="4169"/>
      <c r="AI217" s="4169"/>
      <c r="AJ217" s="4169"/>
      <c r="AK217" s="4169"/>
      <c r="AL217" s="4169"/>
      <c r="AM217" s="4162"/>
    </row>
    <row r="218" spans="8:8" ht="21.95" customHeight="1">
      <c r="O218" s="4162"/>
      <c r="P218" s="4166"/>
      <c r="Q218" s="4229"/>
      <c r="R218" s="4229"/>
      <c r="S218" s="4229"/>
      <c r="T218" s="4229"/>
      <c r="U218" s="4229"/>
      <c r="V218" s="4229"/>
      <c r="W218" s="4229"/>
      <c r="X218" s="4229"/>
      <c r="Y218" s="4229"/>
      <c r="Z218" s="4229"/>
      <c r="AA218" s="4162"/>
      <c r="AB218" s="4214"/>
      <c r="AC218" s="4169"/>
      <c r="AD218" s="4169"/>
      <c r="AE218" s="4169"/>
      <c r="AF218" s="4169"/>
      <c r="AG218" s="4169"/>
      <c r="AH218" s="4169"/>
      <c r="AI218" s="4169"/>
      <c r="AJ218" s="4169"/>
      <c r="AK218" s="4169"/>
      <c r="AL218" s="4169"/>
      <c r="AM218" s="4162"/>
    </row>
    <row r="219" spans="8:8" ht="21.95" customHeight="1">
      <c r="O219" s="4162"/>
      <c r="P219" s="4166"/>
      <c r="Q219" s="4203" t="s">
        <v>5644</v>
      </c>
      <c r="R219" s="4203"/>
      <c r="S219" s="4203"/>
      <c r="T219" s="4203"/>
      <c r="U219" s="4203"/>
      <c r="V219" s="4203"/>
      <c r="W219" s="4203"/>
      <c r="X219" s="4203"/>
      <c r="Y219" s="4203"/>
      <c r="Z219" s="4203"/>
      <c r="AA219" s="4162"/>
      <c r="AB219" s="4177" t="s">
        <v>5471</v>
      </c>
      <c r="AC219" s="4175" t="s">
        <v>5715</v>
      </c>
      <c r="AD219" s="4175"/>
      <c r="AE219" s="4175"/>
      <c r="AF219" s="4175"/>
      <c r="AG219" s="4175"/>
      <c r="AH219" s="4175"/>
      <c r="AI219" s="4175"/>
      <c r="AJ219" s="4175"/>
      <c r="AK219" s="4175"/>
      <c r="AL219" s="4175"/>
      <c r="AM219" s="4162"/>
    </row>
    <row r="220" spans="8:8" ht="21.95" customHeight="1">
      <c r="O220" s="4162"/>
      <c r="P220" s="4170" t="s">
        <v>104</v>
      </c>
      <c r="Q220" s="4183" t="s">
        <v>5646</v>
      </c>
      <c r="R220" s="4183"/>
      <c r="S220" s="4183"/>
      <c r="T220" s="4183"/>
      <c r="U220" s="4183"/>
      <c r="V220" s="4183"/>
      <c r="W220" s="4183"/>
      <c r="X220" s="4183"/>
      <c r="Y220" s="4183"/>
      <c r="Z220" s="4183"/>
      <c r="AA220" s="4162"/>
      <c r="AB220" s="4170" t="s">
        <v>5618</v>
      </c>
      <c r="AC220" s="4175" t="s">
        <v>5716</v>
      </c>
      <c r="AD220" s="4169"/>
      <c r="AE220" s="4169"/>
      <c r="AF220" s="4169"/>
      <c r="AG220" s="4169"/>
      <c r="AH220" s="4169"/>
      <c r="AI220" s="4169"/>
      <c r="AJ220" s="4169"/>
      <c r="AK220" s="4169"/>
      <c r="AL220" s="4169"/>
      <c r="AM220" s="4162"/>
    </row>
    <row r="221" spans="8:8" ht="21.95" customHeight="1">
      <c r="O221" s="4162"/>
      <c r="P221" s="4170"/>
      <c r="Q221" s="4183"/>
      <c r="R221" s="4183"/>
      <c r="S221" s="4183"/>
      <c r="T221" s="4183"/>
      <c r="U221" s="4183"/>
      <c r="V221" s="4183"/>
      <c r="W221" s="4183"/>
      <c r="X221" s="4183"/>
      <c r="Y221" s="4183"/>
      <c r="Z221" s="4183"/>
      <c r="AA221" s="4162"/>
      <c r="AB221" s="4170"/>
      <c r="AC221" s="4175" t="s">
        <v>5717</v>
      </c>
      <c r="AD221" s="4175"/>
      <c r="AE221" s="4175"/>
      <c r="AF221" s="4175"/>
      <c r="AG221" s="4175"/>
      <c r="AH221" s="4175"/>
      <c r="AI221" s="4175"/>
      <c r="AJ221" s="4175"/>
      <c r="AK221" s="4175"/>
      <c r="AL221" s="4175"/>
      <c r="AM221" s="4162"/>
    </row>
    <row r="222" spans="8:8" ht="21.95" customHeight="1">
      <c r="O222" s="4162"/>
      <c r="P222" s="4170"/>
      <c r="Q222" s="4183"/>
      <c r="R222" s="4183"/>
      <c r="S222" s="4183"/>
      <c r="T222" s="4183"/>
      <c r="U222" s="4183"/>
      <c r="V222" s="4183"/>
      <c r="W222" s="4183"/>
      <c r="X222" s="4183"/>
      <c r="Y222" s="4183"/>
      <c r="Z222" s="4183"/>
      <c r="AA222" s="4162"/>
      <c r="AB222" s="4170"/>
      <c r="AC222" s="4175"/>
      <c r="AD222" s="4175"/>
      <c r="AE222" s="4175"/>
      <c r="AF222" s="4175"/>
      <c r="AG222" s="4175"/>
      <c r="AH222" s="4175"/>
      <c r="AI222" s="4175"/>
      <c r="AJ222" s="4175"/>
      <c r="AK222" s="4175"/>
      <c r="AL222" s="4175"/>
      <c r="AM222" s="4162"/>
    </row>
    <row r="223" spans="8:8" ht="21.95" customHeight="1">
      <c r="O223" s="4162"/>
      <c r="P223" s="4170"/>
      <c r="Q223" s="4183"/>
      <c r="R223" s="4183"/>
      <c r="S223" s="4183"/>
      <c r="T223" s="4183"/>
      <c r="U223" s="4183"/>
      <c r="V223" s="4183"/>
      <c r="W223" s="4183"/>
      <c r="X223" s="4183"/>
      <c r="Y223" s="4183"/>
      <c r="Z223" s="4183"/>
      <c r="AA223" s="4162"/>
      <c r="AB223" s="4170"/>
      <c r="AC223" s="4175"/>
      <c r="AD223" s="4175"/>
      <c r="AE223" s="4175"/>
      <c r="AF223" s="4175"/>
      <c r="AG223" s="4175"/>
      <c r="AH223" s="4175"/>
      <c r="AI223" s="4175"/>
      <c r="AJ223" s="4175"/>
      <c r="AK223" s="4175"/>
      <c r="AL223" s="4175"/>
      <c r="AM223" s="4162"/>
    </row>
    <row r="224" spans="8:8" ht="21.95" customHeight="1">
      <c r="O224" s="4162"/>
      <c r="P224" s="4170"/>
      <c r="Q224" s="4183"/>
      <c r="R224" s="4183"/>
      <c r="S224" s="4183"/>
      <c r="T224" s="4183"/>
      <c r="U224" s="4183"/>
      <c r="V224" s="4183"/>
      <c r="W224" s="4183"/>
      <c r="X224" s="4183"/>
      <c r="Y224" s="4183"/>
      <c r="Z224" s="4183"/>
      <c r="AA224" s="4162"/>
      <c r="AB224" s="4170"/>
      <c r="AC224" s="4175" t="s">
        <v>5718</v>
      </c>
      <c r="AD224" s="4175"/>
      <c r="AE224" s="4175"/>
      <c r="AF224" s="4175"/>
      <c r="AG224" s="4175"/>
      <c r="AH224" s="4175"/>
      <c r="AI224" s="4175"/>
      <c r="AJ224" s="4175"/>
      <c r="AK224" s="4175"/>
      <c r="AL224" s="4175"/>
      <c r="AM224" s="4162"/>
    </row>
    <row r="225" spans="8:8" ht="21.95" customHeight="1">
      <c r="O225" s="4162"/>
      <c r="P225" s="4164" t="s">
        <v>5649</v>
      </c>
      <c r="Q225" s="4164"/>
      <c r="R225" s="4164"/>
      <c r="S225" s="4164"/>
      <c r="T225" s="4164"/>
      <c r="U225" s="4164"/>
      <c r="V225" s="4164"/>
      <c r="W225" s="4164"/>
      <c r="X225" s="4164"/>
      <c r="Y225" s="4164"/>
      <c r="Z225" s="4164"/>
      <c r="AA225" s="4162"/>
      <c r="AB225" s="4163" t="s">
        <v>5719</v>
      </c>
      <c r="AC225" s="4163"/>
      <c r="AD225" s="4163"/>
      <c r="AE225" s="4163"/>
      <c r="AF225" s="4163"/>
      <c r="AG225" s="4163"/>
      <c r="AH225" s="4163"/>
      <c r="AI225" s="4163"/>
      <c r="AJ225" s="4163"/>
      <c r="AK225" s="4163"/>
      <c r="AL225" s="4163"/>
      <c r="AM225" s="4162"/>
    </row>
    <row r="226" spans="8:8" ht="21.95" customHeight="1">
      <c r="O226" s="4162"/>
      <c r="P226" s="4166" t="s">
        <v>5449</v>
      </c>
      <c r="Q226" s="4169" t="s">
        <v>5651</v>
      </c>
      <c r="R226" s="4169"/>
      <c r="S226" s="4169"/>
      <c r="T226" s="4169"/>
      <c r="U226" s="4169"/>
      <c r="V226" s="4169"/>
      <c r="W226" s="4169"/>
      <c r="X226" s="4169"/>
      <c r="Y226" s="4169"/>
      <c r="Z226" s="4169"/>
      <c r="AA226" s="4162"/>
      <c r="AB226" s="4233" t="s">
        <v>5449</v>
      </c>
      <c r="AC226" s="4169" t="s">
        <v>5720</v>
      </c>
      <c r="AD226" s="4169"/>
      <c r="AE226" s="4169"/>
      <c r="AF226" s="4169"/>
      <c r="AG226" s="4169"/>
      <c r="AH226" s="4169"/>
      <c r="AI226" s="4169"/>
      <c r="AJ226" s="4169"/>
      <c r="AK226" s="4169"/>
      <c r="AL226" s="4169"/>
      <c r="AM226" s="4162"/>
    </row>
    <row r="227" spans="8:8" ht="21.95" customHeight="1">
      <c r="O227" s="4162"/>
      <c r="P227" s="4166"/>
      <c r="Q227" s="4169"/>
      <c r="R227" s="4169"/>
      <c r="S227" s="4169"/>
      <c r="T227" s="4169"/>
      <c r="U227" s="4169"/>
      <c r="V227" s="4169"/>
      <c r="W227" s="4169"/>
      <c r="X227" s="4169"/>
      <c r="Y227" s="4169"/>
      <c r="Z227" s="4169"/>
      <c r="AA227" s="4162"/>
      <c r="AB227" s="4233"/>
      <c r="AC227" s="4175" t="s">
        <v>5721</v>
      </c>
      <c r="AD227" s="4169"/>
      <c r="AE227" s="4169"/>
      <c r="AF227" s="4169"/>
      <c r="AG227" s="4169"/>
      <c r="AH227" s="4169"/>
      <c r="AI227" s="4169"/>
      <c r="AJ227" s="4169"/>
      <c r="AK227" s="4169"/>
      <c r="AL227" s="4169"/>
      <c r="AM227" s="4162"/>
    </row>
    <row r="228" spans="8:8" ht="21.95" customHeight="1">
      <c r="O228" s="4162"/>
      <c r="P228" s="4166"/>
      <c r="Q228" s="4169"/>
      <c r="R228" s="4169"/>
      <c r="S228" s="4169"/>
      <c r="T228" s="4169"/>
      <c r="U228" s="4169"/>
      <c r="V228" s="4169"/>
      <c r="W228" s="4169"/>
      <c r="X228" s="4169"/>
      <c r="Y228" s="4169"/>
      <c r="Z228" s="4169"/>
      <c r="AA228" s="4162"/>
      <c r="AB228" s="4233"/>
      <c r="AC228" s="4169"/>
      <c r="AD228" s="4169"/>
      <c r="AE228" s="4169"/>
      <c r="AF228" s="4169"/>
      <c r="AG228" s="4169"/>
      <c r="AH228" s="4169"/>
      <c r="AI228" s="4169"/>
      <c r="AJ228" s="4169"/>
      <c r="AK228" s="4169"/>
      <c r="AL228" s="4169"/>
      <c r="AM228" s="4162"/>
    </row>
    <row r="229" spans="8:8" ht="21.95" customHeight="1">
      <c r="O229" s="4162"/>
      <c r="P229" s="4164" t="s">
        <v>5653</v>
      </c>
      <c r="Q229" s="4163"/>
      <c r="R229" s="4163"/>
      <c r="S229" s="4163"/>
      <c r="T229" s="4163"/>
      <c r="U229" s="4163"/>
      <c r="V229" s="4163"/>
      <c r="W229" s="4163"/>
      <c r="X229" s="4163"/>
      <c r="Y229" s="4163"/>
      <c r="Z229" s="4163"/>
      <c r="AA229" s="4162"/>
      <c r="AB229" s="4233"/>
      <c r="AC229" s="4169" t="s">
        <v>5722</v>
      </c>
      <c r="AD229" s="4169"/>
      <c r="AE229" s="4169"/>
      <c r="AF229" s="4169"/>
      <c r="AG229" s="4169"/>
      <c r="AH229" s="4169"/>
      <c r="AI229" s="4169"/>
      <c r="AJ229" s="4169"/>
      <c r="AK229" s="4169"/>
      <c r="AL229" s="4169"/>
      <c r="AM229" s="4162"/>
    </row>
    <row r="230" spans="8:8" ht="21.95" customHeight="1">
      <c r="O230" s="4162"/>
      <c r="P230" s="4166" t="s">
        <v>5449</v>
      </c>
      <c r="Q230" s="4168" t="s">
        <v>5655</v>
      </c>
      <c r="R230" s="4169"/>
      <c r="S230" s="4169"/>
      <c r="T230" s="4169"/>
      <c r="U230" s="4169"/>
      <c r="V230" s="4169"/>
      <c r="W230" s="4169"/>
      <c r="X230" s="4169"/>
      <c r="Y230" s="4169"/>
      <c r="Z230" s="4169"/>
      <c r="AA230" s="4162"/>
      <c r="AB230" s="4233"/>
      <c r="AC230" s="4175" t="s">
        <v>5723</v>
      </c>
      <c r="AD230" s="4169"/>
      <c r="AE230" s="4169"/>
      <c r="AF230" s="4169"/>
      <c r="AG230" s="4169"/>
      <c r="AH230" s="4169"/>
      <c r="AI230" s="4169"/>
      <c r="AJ230" s="4169"/>
      <c r="AK230" s="4169"/>
      <c r="AL230" s="4169"/>
      <c r="AM230" s="4162"/>
    </row>
    <row r="231" spans="8:8" ht="21.95" customHeight="1">
      <c r="O231" s="4162"/>
      <c r="P231" s="4166"/>
      <c r="Q231" s="4172" t="s">
        <v>5657</v>
      </c>
      <c r="R231" s="4169"/>
      <c r="S231" s="4169"/>
      <c r="T231" s="4169"/>
      <c r="U231" s="4169"/>
      <c r="V231" s="4169"/>
      <c r="W231" s="4169"/>
      <c r="X231" s="4169"/>
      <c r="Y231" s="4169"/>
      <c r="Z231" s="4169"/>
      <c r="AA231" s="4162"/>
      <c r="AB231" s="4233"/>
      <c r="AC231" s="4169"/>
      <c r="AD231" s="4169"/>
      <c r="AE231" s="4169"/>
      <c r="AF231" s="4169"/>
      <c r="AG231" s="4169"/>
      <c r="AH231" s="4169"/>
      <c r="AI231" s="4169"/>
      <c r="AJ231" s="4169"/>
      <c r="AK231" s="4169"/>
      <c r="AL231" s="4169"/>
      <c r="AM231" s="4162"/>
    </row>
    <row r="232" spans="8:8" ht="21.95" customHeight="1">
      <c r="O232" s="4162"/>
      <c r="P232" s="4166"/>
      <c r="Q232" s="4168"/>
      <c r="R232" s="4169"/>
      <c r="S232" s="4169"/>
      <c r="T232" s="4169"/>
      <c r="U232" s="4169"/>
      <c r="V232" s="4169"/>
      <c r="W232" s="4169"/>
      <c r="X232" s="4169"/>
      <c r="Y232" s="4169"/>
      <c r="Z232" s="4169"/>
      <c r="AA232" s="2717"/>
      <c r="AB232" s="4233"/>
      <c r="AC232" s="4169"/>
      <c r="AD232" s="4169"/>
      <c r="AE232" s="4169"/>
      <c r="AF232" s="4169"/>
      <c r="AG232" s="4169"/>
      <c r="AH232" s="4169"/>
      <c r="AI232" s="4169"/>
      <c r="AJ232" s="4169"/>
      <c r="AK232" s="4169"/>
      <c r="AL232" s="4169"/>
      <c r="AM232" s="2717"/>
    </row>
    <row r="233" spans="8:8" ht="21.95" customHeight="1">
      <c r="O233" s="4162"/>
      <c r="P233" s="4166"/>
      <c r="Q233" s="4236" t="s">
        <v>5658</v>
      </c>
      <c r="R233" s="4236"/>
      <c r="S233" s="4236"/>
      <c r="T233" s="4236"/>
      <c r="U233" s="4236"/>
      <c r="V233" s="4236"/>
      <c r="W233" s="4236"/>
      <c r="X233" s="4236"/>
      <c r="Y233" s="4236"/>
      <c r="Z233" s="4236"/>
      <c r="AA233" s="2717"/>
      <c r="AB233" s="4233"/>
      <c r="AC233" s="4169"/>
      <c r="AD233" s="4169"/>
      <c r="AE233" s="4169"/>
      <c r="AF233" s="4169"/>
      <c r="AG233" s="4169"/>
      <c r="AH233" s="4169"/>
      <c r="AI233" s="4169"/>
      <c r="AJ233" s="4169"/>
      <c r="AK233" s="4169"/>
      <c r="AL233" s="4169"/>
      <c r="AM233" s="2717"/>
    </row>
    <row r="234" spans="8:8" ht="21.95" customHeight="1">
      <c r="O234" s="4162"/>
      <c r="P234" s="4166"/>
      <c r="Q234" s="4236"/>
      <c r="R234" s="4236"/>
      <c r="S234" s="4236"/>
      <c r="T234" s="4236"/>
      <c r="U234" s="4236"/>
      <c r="V234" s="4236"/>
      <c r="W234" s="4236"/>
      <c r="X234" s="4236"/>
      <c r="Y234" s="4236"/>
      <c r="Z234" s="4236"/>
      <c r="AA234" s="2717"/>
      <c r="AB234" s="4233"/>
      <c r="AC234" s="4169"/>
      <c r="AD234" s="4169"/>
      <c r="AE234" s="4169"/>
      <c r="AF234" s="4169"/>
      <c r="AG234" s="4169"/>
      <c r="AH234" s="4169"/>
      <c r="AI234" s="4169"/>
      <c r="AJ234" s="4169"/>
      <c r="AK234" s="4169"/>
      <c r="AL234" s="4169"/>
      <c r="AM234" s="2717"/>
    </row>
    <row r="235" spans="8:8" ht="21.95" customHeight="1">
      <c r="O235" s="4162"/>
      <c r="P235" s="4237"/>
      <c r="Q235" s="4175" t="s">
        <v>5659</v>
      </c>
      <c r="R235" s="4175"/>
      <c r="S235" s="4175"/>
      <c r="T235" s="4175"/>
      <c r="U235" s="4175"/>
      <c r="V235" s="4175"/>
      <c r="W235" s="4175"/>
      <c r="X235" s="4175"/>
      <c r="Y235" s="4175"/>
      <c r="Z235" s="4175"/>
      <c r="AA235" s="2717"/>
      <c r="AB235" s="4233"/>
      <c r="AC235" s="4169"/>
      <c r="AD235" s="4169"/>
      <c r="AE235" s="4169"/>
      <c r="AF235" s="4169"/>
      <c r="AG235" s="4169"/>
      <c r="AH235" s="4169"/>
      <c r="AI235" s="4169"/>
      <c r="AJ235" s="4169"/>
      <c r="AK235" s="4169"/>
      <c r="AL235" s="4169"/>
      <c r="AM235" s="2717"/>
    </row>
    <row r="236" spans="8:8" ht="21.95" customHeight="1">
      <c r="O236" s="4162"/>
      <c r="P236" s="4237"/>
      <c r="Q236" s="4175"/>
      <c r="R236" s="4175"/>
      <c r="S236" s="4175"/>
      <c r="T236" s="4175"/>
      <c r="U236" s="4175"/>
      <c r="V236" s="4175"/>
      <c r="W236" s="4175"/>
      <c r="X236" s="4175"/>
      <c r="Y236" s="4175"/>
      <c r="Z236" s="4175"/>
      <c r="AA236" s="2717"/>
      <c r="AB236" s="4233" t="s">
        <v>5467</v>
      </c>
      <c r="AC236" s="4169" t="s">
        <v>5724</v>
      </c>
      <c r="AD236" s="4169"/>
      <c r="AE236" s="4169"/>
      <c r="AF236" s="4169"/>
      <c r="AG236" s="4169"/>
      <c r="AH236" s="4169"/>
      <c r="AI236" s="4169"/>
      <c r="AJ236" s="4169"/>
      <c r="AK236" s="4169"/>
      <c r="AL236" s="4169"/>
      <c r="AM236" s="2717"/>
    </row>
    <row r="237" spans="8:8" ht="21.95" customHeight="1">
      <c r="O237" s="4162"/>
      <c r="P237" s="4237"/>
      <c r="Q237" s="4175"/>
      <c r="R237" s="4175"/>
      <c r="S237" s="4175"/>
      <c r="T237" s="4175"/>
      <c r="U237" s="4175"/>
      <c r="V237" s="4175"/>
      <c r="W237" s="4175"/>
      <c r="X237" s="4175"/>
      <c r="Y237" s="4175"/>
      <c r="Z237" s="4175"/>
      <c r="AA237" s="2717"/>
      <c r="AB237" s="4233"/>
      <c r="AC237" s="4175" t="s">
        <v>5725</v>
      </c>
      <c r="AD237" s="4175"/>
      <c r="AE237" s="4175"/>
      <c r="AF237" s="4175"/>
      <c r="AG237" s="4175"/>
      <c r="AH237" s="4175"/>
      <c r="AI237" s="4175"/>
      <c r="AJ237" s="4175"/>
      <c r="AK237" s="4175"/>
      <c r="AL237" s="4175"/>
      <c r="AM237" s="2717"/>
    </row>
    <row r="238" spans="8:8" ht="21.95" customHeight="1">
      <c r="O238" s="4162"/>
      <c r="P238" s="4238" t="s">
        <v>5464</v>
      </c>
      <c r="Q238" s="4239" t="s">
        <v>5660</v>
      </c>
      <c r="R238" s="4239"/>
      <c r="S238" s="4239"/>
      <c r="T238" s="4239"/>
      <c r="U238" s="4239"/>
      <c r="V238" s="4239"/>
      <c r="W238" s="4239"/>
      <c r="X238" s="4239"/>
      <c r="Y238" s="4239"/>
      <c r="Z238" s="4239"/>
      <c r="AA238" s="2717"/>
      <c r="AB238" s="4233"/>
      <c r="AC238" s="4175"/>
      <c r="AD238" s="4175"/>
      <c r="AE238" s="4175"/>
      <c r="AF238" s="4175"/>
      <c r="AG238" s="4175"/>
      <c r="AH238" s="4175"/>
      <c r="AI238" s="4175"/>
      <c r="AJ238" s="4175"/>
      <c r="AK238" s="4175"/>
      <c r="AL238" s="4175"/>
      <c r="AM238" s="2717"/>
    </row>
    <row r="239" spans="8:8" ht="21.95" customHeight="1">
      <c r="O239" s="4162"/>
      <c r="P239" s="4227"/>
      <c r="Q239" s="4175"/>
      <c r="R239" s="4175"/>
      <c r="S239" s="4175"/>
      <c r="T239" s="4175"/>
      <c r="U239" s="4175"/>
      <c r="V239" s="4175"/>
      <c r="W239" s="4175"/>
      <c r="X239" s="4175"/>
      <c r="Y239" s="4175"/>
      <c r="Z239" s="4175"/>
      <c r="AB239" s="4233"/>
      <c r="AC239" s="4175"/>
      <c r="AD239" s="4175"/>
      <c r="AE239" s="4175"/>
      <c r="AF239" s="4175"/>
      <c r="AG239" s="4175"/>
      <c r="AH239" s="4175"/>
      <c r="AI239" s="4175"/>
      <c r="AJ239" s="4175"/>
      <c r="AK239" s="4175"/>
      <c r="AL239" s="4175"/>
    </row>
    <row r="240" spans="8:8" ht="21.95" customHeight="1">
      <c r="O240" s="4162"/>
      <c r="P240" s="4227"/>
      <c r="Q240" s="4175"/>
      <c r="R240" s="4175"/>
      <c r="S240" s="4175"/>
      <c r="T240" s="4175"/>
      <c r="U240" s="4175"/>
      <c r="V240" s="4175"/>
      <c r="W240" s="4175"/>
      <c r="X240" s="4175"/>
      <c r="Y240" s="4175"/>
      <c r="Z240" s="4175"/>
      <c r="AB240" s="4233"/>
      <c r="AC240" s="4175"/>
      <c r="AD240" s="4175"/>
      <c r="AE240" s="4175"/>
      <c r="AF240" s="4175"/>
      <c r="AG240" s="4175"/>
      <c r="AH240" s="4175"/>
      <c r="AI240" s="4175"/>
      <c r="AJ240" s="4175"/>
      <c r="AK240" s="4175"/>
      <c r="AL240" s="4175"/>
    </row>
    <row r="241" spans="8:8" ht="21.95" customHeight="1">
      <c r="O241" s="4162"/>
      <c r="P241" s="4234" t="s">
        <v>5467</v>
      </c>
      <c r="Q241" s="4235" t="s">
        <v>5662</v>
      </c>
      <c r="R241" s="4235"/>
      <c r="S241" s="4235"/>
      <c r="T241" s="4235"/>
      <c r="U241" s="4235"/>
      <c r="V241" s="4235"/>
      <c r="W241" s="4235"/>
      <c r="X241" s="4235"/>
      <c r="Y241" s="4235"/>
      <c r="Z241" s="4235"/>
      <c r="AB241" s="4233"/>
      <c r="AC241" s="4175"/>
      <c r="AD241" s="4175"/>
      <c r="AE241" s="4175"/>
      <c r="AF241" s="4175"/>
      <c r="AG241" s="4175"/>
      <c r="AH241" s="4175"/>
      <c r="AI241" s="4175"/>
      <c r="AJ241" s="4175"/>
      <c r="AK241" s="4175"/>
      <c r="AL241" s="4175"/>
    </row>
    <row r="242" spans="8:8" ht="21.95" customHeight="1">
      <c r="O242" s="4162"/>
      <c r="P242" s="4234"/>
      <c r="Q242" s="4235"/>
      <c r="R242" s="4235"/>
      <c r="S242" s="4235"/>
      <c r="T242" s="4235"/>
      <c r="U242" s="4235"/>
      <c r="V242" s="4235"/>
      <c r="W242" s="4235"/>
      <c r="X242" s="4235"/>
      <c r="Y242" s="4235"/>
      <c r="Z242" s="4235"/>
      <c r="AB242" s="4240" t="s">
        <v>5698</v>
      </c>
      <c r="AC242" s="4169" t="s">
        <v>5726</v>
      </c>
      <c r="AD242" s="4169"/>
      <c r="AE242" s="4169"/>
      <c r="AF242" s="4169"/>
      <c r="AG242" s="4169"/>
      <c r="AH242" s="4169"/>
      <c r="AI242" s="4169"/>
      <c r="AJ242" s="4169"/>
      <c r="AK242" s="4169"/>
      <c r="AL242" s="4169"/>
    </row>
    <row r="243" spans="8:8" ht="21.95" customHeight="1">
      <c r="O243" s="4162"/>
      <c r="P243" s="4234" t="s">
        <v>5475</v>
      </c>
      <c r="Q243" s="4175" t="s">
        <v>5663</v>
      </c>
      <c r="R243" s="4175"/>
      <c r="S243" s="4175"/>
      <c r="T243" s="4175"/>
      <c r="U243" s="4175"/>
      <c r="V243" s="4175"/>
      <c r="W243" s="4175"/>
      <c r="X243" s="4175"/>
      <c r="Y243" s="4175"/>
      <c r="Z243" s="4175"/>
      <c r="AB243" s="4240"/>
      <c r="AC243" s="4175" t="s">
        <v>5727</v>
      </c>
      <c r="AD243" s="4175"/>
      <c r="AE243" s="4175"/>
      <c r="AF243" s="4175"/>
      <c r="AG243" s="4175"/>
      <c r="AH243" s="4175"/>
      <c r="AI243" s="4175"/>
      <c r="AJ243" s="4175"/>
      <c r="AK243" s="4175"/>
      <c r="AL243" s="4175"/>
    </row>
    <row r="244" spans="8:8" ht="21.95" customHeight="1">
      <c r="O244" s="4162"/>
      <c r="P244" s="4234"/>
      <c r="Q244" s="4175"/>
      <c r="R244" s="4175"/>
      <c r="S244" s="4175"/>
      <c r="T244" s="4175"/>
      <c r="U244" s="4175"/>
      <c r="V244" s="4175"/>
      <c r="W244" s="4175"/>
      <c r="X244" s="4175"/>
      <c r="Y244" s="4175"/>
      <c r="Z244" s="4175"/>
      <c r="AB244" s="4240"/>
      <c r="AC244" s="4175"/>
      <c r="AD244" s="4175"/>
      <c r="AE244" s="4175"/>
      <c r="AF244" s="4175"/>
      <c r="AG244" s="4175"/>
      <c r="AH244" s="4175"/>
      <c r="AI244" s="4175"/>
      <c r="AJ244" s="4175"/>
      <c r="AK244" s="4175"/>
      <c r="AL244" s="4175"/>
    </row>
    <row r="245" spans="8:8" ht="21.95" customHeight="1">
      <c r="O245" s="4162"/>
      <c r="P245" s="4170" t="s">
        <v>104</v>
      </c>
      <c r="Q245" s="4183" t="s">
        <v>5664</v>
      </c>
      <c r="R245" s="4183"/>
      <c r="S245" s="4183"/>
      <c r="T245" s="4183"/>
      <c r="U245" s="4183"/>
      <c r="V245" s="4183"/>
      <c r="W245" s="4183"/>
      <c r="X245" s="4183"/>
      <c r="Y245" s="4183"/>
      <c r="Z245" s="4183"/>
      <c r="AB245" s="4240"/>
      <c r="AC245" s="4175"/>
      <c r="AD245" s="4175"/>
      <c r="AE245" s="4175"/>
      <c r="AF245" s="4175"/>
      <c r="AG245" s="4175"/>
      <c r="AH245" s="4175"/>
      <c r="AI245" s="4175"/>
      <c r="AJ245" s="4175"/>
      <c r="AK245" s="4175"/>
      <c r="AL245" s="4175"/>
    </row>
    <row r="246" spans="8:8" ht="21.95" customHeight="1">
      <c r="O246" s="4162"/>
      <c r="P246" s="4170"/>
      <c r="Q246" s="4183"/>
      <c r="R246" s="4183"/>
      <c r="S246" s="4183"/>
      <c r="T246" s="4183"/>
      <c r="U246" s="4183"/>
      <c r="V246" s="4183"/>
      <c r="W246" s="4183"/>
      <c r="X246" s="4183"/>
      <c r="Y246" s="4183"/>
      <c r="Z246" s="4183"/>
      <c r="AB246" s="4240"/>
      <c r="AC246" s="4169" t="s">
        <v>5722</v>
      </c>
      <c r="AD246" s="4169"/>
      <c r="AE246" s="4169"/>
      <c r="AF246" s="4169"/>
      <c r="AG246" s="4169"/>
      <c r="AH246" s="4169"/>
      <c r="AI246" s="4169"/>
      <c r="AJ246" s="4169"/>
      <c r="AK246" s="4169"/>
      <c r="AL246" s="4169"/>
    </row>
    <row r="247" spans="8:8" ht="21.95" customHeight="1">
      <c r="O247" s="4162"/>
      <c r="P247" s="4170"/>
      <c r="Q247" s="4183"/>
      <c r="R247" s="4183"/>
      <c r="S247" s="4183"/>
      <c r="T247" s="4183"/>
      <c r="U247" s="4183"/>
      <c r="V247" s="4183"/>
      <c r="W247" s="4183"/>
      <c r="X247" s="4183"/>
      <c r="Y247" s="4183"/>
      <c r="Z247" s="4183"/>
      <c r="AB247" s="4240"/>
      <c r="AC247" s="4175" t="s">
        <v>5728</v>
      </c>
      <c r="AD247" s="4169"/>
      <c r="AE247" s="4169"/>
      <c r="AF247" s="4169"/>
      <c r="AG247" s="4169"/>
      <c r="AH247" s="4169"/>
      <c r="AI247" s="4169"/>
      <c r="AJ247" s="4169"/>
      <c r="AK247" s="4169"/>
      <c r="AL247" s="4169"/>
    </row>
    <row r="248" spans="8:8" ht="21.95" customHeight="1">
      <c r="O248" s="4162"/>
      <c r="P248" s="4170"/>
      <c r="Q248" s="4183"/>
      <c r="R248" s="4183"/>
      <c r="S248" s="4183"/>
      <c r="T248" s="4183"/>
      <c r="U248" s="4183"/>
      <c r="V248" s="4183"/>
      <c r="W248" s="4183"/>
      <c r="X248" s="4183"/>
      <c r="Y248" s="4183"/>
      <c r="Z248" s="4183"/>
      <c r="AB248" s="4240"/>
      <c r="AC248" s="4169"/>
      <c r="AD248" s="4169"/>
      <c r="AE248" s="4169"/>
      <c r="AF248" s="4169"/>
      <c r="AG248" s="4169"/>
      <c r="AH248" s="4169"/>
      <c r="AI248" s="4169"/>
      <c r="AJ248" s="4169"/>
      <c r="AK248" s="4169"/>
      <c r="AL248" s="4169"/>
    </row>
    <row r="249" spans="8:8" ht="21.95" customHeight="1">
      <c r="O249" s="4162"/>
      <c r="P249" s="4170"/>
      <c r="Q249" s="4183"/>
      <c r="R249" s="4183"/>
      <c r="S249" s="4183"/>
      <c r="T249" s="4183"/>
      <c r="U249" s="4183"/>
      <c r="V249" s="4183"/>
      <c r="W249" s="4183"/>
      <c r="X249" s="4183"/>
      <c r="Y249" s="4183"/>
      <c r="Z249" s="4183"/>
      <c r="AB249" s="4240"/>
      <c r="AC249" s="4175" t="s">
        <v>5729</v>
      </c>
      <c r="AD249" s="4169"/>
      <c r="AE249" s="4169"/>
      <c r="AF249" s="4169"/>
      <c r="AG249" s="4169"/>
      <c r="AH249" s="4169"/>
      <c r="AI249" s="4169"/>
      <c r="AJ249" s="4169"/>
      <c r="AK249" s="4169"/>
      <c r="AL249" s="4169"/>
    </row>
    <row r="250" spans="8:8" ht="21.95" customHeight="1">
      <c r="O250" s="4162"/>
      <c r="AB250" s="4240"/>
      <c r="AC250" s="4169"/>
      <c r="AD250" s="4169"/>
      <c r="AE250" s="4169"/>
      <c r="AF250" s="4169"/>
      <c r="AG250" s="4169"/>
      <c r="AH250" s="4169"/>
      <c r="AI250" s="4169"/>
      <c r="AJ250" s="4169"/>
      <c r="AK250" s="4169"/>
      <c r="AL250" s="4169"/>
    </row>
    <row r="251" spans="8:8" ht="21.95" customHeight="1">
      <c r="O251" s="4162"/>
      <c r="AB251" s="4240"/>
      <c r="AC251" s="4169"/>
      <c r="AD251" s="4169"/>
      <c r="AE251" s="4169"/>
      <c r="AF251" s="4169"/>
      <c r="AG251" s="4169"/>
      <c r="AH251" s="4169"/>
      <c r="AI251" s="4169"/>
      <c r="AJ251" s="4169"/>
      <c r="AK251" s="4169"/>
      <c r="AL251" s="4169"/>
    </row>
    <row r="252" spans="8:8" ht="21.95" customHeight="1">
      <c r="O252" s="4162"/>
      <c r="AB252" s="4240"/>
      <c r="AC252" s="4169"/>
      <c r="AD252" s="4169"/>
      <c r="AE252" s="4169"/>
      <c r="AF252" s="4169"/>
      <c r="AG252" s="4169"/>
      <c r="AH252" s="4169"/>
      <c r="AI252" s="4169"/>
      <c r="AJ252" s="4169"/>
      <c r="AK252" s="4169"/>
      <c r="AL252" s="4169"/>
    </row>
    <row r="253" spans="8:8" ht="21.95" customHeight="1">
      <c r="O253" s="4162"/>
      <c r="AB253" s="4240"/>
      <c r="AC253" s="4169"/>
      <c r="AD253" s="4169"/>
      <c r="AE253" s="4169"/>
      <c r="AF253" s="4169"/>
      <c r="AG253" s="4169"/>
      <c r="AH253" s="4169"/>
      <c r="AI253" s="4169"/>
      <c r="AJ253" s="4169"/>
      <c r="AK253" s="4169"/>
      <c r="AL253" s="4169"/>
    </row>
    <row r="254" spans="8:8" ht="21.95" customHeight="1">
      <c r="O254" s="4162"/>
      <c r="AB254" s="4222" t="s">
        <v>5730</v>
      </c>
      <c r="AC254" s="4169" t="s">
        <v>5731</v>
      </c>
      <c r="AD254" s="4169"/>
      <c r="AE254" s="4169"/>
      <c r="AF254" s="4169"/>
      <c r="AG254" s="4169"/>
      <c r="AH254" s="4169"/>
      <c r="AI254" s="4169"/>
      <c r="AJ254" s="4169"/>
      <c r="AK254" s="4169"/>
      <c r="AL254" s="4169"/>
    </row>
    <row r="255" spans="8:8" ht="21.95" customHeight="1">
      <c r="O255" s="4162"/>
      <c r="AB255" s="4222"/>
      <c r="AC255" s="4169" t="s">
        <v>5732</v>
      </c>
      <c r="AD255" s="4169"/>
      <c r="AE255" s="4169"/>
      <c r="AF255" s="4169"/>
      <c r="AG255" s="4169"/>
      <c r="AH255" s="4169"/>
      <c r="AI255" s="4169"/>
      <c r="AJ255" s="4169"/>
      <c r="AK255" s="4169"/>
      <c r="AL255" s="4169"/>
    </row>
    <row r="256" spans="8:8" ht="21.95" customHeight="1">
      <c r="O256" s="4162"/>
      <c r="AB256" s="4163" t="s">
        <v>5733</v>
      </c>
      <c r="AC256" s="4163"/>
      <c r="AD256" s="4163"/>
      <c r="AE256" s="4163"/>
      <c r="AF256" s="4163"/>
      <c r="AG256" s="4163"/>
      <c r="AH256" s="4163"/>
      <c r="AI256" s="4163"/>
      <c r="AJ256" s="4163"/>
      <c r="AK256" s="4163"/>
      <c r="AL256" s="4163"/>
    </row>
    <row r="257" spans="8:8" ht="21.95" customHeight="1">
      <c r="O257" s="4162"/>
      <c r="AB257" s="4232" t="s">
        <v>5449</v>
      </c>
      <c r="AC257" s="4169" t="s">
        <v>5734</v>
      </c>
      <c r="AD257" s="4169"/>
      <c r="AE257" s="4169"/>
      <c r="AF257" s="4169"/>
      <c r="AG257" s="4169"/>
      <c r="AH257" s="4169"/>
      <c r="AI257" s="4169"/>
      <c r="AJ257" s="4169"/>
      <c r="AK257" s="4169"/>
      <c r="AL257" s="4169"/>
    </row>
    <row r="258" spans="8:8" ht="21.95" customHeight="1">
      <c r="O258" s="4162"/>
      <c r="AB258" s="4232"/>
      <c r="AC258" s="4169" t="s">
        <v>5735</v>
      </c>
      <c r="AD258" s="4169"/>
      <c r="AE258" s="4169"/>
      <c r="AF258" s="4169"/>
      <c r="AG258" s="4169"/>
      <c r="AH258" s="4169"/>
      <c r="AI258" s="4169"/>
      <c r="AJ258" s="4169"/>
      <c r="AK258" s="4169"/>
      <c r="AL258" s="4169"/>
    </row>
    <row r="259" spans="8:8" ht="21.95" customHeight="1">
      <c r="O259" s="4162"/>
      <c r="AB259" s="4232"/>
      <c r="AC259" s="4169" t="s">
        <v>5736</v>
      </c>
      <c r="AD259" s="4169"/>
      <c r="AE259" s="4169"/>
      <c r="AF259" s="4169"/>
      <c r="AG259" s="4169"/>
      <c r="AH259" s="4169"/>
      <c r="AI259" s="4169"/>
      <c r="AJ259" s="4169"/>
      <c r="AK259" s="4169"/>
      <c r="AL259" s="4169"/>
    </row>
    <row r="260" spans="8:8" ht="21.95" customHeight="1">
      <c r="O260" s="4162"/>
      <c r="AB260" s="4230" t="s">
        <v>5698</v>
      </c>
      <c r="AC260" s="4169" t="s">
        <v>5737</v>
      </c>
      <c r="AD260" s="4169"/>
      <c r="AE260" s="4169"/>
      <c r="AF260" s="4169"/>
      <c r="AG260" s="4169"/>
      <c r="AH260" s="4169"/>
      <c r="AI260" s="4169"/>
      <c r="AJ260" s="4169"/>
      <c r="AK260" s="4169"/>
      <c r="AL260" s="4169"/>
    </row>
    <row r="261" spans="8:8" ht="21.95" customHeight="1">
      <c r="O261" s="4162"/>
      <c r="AB261" s="4232" t="s">
        <v>5738</v>
      </c>
      <c r="AC261" s="4175" t="s">
        <v>5739</v>
      </c>
      <c r="AD261" s="4169"/>
      <c r="AE261" s="4169"/>
      <c r="AF261" s="4169"/>
      <c r="AG261" s="4169"/>
      <c r="AH261" s="4169"/>
      <c r="AI261" s="4169"/>
      <c r="AJ261" s="4169"/>
      <c r="AK261" s="4169"/>
      <c r="AL261" s="4169"/>
    </row>
    <row r="262" spans="8:8" ht="21.95" customHeight="1">
      <c r="O262" s="4162"/>
      <c r="AB262" s="4232"/>
      <c r="AC262" s="4169"/>
      <c r="AD262" s="4169"/>
      <c r="AE262" s="4169"/>
      <c r="AF262" s="4169"/>
      <c r="AG262" s="4169"/>
      <c r="AH262" s="4169"/>
      <c r="AI262" s="4169"/>
      <c r="AJ262" s="4169"/>
      <c r="AK262" s="4169"/>
      <c r="AL262" s="4169"/>
    </row>
    <row r="263" spans="8:8" ht="21.95" customHeight="1">
      <c r="O263" s="4162"/>
      <c r="AB263" s="4163" t="s">
        <v>5740</v>
      </c>
      <c r="AC263" s="4163"/>
      <c r="AD263" s="4163"/>
      <c r="AE263" s="4163"/>
      <c r="AF263" s="4163"/>
      <c r="AG263" s="4163"/>
      <c r="AH263" s="4163"/>
      <c r="AI263" s="4163"/>
      <c r="AJ263" s="4163"/>
      <c r="AK263" s="4163"/>
      <c r="AL263" s="4163"/>
    </row>
    <row r="264" spans="8:8" ht="21.95" customHeight="1">
      <c r="O264" s="4162"/>
      <c r="AB264" s="4232" t="s">
        <v>5449</v>
      </c>
      <c r="AC264" s="4175" t="s">
        <v>5741</v>
      </c>
      <c r="AD264" s="4175"/>
      <c r="AE264" s="4175"/>
      <c r="AF264" s="4175"/>
      <c r="AG264" s="4175"/>
      <c r="AH264" s="4175"/>
      <c r="AI264" s="4175"/>
      <c r="AJ264" s="4175"/>
      <c r="AK264" s="4175"/>
      <c r="AL264" s="4175"/>
    </row>
    <row r="265" spans="8:8" ht="21.95" customHeight="1">
      <c r="O265" s="4162"/>
      <c r="AB265" s="4232"/>
      <c r="AC265" s="4175" t="s">
        <v>5742</v>
      </c>
      <c r="AD265" s="4169"/>
      <c r="AE265" s="4169"/>
      <c r="AF265" s="4169"/>
      <c r="AG265" s="4169"/>
      <c r="AH265" s="4169"/>
      <c r="AI265" s="4169"/>
      <c r="AJ265" s="4169"/>
      <c r="AK265" s="4169"/>
      <c r="AL265" s="4169"/>
    </row>
    <row r="266" spans="8:8" ht="21.95" customHeight="1">
      <c r="O266" s="4162"/>
      <c r="AB266" s="4232"/>
      <c r="AC266" s="4169"/>
      <c r="AD266" s="4169"/>
      <c r="AE266" s="4169"/>
      <c r="AF266" s="4169"/>
      <c r="AG266" s="4169"/>
      <c r="AH266" s="4169"/>
      <c r="AI266" s="4169"/>
      <c r="AJ266" s="4169"/>
      <c r="AK266" s="4169"/>
      <c r="AL266" s="4169"/>
    </row>
    <row r="267" spans="8:8" ht="21.95" customHeight="1">
      <c r="O267" s="4162"/>
      <c r="AB267" s="4232"/>
      <c r="AC267" s="4169" t="s">
        <v>5743</v>
      </c>
      <c r="AD267" s="4169"/>
      <c r="AE267" s="4169"/>
      <c r="AF267" s="4169"/>
      <c r="AG267" s="4169"/>
      <c r="AH267" s="4169"/>
      <c r="AI267" s="4169"/>
      <c r="AJ267" s="4169"/>
      <c r="AK267" s="4169"/>
      <c r="AL267" s="4169"/>
    </row>
    <row r="268" spans="8:8" ht="21.95" customHeight="1">
      <c r="O268" s="4162"/>
      <c r="AB268" s="4232"/>
      <c r="AC268" s="4175" t="s">
        <v>5744</v>
      </c>
      <c r="AD268" s="4169"/>
      <c r="AE268" s="4169"/>
      <c r="AF268" s="4169"/>
      <c r="AG268" s="4169"/>
      <c r="AH268" s="4169"/>
      <c r="AI268" s="4169"/>
      <c r="AJ268" s="4169"/>
      <c r="AK268" s="4169"/>
      <c r="AL268" s="4169"/>
    </row>
    <row r="269" spans="8:8" ht="21.95" customHeight="1">
      <c r="O269" s="4162"/>
      <c r="AB269" s="4232"/>
      <c r="AC269" s="4169"/>
      <c r="AD269" s="4169"/>
      <c r="AE269" s="4169"/>
      <c r="AF269" s="4169"/>
      <c r="AG269" s="4169"/>
      <c r="AH269" s="4169"/>
      <c r="AI269" s="4169"/>
      <c r="AJ269" s="4169"/>
      <c r="AK269" s="4169"/>
      <c r="AL269" s="4169"/>
    </row>
    <row r="270" spans="8:8" ht="21.95" customHeight="1">
      <c r="O270" s="4162"/>
      <c r="AB270" s="4232"/>
      <c r="AC270" s="4184" t="s">
        <v>5745</v>
      </c>
      <c r="AD270" s="4203"/>
      <c r="AE270" s="4203"/>
      <c r="AF270" s="4203"/>
      <c r="AG270" s="4203"/>
      <c r="AH270" s="4203"/>
      <c r="AI270" s="4203"/>
      <c r="AJ270" s="4203"/>
      <c r="AK270" s="4203"/>
      <c r="AL270" s="4203"/>
    </row>
    <row r="271" spans="8:8" ht="21.95" customHeight="1">
      <c r="O271" s="4162"/>
      <c r="AB271" s="4232"/>
      <c r="AC271" s="4203"/>
      <c r="AD271" s="4203"/>
      <c r="AE271" s="4203"/>
      <c r="AF271" s="4203"/>
      <c r="AG271" s="4203"/>
      <c r="AH271" s="4203"/>
      <c r="AI271" s="4203"/>
      <c r="AJ271" s="4203"/>
      <c r="AK271" s="4203"/>
      <c r="AL271" s="4203"/>
    </row>
    <row r="272" spans="8:8" ht="21.95" customHeight="1">
      <c r="O272" s="4162"/>
      <c r="AB272" s="4232"/>
      <c r="AC272" s="4203"/>
      <c r="AD272" s="4203"/>
      <c r="AE272" s="4203"/>
      <c r="AF272" s="4203"/>
      <c r="AG272" s="4203"/>
      <c r="AH272" s="4203"/>
      <c r="AI272" s="4203"/>
      <c r="AJ272" s="4203"/>
      <c r="AK272" s="4203"/>
      <c r="AL272" s="4203"/>
    </row>
    <row r="273" spans="8:8" ht="21.95" customHeight="1">
      <c r="O273" s="4162"/>
      <c r="AB273" s="4232"/>
      <c r="AC273" s="4203"/>
      <c r="AD273" s="4203"/>
      <c r="AE273" s="4203"/>
      <c r="AF273" s="4203"/>
      <c r="AG273" s="4203"/>
      <c r="AH273" s="4203"/>
      <c r="AI273" s="4203"/>
      <c r="AJ273" s="4203"/>
      <c r="AK273" s="4203"/>
      <c r="AL273" s="4203"/>
    </row>
    <row r="274" spans="8:8" ht="21.95" customHeight="1">
      <c r="O274" s="4162"/>
      <c r="AB274" s="4177" t="s">
        <v>5489</v>
      </c>
      <c r="AC274" s="4175" t="s">
        <v>5746</v>
      </c>
      <c r="AD274" s="4175"/>
      <c r="AE274" s="4175"/>
      <c r="AF274" s="4175"/>
      <c r="AG274" s="4175"/>
      <c r="AH274" s="4175"/>
      <c r="AI274" s="4175"/>
      <c r="AJ274" s="4175"/>
      <c r="AK274" s="4175"/>
      <c r="AL274" s="4175"/>
    </row>
    <row r="275" spans="8:8" ht="21.95" customHeight="1">
      <c r="O275" s="4162"/>
      <c r="AB275" s="4241" t="s">
        <v>5730</v>
      </c>
      <c r="AC275" s="4169" t="s">
        <v>5747</v>
      </c>
      <c r="AD275" s="4169"/>
      <c r="AE275" s="4169"/>
      <c r="AF275" s="4169"/>
      <c r="AG275" s="4169"/>
      <c r="AH275" s="4169"/>
      <c r="AI275" s="4169"/>
      <c r="AJ275" s="4169"/>
      <c r="AK275" s="4169"/>
      <c r="AL275" s="4169"/>
    </row>
    <row r="276" spans="8:8" ht="21.95" customHeight="1">
      <c r="O276" s="4162"/>
      <c r="AB276" s="4230" t="s">
        <v>5698</v>
      </c>
      <c r="AC276" s="4169" t="s">
        <v>5748</v>
      </c>
      <c r="AD276" s="4169"/>
      <c r="AE276" s="4169"/>
      <c r="AF276" s="4169"/>
      <c r="AG276" s="4169"/>
      <c r="AH276" s="4169"/>
      <c r="AI276" s="4169"/>
      <c r="AJ276" s="4169"/>
      <c r="AK276" s="4169"/>
      <c r="AL276" s="4169"/>
    </row>
    <row r="277" spans="8:8" ht="21.95" customHeight="1">
      <c r="O277" s="4162"/>
      <c r="AB277" s="4163" t="s">
        <v>5749</v>
      </c>
      <c r="AC277" s="4163"/>
      <c r="AD277" s="4163"/>
      <c r="AE277" s="4163"/>
      <c r="AF277" s="4163"/>
      <c r="AG277" s="4163"/>
      <c r="AH277" s="4163"/>
      <c r="AI277" s="4163"/>
      <c r="AJ277" s="4163"/>
      <c r="AK277" s="4163"/>
      <c r="AL277" s="4163"/>
    </row>
    <row r="278" spans="8:8" ht="21.95" customHeight="1">
      <c r="O278" s="4162"/>
      <c r="AB278" s="4242" t="s">
        <v>5558</v>
      </c>
      <c r="AC278" s="4169" t="s">
        <v>5750</v>
      </c>
      <c r="AD278" s="4169"/>
      <c r="AE278" s="4169"/>
      <c r="AF278" s="4169"/>
      <c r="AG278" s="4169"/>
      <c r="AH278" s="4169"/>
      <c r="AI278" s="4169"/>
      <c r="AJ278" s="4169"/>
      <c r="AK278" s="4169"/>
      <c r="AL278" s="4169"/>
    </row>
    <row r="279" spans="8:8" ht="21.95" customHeight="1">
      <c r="O279" s="4162"/>
      <c r="AB279" s="4232" t="s">
        <v>5449</v>
      </c>
      <c r="AC279" s="4175" t="s">
        <v>5751</v>
      </c>
      <c r="AD279" s="4175"/>
      <c r="AE279" s="4175"/>
      <c r="AF279" s="4175"/>
      <c r="AG279" s="4175"/>
      <c r="AH279" s="4175"/>
      <c r="AI279" s="4175"/>
      <c r="AJ279" s="4175"/>
      <c r="AK279" s="4175"/>
      <c r="AL279" s="4175"/>
    </row>
    <row r="280" spans="8:8" ht="21.95" customHeight="1">
      <c r="O280" s="4162"/>
      <c r="AB280" s="4232"/>
      <c r="AC280" s="4169" t="s">
        <v>5752</v>
      </c>
      <c r="AD280" s="4169"/>
      <c r="AE280" s="4169"/>
      <c r="AF280" s="4169"/>
      <c r="AG280" s="4169"/>
      <c r="AH280" s="4169"/>
      <c r="AI280" s="4169"/>
      <c r="AJ280" s="4169"/>
      <c r="AK280" s="4169"/>
      <c r="AL280" s="4169"/>
    </row>
    <row r="281" spans="8:8" ht="21.95" customHeight="1">
      <c r="O281" s="4162"/>
      <c r="AB281" s="4232"/>
      <c r="AC281" s="4169" t="s">
        <v>5753</v>
      </c>
      <c r="AD281" s="4169"/>
      <c r="AE281" s="4169"/>
      <c r="AF281" s="4169"/>
      <c r="AG281" s="4169"/>
      <c r="AH281" s="4169"/>
      <c r="AI281" s="4169"/>
      <c r="AJ281" s="4169"/>
      <c r="AK281" s="4169"/>
      <c r="AL281" s="4169"/>
    </row>
    <row r="282" spans="8:8" ht="21.95" customHeight="1">
      <c r="O282" s="4162"/>
      <c r="AB282" s="4232"/>
      <c r="AC282" s="4169" t="s">
        <v>5754</v>
      </c>
      <c r="AD282" s="4169"/>
      <c r="AE282" s="4169"/>
      <c r="AF282" s="4169"/>
      <c r="AG282" s="4169"/>
      <c r="AH282" s="4169"/>
      <c r="AI282" s="4169"/>
      <c r="AJ282" s="4169"/>
      <c r="AK282" s="4169"/>
      <c r="AL282" s="4169"/>
    </row>
    <row r="283" spans="8:8" ht="21.95" customHeight="1">
      <c r="O283" s="4162"/>
      <c r="AB283" s="4170" t="s">
        <v>5471</v>
      </c>
      <c r="AC283" s="4175" t="s">
        <v>5755</v>
      </c>
      <c r="AD283" s="4175"/>
      <c r="AE283" s="4175"/>
      <c r="AF283" s="4175"/>
      <c r="AG283" s="4175"/>
      <c r="AH283" s="4175"/>
      <c r="AI283" s="4175"/>
      <c r="AJ283" s="4175"/>
      <c r="AK283" s="4175"/>
      <c r="AL283" s="4175"/>
    </row>
    <row r="284" spans="8:8" ht="21.95" customHeight="1">
      <c r="O284" s="4162"/>
      <c r="AB284" s="4170"/>
      <c r="AC284" s="4175"/>
      <c r="AD284" s="4175"/>
      <c r="AE284" s="4175"/>
      <c r="AF284" s="4175"/>
      <c r="AG284" s="4175"/>
      <c r="AH284" s="4175"/>
      <c r="AI284" s="4175"/>
      <c r="AJ284" s="4175"/>
      <c r="AK284" s="4175"/>
      <c r="AL284" s="4175"/>
    </row>
    <row r="285" spans="8:8" ht="21.95" customHeight="1">
      <c r="O285" s="4162"/>
      <c r="AB285" s="4170"/>
      <c r="AC285" s="4175"/>
      <c r="AD285" s="4175"/>
      <c r="AE285" s="4175"/>
      <c r="AF285" s="4175"/>
      <c r="AG285" s="4175"/>
      <c r="AH285" s="4175"/>
      <c r="AI285" s="4175"/>
      <c r="AJ285" s="4175"/>
      <c r="AK285" s="4175"/>
      <c r="AL285" s="4175"/>
    </row>
    <row r="286" spans="8:8" ht="21.95" customHeight="1">
      <c r="O286" s="4162"/>
      <c r="AB286" s="4170"/>
      <c r="AC286" s="4175"/>
      <c r="AD286" s="4175"/>
      <c r="AE286" s="4175"/>
      <c r="AF286" s="4175"/>
      <c r="AG286" s="4175"/>
      <c r="AH286" s="4175"/>
      <c r="AI286" s="4175"/>
      <c r="AJ286" s="4175"/>
      <c r="AK286" s="4175"/>
      <c r="AL286" s="4175"/>
    </row>
    <row r="287" spans="8:8" ht="21.95" customHeight="1">
      <c r="O287" s="4162"/>
      <c r="AB287" s="4170"/>
      <c r="AC287" s="4175"/>
      <c r="AD287" s="4175"/>
      <c r="AE287" s="4175"/>
      <c r="AF287" s="4175"/>
      <c r="AG287" s="4175"/>
      <c r="AH287" s="4175"/>
      <c r="AI287" s="4175"/>
      <c r="AJ287" s="4175"/>
      <c r="AK287" s="4175"/>
      <c r="AL287" s="4175"/>
    </row>
    <row r="288" spans="8:8" ht="21.95" customHeight="1">
      <c r="O288" s="4162"/>
      <c r="AB288" s="4170"/>
      <c r="AC288" s="4175"/>
      <c r="AD288" s="4175"/>
      <c r="AE288" s="4175"/>
      <c r="AF288" s="4175"/>
      <c r="AG288" s="4175"/>
      <c r="AH288" s="4175"/>
      <c r="AI288" s="4175"/>
      <c r="AJ288" s="4175"/>
      <c r="AK288" s="4175"/>
      <c r="AL288" s="4175"/>
    </row>
    <row r="289" spans="8:8" ht="21.95" customHeight="1">
      <c r="O289" s="4162"/>
      <c r="AB289" s="4170"/>
      <c r="AC289" s="4175"/>
      <c r="AD289" s="4175"/>
      <c r="AE289" s="4175"/>
      <c r="AF289" s="4175"/>
      <c r="AG289" s="4175"/>
      <c r="AH289" s="4175"/>
      <c r="AI289" s="4175"/>
      <c r="AJ289" s="4175"/>
      <c r="AK289" s="4175"/>
      <c r="AL289" s="4175"/>
    </row>
    <row r="290" spans="8:8" ht="21.95" customHeight="1">
      <c r="O290" s="4162"/>
      <c r="AB290" s="4177" t="s">
        <v>5634</v>
      </c>
      <c r="AC290" s="4169" t="s">
        <v>5756</v>
      </c>
      <c r="AD290" s="4169"/>
      <c r="AE290" s="4169"/>
      <c r="AF290" s="4169"/>
      <c r="AG290" s="4169"/>
      <c r="AH290" s="4169"/>
      <c r="AI290" s="4169"/>
      <c r="AJ290" s="4169"/>
      <c r="AK290" s="4169"/>
      <c r="AL290" s="4169"/>
    </row>
    <row r="291" spans="8:8" ht="21.95" customHeight="1">
      <c r="O291" s="4162"/>
      <c r="AB291" s="4163" t="s">
        <v>5757</v>
      </c>
      <c r="AC291" s="4163"/>
      <c r="AD291" s="4163"/>
      <c r="AE291" s="4163"/>
      <c r="AF291" s="4163"/>
      <c r="AG291" s="4163"/>
      <c r="AH291" s="4163"/>
      <c r="AI291" s="4163"/>
      <c r="AJ291" s="4163"/>
      <c r="AK291" s="4163"/>
      <c r="AL291" s="4163"/>
    </row>
    <row r="292" spans="8:8" ht="21.95" customHeight="1">
      <c r="O292" s="4162"/>
      <c r="AB292" s="4170" t="s">
        <v>5758</v>
      </c>
      <c r="AC292" s="4175" t="s">
        <v>5759</v>
      </c>
      <c r="AD292" s="4175"/>
      <c r="AE292" s="4175"/>
      <c r="AF292" s="4175"/>
      <c r="AG292" s="4175"/>
      <c r="AH292" s="4175"/>
      <c r="AI292" s="4175"/>
      <c r="AJ292" s="4175"/>
      <c r="AK292" s="4175"/>
      <c r="AL292" s="4175"/>
    </row>
    <row r="293" spans="8:8" ht="21.95" customHeight="1">
      <c r="O293" s="4162"/>
      <c r="AB293" s="4170"/>
      <c r="AC293" s="4175" t="s">
        <v>5760</v>
      </c>
      <c r="AD293" s="4175"/>
      <c r="AE293" s="4175"/>
      <c r="AF293" s="4175"/>
      <c r="AG293" s="4175"/>
      <c r="AH293" s="4175"/>
      <c r="AI293" s="4175"/>
      <c r="AJ293" s="4175"/>
      <c r="AK293" s="4175"/>
      <c r="AL293" s="4175"/>
    </row>
    <row r="294" spans="8:8" ht="21.95" customHeight="1">
      <c r="O294" s="4162"/>
      <c r="AB294" s="4170"/>
      <c r="AC294" s="4175"/>
      <c r="AD294" s="4175"/>
      <c r="AE294" s="4175"/>
      <c r="AF294" s="4175"/>
      <c r="AG294" s="4175"/>
      <c r="AH294" s="4175"/>
      <c r="AI294" s="4175"/>
      <c r="AJ294" s="4175"/>
      <c r="AK294" s="4175"/>
      <c r="AL294" s="4175"/>
    </row>
    <row r="295" spans="8:8" ht="21.95" customHeight="1">
      <c r="O295" s="4162"/>
      <c r="AB295" s="4170"/>
      <c r="AC295" s="4175"/>
      <c r="AD295" s="4175"/>
      <c r="AE295" s="4175"/>
      <c r="AF295" s="4175"/>
      <c r="AG295" s="4175"/>
      <c r="AH295" s="4175"/>
      <c r="AI295" s="4175"/>
      <c r="AJ295" s="4175"/>
      <c r="AK295" s="4175"/>
      <c r="AL295" s="4175"/>
    </row>
    <row r="296" spans="8:8" ht="21.95" customHeight="1">
      <c r="O296" s="4162"/>
      <c r="AB296" s="4170"/>
      <c r="AC296" s="4175"/>
      <c r="AD296" s="4175"/>
      <c r="AE296" s="4175"/>
      <c r="AF296" s="4175"/>
      <c r="AG296" s="4175"/>
      <c r="AH296" s="4175"/>
      <c r="AI296" s="4175"/>
      <c r="AJ296" s="4175"/>
      <c r="AK296" s="4175"/>
      <c r="AL296" s="4175"/>
    </row>
    <row r="297" spans="8:8" ht="21.95" customHeight="1">
      <c r="O297" s="4162"/>
      <c r="AB297" s="4170"/>
      <c r="AC297" s="4175" t="s">
        <v>5761</v>
      </c>
      <c r="AD297" s="4175"/>
      <c r="AE297" s="4175"/>
      <c r="AF297" s="4175"/>
      <c r="AG297" s="4175"/>
      <c r="AH297" s="4175"/>
      <c r="AI297" s="4175"/>
      <c r="AJ297" s="4175"/>
      <c r="AK297" s="4175"/>
      <c r="AL297" s="4175"/>
    </row>
    <row r="298" spans="8:8" ht="21.95" customHeight="1">
      <c r="O298" s="4162"/>
      <c r="AB298" s="4170"/>
      <c r="AC298" s="4169" t="s">
        <v>5762</v>
      </c>
      <c r="AD298" s="4169"/>
      <c r="AE298" s="4169"/>
      <c r="AF298" s="4169"/>
      <c r="AG298" s="4169"/>
      <c r="AH298" s="4169"/>
      <c r="AI298" s="4169"/>
      <c r="AJ298" s="4169"/>
      <c r="AK298" s="4169"/>
      <c r="AL298" s="4169"/>
    </row>
    <row r="299" spans="8:8" ht="21.95" customHeight="1">
      <c r="O299" s="4162"/>
      <c r="AB299" s="4170"/>
      <c r="AC299" s="4169" t="s">
        <v>5763</v>
      </c>
      <c r="AD299" s="4169"/>
      <c r="AE299" s="4169"/>
      <c r="AF299" s="4169"/>
      <c r="AG299" s="4169"/>
      <c r="AH299" s="4169"/>
      <c r="AI299" s="4169"/>
      <c r="AJ299" s="4169"/>
      <c r="AK299" s="4169"/>
      <c r="AL299" s="4169"/>
    </row>
    <row r="300" spans="8:8" ht="21.95" customHeight="1">
      <c r="O300" s="4162"/>
      <c r="AB300" s="4170"/>
      <c r="AC300" s="4169" t="s">
        <v>5764</v>
      </c>
      <c r="AD300" s="4169"/>
      <c r="AE300" s="4169"/>
      <c r="AF300" s="4169"/>
      <c r="AG300" s="4169"/>
      <c r="AH300" s="4169"/>
      <c r="AI300" s="4169"/>
      <c r="AJ300" s="4169"/>
      <c r="AK300" s="4169"/>
      <c r="AL300" s="4169"/>
    </row>
    <row r="301" spans="8:8" ht="21.95" customHeight="1">
      <c r="O301" s="4162"/>
      <c r="AB301" s="4170"/>
      <c r="AC301" s="4175" t="s">
        <v>5765</v>
      </c>
      <c r="AD301" s="4175"/>
      <c r="AE301" s="4175"/>
      <c r="AF301" s="4175"/>
      <c r="AG301" s="4175"/>
      <c r="AH301" s="4175"/>
      <c r="AI301" s="4175"/>
      <c r="AJ301" s="4175"/>
      <c r="AK301" s="4175"/>
      <c r="AL301" s="4175"/>
    </row>
    <row r="302" spans="8:8" ht="21.95" customHeight="1">
      <c r="O302" s="4162"/>
      <c r="AB302" s="4170"/>
      <c r="AC302" s="4175"/>
      <c r="AD302" s="4175"/>
      <c r="AE302" s="4175"/>
      <c r="AF302" s="4175"/>
      <c r="AG302" s="4175"/>
      <c r="AH302" s="4175"/>
      <c r="AI302" s="4175"/>
      <c r="AJ302" s="4175"/>
      <c r="AK302" s="4175"/>
      <c r="AL302" s="4175"/>
    </row>
    <row r="303" spans="8:8" ht="21.95" customHeight="1">
      <c r="O303" s="4162"/>
      <c r="AB303" s="4170"/>
      <c r="AC303" s="4175" t="s">
        <v>5766</v>
      </c>
      <c r="AD303" s="4175"/>
      <c r="AE303" s="4175"/>
      <c r="AF303" s="4175"/>
      <c r="AG303" s="4175"/>
      <c r="AH303" s="4175"/>
      <c r="AI303" s="4175"/>
      <c r="AJ303" s="4175"/>
      <c r="AK303" s="4175"/>
      <c r="AL303" s="4175"/>
    </row>
    <row r="304" spans="8:8" ht="21.95" customHeight="1">
      <c r="O304" s="4162"/>
      <c r="AB304" s="4170"/>
      <c r="AC304" s="4175" t="s">
        <v>5767</v>
      </c>
      <c r="AD304" s="4175"/>
      <c r="AE304" s="4175"/>
      <c r="AF304" s="4175"/>
      <c r="AG304" s="4175"/>
      <c r="AH304" s="4175"/>
      <c r="AI304" s="4175"/>
      <c r="AJ304" s="4175"/>
      <c r="AK304" s="4175"/>
      <c r="AL304" s="4175"/>
    </row>
    <row r="305" spans="8:8" ht="21.95" customHeight="1">
      <c r="O305" s="4162"/>
      <c r="AB305" s="4170"/>
      <c r="AC305" s="4169" t="s">
        <v>5768</v>
      </c>
      <c r="AD305" s="4169"/>
      <c r="AE305" s="4169"/>
      <c r="AF305" s="4169"/>
      <c r="AG305" s="4169"/>
      <c r="AH305" s="4169"/>
      <c r="AI305" s="4169"/>
      <c r="AJ305" s="4169"/>
      <c r="AK305" s="4169"/>
      <c r="AL305" s="4169"/>
    </row>
    <row r="306" spans="8:8" ht="21.95" customHeight="1">
      <c r="O306" s="4162"/>
      <c r="AB306" s="4170"/>
      <c r="AC306" s="4175" t="s">
        <v>5769</v>
      </c>
      <c r="AD306" s="4169"/>
      <c r="AE306" s="4169"/>
      <c r="AF306" s="4169"/>
      <c r="AG306" s="4169"/>
      <c r="AH306" s="4169"/>
      <c r="AI306" s="4169"/>
      <c r="AJ306" s="4169"/>
      <c r="AK306" s="4169"/>
      <c r="AL306" s="4169"/>
    </row>
    <row r="307" spans="8:8" ht="21.95" customHeight="1">
      <c r="O307" s="4162"/>
      <c r="AB307" s="4170"/>
      <c r="AC307" s="4169"/>
      <c r="AD307" s="4169"/>
      <c r="AE307" s="4169"/>
      <c r="AF307" s="4169"/>
      <c r="AG307" s="4169"/>
      <c r="AH307" s="4169"/>
      <c r="AI307" s="4169"/>
      <c r="AJ307" s="4169"/>
      <c r="AK307" s="4169"/>
      <c r="AL307" s="4169"/>
    </row>
    <row r="308" spans="8:8" ht="21.95" customHeight="1">
      <c r="O308" s="4162"/>
      <c r="AB308" s="4170" t="s">
        <v>5471</v>
      </c>
      <c r="AC308" s="4169" t="s">
        <v>5770</v>
      </c>
      <c r="AD308" s="4169"/>
      <c r="AE308" s="4169"/>
      <c r="AF308" s="4169"/>
      <c r="AG308" s="4169"/>
      <c r="AH308" s="4169"/>
      <c r="AI308" s="4169"/>
      <c r="AJ308" s="4169"/>
      <c r="AK308" s="4169"/>
      <c r="AL308" s="4169"/>
    </row>
    <row r="309" spans="8:8" ht="21.95" customHeight="1">
      <c r="O309" s="4162"/>
      <c r="AB309" s="4170"/>
      <c r="AC309" s="4175" t="s">
        <v>5771</v>
      </c>
      <c r="AD309" s="4169"/>
      <c r="AE309" s="4169"/>
      <c r="AF309" s="4169"/>
      <c r="AG309" s="4169"/>
      <c r="AH309" s="4169"/>
      <c r="AI309" s="4169"/>
      <c r="AJ309" s="4169"/>
      <c r="AK309" s="4169"/>
      <c r="AL309" s="4169"/>
    </row>
    <row r="310" spans="8:8" ht="21.95" customHeight="1">
      <c r="O310" s="4162"/>
      <c r="AB310" s="4170"/>
      <c r="AC310" s="4169"/>
      <c r="AD310" s="4169"/>
      <c r="AE310" s="4169"/>
      <c r="AF310" s="4169"/>
      <c r="AG310" s="4169"/>
      <c r="AH310" s="4169"/>
      <c r="AI310" s="4169"/>
      <c r="AJ310" s="4169"/>
      <c r="AK310" s="4169"/>
      <c r="AL310" s="4169"/>
    </row>
    <row r="311" spans="8:8" ht="21.95" customHeight="1">
      <c r="O311" s="4162"/>
      <c r="AB311" s="4170"/>
      <c r="AC311" s="4169" t="s">
        <v>5772</v>
      </c>
      <c r="AD311" s="4169"/>
      <c r="AE311" s="4169"/>
      <c r="AF311" s="4169"/>
      <c r="AG311" s="4169"/>
      <c r="AH311" s="4169"/>
      <c r="AI311" s="4169"/>
      <c r="AJ311" s="4169"/>
      <c r="AK311" s="4169"/>
      <c r="AL311" s="4169"/>
    </row>
    <row r="312" spans="8:8" ht="21.95" customHeight="1">
      <c r="O312" s="4162"/>
      <c r="AB312" s="4222" t="s">
        <v>5618</v>
      </c>
      <c r="AC312" s="4169" t="s">
        <v>5773</v>
      </c>
      <c r="AD312" s="4169"/>
      <c r="AE312" s="4169"/>
      <c r="AF312" s="4169"/>
      <c r="AG312" s="4169"/>
      <c r="AH312" s="4169"/>
      <c r="AI312" s="4169"/>
      <c r="AJ312" s="4169"/>
      <c r="AK312" s="4169"/>
      <c r="AL312" s="4169"/>
    </row>
    <row r="313" spans="8:8" ht="21.95" customHeight="1">
      <c r="O313" s="4162"/>
      <c r="AB313" s="4222"/>
      <c r="AC313" s="4169" t="s">
        <v>5774</v>
      </c>
      <c r="AD313" s="4169"/>
      <c r="AE313" s="4169"/>
      <c r="AF313" s="4169"/>
      <c r="AG313" s="4169"/>
      <c r="AH313" s="4169"/>
      <c r="AI313" s="4169"/>
      <c r="AJ313" s="4169"/>
      <c r="AK313" s="4169"/>
      <c r="AL313" s="4169"/>
    </row>
    <row r="314" spans="8:8" ht="21.95" customHeight="1">
      <c r="O314" s="4162"/>
      <c r="AB314" s="4241" t="s">
        <v>5730</v>
      </c>
      <c r="AC314" s="4169" t="s">
        <v>5775</v>
      </c>
      <c r="AD314" s="4169"/>
      <c r="AE314" s="4169"/>
      <c r="AF314" s="4169"/>
      <c r="AG314" s="4169"/>
      <c r="AH314" s="4169"/>
      <c r="AI314" s="4169"/>
      <c r="AJ314" s="4169"/>
      <c r="AK314" s="4169"/>
      <c r="AL314" s="4169"/>
    </row>
    <row r="315" spans="8:8" ht="21.95" customHeight="1">
      <c r="O315" s="4162"/>
      <c r="AB315" s="4170" t="s">
        <v>5776</v>
      </c>
      <c r="AC315" s="4175" t="s">
        <v>5777</v>
      </c>
      <c r="AD315" s="4169"/>
      <c r="AE315" s="4169"/>
      <c r="AF315" s="4169"/>
      <c r="AG315" s="4169"/>
      <c r="AH315" s="4169"/>
      <c r="AI315" s="4169"/>
      <c r="AJ315" s="4169"/>
      <c r="AK315" s="4169"/>
      <c r="AL315" s="4169"/>
    </row>
    <row r="316" spans="8:8" ht="21.95" customHeight="1">
      <c r="O316" s="4162"/>
      <c r="AB316" s="4170"/>
      <c r="AC316" s="4169"/>
      <c r="AD316" s="4169"/>
      <c r="AE316" s="4169"/>
      <c r="AF316" s="4169"/>
      <c r="AG316" s="4169"/>
      <c r="AH316" s="4169"/>
      <c r="AI316" s="4169"/>
      <c r="AJ316" s="4169"/>
      <c r="AK316" s="4169"/>
      <c r="AL316" s="4169"/>
    </row>
    <row r="317" spans="8:8" ht="21.95" customHeight="1">
      <c r="O317" s="4162"/>
      <c r="AB317" s="4170"/>
      <c r="AC317" s="4169"/>
      <c r="AD317" s="4169"/>
      <c r="AE317" s="4169"/>
      <c r="AF317" s="4169"/>
      <c r="AG317" s="4169"/>
      <c r="AH317" s="4169"/>
      <c r="AI317" s="4169"/>
      <c r="AJ317" s="4169"/>
      <c r="AK317" s="4169"/>
      <c r="AL317" s="4169"/>
    </row>
    <row r="318" spans="8:8" ht="21.95" customHeight="1">
      <c r="O318" s="4162"/>
      <c r="AB318" s="4170"/>
      <c r="AC318" s="4169"/>
      <c r="AD318" s="4169"/>
      <c r="AE318" s="4169"/>
      <c r="AF318" s="4169"/>
      <c r="AG318" s="4169"/>
      <c r="AH318" s="4169"/>
      <c r="AI318" s="4169"/>
      <c r="AJ318" s="4169"/>
      <c r="AK318" s="4169"/>
      <c r="AL318" s="4169"/>
    </row>
    <row r="319" spans="8:8" ht="21.95" customHeight="1">
      <c r="O319" s="4162"/>
      <c r="AB319" s="4170"/>
      <c r="AC319" s="4169"/>
      <c r="AD319" s="4169"/>
      <c r="AE319" s="4169"/>
      <c r="AF319" s="4169"/>
      <c r="AG319" s="4169"/>
      <c r="AH319" s="4169"/>
      <c r="AI319" s="4169"/>
      <c r="AJ319" s="4169"/>
      <c r="AK319" s="4169"/>
      <c r="AL319" s="4169"/>
    </row>
    <row r="320" spans="8:8" ht="21.95" customHeight="1">
      <c r="O320" s="4162"/>
      <c r="AB320" s="4170" t="s">
        <v>5778</v>
      </c>
      <c r="AC320" s="4175" t="s">
        <v>5779</v>
      </c>
      <c r="AD320" s="4175"/>
      <c r="AE320" s="4175"/>
      <c r="AF320" s="4175"/>
      <c r="AG320" s="4175"/>
      <c r="AH320" s="4175"/>
      <c r="AI320" s="4175"/>
      <c r="AJ320" s="4175"/>
      <c r="AK320" s="4175"/>
      <c r="AL320" s="4175"/>
    </row>
    <row r="321" spans="8:8" ht="21.95" customHeight="1">
      <c r="O321" s="4162"/>
      <c r="AB321" s="4170"/>
      <c r="AC321" s="4175"/>
      <c r="AD321" s="4175"/>
      <c r="AE321" s="4175"/>
      <c r="AF321" s="4175"/>
      <c r="AG321" s="4175"/>
      <c r="AH321" s="4175"/>
      <c r="AI321" s="4175"/>
      <c r="AJ321" s="4175"/>
      <c r="AK321" s="4175"/>
      <c r="AL321" s="4175"/>
    </row>
    <row r="322" spans="8:8" ht="21.95" customHeight="1">
      <c r="O322" s="4162"/>
      <c r="AB322" s="4170"/>
      <c r="AC322" s="4175"/>
      <c r="AD322" s="4175"/>
      <c r="AE322" s="4175"/>
      <c r="AF322" s="4175"/>
      <c r="AG322" s="4175"/>
      <c r="AH322" s="4175"/>
      <c r="AI322" s="4175"/>
      <c r="AJ322" s="4175"/>
      <c r="AK322" s="4175"/>
      <c r="AL322" s="4175"/>
    </row>
    <row r="323" spans="8:8" ht="21.95" customHeight="1">
      <c r="O323" s="4162"/>
      <c r="AB323" s="4170"/>
      <c r="AC323" s="4175"/>
      <c r="AD323" s="4175"/>
      <c r="AE323" s="4175"/>
      <c r="AF323" s="4175"/>
      <c r="AG323" s="4175"/>
      <c r="AH323" s="4175"/>
      <c r="AI323" s="4175"/>
      <c r="AJ323" s="4175"/>
      <c r="AK323" s="4175"/>
      <c r="AL323" s="4175"/>
    </row>
    <row r="324" spans="8:8" ht="21.95" customHeight="1">
      <c r="O324" s="4162"/>
      <c r="AB324" s="4170"/>
      <c r="AC324" s="4175"/>
      <c r="AD324" s="4175"/>
      <c r="AE324" s="4175"/>
      <c r="AF324" s="4175"/>
      <c r="AG324" s="4175"/>
      <c r="AH324" s="4175"/>
      <c r="AI324" s="4175"/>
      <c r="AJ324" s="4175"/>
      <c r="AK324" s="4175"/>
      <c r="AL324" s="4175"/>
    </row>
    <row r="325" spans="8:8" ht="21.95" customHeight="1">
      <c r="O325" s="4162"/>
      <c r="AB325" s="4170"/>
      <c r="AC325" s="4175"/>
      <c r="AD325" s="4175"/>
      <c r="AE325" s="4175"/>
      <c r="AF325" s="4175"/>
      <c r="AG325" s="4175"/>
      <c r="AH325" s="4175"/>
      <c r="AI325" s="4175"/>
      <c r="AJ325" s="4175"/>
      <c r="AK325" s="4175"/>
      <c r="AL325" s="4175"/>
    </row>
    <row r="326" spans="8:8" ht="21.95" customHeight="1">
      <c r="O326" s="4162"/>
      <c r="AB326" s="4163" t="s">
        <v>5780</v>
      </c>
      <c r="AC326" s="4163"/>
      <c r="AD326" s="4163"/>
      <c r="AE326" s="4163"/>
      <c r="AF326" s="4163"/>
      <c r="AG326" s="4163"/>
      <c r="AH326" s="4163"/>
      <c r="AI326" s="4163"/>
      <c r="AJ326" s="4163"/>
      <c r="AK326" s="4163"/>
      <c r="AL326" s="4163"/>
    </row>
    <row r="327" spans="8:8" ht="21.95" customHeight="1">
      <c r="O327" s="4162"/>
      <c r="AB327" s="4243" t="s">
        <v>5558</v>
      </c>
      <c r="AC327" s="4169" t="s">
        <v>5781</v>
      </c>
      <c r="AD327" s="4169"/>
      <c r="AE327" s="4169"/>
      <c r="AF327" s="4169"/>
      <c r="AG327" s="4169"/>
      <c r="AH327" s="4169"/>
      <c r="AI327" s="4169"/>
      <c r="AJ327" s="4169"/>
      <c r="AK327" s="4169"/>
      <c r="AL327" s="4169"/>
    </row>
    <row r="328" spans="8:8" ht="21.95" customHeight="1">
      <c r="O328" s="4162"/>
      <c r="AB328" s="4170" t="s">
        <v>5782</v>
      </c>
      <c r="AC328" s="4169" t="s">
        <v>5783</v>
      </c>
      <c r="AD328" s="4169"/>
      <c r="AE328" s="4169"/>
      <c r="AF328" s="4169"/>
      <c r="AG328" s="4169"/>
      <c r="AH328" s="4169"/>
      <c r="AI328" s="4169"/>
      <c r="AJ328" s="4169"/>
      <c r="AK328" s="4169"/>
      <c r="AL328" s="4169"/>
    </row>
    <row r="329" spans="8:8" ht="21.95" customHeight="1">
      <c r="O329" s="4162"/>
      <c r="AB329" s="4170"/>
      <c r="AC329" s="4169" t="s">
        <v>5784</v>
      </c>
      <c r="AD329" s="4169"/>
      <c r="AE329" s="4169"/>
      <c r="AF329" s="4169"/>
      <c r="AG329" s="4169"/>
      <c r="AH329" s="4169"/>
      <c r="AI329" s="4169"/>
      <c r="AJ329" s="4169"/>
      <c r="AK329" s="4169"/>
      <c r="AL329" s="4169"/>
    </row>
    <row r="330" spans="8:8" ht="21.95" customHeight="1">
      <c r="O330" s="4162"/>
      <c r="AB330" s="4170"/>
      <c r="AC330" s="4169" t="s">
        <v>5785</v>
      </c>
      <c r="AD330" s="4169"/>
      <c r="AE330" s="4169"/>
      <c r="AF330" s="4169"/>
      <c r="AG330" s="4169"/>
      <c r="AH330" s="4169"/>
      <c r="AI330" s="4169"/>
      <c r="AJ330" s="4169"/>
      <c r="AK330" s="4169"/>
      <c r="AL330" s="4169"/>
    </row>
    <row r="331" spans="8:8" ht="21.95" customHeight="1">
      <c r="O331" s="4162"/>
      <c r="AB331" s="4170"/>
      <c r="AC331" s="4175" t="s">
        <v>5786</v>
      </c>
      <c r="AD331" s="4175"/>
      <c r="AE331" s="4175"/>
      <c r="AF331" s="4175"/>
      <c r="AG331" s="4175"/>
      <c r="AH331" s="4175"/>
      <c r="AI331" s="4175"/>
      <c r="AJ331" s="4175"/>
      <c r="AK331" s="4175"/>
      <c r="AL331" s="4175"/>
    </row>
    <row r="332" spans="8:8" ht="21.95" customHeight="1">
      <c r="O332" s="4162"/>
      <c r="AB332" s="4170"/>
      <c r="AC332" s="4175"/>
      <c r="AD332" s="4175"/>
      <c r="AE332" s="4175"/>
      <c r="AF332" s="4175"/>
      <c r="AG332" s="4175"/>
      <c r="AH332" s="4175"/>
      <c r="AI332" s="4175"/>
      <c r="AJ332" s="4175"/>
      <c r="AK332" s="4175"/>
      <c r="AL332" s="4175"/>
    </row>
    <row r="333" spans="8:8" ht="21.95" customHeight="1">
      <c r="O333" s="4162"/>
      <c r="AB333" s="4170"/>
      <c r="AC333" s="4175"/>
      <c r="AD333" s="4175"/>
      <c r="AE333" s="4175"/>
      <c r="AF333" s="4175"/>
      <c r="AG333" s="4175"/>
      <c r="AH333" s="4175"/>
      <c r="AI333" s="4175"/>
      <c r="AJ333" s="4175"/>
      <c r="AK333" s="4175"/>
      <c r="AL333" s="4175"/>
    </row>
    <row r="334" spans="8:8" ht="21.95" customHeight="1">
      <c r="O334" s="4162"/>
      <c r="AB334" s="4170"/>
      <c r="AC334" s="4169" t="s">
        <v>5787</v>
      </c>
      <c r="AD334" s="4169"/>
      <c r="AE334" s="4169"/>
      <c r="AF334" s="4169"/>
      <c r="AG334" s="4169"/>
      <c r="AH334" s="4169"/>
      <c r="AI334" s="4169"/>
      <c r="AJ334" s="4169"/>
      <c r="AK334" s="4169"/>
      <c r="AL334" s="4169"/>
    </row>
    <row r="335" spans="8:8" ht="21.95" customHeight="1">
      <c r="O335" s="4162"/>
      <c r="AB335" s="4170"/>
      <c r="AC335" s="4169" t="s">
        <v>5788</v>
      </c>
      <c r="AD335" s="4169"/>
      <c r="AE335" s="4169"/>
      <c r="AF335" s="4169"/>
      <c r="AG335" s="4169"/>
      <c r="AH335" s="4169"/>
      <c r="AI335" s="4169"/>
      <c r="AJ335" s="4169"/>
      <c r="AK335" s="4169"/>
      <c r="AL335" s="4169"/>
    </row>
    <row r="336" spans="8:8" ht="21.95" customHeight="1">
      <c r="O336" s="4162"/>
      <c r="AB336" s="4170"/>
      <c r="AC336" s="4169" t="s">
        <v>5789</v>
      </c>
      <c r="AD336" s="4169"/>
      <c r="AE336" s="4169"/>
      <c r="AF336" s="4169"/>
      <c r="AG336" s="4169"/>
      <c r="AH336" s="4169"/>
      <c r="AI336" s="4169"/>
      <c r="AJ336" s="4169"/>
      <c r="AK336" s="4169"/>
      <c r="AL336" s="4169"/>
    </row>
    <row r="337" spans="8:8" ht="21.95" customHeight="1">
      <c r="O337" s="4162"/>
      <c r="AB337" s="4170"/>
      <c r="AC337" s="4175" t="s">
        <v>5790</v>
      </c>
      <c r="AD337" s="4169"/>
      <c r="AE337" s="4169"/>
      <c r="AF337" s="4169"/>
      <c r="AG337" s="4169"/>
      <c r="AH337" s="4169"/>
      <c r="AI337" s="4169"/>
      <c r="AJ337" s="4169"/>
      <c r="AK337" s="4169"/>
      <c r="AL337" s="4169"/>
    </row>
    <row r="338" spans="8:8" ht="21.95" customHeight="1">
      <c r="O338" s="4162"/>
      <c r="AB338" s="4170"/>
      <c r="AC338" s="4169"/>
      <c r="AD338" s="4169"/>
      <c r="AE338" s="4169"/>
      <c r="AF338" s="4169"/>
      <c r="AG338" s="4169"/>
      <c r="AH338" s="4169"/>
      <c r="AI338" s="4169"/>
      <c r="AJ338" s="4169"/>
      <c r="AK338" s="4169"/>
      <c r="AL338" s="4169"/>
    </row>
    <row r="339" spans="8:8" ht="21.95" customHeight="1">
      <c r="O339" s="4162"/>
      <c r="AB339" s="4170"/>
      <c r="AC339" s="4169" t="s">
        <v>5791</v>
      </c>
      <c r="AD339" s="4169"/>
      <c r="AE339" s="4169"/>
      <c r="AF339" s="4169"/>
      <c r="AG339" s="4169"/>
      <c r="AH339" s="4169"/>
      <c r="AI339" s="4169"/>
      <c r="AJ339" s="4169"/>
      <c r="AK339" s="4169"/>
      <c r="AL339" s="4169"/>
    </row>
    <row r="340" spans="8:8" ht="21.95" customHeight="1">
      <c r="O340" s="4162"/>
      <c r="AB340" s="4170"/>
      <c r="AC340" s="4175" t="s">
        <v>5792</v>
      </c>
      <c r="AD340" s="4169"/>
      <c r="AE340" s="4169"/>
      <c r="AF340" s="4169"/>
      <c r="AG340" s="4169"/>
      <c r="AH340" s="4169"/>
      <c r="AI340" s="4169"/>
      <c r="AJ340" s="4169"/>
      <c r="AK340" s="4169"/>
      <c r="AL340" s="4169"/>
    </row>
    <row r="341" spans="8:8" ht="21.95" customHeight="1">
      <c r="O341" s="4162"/>
      <c r="AB341" s="4170"/>
      <c r="AC341" s="4169"/>
      <c r="AD341" s="4169"/>
      <c r="AE341" s="4169"/>
      <c r="AF341" s="4169"/>
      <c r="AG341" s="4169"/>
      <c r="AH341" s="4169"/>
      <c r="AI341" s="4169"/>
      <c r="AJ341" s="4169"/>
      <c r="AK341" s="4169"/>
      <c r="AL341" s="4169"/>
    </row>
    <row r="342" spans="8:8" ht="21.95" customHeight="1">
      <c r="O342" s="4162"/>
      <c r="AB342" s="4170"/>
      <c r="AC342" s="4169" t="s">
        <v>5793</v>
      </c>
      <c r="AD342" s="4169"/>
      <c r="AE342" s="4169"/>
      <c r="AF342" s="4169"/>
      <c r="AG342" s="4169"/>
      <c r="AH342" s="4169"/>
      <c r="AI342" s="4169"/>
      <c r="AJ342" s="4169"/>
      <c r="AK342" s="4169"/>
      <c r="AL342" s="4169"/>
    </row>
    <row r="343" spans="8:8" ht="21.95" customHeight="1">
      <c r="O343" s="4162"/>
      <c r="AB343" s="4170"/>
      <c r="AC343" s="4169" t="s">
        <v>5794</v>
      </c>
      <c r="AD343" s="4169"/>
      <c r="AE343" s="4169"/>
      <c r="AF343" s="4169"/>
      <c r="AG343" s="4169"/>
      <c r="AH343" s="4169"/>
      <c r="AI343" s="4169"/>
      <c r="AJ343" s="4169"/>
      <c r="AK343" s="4169"/>
      <c r="AL343" s="4169"/>
    </row>
    <row r="344" spans="8:8" ht="21.95" customHeight="1">
      <c r="O344" s="4162"/>
      <c r="AB344" s="4170"/>
      <c r="AC344" s="4175" t="s">
        <v>5795</v>
      </c>
      <c r="AD344" s="4169"/>
      <c r="AE344" s="4169"/>
      <c r="AF344" s="4169"/>
      <c r="AG344" s="4169"/>
      <c r="AH344" s="4169"/>
      <c r="AI344" s="4169"/>
      <c r="AJ344" s="4169"/>
      <c r="AK344" s="4169"/>
      <c r="AL344" s="4169"/>
    </row>
    <row r="345" spans="8:8" ht="21.95" customHeight="1">
      <c r="O345" s="4162"/>
      <c r="AB345" s="4170"/>
      <c r="AC345" s="4169"/>
      <c r="AD345" s="4169"/>
      <c r="AE345" s="4169"/>
      <c r="AF345" s="4169"/>
      <c r="AG345" s="4169"/>
      <c r="AH345" s="4169"/>
      <c r="AI345" s="4169"/>
      <c r="AJ345" s="4169"/>
      <c r="AK345" s="4169"/>
      <c r="AL345" s="4169"/>
    </row>
    <row r="346" spans="8:8" ht="21.95" customHeight="1">
      <c r="O346" s="4162"/>
      <c r="AB346" s="4170"/>
      <c r="AC346" s="4169" t="s">
        <v>5796</v>
      </c>
      <c r="AD346" s="4169"/>
      <c r="AE346" s="4169"/>
      <c r="AF346" s="4169"/>
      <c r="AG346" s="4169"/>
      <c r="AH346" s="4169"/>
      <c r="AI346" s="4169"/>
      <c r="AJ346" s="4169"/>
      <c r="AK346" s="4169"/>
      <c r="AL346" s="4169"/>
    </row>
    <row r="347" spans="8:8" ht="21.95" customHeight="1">
      <c r="O347" s="4162"/>
      <c r="AB347" s="4222" t="s">
        <v>5730</v>
      </c>
      <c r="AC347" s="4175" t="s">
        <v>5797</v>
      </c>
      <c r="AD347" s="4169"/>
      <c r="AE347" s="4169"/>
      <c r="AF347" s="4169"/>
      <c r="AG347" s="4169"/>
      <c r="AH347" s="4169"/>
      <c r="AI347" s="4169"/>
      <c r="AJ347" s="4169"/>
      <c r="AK347" s="4169"/>
      <c r="AL347" s="4169"/>
    </row>
    <row r="348" spans="8:8" ht="21.95" customHeight="1">
      <c r="O348" s="4162"/>
      <c r="AB348" s="4222"/>
      <c r="AC348" s="4169"/>
      <c r="AD348" s="4169"/>
      <c r="AE348" s="4169"/>
      <c r="AF348" s="4169"/>
      <c r="AG348" s="4169"/>
      <c r="AH348" s="4169"/>
      <c r="AI348" s="4169"/>
      <c r="AJ348" s="4169"/>
      <c r="AK348" s="4169"/>
      <c r="AL348" s="4169"/>
    </row>
    <row r="349" spans="8:8" ht="21.95" customHeight="1">
      <c r="O349" s="4162"/>
      <c r="AB349" s="4205" t="s">
        <v>5798</v>
      </c>
      <c r="AC349" s="4175" t="s">
        <v>5799</v>
      </c>
      <c r="AD349" s="4169"/>
      <c r="AE349" s="4169"/>
      <c r="AF349" s="4169"/>
      <c r="AG349" s="4169"/>
      <c r="AH349" s="4169"/>
      <c r="AI349" s="4169"/>
      <c r="AJ349" s="4169"/>
      <c r="AK349" s="4169"/>
      <c r="AL349" s="4169"/>
    </row>
    <row r="350" spans="8:8" ht="21.95" customHeight="1">
      <c r="O350" s="4162"/>
      <c r="AB350" s="4205"/>
      <c r="AC350" s="4169"/>
      <c r="AD350" s="4169"/>
      <c r="AE350" s="4169"/>
      <c r="AF350" s="4169"/>
      <c r="AG350" s="4169"/>
      <c r="AH350" s="4169"/>
      <c r="AI350" s="4169"/>
      <c r="AJ350" s="4169"/>
      <c r="AK350" s="4169"/>
      <c r="AL350" s="4169"/>
    </row>
    <row r="351" spans="8:8" ht="21.95" customHeight="1">
      <c r="O351" s="4162"/>
      <c r="AB351" s="4163" t="s">
        <v>5800</v>
      </c>
      <c r="AC351" s="4163"/>
      <c r="AD351" s="4163"/>
      <c r="AE351" s="4163"/>
      <c r="AF351" s="4163"/>
      <c r="AG351" s="4163"/>
      <c r="AH351" s="4163"/>
      <c r="AI351" s="4163"/>
      <c r="AJ351" s="4163"/>
      <c r="AK351" s="4163"/>
      <c r="AL351" s="4163"/>
    </row>
    <row r="352" spans="8:8" ht="21.95" customHeight="1">
      <c r="O352" s="4162"/>
      <c r="AB352" s="4170" t="s">
        <v>5782</v>
      </c>
      <c r="AC352" s="4175" t="s">
        <v>5801</v>
      </c>
      <c r="AD352" s="4169"/>
      <c r="AE352" s="4169"/>
      <c r="AF352" s="4169"/>
      <c r="AG352" s="4169"/>
      <c r="AH352" s="4169"/>
      <c r="AI352" s="4169"/>
      <c r="AJ352" s="4169"/>
      <c r="AK352" s="4169"/>
      <c r="AL352" s="4169"/>
    </row>
    <row r="353" spans="8:8" ht="21.95" customHeight="1">
      <c r="O353" s="4162"/>
      <c r="AB353" s="4170"/>
      <c r="AC353" s="4169"/>
      <c r="AD353" s="4169"/>
      <c r="AE353" s="4169"/>
      <c r="AF353" s="4169"/>
      <c r="AG353" s="4169"/>
      <c r="AH353" s="4169"/>
      <c r="AI353" s="4169"/>
      <c r="AJ353" s="4169"/>
      <c r="AK353" s="4169"/>
      <c r="AL353" s="4169"/>
    </row>
    <row r="354" spans="8:8" ht="21.95" customHeight="1">
      <c r="O354" s="4162"/>
      <c r="AB354" s="4170"/>
      <c r="AC354" s="4169" t="s">
        <v>5802</v>
      </c>
      <c r="AD354" s="4169"/>
      <c r="AE354" s="4169"/>
      <c r="AF354" s="4169"/>
      <c r="AG354" s="4169"/>
      <c r="AH354" s="4169"/>
      <c r="AI354" s="4169"/>
      <c r="AJ354" s="4169"/>
      <c r="AK354" s="4169"/>
      <c r="AL354" s="4169"/>
    </row>
    <row r="355" spans="8:8" ht="21.95" customHeight="1">
      <c r="O355" s="4162"/>
      <c r="AB355" s="4170"/>
      <c r="AC355" s="4169" t="s">
        <v>5803</v>
      </c>
      <c r="AD355" s="4169"/>
      <c r="AE355" s="4169"/>
      <c r="AF355" s="4169"/>
      <c r="AG355" s="4169"/>
      <c r="AH355" s="4169"/>
      <c r="AI355" s="4169"/>
      <c r="AJ355" s="4169"/>
      <c r="AK355" s="4169"/>
      <c r="AL355" s="4169"/>
    </row>
    <row r="356" spans="8:8" ht="21.95" customHeight="1">
      <c r="O356" s="4162"/>
      <c r="AB356" s="4170"/>
      <c r="AC356" s="4175" t="s">
        <v>5804</v>
      </c>
      <c r="AD356" s="4175"/>
      <c r="AE356" s="4175"/>
      <c r="AF356" s="4175"/>
      <c r="AG356" s="4175"/>
      <c r="AH356" s="4175"/>
      <c r="AI356" s="4175"/>
      <c r="AJ356" s="4175"/>
      <c r="AK356" s="4175"/>
      <c r="AL356" s="4175"/>
    </row>
    <row r="357" spans="8:8" ht="21.95" customHeight="1">
      <c r="O357" s="4162"/>
      <c r="AB357" s="4170"/>
      <c r="AC357" s="4175"/>
      <c r="AD357" s="4175"/>
      <c r="AE357" s="4175"/>
      <c r="AF357" s="4175"/>
      <c r="AG357" s="4175"/>
      <c r="AH357" s="4175"/>
      <c r="AI357" s="4175"/>
      <c r="AJ357" s="4175"/>
      <c r="AK357" s="4175"/>
      <c r="AL357" s="4175"/>
    </row>
    <row r="358" spans="8:8" ht="21.95" customHeight="1">
      <c r="O358" s="4162"/>
      <c r="AB358" s="4170"/>
      <c r="AC358" s="4175"/>
      <c r="AD358" s="4175"/>
      <c r="AE358" s="4175"/>
      <c r="AF358" s="4175"/>
      <c r="AG358" s="4175"/>
      <c r="AH358" s="4175"/>
      <c r="AI358" s="4175"/>
      <c r="AJ358" s="4175"/>
      <c r="AK358" s="4175"/>
      <c r="AL358" s="4175"/>
    </row>
    <row r="359" spans="8:8" ht="21.95" customHeight="1">
      <c r="O359" s="4162"/>
      <c r="AB359" s="4170"/>
      <c r="AC359" s="4169" t="s">
        <v>5805</v>
      </c>
      <c r="AD359" s="4169"/>
      <c r="AE359" s="4169"/>
      <c r="AF359" s="4169"/>
      <c r="AG359" s="4169"/>
      <c r="AH359" s="4169"/>
      <c r="AI359" s="4169"/>
      <c r="AJ359" s="4169"/>
      <c r="AK359" s="4169"/>
      <c r="AL359" s="4169"/>
    </row>
    <row r="360" spans="8:8" ht="21.95" customHeight="1">
      <c r="O360" s="4162"/>
      <c r="AB360" s="4170"/>
      <c r="AC360" s="4169" t="s">
        <v>5806</v>
      </c>
      <c r="AD360" s="4169"/>
      <c r="AE360" s="4169"/>
      <c r="AF360" s="4169"/>
      <c r="AG360" s="4169"/>
      <c r="AH360" s="4169"/>
      <c r="AI360" s="4169"/>
      <c r="AJ360" s="4169"/>
      <c r="AK360" s="4169"/>
      <c r="AL360" s="4169"/>
    </row>
    <row r="361" spans="8:8" ht="21.95" customHeight="1">
      <c r="O361" s="4162"/>
      <c r="AB361" s="4170" t="s">
        <v>5471</v>
      </c>
      <c r="AC361" s="4169" t="s">
        <v>5807</v>
      </c>
      <c r="AD361" s="4169"/>
      <c r="AE361" s="4169"/>
      <c r="AF361" s="4169"/>
      <c r="AG361" s="4169"/>
      <c r="AH361" s="4169"/>
      <c r="AI361" s="4169"/>
      <c r="AJ361" s="4169"/>
      <c r="AK361" s="4169"/>
      <c r="AL361" s="4169"/>
    </row>
    <row r="362" spans="8:8" ht="21.95" customHeight="1">
      <c r="O362" s="4162"/>
      <c r="AB362" s="4170"/>
      <c r="AC362" s="4169" t="s">
        <v>5808</v>
      </c>
      <c r="AD362" s="4169"/>
      <c r="AE362" s="4169"/>
      <c r="AF362" s="4169"/>
      <c r="AG362" s="4169"/>
      <c r="AH362" s="4169"/>
      <c r="AI362" s="4169"/>
      <c r="AJ362" s="4169"/>
      <c r="AK362" s="4169"/>
      <c r="AL362" s="4169"/>
    </row>
    <row r="363" spans="8:8" ht="21.95" customHeight="1">
      <c r="O363" s="4162"/>
      <c r="AB363" s="4170"/>
      <c r="AC363" s="4169" t="s">
        <v>5809</v>
      </c>
      <c r="AD363" s="4169"/>
      <c r="AE363" s="4169"/>
      <c r="AF363" s="4169"/>
      <c r="AG363" s="4169"/>
      <c r="AH363" s="4169"/>
      <c r="AI363" s="4169"/>
      <c r="AJ363" s="4169"/>
      <c r="AK363" s="4169"/>
      <c r="AL363" s="4169"/>
    </row>
    <row r="364" spans="8:8" ht="21.95" customHeight="1">
      <c r="O364" s="4162"/>
      <c r="AB364" s="4177" t="s">
        <v>5738</v>
      </c>
      <c r="AC364" s="4169" t="s">
        <v>5810</v>
      </c>
      <c r="AD364" s="4169"/>
      <c r="AE364" s="4169"/>
      <c r="AF364" s="4169"/>
      <c r="AG364" s="4169"/>
      <c r="AH364" s="4169"/>
      <c r="AI364" s="4169"/>
      <c r="AJ364" s="4169"/>
      <c r="AK364" s="4169"/>
      <c r="AL364" s="4169"/>
    </row>
    <row r="365" spans="8:8" ht="21.95" customHeight="1">
      <c r="O365" s="4162"/>
      <c r="AB365" s="4170" t="s">
        <v>5811</v>
      </c>
      <c r="AC365" s="4169" t="s">
        <v>5812</v>
      </c>
      <c r="AD365" s="4169"/>
      <c r="AE365" s="4169"/>
      <c r="AF365" s="4169"/>
      <c r="AG365" s="4169"/>
      <c r="AH365" s="4169"/>
      <c r="AI365" s="4169"/>
      <c r="AJ365" s="4169"/>
      <c r="AK365" s="4169"/>
      <c r="AL365" s="4169"/>
    </row>
    <row r="366" spans="8:8" ht="21.95" customHeight="1">
      <c r="O366" s="4162"/>
      <c r="AB366" s="4170"/>
      <c r="AC366" s="4175" t="s">
        <v>5813</v>
      </c>
      <c r="AD366" s="4169"/>
      <c r="AE366" s="4169"/>
      <c r="AF366" s="4169"/>
      <c r="AG366" s="4169"/>
      <c r="AH366" s="4169"/>
      <c r="AI366" s="4169"/>
      <c r="AJ366" s="4169"/>
      <c r="AK366" s="4169"/>
      <c r="AL366" s="4169"/>
    </row>
    <row r="367" spans="8:8" ht="21.95" customHeight="1">
      <c r="O367" s="4162"/>
      <c r="AB367" s="4170"/>
      <c r="AC367" s="4169"/>
      <c r="AD367" s="4169"/>
      <c r="AE367" s="4169"/>
      <c r="AF367" s="4169"/>
      <c r="AG367" s="4169"/>
      <c r="AH367" s="4169"/>
      <c r="AI367" s="4169"/>
      <c r="AJ367" s="4169"/>
      <c r="AK367" s="4169"/>
      <c r="AL367" s="4169"/>
    </row>
    <row r="368" spans="8:8" ht="21.95" customHeight="1">
      <c r="O368" s="4162"/>
      <c r="AB368" s="4170"/>
      <c r="AC368" s="4169"/>
      <c r="AD368" s="4169"/>
      <c r="AE368" s="4169"/>
      <c r="AF368" s="4169"/>
      <c r="AG368" s="4169"/>
      <c r="AH368" s="4169"/>
      <c r="AI368" s="4169"/>
      <c r="AJ368" s="4169"/>
      <c r="AK368" s="4169"/>
      <c r="AL368" s="4169"/>
    </row>
    <row r="369" spans="8:8" ht="21.95" customHeight="1">
      <c r="O369" s="4162"/>
      <c r="AB369" s="4170"/>
      <c r="AC369" s="4169"/>
      <c r="AD369" s="4169"/>
      <c r="AE369" s="4169"/>
      <c r="AF369" s="4169"/>
      <c r="AG369" s="4169"/>
      <c r="AH369" s="4169"/>
      <c r="AI369" s="4169"/>
      <c r="AJ369" s="4169"/>
      <c r="AK369" s="4169"/>
      <c r="AL369" s="4169"/>
    </row>
    <row r="370" spans="8:8" ht="21.95" customHeight="1">
      <c r="O370" s="4162"/>
      <c r="AB370" s="4170"/>
      <c r="AC370" s="4244" t="s">
        <v>5814</v>
      </c>
      <c r="AD370" s="4244"/>
      <c r="AE370" s="4244"/>
      <c r="AF370" s="4244"/>
      <c r="AG370" s="4244"/>
      <c r="AH370" s="4244"/>
      <c r="AI370" s="4244"/>
      <c r="AJ370" s="4244"/>
      <c r="AK370" s="4244"/>
      <c r="AL370" s="4244"/>
    </row>
    <row r="371" spans="8:8" ht="21.95" customHeight="1">
      <c r="O371" s="4162"/>
      <c r="AB371" s="4163" t="s">
        <v>5815</v>
      </c>
      <c r="AC371" s="4163"/>
      <c r="AD371" s="4163"/>
      <c r="AE371" s="4163"/>
      <c r="AF371" s="4163"/>
      <c r="AG371" s="4163"/>
      <c r="AH371" s="4163"/>
      <c r="AI371" s="4163"/>
      <c r="AJ371" s="4163"/>
      <c r="AK371" s="4163"/>
      <c r="AL371" s="4163"/>
    </row>
    <row r="372" spans="8:8" ht="21.95" customHeight="1">
      <c r="O372" s="4162"/>
      <c r="AB372" s="4170" t="s">
        <v>5782</v>
      </c>
      <c r="AC372" s="4245" t="s">
        <v>5816</v>
      </c>
      <c r="AD372" s="4246"/>
      <c r="AE372" s="4246"/>
      <c r="AF372" s="4246"/>
      <c r="AG372" s="4246"/>
      <c r="AH372" s="4246"/>
      <c r="AI372" s="4246"/>
      <c r="AJ372" s="4246"/>
      <c r="AK372" s="4246"/>
      <c r="AL372" s="4246"/>
    </row>
    <row r="373" spans="8:8" ht="21.95" customHeight="1">
      <c r="O373" s="4162"/>
      <c r="AB373" s="4170"/>
      <c r="AC373" s="4246"/>
      <c r="AD373" s="4246"/>
      <c r="AE373" s="4246"/>
      <c r="AF373" s="4246"/>
      <c r="AG373" s="4246"/>
      <c r="AH373" s="4246"/>
      <c r="AI373" s="4246"/>
      <c r="AJ373" s="4246"/>
      <c r="AK373" s="4246"/>
      <c r="AL373" s="4246"/>
    </row>
    <row r="374" spans="8:8" ht="21.95" customHeight="1">
      <c r="O374" s="4162"/>
      <c r="AB374" s="4170"/>
      <c r="AC374" s="4247" t="s">
        <v>5817</v>
      </c>
      <c r="AD374" s="4248"/>
      <c r="AE374" s="4248"/>
      <c r="AF374" s="4248"/>
      <c r="AG374" s="4248"/>
      <c r="AH374" s="4248"/>
      <c r="AI374" s="4248"/>
      <c r="AJ374" s="4248"/>
      <c r="AK374" s="4248"/>
      <c r="AL374" s="4248"/>
    </row>
    <row r="375" spans="8:8" ht="21.95" customHeight="1">
      <c r="O375" s="4162"/>
      <c r="AB375" s="4170"/>
      <c r="AC375" s="4248"/>
      <c r="AD375" s="4248"/>
      <c r="AE375" s="4248"/>
      <c r="AF375" s="4248"/>
      <c r="AG375" s="4248"/>
      <c r="AH375" s="4248"/>
      <c r="AI375" s="4248"/>
      <c r="AJ375" s="4248"/>
      <c r="AK375" s="4248"/>
      <c r="AL375" s="4248"/>
    </row>
    <row r="376" spans="8:8" ht="21.95" customHeight="1">
      <c r="O376" s="4162"/>
      <c r="AB376" s="4170"/>
      <c r="AC376" s="4248"/>
      <c r="AD376" s="4248"/>
      <c r="AE376" s="4248"/>
      <c r="AF376" s="4248"/>
      <c r="AG376" s="4248"/>
      <c r="AH376" s="4248"/>
      <c r="AI376" s="4248"/>
      <c r="AJ376" s="4248"/>
      <c r="AK376" s="4248"/>
      <c r="AL376" s="4248"/>
    </row>
    <row r="377" spans="8:8" ht="21.95" customHeight="1">
      <c r="O377" s="4162"/>
      <c r="AB377" s="4170"/>
      <c r="AC377" s="4175" t="s">
        <v>5818</v>
      </c>
      <c r="AD377" s="4169"/>
      <c r="AE377" s="4169"/>
      <c r="AF377" s="4169"/>
      <c r="AG377" s="4169"/>
      <c r="AH377" s="4169"/>
      <c r="AI377" s="4169"/>
      <c r="AJ377" s="4169"/>
      <c r="AK377" s="4169"/>
      <c r="AL377" s="4169"/>
    </row>
    <row r="378" spans="8:8" ht="21.95" customHeight="1">
      <c r="O378" s="4162"/>
      <c r="AB378" s="4170"/>
      <c r="AC378" s="4169"/>
      <c r="AD378" s="4169"/>
      <c r="AE378" s="4169"/>
      <c r="AF378" s="4169"/>
      <c r="AG378" s="4169"/>
      <c r="AH378" s="4169"/>
      <c r="AI378" s="4169"/>
      <c r="AJ378" s="4169"/>
      <c r="AK378" s="4169"/>
      <c r="AL378" s="4169"/>
    </row>
    <row r="379" spans="8:8" ht="21.95" customHeight="1">
      <c r="O379" s="4162"/>
      <c r="AB379" s="4170"/>
      <c r="AC379" s="4169" t="s">
        <v>5819</v>
      </c>
      <c r="AD379" s="4169"/>
      <c r="AE379" s="4169"/>
      <c r="AF379" s="4169"/>
      <c r="AG379" s="4169"/>
      <c r="AH379" s="4169"/>
      <c r="AI379" s="4169"/>
      <c r="AJ379" s="4169"/>
      <c r="AK379" s="4169"/>
      <c r="AL379" s="4169"/>
    </row>
    <row r="380" spans="8:8" ht="21.95" customHeight="1">
      <c r="O380" s="4162"/>
      <c r="AB380" s="4170"/>
      <c r="AC380" s="4247" t="s">
        <v>5820</v>
      </c>
      <c r="AD380" s="4247"/>
      <c r="AE380" s="4247"/>
      <c r="AF380" s="4247"/>
      <c r="AG380" s="4247"/>
      <c r="AH380" s="4247"/>
      <c r="AI380" s="4247"/>
      <c r="AJ380" s="4247"/>
      <c r="AK380" s="4247"/>
      <c r="AL380" s="4247"/>
    </row>
    <row r="381" spans="8:8" ht="21.95" customHeight="1">
      <c r="O381" s="4162"/>
      <c r="AB381" s="4170"/>
      <c r="AC381" s="4247"/>
      <c r="AD381" s="4247"/>
      <c r="AE381" s="4247"/>
      <c r="AF381" s="4247"/>
      <c r="AG381" s="4247"/>
      <c r="AH381" s="4247"/>
      <c r="AI381" s="4247"/>
      <c r="AJ381" s="4247"/>
      <c r="AK381" s="4247"/>
      <c r="AL381" s="4247"/>
    </row>
    <row r="382" spans="8:8" ht="21.95" customHeight="1">
      <c r="O382" s="4162"/>
      <c r="AB382" s="4170"/>
      <c r="AC382" s="4247"/>
      <c r="AD382" s="4247"/>
      <c r="AE382" s="4247"/>
      <c r="AF382" s="4247"/>
      <c r="AG382" s="4247"/>
      <c r="AH382" s="4247"/>
      <c r="AI382" s="4247"/>
      <c r="AJ382" s="4247"/>
      <c r="AK382" s="4247"/>
      <c r="AL382" s="4247"/>
    </row>
    <row r="383" spans="8:8" ht="21.95" customHeight="1">
      <c r="O383" s="4162"/>
      <c r="AB383" s="4170"/>
      <c r="AC383" s="4247" t="s">
        <v>5821</v>
      </c>
      <c r="AD383" s="4247"/>
      <c r="AE383" s="4247"/>
      <c r="AF383" s="4247"/>
      <c r="AG383" s="4247"/>
      <c r="AH383" s="4247"/>
      <c r="AI383" s="4247"/>
      <c r="AJ383" s="4247"/>
      <c r="AK383" s="4247"/>
      <c r="AL383" s="4247"/>
    </row>
    <row r="384" spans="8:8" ht="21.95" customHeight="1">
      <c r="O384" s="4162"/>
      <c r="AB384" s="4170"/>
      <c r="AC384" s="4247"/>
      <c r="AD384" s="4247"/>
      <c r="AE384" s="4247"/>
      <c r="AF384" s="4247"/>
      <c r="AG384" s="4247"/>
      <c r="AH384" s="4247"/>
      <c r="AI384" s="4247"/>
      <c r="AJ384" s="4247"/>
      <c r="AK384" s="4247"/>
      <c r="AL384" s="4247"/>
    </row>
    <row r="385" spans="8:8" ht="21.95" customHeight="1">
      <c r="O385" s="4162"/>
      <c r="AB385" s="4170"/>
      <c r="AC385" s="4247"/>
      <c r="AD385" s="4247"/>
      <c r="AE385" s="4247"/>
      <c r="AF385" s="4247"/>
      <c r="AG385" s="4247"/>
      <c r="AH385" s="4247"/>
      <c r="AI385" s="4247"/>
      <c r="AJ385" s="4247"/>
      <c r="AK385" s="4247"/>
      <c r="AL385" s="4247"/>
    </row>
    <row r="386" spans="8:8" ht="21.95" customHeight="1">
      <c r="O386" s="4162"/>
      <c r="AB386" s="4205" t="s">
        <v>5730</v>
      </c>
      <c r="AC386" s="4175" t="s">
        <v>5822</v>
      </c>
      <c r="AD386" s="4169"/>
      <c r="AE386" s="4169"/>
      <c r="AF386" s="4169"/>
      <c r="AG386" s="4169"/>
      <c r="AH386" s="4169"/>
      <c r="AI386" s="4169"/>
      <c r="AJ386" s="4169"/>
      <c r="AK386" s="4169"/>
      <c r="AL386" s="4169"/>
    </row>
    <row r="387" spans="8:8" ht="21.95" customHeight="1">
      <c r="O387" s="4162"/>
      <c r="AB387" s="4205"/>
      <c r="AC387" s="4169"/>
      <c r="AD387" s="4169"/>
      <c r="AE387" s="4169"/>
      <c r="AF387" s="4169"/>
      <c r="AG387" s="4169"/>
      <c r="AH387" s="4169"/>
      <c r="AI387" s="4169"/>
      <c r="AJ387" s="4169"/>
      <c r="AK387" s="4169"/>
      <c r="AL387" s="4169"/>
    </row>
    <row r="388" spans="8:8" ht="21.95" customHeight="1">
      <c r="O388" s="4162"/>
      <c r="AB388" s="4225" t="s">
        <v>5471</v>
      </c>
      <c r="AC388" s="4169" t="s">
        <v>5823</v>
      </c>
      <c r="AD388" s="4169"/>
      <c r="AE388" s="4169"/>
      <c r="AF388" s="4169"/>
      <c r="AG388" s="4169"/>
      <c r="AH388" s="4169"/>
      <c r="AI388" s="4169"/>
      <c r="AJ388" s="4169"/>
      <c r="AK388" s="4169"/>
      <c r="AL388" s="4169"/>
    </row>
    <row r="389" spans="8:8" ht="21.95" customHeight="1">
      <c r="O389" s="4162"/>
      <c r="AB389" s="4170" t="s">
        <v>5824</v>
      </c>
      <c r="AC389" s="4169" t="s">
        <v>5825</v>
      </c>
      <c r="AD389" s="4169"/>
      <c r="AE389" s="4169"/>
      <c r="AF389" s="4169"/>
      <c r="AG389" s="4169"/>
      <c r="AH389" s="4169"/>
      <c r="AI389" s="4169"/>
      <c r="AJ389" s="4169"/>
      <c r="AK389" s="4169"/>
      <c r="AL389" s="4169"/>
    </row>
    <row r="390" spans="8:8" ht="21.95" customHeight="1">
      <c r="O390" s="4162"/>
      <c r="AB390" s="4170"/>
      <c r="AC390" s="4169" t="s">
        <v>5826</v>
      </c>
      <c r="AD390" s="4169"/>
      <c r="AE390" s="4169"/>
      <c r="AF390" s="4169"/>
      <c r="AG390" s="4169"/>
      <c r="AH390" s="4169"/>
      <c r="AI390" s="4169"/>
      <c r="AJ390" s="4169"/>
      <c r="AK390" s="4169"/>
      <c r="AL390" s="4169"/>
    </row>
    <row r="391" spans="8:8" ht="21.95" customHeight="1">
      <c r="O391" s="4162"/>
    </row>
    <row r="392" spans="8:8" ht="21.95" customHeight="1">
      <c r="O392" s="4162"/>
    </row>
    <row r="393" spans="8:8" ht="21.95" customHeight="1">
      <c r="O393" s="4162"/>
    </row>
    <row r="394" spans="8:8" ht="21.95" customHeight="1">
      <c r="O394" s="4162"/>
    </row>
    <row r="395" spans="8:8" ht="21.95" customHeight="1">
      <c r="O395" s="4162"/>
    </row>
    <row r="396" spans="8:8" ht="21.95" customHeight="1">
      <c r="O396" s="4162"/>
    </row>
    <row r="397" spans="8:8" ht="21.95" customHeight="1">
      <c r="O397" s="4162"/>
    </row>
    <row r="398" spans="8:8" ht="21.95" customHeight="1">
      <c r="O398" s="4162"/>
    </row>
    <row r="399" spans="8:8" ht="21.95" customHeight="1">
      <c r="O399" s="4162"/>
    </row>
    <row r="400" spans="8:8" ht="21.95" customHeight="1">
      <c r="O400" s="4162"/>
    </row>
    <row r="401" spans="8:8" ht="21.95" customHeight="1">
      <c r="O401" s="4162"/>
    </row>
    <row r="402" spans="8:8" ht="21.95" customHeight="1">
      <c r="O402" s="4162"/>
    </row>
    <row r="403" spans="8:8" ht="21.95" customHeight="1">
      <c r="O403" s="4162"/>
    </row>
    <row r="404" spans="8:8" ht="21.95" customHeight="1">
      <c r="O404" s="4162"/>
    </row>
    <row r="405" spans="8:8" ht="21.95" customHeight="1">
      <c r="O405" s="4162"/>
    </row>
    <row r="406" spans="8:8" ht="21.95" customHeight="1">
      <c r="O406" s="4162"/>
    </row>
    <row r="407" spans="8:8" ht="21.95" customHeight="1">
      <c r="O407" s="4162"/>
    </row>
    <row r="408" spans="8:8" ht="21.95" customHeight="1">
      <c r="O408" s="4162"/>
    </row>
    <row r="409" spans="8:8" ht="21.95" customHeight="1">
      <c r="O409" s="4162"/>
    </row>
    <row r="410" spans="8:8" ht="21.95" customHeight="1">
      <c r="O410" s="4162"/>
    </row>
    <row r="411" spans="8:8" ht="21.95" customHeight="1">
      <c r="O411" s="4162"/>
    </row>
    <row r="412" spans="8:8" ht="21.95" customHeight="1">
      <c r="O412" s="4162"/>
    </row>
    <row r="413" spans="8:8" ht="21.95" customHeight="1">
      <c r="O413" s="4162"/>
    </row>
    <row r="414" spans="8:8" ht="21.95" customHeight="1">
      <c r="O414" s="4162"/>
    </row>
    <row r="415" spans="8:8" ht="21.95" customHeight="1">
      <c r="O415" s="4162"/>
    </row>
    <row r="416" spans="8:8" ht="21.95" customHeight="1">
      <c r="O416" s="4162"/>
    </row>
    <row r="417" spans="8:8" ht="21.95" customHeight="1">
      <c r="O417" s="4162"/>
    </row>
    <row r="418" spans="8:8" ht="21.95" customHeight="1">
      <c r="O418" s="4162"/>
    </row>
    <row r="419" spans="8:8" ht="21.95" customHeight="1">
      <c r="O419" s="4162"/>
    </row>
    <row r="420" spans="8:8" ht="21.95" customHeight="1">
      <c r="O420" s="4162"/>
    </row>
    <row r="421" spans="8:8" ht="21.95" customHeight="1">
      <c r="O421" s="4162"/>
    </row>
    <row r="422" spans="8:8" ht="21.95" customHeight="1">
      <c r="O422" s="4162"/>
    </row>
    <row r="423" spans="8:8" ht="21.95" customHeight="1">
      <c r="O423" s="4162"/>
    </row>
    <row r="424" spans="8:8" ht="21.95" customHeight="1">
      <c r="O424" s="4162"/>
    </row>
    <row r="425" spans="8:8" ht="21.95" customHeight="1">
      <c r="O425" s="4162"/>
    </row>
    <row r="426" spans="8:8" ht="21.95" customHeight="1">
      <c r="O426" s="4162"/>
    </row>
    <row r="427" spans="8:8" ht="21.95" customHeight="1">
      <c r="O427" s="4162"/>
    </row>
    <row r="428" spans="8:8" ht="21.95" customHeight="1">
      <c r="O428" s="4162"/>
    </row>
    <row r="429" spans="8:8" ht="21.95" customHeight="1">
      <c r="O429" s="4162"/>
    </row>
    <row r="430" spans="8:8" ht="21.95" customHeight="1">
      <c r="O430" s="4162"/>
    </row>
    <row r="431" spans="8:8" ht="21.95" customHeight="1">
      <c r="O431" s="4162"/>
    </row>
    <row r="432" spans="8:8" ht="21.95" customHeight="1">
      <c r="O432" s="4162"/>
    </row>
    <row r="433" spans="8:8" ht="21.95" customHeight="1">
      <c r="O433" s="4162"/>
    </row>
    <row r="434" spans="8:8" ht="21.95" customHeight="1">
      <c r="O434" s="4162"/>
    </row>
    <row r="435" spans="8:8" ht="21.95" customHeight="1">
      <c r="O435" s="4162"/>
    </row>
    <row r="436" spans="8:8" ht="21.95" customHeight="1">
      <c r="O436" s="4162"/>
    </row>
    <row r="437" spans="8:8" ht="21.95" customHeight="1">
      <c r="O437" s="4162"/>
    </row>
    <row r="438" spans="8:8" ht="21.95" customHeight="1">
      <c r="O438" s="4162"/>
    </row>
    <row r="439" spans="8:8" ht="21.95" customHeight="1">
      <c r="O439" s="4162"/>
    </row>
    <row r="440" spans="8:8" ht="21.95" customHeight="1">
      <c r="O440" s="4162"/>
    </row>
    <row r="441" spans="8:8" ht="21.95" customHeight="1">
      <c r="O441" s="4162"/>
    </row>
    <row r="442" spans="8:8" ht="21.95" customHeight="1">
      <c r="O442" s="4162"/>
    </row>
    <row r="443" spans="8:8" ht="21.95" customHeight="1">
      <c r="O443" s="4162"/>
    </row>
    <row r="444" spans="8:8" ht="21.95" customHeight="1">
      <c r="O444" s="4162"/>
    </row>
    <row r="445" spans="8:8" ht="21.95" customHeight="1">
      <c r="O445" s="4162"/>
    </row>
    <row r="446" spans="8:8" ht="21.95" customHeight="1">
      <c r="O446" s="4162"/>
    </row>
    <row r="447" spans="8:8" ht="21.95" customHeight="1">
      <c r="O447" s="4162"/>
    </row>
    <row r="448" spans="8:8" ht="21.95" customHeight="1">
      <c r="O448" s="4162"/>
    </row>
    <row r="449" spans="8:8" ht="21.95" customHeight="1">
      <c r="O449" s="4162"/>
    </row>
    <row r="450" spans="8:8" ht="21.95" customHeight="1">
      <c r="O450" s="4162"/>
    </row>
    <row r="451" spans="8:8" ht="21.95" customHeight="1">
      <c r="O451" s="4162"/>
    </row>
    <row r="452" spans="8:8" ht="21.95" customHeight="1">
      <c r="O452" s="4162"/>
    </row>
    <row r="453" spans="8:8" ht="21.95" customHeight="1">
      <c r="O453" s="4162"/>
    </row>
    <row r="454" spans="8:8" ht="21.95" customHeight="1">
      <c r="O454" s="4162"/>
    </row>
    <row r="455" spans="8:8" ht="21.95" customHeight="1">
      <c r="O455" s="4162"/>
    </row>
    <row r="456" spans="8:8" ht="21.95" customHeight="1">
      <c r="O456" s="4162"/>
    </row>
    <row r="457" spans="8:8" ht="21.95" customHeight="1">
      <c r="O457" s="4162"/>
    </row>
    <row r="458" spans="8:8" ht="21.95" customHeight="1">
      <c r="O458" s="4162"/>
    </row>
    <row r="459" spans="8:8" ht="15.75">
      <c r="O459" s="4162"/>
    </row>
    <row r="460" spans="8:8" ht="15.75">
      <c r="O460" s="4162"/>
    </row>
    <row r="461" spans="8:8" ht="15.75">
      <c r="O461" s="4162"/>
    </row>
    <row r="462" spans="8:8" ht="15.75">
      <c r="O462" s="4162"/>
    </row>
    <row r="463" spans="8:8" ht="15.75">
      <c r="O463" s="4162"/>
    </row>
    <row r="464" spans="8:8" ht="15.75">
      <c r="O464" s="4162"/>
    </row>
    <row r="465" spans="8:8" ht="15.75">
      <c r="O465" s="4162"/>
    </row>
    <row r="466" spans="8:8" ht="15.75">
      <c r="O466" s="4162"/>
    </row>
    <row r="467" spans="8:8" ht="15.75">
      <c r="O467" s="4162"/>
    </row>
    <row r="468" spans="8:8" ht="15.75">
      <c r="O468" s="4162"/>
    </row>
    <row r="469" spans="8:8" ht="15.75">
      <c r="O469" s="4162"/>
    </row>
    <row r="470" spans="8:8" ht="15.75">
      <c r="O470" s="4162"/>
    </row>
    <row r="471" spans="8:8" ht="15.75">
      <c r="O471" s="4162"/>
    </row>
    <row r="472" spans="8:8" ht="15.75">
      <c r="O472" s="4162"/>
    </row>
    <row r="473" spans="8:8" ht="15.75">
      <c r="O473" s="4162"/>
    </row>
    <row r="474" spans="8:8" ht="15.75">
      <c r="O474" s="4162"/>
    </row>
    <row r="475" spans="8:8" ht="15.75">
      <c r="O475" s="4162"/>
    </row>
    <row r="476" spans="8:8" ht="15.75">
      <c r="O476" s="4162"/>
    </row>
    <row r="477" spans="8:8" ht="15.75">
      <c r="O477" s="4162"/>
    </row>
    <row r="478" spans="8:8" ht="15.75">
      <c r="O478" s="4162"/>
    </row>
    <row r="479" spans="8:8" ht="15.75">
      <c r="O479" s="4162"/>
    </row>
    <row r="480" spans="8:8" ht="15.75">
      <c r="O480" s="4162"/>
    </row>
    <row r="481" spans="8:8" ht="15.75">
      <c r="O481" s="4162"/>
    </row>
    <row r="482" spans="8:8" ht="15.75">
      <c r="O482" s="4162"/>
    </row>
    <row r="483" spans="8:8" ht="15.75">
      <c r="O483" s="4162"/>
    </row>
    <row r="484" spans="8:8" ht="15.75">
      <c r="O484" s="4162"/>
    </row>
    <row r="485" spans="8:8" ht="15.75">
      <c r="O485" s="4162"/>
    </row>
    <row r="486" spans="8:8" ht="15.75">
      <c r="O486" s="4162"/>
    </row>
    <row r="487" spans="8:8" ht="15.75">
      <c r="O487" s="4162"/>
    </row>
    <row r="488" spans="8:8" ht="15.75">
      <c r="O488" s="4162"/>
    </row>
    <row r="489" spans="8:8" ht="15.75">
      <c r="O489" s="4162"/>
    </row>
    <row r="490" spans="8:8" ht="15.75">
      <c r="O490" s="4162"/>
    </row>
    <row r="491" spans="8:8" ht="15.75">
      <c r="O491" s="4162"/>
    </row>
    <row r="492" spans="8:8" ht="15.75">
      <c r="O492" s="4162"/>
    </row>
    <row r="493" spans="8:8" ht="15.75">
      <c r="O493" s="4162"/>
    </row>
    <row r="494" spans="8:8" ht="15.75">
      <c r="O494" s="4162"/>
    </row>
    <row r="495" spans="8:8" ht="15.75">
      <c r="O495" s="4162"/>
    </row>
    <row r="496" spans="8:8" ht="15.75">
      <c r="O496" s="4162"/>
    </row>
    <row r="497" spans="8:8" ht="15.75">
      <c r="O497" s="4162"/>
    </row>
    <row r="498" spans="8:8" ht="15.75">
      <c r="O498" s="4162"/>
    </row>
    <row r="499" spans="8:8" ht="15.75">
      <c r="O499" s="4162"/>
    </row>
    <row r="500" spans="8:8" ht="15.75">
      <c r="O500" s="4249"/>
    </row>
    <row r="501" spans="8:8" ht="15.75">
      <c r="O501" s="4249"/>
    </row>
    <row r="502" spans="8:8" ht="15.75">
      <c r="O502" s="4249"/>
    </row>
    <row r="503" spans="8:8" ht="15.75">
      <c r="O503" s="4249"/>
    </row>
    <row r="504" spans="8:8" ht="15.75">
      <c r="O504" s="4249"/>
    </row>
    <row r="505" spans="8:8" ht="15.75">
      <c r="O505" s="4249"/>
    </row>
    <row r="506" spans="8:8" ht="15.75">
      <c r="O506" s="4249"/>
    </row>
    <row r="507" spans="8:8" ht="15.75">
      <c r="O507" s="4249"/>
    </row>
    <row r="508" spans="8:8" ht="15.75">
      <c r="O508" s="4249"/>
    </row>
    <row r="509" spans="8:8" ht="15.75">
      <c r="O509" s="4249"/>
    </row>
    <row r="510" spans="8:8" ht="15.75">
      <c r="O510" s="4249"/>
    </row>
    <row r="511" spans="8:8" ht="15.75">
      <c r="O511" s="4249"/>
    </row>
    <row r="512" spans="8:8" ht="15.75">
      <c r="O512" s="4249"/>
    </row>
    <row r="513" spans="8:8" ht="15.75">
      <c r="O513" s="4249"/>
    </row>
    <row r="514" spans="8:8" ht="15.75">
      <c r="O514" s="4249"/>
    </row>
    <row r="515" spans="8:8" ht="15.75">
      <c r="O515" s="4249"/>
    </row>
    <row r="516" spans="8:8" ht="15.75">
      <c r="O516" s="4249"/>
    </row>
    <row r="517" spans="8:8" ht="15.75">
      <c r="O517" s="4249"/>
    </row>
    <row r="518" spans="8:8" ht="15.75">
      <c r="O518" s="4249"/>
    </row>
    <row r="519" spans="8:8" ht="15.75">
      <c r="O519" s="4249"/>
    </row>
    <row r="520" spans="8:8" ht="15.75">
      <c r="O520" s="4249"/>
    </row>
    <row r="521" spans="8:8" ht="15.75"/>
    <row r="522" spans="8:8" ht="15.75"/>
    <row r="523" spans="8:8" ht="15.75"/>
    <row r="524" spans="8:8" ht="15.75"/>
    <row r="525" spans="8:8" ht="15.75"/>
    <row r="526" spans="8:8" ht="15.75"/>
    <row r="527" spans="8:8" ht="15.75"/>
    <row r="528" spans="8:8" ht="15.75"/>
    <row r="529" spans="8:8" ht="15.75"/>
    <row r="530" spans="8:8" ht="15.75"/>
    <row r="531" spans="8:8" ht="15.75"/>
    <row r="532" spans="8:8" ht="15.75"/>
    <row r="533" spans="8:8" ht="15.75"/>
    <row r="534" spans="8:8" ht="15.75"/>
    <row r="535" spans="8:8" ht="15.75"/>
    <row r="536" spans="8:8" ht="15.75"/>
    <row r="537" spans="8:8" ht="15.75"/>
    <row r="538" spans="8:8" ht="15.75"/>
    <row r="539" spans="8:8" ht="15.75"/>
    <row r="540" spans="8:8" ht="15.75"/>
    <row r="541" spans="8:8" ht="15.75"/>
    <row r="542" spans="8:8" ht="15.75"/>
    <row r="543" spans="8:8" ht="15.75"/>
    <row r="544" spans="8:8" ht="15.75"/>
    <row r="545" spans="8:8" ht="15.75"/>
    <row r="546" spans="8:8" ht="15.75"/>
    <row r="547" spans="8:8" ht="15.75"/>
    <row r="548" spans="8:8" ht="15.75"/>
    <row r="549" spans="8:8" ht="15.75"/>
    <row r="550" spans="8:8" ht="15.75"/>
    <row r="551" spans="8:8" ht="15.75"/>
  </sheetData>
  <sheetProtection algorithmName="SHA-512" hashValue="sNfSh5bkbUWA+DpZJnOGHKuzToDQbxUg8+gMzUzjQfeKrqlL3gRsCzcG38US5g4tiijJhoZ1C1P/sToKKljzQQ==" saltValue="HiM32rdRjMPN4PZ+gow5cQ==" spinCount="100000" sheet="1" objects="1" scenarios="1"/>
  <mergeCells count="563">
    <mergeCell ref="P12:Z12"/>
    <mergeCell ref="AB326:AL326"/>
    <mergeCell ref="D3:E4"/>
    <mergeCell ref="P164:P165"/>
    <mergeCell ref="AB39:AB41"/>
    <mergeCell ref="P155:P156"/>
    <mergeCell ref="AB195:AB196"/>
    <mergeCell ref="AC115:AL115"/>
    <mergeCell ref="D46:F46"/>
    <mergeCell ref="AB44:AB62"/>
    <mergeCell ref="AC96:AL96"/>
    <mergeCell ref="P144:P147"/>
    <mergeCell ref="AC68:AL68"/>
    <mergeCell ref="G40:N40"/>
    <mergeCell ref="Q166:Z167"/>
    <mergeCell ref="AC237:AL241"/>
    <mergeCell ref="AC243:AL245"/>
    <mergeCell ref="AC242:AL242"/>
    <mergeCell ref="AC23:AL23"/>
    <mergeCell ref="Q111:Z113"/>
    <mergeCell ref="G57:N57"/>
    <mergeCell ref="G47:N47"/>
    <mergeCell ref="G37:N37"/>
    <mergeCell ref="G50:N50"/>
    <mergeCell ref="D13:E14"/>
    <mergeCell ref="D31:N32"/>
    <mergeCell ref="Q119:Z120"/>
    <mergeCell ref="AB96:AB97"/>
    <mergeCell ref="Q47:Z50"/>
    <mergeCell ref="Q65:Z68"/>
    <mergeCell ref="P47:P50"/>
    <mergeCell ref="G56:N56"/>
    <mergeCell ref="P226:P228"/>
    <mergeCell ref="AC60:AL62"/>
    <mergeCell ref="AC352:AL353"/>
    <mergeCell ref="Q212:Z213"/>
    <mergeCell ref="AB372:AB385"/>
    <mergeCell ref="AC217:AL218"/>
    <mergeCell ref="AB198:AB203"/>
    <mergeCell ref="AC306:AL307"/>
    <mergeCell ref="AB283:AB289"/>
    <mergeCell ref="AC278:AL278"/>
    <mergeCell ref="AC292:AL292"/>
    <mergeCell ref="P30:Z30"/>
    <mergeCell ref="AC374:AL376"/>
    <mergeCell ref="AB365:AB370"/>
    <mergeCell ref="AC52:AL52"/>
    <mergeCell ref="Q217:Z218"/>
    <mergeCell ref="AC226:AL226"/>
    <mergeCell ref="AC227:AL228"/>
    <mergeCell ref="AC280:AL280"/>
    <mergeCell ref="Q88:Z90"/>
    <mergeCell ref="AO17:AX21"/>
    <mergeCell ref="D49:F49"/>
    <mergeCell ref="AN1:AX2"/>
    <mergeCell ref="AB101:AB104"/>
    <mergeCell ref="D53:F53"/>
    <mergeCell ref="F13:N14"/>
    <mergeCell ref="Q243:Z244"/>
    <mergeCell ref="AB242:AB253"/>
    <mergeCell ref="AB226:AB235"/>
    <mergeCell ref="AB347:AB348"/>
    <mergeCell ref="P171:Z171"/>
    <mergeCell ref="AC91:AL91"/>
    <mergeCell ref="D61:F61"/>
    <mergeCell ref="Q181:Z185"/>
    <mergeCell ref="D62:F62"/>
    <mergeCell ref="Q187:Z188"/>
    <mergeCell ref="Q179:Z180"/>
    <mergeCell ref="AC249:AL253"/>
    <mergeCell ref="G62:N62"/>
    <mergeCell ref="AC265:AL266"/>
    <mergeCell ref="G63:N63"/>
    <mergeCell ref="AC153:AL153"/>
    <mergeCell ref="Q162:Z163"/>
    <mergeCell ref="AN50:AN60"/>
    <mergeCell ref="F5:N6"/>
    <mergeCell ref="P65:P68"/>
    <mergeCell ref="AC176:AL178"/>
    <mergeCell ref="AB236:AB241"/>
    <mergeCell ref="P168:P170"/>
    <mergeCell ref="Q13:Z16"/>
    <mergeCell ref="AC331:AL333"/>
    <mergeCell ref="P87:Z87"/>
    <mergeCell ref="AC370:AL370"/>
    <mergeCell ref="AC330:AL330"/>
    <mergeCell ref="AC342:AL342"/>
    <mergeCell ref="AC101:AL101"/>
    <mergeCell ref="AC221:AL223"/>
    <mergeCell ref="AC379:AL379"/>
    <mergeCell ref="D1:N2"/>
    <mergeCell ref="AC94:AL94"/>
    <mergeCell ref="P114:P116"/>
    <mergeCell ref="AC246:AL246"/>
    <mergeCell ref="AC19:AL19"/>
    <mergeCell ref="P117:P118"/>
    <mergeCell ref="P245:P249"/>
    <mergeCell ref="Q22:Z25"/>
    <mergeCell ref="AC282:AL282"/>
    <mergeCell ref="AB263:AL263"/>
    <mergeCell ref="AC31:AL36"/>
    <mergeCell ref="Q201:Z203"/>
    <mergeCell ref="AB180:AB184"/>
    <mergeCell ref="Q245:Z249"/>
    <mergeCell ref="G44:N44"/>
    <mergeCell ref="AC261:AL262"/>
    <mergeCell ref="G43:N43"/>
    <mergeCell ref="AC204:AL204"/>
    <mergeCell ref="Q214:Z216"/>
    <mergeCell ref="AC283:AL289"/>
    <mergeCell ref="AC26:AL28"/>
    <mergeCell ref="Q193:Z194"/>
    <mergeCell ref="D52:F52"/>
    <mergeCell ref="AB312:AB313"/>
    <mergeCell ref="AC208:AL208"/>
    <mergeCell ref="AN3:AX3"/>
    <mergeCell ref="D43:F43"/>
    <mergeCell ref="AB68:AB70"/>
    <mergeCell ref="AC300:AL300"/>
    <mergeCell ref="Q75:Z77"/>
    <mergeCell ref="AC90:AL90"/>
    <mergeCell ref="AB114:AB115"/>
    <mergeCell ref="AC87:AL87"/>
    <mergeCell ref="Q148:Z150"/>
    <mergeCell ref="AC356:AL358"/>
    <mergeCell ref="AN4:AN15"/>
    <mergeCell ref="AC247:AL248"/>
    <mergeCell ref="AB63:AB65"/>
    <mergeCell ref="G36:N36"/>
    <mergeCell ref="AC161:AL161"/>
    <mergeCell ref="AB17:AL17"/>
    <mergeCell ref="AC98:AL98"/>
    <mergeCell ref="P34:P45"/>
    <mergeCell ref="AC102:AL103"/>
    <mergeCell ref="AC216:AL216"/>
    <mergeCell ref="AC84:AL84"/>
    <mergeCell ref="D19:N20"/>
    <mergeCell ref="AO4:AX15"/>
    <mergeCell ref="Q155:Z156"/>
    <mergeCell ref="AC39:AL39"/>
    <mergeCell ref="AC125:AL125"/>
    <mergeCell ref="AC16:AL16"/>
    <mergeCell ref="P95:Z95"/>
    <mergeCell ref="P241:P242"/>
    <mergeCell ref="AC190:AL190"/>
    <mergeCell ref="G61:N61"/>
    <mergeCell ref="AN17:AN36"/>
    <mergeCell ref="G60:N60"/>
    <mergeCell ref="AC220:AL220"/>
    <mergeCell ref="AC21:AL21"/>
    <mergeCell ref="AC311:AL311"/>
    <mergeCell ref="AC41:AL41"/>
    <mergeCell ref="AB129:AB137"/>
    <mergeCell ref="AC128:AL128"/>
    <mergeCell ref="AC100:AL100"/>
    <mergeCell ref="AB155:AB156"/>
    <mergeCell ref="D47:F47"/>
    <mergeCell ref="Q103:Z105"/>
    <mergeCell ref="P148:P150"/>
    <mergeCell ref="D5:E6"/>
    <mergeCell ref="AC7:AL10"/>
    <mergeCell ref="AC11:AL13"/>
    <mergeCell ref="AB225:AL225"/>
    <mergeCell ref="P75:P77"/>
    <mergeCell ref="Q230:Z230"/>
    <mergeCell ref="AC305:AL305"/>
    <mergeCell ref="AC303:AL303"/>
    <mergeCell ref="AC274:AL274"/>
    <mergeCell ref="AC22:AL22"/>
    <mergeCell ref="P151:P152"/>
    <mergeCell ref="AC186:AL186"/>
    <mergeCell ref="P4:P7"/>
    <mergeCell ref="AC114:AL114"/>
    <mergeCell ref="P158:P159"/>
    <mergeCell ref="AN42:AN49"/>
    <mergeCell ref="Q153:Z154"/>
    <mergeCell ref="P122:P136"/>
    <mergeCell ref="Q238:Z240"/>
    <mergeCell ref="P78:Z78"/>
    <mergeCell ref="AC172:AL172"/>
    <mergeCell ref="AC138:AL147"/>
    <mergeCell ref="P91:Z91"/>
    <mergeCell ref="P100:P102"/>
    <mergeCell ref="AB105:AB108"/>
    <mergeCell ref="AC126:AL126"/>
    <mergeCell ref="AC255:AL255"/>
    <mergeCell ref="P88:P90"/>
    <mergeCell ref="AC174:AL174"/>
    <mergeCell ref="AC349:AL350"/>
    <mergeCell ref="AC196:AL196"/>
    <mergeCell ref="AC198:AL198"/>
    <mergeCell ref="AC195:AL195"/>
    <mergeCell ref="AC193:AL193"/>
    <mergeCell ref="AC301:AL302"/>
    <mergeCell ref="G38:N38"/>
    <mergeCell ref="AC158:AL158"/>
    <mergeCell ref="AN61:AN83"/>
    <mergeCell ref="Q241:Z242"/>
    <mergeCell ref="Q151:Z152"/>
    <mergeCell ref="P177:P180"/>
    <mergeCell ref="Q172:Z173"/>
    <mergeCell ref="Q174:Z176"/>
    <mergeCell ref="P200:Z200"/>
    <mergeCell ref="Q26:Z29"/>
    <mergeCell ref="P8:P11"/>
    <mergeCell ref="AC163:AL165"/>
    <mergeCell ref="AC293:AL296"/>
    <mergeCell ref="AC75:AL79"/>
    <mergeCell ref="AC136:AL136"/>
    <mergeCell ref="P201:P203"/>
    <mergeCell ref="AB204:AB215"/>
    <mergeCell ref="AC133:AL135"/>
    <mergeCell ref="AC290:AL290"/>
    <mergeCell ref="AB163:AB178"/>
    <mergeCell ref="AC366:AL369"/>
    <mergeCell ref="AC181:AL181"/>
    <mergeCell ref="AB371:AL371"/>
    <mergeCell ref="AC388:AL388"/>
    <mergeCell ref="AC187:AL188"/>
    <mergeCell ref="AC390:AL390"/>
    <mergeCell ref="Q96:Z98"/>
    <mergeCell ref="F3:N4"/>
    <mergeCell ref="D45:F45"/>
    <mergeCell ref="G45:N45"/>
    <mergeCell ref="F9:N10"/>
    <mergeCell ref="D55:F55"/>
    <mergeCell ref="AC154:AL154"/>
    <mergeCell ref="P52:P55"/>
    <mergeCell ref="AB11:AB13"/>
    <mergeCell ref="AC215:AL215"/>
    <mergeCell ref="P243:P244"/>
    <mergeCell ref="AC191:AL191"/>
    <mergeCell ref="P3:Z3"/>
    <mergeCell ref="AC205:AL207"/>
    <mergeCell ref="G48:N48"/>
    <mergeCell ref="P121:Z121"/>
    <mergeCell ref="AC24:AL24"/>
    <mergeCell ref="P108:P109"/>
    <mergeCell ref="Q56:Z59"/>
    <mergeCell ref="AC42:AL42"/>
    <mergeCell ref="P103:P105"/>
    <mergeCell ref="D17:N18"/>
    <mergeCell ref="D56:F56"/>
    <mergeCell ref="D28:N28"/>
    <mergeCell ref="D48:F48"/>
    <mergeCell ref="G42:N42"/>
    <mergeCell ref="AC179:AL179"/>
    <mergeCell ref="AO67:AX78"/>
    <mergeCell ref="P21:Z21"/>
    <mergeCell ref="G52:N52"/>
    <mergeCell ref="AC380:AL382"/>
    <mergeCell ref="P46:Z46"/>
    <mergeCell ref="Q34:Z45"/>
    <mergeCell ref="AN37:AN41"/>
    <mergeCell ref="AC386:AL387"/>
    <mergeCell ref="AC383:AL385"/>
    <mergeCell ref="D9:E10"/>
    <mergeCell ref="AC88:AL88"/>
    <mergeCell ref="P220:P224"/>
    <mergeCell ref="Q106:Z107"/>
    <mergeCell ref="AO24:AX26"/>
    <mergeCell ref="D37:F37"/>
    <mergeCell ref="D36:F36"/>
    <mergeCell ref="P26:P29"/>
    <mergeCell ref="AC182:AL182"/>
    <mergeCell ref="AO79:AX83"/>
    <mergeCell ref="P172:P176"/>
    <mergeCell ref="D39:F39"/>
    <mergeCell ref="P206:P210"/>
    <mergeCell ref="P204:P205"/>
    <mergeCell ref="Q191:Z192"/>
    <mergeCell ref="G46:N46"/>
    <mergeCell ref="AC70:AL70"/>
    <mergeCell ref="AC264:AL264"/>
    <mergeCell ref="AC298:AL298"/>
    <mergeCell ref="AB216:AB218"/>
    <mergeCell ref="AB352:AB360"/>
    <mergeCell ref="AC257:AL257"/>
    <mergeCell ref="P17:P20"/>
    <mergeCell ref="AC201:AL202"/>
    <mergeCell ref="AC209:AL213"/>
    <mergeCell ref="AC192:AL192"/>
    <mergeCell ref="Q189:Z190"/>
    <mergeCell ref="AB291:AL291"/>
    <mergeCell ref="AC270:AL273"/>
    <mergeCell ref="P92:P94"/>
    <mergeCell ref="AC37:AL37"/>
    <mergeCell ref="AO62:AX63"/>
    <mergeCell ref="D38:F38"/>
    <mergeCell ref="Q142:Z143"/>
    <mergeCell ref="AC166:AL167"/>
    <mergeCell ref="AC173:AL173"/>
    <mergeCell ref="D21:N22"/>
    <mergeCell ref="AC69:AL69"/>
    <mergeCell ref="Q82:Z86"/>
    <mergeCell ref="AB1:AL2"/>
    <mergeCell ref="AC95:AL95"/>
    <mergeCell ref="P79:P81"/>
    <mergeCell ref="AB4:AB10"/>
    <mergeCell ref="AO45:AX49"/>
    <mergeCell ref="AO27:AX36"/>
    <mergeCell ref="Q231:Z232"/>
    <mergeCell ref="D24:N24"/>
    <mergeCell ref="AC66:AL66"/>
    <mergeCell ref="AC304:AL304"/>
    <mergeCell ref="AB389:AB390"/>
    <mergeCell ref="G49:N49"/>
    <mergeCell ref="AB98:AB100"/>
    <mergeCell ref="AB43:AL43"/>
    <mergeCell ref="AO42:AX44"/>
    <mergeCell ref="AO51:AX60"/>
    <mergeCell ref="AO50:AX50"/>
    <mergeCell ref="AB138:AB154"/>
    <mergeCell ref="D51:F51"/>
    <mergeCell ref="AO64:AX66"/>
    <mergeCell ref="AC29:AL30"/>
    <mergeCell ref="D16:N16"/>
    <mergeCell ref="Q197:Z199"/>
    <mergeCell ref="P212:P219"/>
    <mergeCell ref="AB74:AL74"/>
    <mergeCell ref="G39:N39"/>
    <mergeCell ref="D35:N35"/>
    <mergeCell ref="Q220:Z224"/>
    <mergeCell ref="AC111:AL111"/>
    <mergeCell ref="D59:F59"/>
    <mergeCell ref="AO38:AX41"/>
    <mergeCell ref="Q137:Z138"/>
    <mergeCell ref="AO23:AX23"/>
    <mergeCell ref="AO61:AX61"/>
    <mergeCell ref="F11:N12"/>
    <mergeCell ref="Q164:Z165"/>
    <mergeCell ref="P193:P196"/>
    <mergeCell ref="Q219:Z219"/>
    <mergeCell ref="F7:N8"/>
    <mergeCell ref="D25:N26"/>
    <mergeCell ref="P111:P113"/>
    <mergeCell ref="AB279:AB282"/>
    <mergeCell ref="AC170:AL171"/>
    <mergeCell ref="AO37:AX37"/>
    <mergeCell ref="P139:Z139"/>
    <mergeCell ref="G55:N55"/>
    <mergeCell ref="AC83:AL83"/>
    <mergeCell ref="AC72:AL73"/>
    <mergeCell ref="AC38:AL38"/>
    <mergeCell ref="AC184:AL184"/>
    <mergeCell ref="AC109:AL109"/>
    <mergeCell ref="P1:Z2"/>
    <mergeCell ref="P60:Z60"/>
    <mergeCell ref="AC20:AL20"/>
    <mergeCell ref="G53:N53"/>
    <mergeCell ref="AB26:AB37"/>
    <mergeCell ref="P31:P33"/>
    <mergeCell ref="AC15:AL15"/>
    <mergeCell ref="AC40:AL40"/>
    <mergeCell ref="AC59:AL59"/>
    <mergeCell ref="AB328:AB346"/>
    <mergeCell ref="AC372:AL373"/>
    <mergeCell ref="AC105:AL105"/>
    <mergeCell ref="P22:P25"/>
    <mergeCell ref="D58:F58"/>
    <mergeCell ref="P106:P107"/>
    <mergeCell ref="Q160:Z161"/>
    <mergeCell ref="AC365:AL365"/>
    <mergeCell ref="AC377:AL378"/>
    <mergeCell ref="AC336:AL336"/>
    <mergeCell ref="AB361:AB363"/>
    <mergeCell ref="AC329:AL329"/>
    <mergeCell ref="AC363:AL363"/>
    <mergeCell ref="AC343:AL343"/>
    <mergeCell ref="AC360:AL360"/>
    <mergeCell ref="AC337:AL338"/>
    <mergeCell ref="AC340:AL341"/>
    <mergeCell ref="AC99:AL99"/>
    <mergeCell ref="D41:F41"/>
    <mergeCell ref="Q17:Z20"/>
    <mergeCell ref="D44:F44"/>
    <mergeCell ref="AC45:AL45"/>
    <mergeCell ref="AC344:AL345"/>
    <mergeCell ref="AC183:AL183"/>
    <mergeCell ref="AB320:AB325"/>
    <mergeCell ref="AB186:AB191"/>
    <mergeCell ref="P181:P185"/>
    <mergeCell ref="AC110:AL110"/>
    <mergeCell ref="Q100:Z102"/>
    <mergeCell ref="Q114:Z116"/>
    <mergeCell ref="AC122:AL124"/>
    <mergeCell ref="Q195:Z196"/>
    <mergeCell ref="Q226:Z228"/>
    <mergeCell ref="AC107:AL107"/>
    <mergeCell ref="P166:P167"/>
    <mergeCell ref="P82:P86"/>
    <mergeCell ref="AC137:AL137"/>
    <mergeCell ref="P110:Z110"/>
    <mergeCell ref="AB75:AB92"/>
    <mergeCell ref="P197:P199"/>
    <mergeCell ref="AC175:AL175"/>
    <mergeCell ref="AC328:AL328"/>
    <mergeCell ref="AB264:AB273"/>
    <mergeCell ref="AC314:AL314"/>
    <mergeCell ref="AC203:AL203"/>
    <mergeCell ref="AC260:AL260"/>
    <mergeCell ref="AC156:AL156"/>
    <mergeCell ref="AB162:AL162"/>
    <mergeCell ref="AC155:AL155"/>
    <mergeCell ref="AC312:AL312"/>
    <mergeCell ref="AB292:AB307"/>
    <mergeCell ref="AC129:AL132"/>
    <mergeCell ref="AC121:AL121"/>
    <mergeCell ref="AB113:AL113"/>
    <mergeCell ref="AC117:AL120"/>
    <mergeCell ref="AC63:AL65"/>
    <mergeCell ref="P157:Z157"/>
    <mergeCell ref="P61:P64"/>
    <mergeCell ref="AC93:AL93"/>
    <mergeCell ref="AC92:AL92"/>
    <mergeCell ref="P160:P161"/>
    <mergeCell ref="D40:F40"/>
    <mergeCell ref="Q117:Z118"/>
    <mergeCell ref="AC46:AL48"/>
    <mergeCell ref="P13:P16"/>
    <mergeCell ref="P153:P154"/>
    <mergeCell ref="AC82:AL82"/>
    <mergeCell ref="G41:N41"/>
    <mergeCell ref="AC229:AL229"/>
    <mergeCell ref="AC347:AL348"/>
    <mergeCell ref="AB261:AB262"/>
    <mergeCell ref="P238:P240"/>
    <mergeCell ref="AC355:AL355"/>
    <mergeCell ref="Q233:Z234"/>
    <mergeCell ref="AB277:AL277"/>
    <mergeCell ref="Q144:Z145"/>
    <mergeCell ref="AC49:AL51"/>
    <mergeCell ref="AC236:AL236"/>
    <mergeCell ref="P70:P74"/>
    <mergeCell ref="AB67:AL67"/>
    <mergeCell ref="AB257:AB259"/>
    <mergeCell ref="AC313:AL313"/>
    <mergeCell ref="Q146:Z147"/>
    <mergeCell ref="AC108:AL108"/>
    <mergeCell ref="P211:Z211"/>
    <mergeCell ref="Q79:Z81"/>
    <mergeCell ref="AB220:AB224"/>
    <mergeCell ref="AC89:AL89"/>
    <mergeCell ref="P99:Z99"/>
    <mergeCell ref="AC18:AL18"/>
    <mergeCell ref="G58:N58"/>
    <mergeCell ref="AB72:AB73"/>
    <mergeCell ref="G51:N51"/>
    <mergeCell ref="G54:N54"/>
    <mergeCell ref="P51:Z51"/>
    <mergeCell ref="AC362:AL362"/>
    <mergeCell ref="Q235:Z237"/>
    <mergeCell ref="AB157:AL157"/>
    <mergeCell ref="AC200:AL200"/>
    <mergeCell ref="G59:N59"/>
    <mergeCell ref="P229:Z229"/>
    <mergeCell ref="AC275:AL275"/>
    <mergeCell ref="AC279:AL279"/>
    <mergeCell ref="AC267:AL267"/>
    <mergeCell ref="D60:F60"/>
    <mergeCell ref="D63:F63"/>
    <mergeCell ref="AC44:AL44"/>
    <mergeCell ref="Q168:Z170"/>
    <mergeCell ref="AC254:AL254"/>
    <mergeCell ref="D50:F50"/>
    <mergeCell ref="D29:N30"/>
    <mergeCell ref="P225:Z225"/>
    <mergeCell ref="D54:F54"/>
    <mergeCell ref="AC168:AL169"/>
    <mergeCell ref="D7:E8"/>
    <mergeCell ref="Q122:Z136"/>
    <mergeCell ref="AC359:AL359"/>
    <mergeCell ref="AB197:AL197"/>
    <mergeCell ref="AC334:AL334"/>
    <mergeCell ref="AC230:AL235"/>
    <mergeCell ref="AC299:AL299"/>
    <mergeCell ref="AC199:AL199"/>
    <mergeCell ref="AC219:AL219"/>
    <mergeCell ref="AC346:AL346"/>
    <mergeCell ref="AC335:AL335"/>
    <mergeCell ref="Q140:Z141"/>
    <mergeCell ref="AC85:AL85"/>
    <mergeCell ref="Q61:Z64"/>
    <mergeCell ref="AB160:AL160"/>
    <mergeCell ref="AC5:AL6"/>
    <mergeCell ref="AB3:AL3"/>
    <mergeCell ref="Q8:Z11"/>
    <mergeCell ref="AB25:AL25"/>
    <mergeCell ref="AC315:AL319"/>
    <mergeCell ref="P230:P237"/>
    <mergeCell ref="AC354:AL354"/>
    <mergeCell ref="AC361:AL361"/>
    <mergeCell ref="AC180:AL180"/>
    <mergeCell ref="AB254:AB255"/>
    <mergeCell ref="AC14:AL14"/>
    <mergeCell ref="Q92:Z94"/>
    <mergeCell ref="AB125:AB128"/>
    <mergeCell ref="P69:Z69"/>
    <mergeCell ref="AC97:AL97"/>
    <mergeCell ref="AC106:AL106"/>
    <mergeCell ref="AC112:AL112"/>
    <mergeCell ref="P137:P138"/>
    <mergeCell ref="AC364:AL364"/>
    <mergeCell ref="AB185:AL185"/>
    <mergeCell ref="AC214:AL214"/>
    <mergeCell ref="AC224:AL224"/>
    <mergeCell ref="AC276:AL276"/>
    <mergeCell ref="AB308:AB311"/>
    <mergeCell ref="Q204:Z205"/>
    <mergeCell ref="AC86:AL86"/>
    <mergeCell ref="Q31:Z33"/>
    <mergeCell ref="P140:P143"/>
    <mergeCell ref="AB315:AB319"/>
    <mergeCell ref="AC53:AL57"/>
    <mergeCell ref="AC189:AL189"/>
    <mergeCell ref="AC309:AL310"/>
    <mergeCell ref="AC297:AL297"/>
    <mergeCell ref="AC308:AL308"/>
    <mergeCell ref="AB256:AL256"/>
    <mergeCell ref="AC71:AL71"/>
    <mergeCell ref="AC194:AL194"/>
    <mergeCell ref="P119:P120"/>
    <mergeCell ref="AB93:AB95"/>
    <mergeCell ref="Q206:Z210"/>
    <mergeCell ref="Q108:Z109"/>
    <mergeCell ref="P96:P98"/>
    <mergeCell ref="Q70:Z74"/>
    <mergeCell ref="AB351:AL351"/>
    <mergeCell ref="AC258:AL258"/>
    <mergeCell ref="AC320:AL325"/>
    <mergeCell ref="AC281:AL281"/>
    <mergeCell ref="AC268:AL269"/>
    <mergeCell ref="AC259:AL259"/>
    <mergeCell ref="AB109:AB112"/>
    <mergeCell ref="P186:Z186"/>
    <mergeCell ref="AC327:AL327"/>
    <mergeCell ref="AB386:AB387"/>
    <mergeCell ref="AB18:AB22"/>
    <mergeCell ref="AN16:AX16"/>
    <mergeCell ref="D42:F42"/>
    <mergeCell ref="AC80:AL81"/>
    <mergeCell ref="D57:F57"/>
    <mergeCell ref="Q52:Z55"/>
    <mergeCell ref="D33:N34"/>
    <mergeCell ref="AC104:AL104"/>
    <mergeCell ref="D11:E12"/>
    <mergeCell ref="AO22:AX22"/>
    <mergeCell ref="AB117:AB124"/>
    <mergeCell ref="P162:P163"/>
    <mergeCell ref="AC159:AL159"/>
    <mergeCell ref="AC389:AL389"/>
    <mergeCell ref="Q177:Z178"/>
    <mergeCell ref="AC58:AL58"/>
    <mergeCell ref="AC148:AL152"/>
    <mergeCell ref="AC127:AL127"/>
    <mergeCell ref="P56:P59"/>
    <mergeCell ref="AC116:AL116"/>
    <mergeCell ref="P187:P192"/>
    <mergeCell ref="AC4:AL4"/>
    <mergeCell ref="Q4:Z7"/>
    <mergeCell ref="Q158:Z159"/>
    <mergeCell ref="AC339:AL339"/>
    <mergeCell ref="AB349:AB350"/>
  </mergeCells>
  <hyperlinks>
    <hyperlink ref="F11" r:id="rId1"/>
    <hyperlink ref="F5" r:id="rId2"/>
    <hyperlink ref="F7" r:id="rId3"/>
    <hyperlink ref="F9" r:id="rId4"/>
    <hyperlink ref="F3" r:id="rId5"/>
    <hyperlink ref="F13" r:id="rId6"/>
  </hyperlinks>
  <pageMargins left="0.75" right="0.75" top="1.0" bottom="1.0" header="0.511805555555556" footer="0.511805555555556"/>
</worksheet>
</file>

<file path=docProps/app.xml><?xml version="1.0" encoding="utf-8"?>
<Properties xmlns="http://schemas.openxmlformats.org/officeDocument/2006/extended-properties">
  <Application>Kingsoft Office</Application>
  <DocSecurity>0</DocSecurity>
  <ScaleCrop>0</ScaleCrop>
  <LinksUpToDate>0</LinksUpToDate>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itle>COC七版规则人物卡</dc:title>
  <dc:creator>丛雨</dc:creator>
  <cp:lastModifiedBy>丛 雨</cp:lastModifiedBy>
  <dcterms:created xsi:type="dcterms:W3CDTF">2018-07-10T05:00:00Z</dcterms:created>
  <dcterms:modified xsi:type="dcterms:W3CDTF">2024-08-16T13:48:13Z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0f62f4ab8df04d5293192d0ff552b82b</vt:lpwstr>
  </property>
</Properties>
</file>